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drawings/drawing3.xml" ContentType="application/vnd.openxmlformats-officedocument.drawingml.chartshapes+xml"/>
  <Override PartName="/xl/charts/chart4.xml" ContentType="application/vnd.openxmlformats-officedocument.drawingml.chart+xml"/>
  <Override PartName="/xl/drawings/drawing4.xml" ContentType="application/vnd.openxmlformats-officedocument.drawingml.chartshapes+xml"/>
  <Override PartName="/xl/charts/chart5.xml" ContentType="application/vnd.openxmlformats-officedocument.drawingml.chart+xml"/>
  <Override PartName="/xl/charts/chart6.xml" ContentType="application/vnd.openxmlformats-officedocument.drawingml.chart+xml"/>
  <Override PartName="/xl/drawings/drawing5.xml" ContentType="application/vnd.openxmlformats-officedocument.drawingml.chartshapes+xml"/>
  <Override PartName="/xl/charts/chart7.xml" ContentType="application/vnd.openxmlformats-officedocument.drawingml.chart+xml"/>
  <Override PartName="/xl/drawings/drawing6.xml" ContentType="application/vnd.openxmlformats-officedocument.drawingml.chartshapes+xml"/>
  <Override PartName="/xl/charts/chart8.xml" ContentType="application/vnd.openxmlformats-officedocument.drawingml.chart+xml"/>
  <Override PartName="/xl/drawings/drawing7.xml" ContentType="application/vnd.openxmlformats-officedocument.drawingml.chartshapes+xml"/>
  <Override PartName="/xl/charts/chart9.xml" ContentType="application/vnd.openxmlformats-officedocument.drawingml.chart+xml"/>
  <Override PartName="/xl/drawings/drawing8.xml" ContentType="application/vnd.openxmlformats-officedocument.drawingml.chartshapes+xml"/>
  <Override PartName="/xl/charts/chart10.xml" ContentType="application/vnd.openxmlformats-officedocument.drawingml.chart+xml"/>
  <Override PartName="/xl/drawings/drawing9.xml" ContentType="application/vnd.openxmlformats-officedocument.drawingml.chartshapes+xml"/>
  <Override PartName="/xl/charts/chart11.xml" ContentType="application/vnd.openxmlformats-officedocument.drawingml.chart+xml"/>
  <Override PartName="/xl/drawings/drawing10.xml" ContentType="application/vnd.openxmlformats-officedocument.drawingml.chartshapes+xml"/>
  <Override PartName="/xl/charts/chart12.xml" ContentType="application/vnd.openxmlformats-officedocument.drawingml.chart+xml"/>
  <Override PartName="/xl/drawings/drawing11.xml" ContentType="application/vnd.openxmlformats-officedocument.drawing+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drawings/drawing12.xml" ContentType="application/vnd.openxmlformats-officedocument.drawingml.chartshapes+xml"/>
  <Override PartName="/xl/charts/chart16.xml" ContentType="application/vnd.openxmlformats-officedocument.drawingml.chart+xml"/>
  <Override PartName="/xl/drawings/drawing13.xml" ContentType="application/vnd.openxmlformats-officedocument.drawingml.chartshapes+xml"/>
  <Override PartName="/xl/charts/chart17.xml" ContentType="application/vnd.openxmlformats-officedocument.drawingml.chart+xml"/>
  <Override PartName="/xl/drawings/drawing14.xml" ContentType="application/vnd.openxmlformats-officedocument.drawingml.chartshapes+xml"/>
  <Override PartName="/xl/charts/chart18.xml" ContentType="application/vnd.openxmlformats-officedocument.drawingml.chart+xml"/>
  <Override PartName="/xl/drawings/drawing15.xml" ContentType="application/vnd.openxmlformats-officedocument.drawingml.chartshapes+xml"/>
  <Override PartName="/xl/charts/chart19.xml" ContentType="application/vnd.openxmlformats-officedocument.drawingml.chart+xml"/>
  <Override PartName="/xl/drawings/drawing16.xml" ContentType="application/vnd.openxmlformats-officedocument.drawingml.chartshapes+xml"/>
  <Override PartName="/xl/charts/chart20.xml" ContentType="application/vnd.openxmlformats-officedocument.drawingml.chart+xml"/>
  <Override PartName="/xl/drawings/drawing17.xml" ContentType="application/vnd.openxmlformats-officedocument.drawingml.chartshapes+xml"/>
  <Override PartName="/xl/charts/chart21.xml" ContentType="application/vnd.openxmlformats-officedocument.drawingml.chart+xml"/>
  <Override PartName="/xl/drawings/drawing18.xml" ContentType="application/vnd.openxmlformats-officedocument.drawingml.chartshapes+xml"/>
  <Override PartName="/xl/charts/chart22.xml" ContentType="application/vnd.openxmlformats-officedocument.drawingml.chart+xml"/>
  <Override PartName="/xl/drawings/drawing19.xml" ContentType="application/vnd.openxmlformats-officedocument.drawingml.chartshapes+xml"/>
  <Override PartName="/xl/charts/chart23.xml" ContentType="application/vnd.openxmlformats-officedocument.drawingml.chart+xml"/>
  <Override PartName="/xl/charts/chart24.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0.xml" ContentType="application/vnd.openxmlformats-officedocument.drawing+xml"/>
  <Override PartName="/xl/drawings/drawing2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22.xml" ContentType="application/vnd.openxmlformats-officedocument.drawing+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ctrlProps/ctrlProp137.xml" ContentType="application/vnd.ms-excel.controlproperties+xml"/>
  <Override PartName="/xl/ctrlProps/ctrlProp138.xml" ContentType="application/vnd.ms-excel.controlproperties+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ctrlProps/ctrlProp148.xml" ContentType="application/vnd.ms-excel.controlproperties+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ctrlProps/ctrlProp169.xml" ContentType="application/vnd.ms-excel.controlproperties+xml"/>
  <Override PartName="/xl/ctrlProps/ctrlProp170.xml" ContentType="application/vnd.ms-excel.controlproperties+xml"/>
  <Override PartName="/xl/ctrlProps/ctrlProp171.xml" ContentType="application/vnd.ms-excel.controlproperties+xml"/>
  <Override PartName="/xl/ctrlProps/ctrlProp172.xml" ContentType="application/vnd.ms-excel.controlproperties+xml"/>
  <Override PartName="/xl/ctrlProps/ctrlProp173.xml" ContentType="application/vnd.ms-excel.controlproperties+xml"/>
  <Override PartName="/xl/ctrlProps/ctrlProp174.xml" ContentType="application/vnd.ms-excel.controlproperties+xml"/>
  <Override PartName="/xl/ctrlProps/ctrlProp175.xml" ContentType="application/vnd.ms-excel.controlproperties+xml"/>
  <Override PartName="/xl/ctrlProps/ctrlProp176.xml" ContentType="application/vnd.ms-excel.controlproperties+xml"/>
  <Override PartName="/xl/ctrlProps/ctrlProp177.xml" ContentType="application/vnd.ms-excel.controlproperties+xml"/>
  <Override PartName="/xl/ctrlProps/ctrlProp178.xml" ContentType="application/vnd.ms-excel.controlproperties+xml"/>
  <Override PartName="/xl/ctrlProps/ctrlProp179.xml" ContentType="application/vnd.ms-excel.controlproperties+xml"/>
  <Override PartName="/xl/ctrlProps/ctrlProp180.xml" ContentType="application/vnd.ms-excel.controlproperties+xml"/>
  <Override PartName="/xl/ctrlProps/ctrlProp181.xml" ContentType="application/vnd.ms-excel.controlproperties+xml"/>
  <Override PartName="/xl/ctrlProps/ctrlProp182.xml" ContentType="application/vnd.ms-excel.controlproperties+xml"/>
  <Override PartName="/xl/ctrlProps/ctrlProp183.xml" ContentType="application/vnd.ms-excel.controlproperties+xml"/>
  <Override PartName="/xl/ctrlProps/ctrlProp184.xml" ContentType="application/vnd.ms-excel.controlproperties+xml"/>
  <Override PartName="/xl/ctrlProps/ctrlProp185.xml" ContentType="application/vnd.ms-excel.controlproperties+xml"/>
  <Override PartName="/xl/ctrlProps/ctrlProp186.xml" ContentType="application/vnd.ms-excel.controlproperties+xml"/>
  <Override PartName="/xl/ctrlProps/ctrlProp187.xml" ContentType="application/vnd.ms-excel.controlproperties+xml"/>
  <Override PartName="/xl/ctrlProps/ctrlProp188.xml" ContentType="application/vnd.ms-excel.controlproperties+xml"/>
  <Override PartName="/xl/ctrlProps/ctrlProp189.xml" ContentType="application/vnd.ms-excel.controlproperties+xml"/>
  <Override PartName="/xl/ctrlProps/ctrlProp190.xml" ContentType="application/vnd.ms-excel.controlproperties+xml"/>
  <Override PartName="/xl/ctrlProps/ctrlProp191.xml" ContentType="application/vnd.ms-excel.controlproperties+xml"/>
  <Override PartName="/xl/ctrlProps/ctrlProp192.xml" ContentType="application/vnd.ms-excel.controlproperties+xml"/>
  <Override PartName="/xl/ctrlProps/ctrlProp193.xml" ContentType="application/vnd.ms-excel.controlproperties+xml"/>
  <Override PartName="/xl/ctrlProps/ctrlProp194.xml" ContentType="application/vnd.ms-excel.controlproperties+xml"/>
  <Override PartName="/xl/ctrlProps/ctrlProp195.xml" ContentType="application/vnd.ms-excel.controlproperties+xml"/>
  <Override PartName="/xl/ctrlProps/ctrlProp196.xml" ContentType="application/vnd.ms-excel.controlproperties+xml"/>
  <Override PartName="/xl/ctrlProps/ctrlProp197.xml" ContentType="application/vnd.ms-excel.controlproperties+xml"/>
  <Override PartName="/xl/ctrlProps/ctrlProp198.xml" ContentType="application/vnd.ms-excel.controlproperties+xml"/>
  <Override PartName="/xl/ctrlProps/ctrlProp199.xml" ContentType="application/vnd.ms-excel.controlproperties+xml"/>
  <Override PartName="/xl/ctrlProps/ctrlProp200.xml" ContentType="application/vnd.ms-excel.controlproperties+xml"/>
  <Override PartName="/xl/ctrlProps/ctrlProp201.xml" ContentType="application/vnd.ms-excel.controlproperties+xml"/>
  <Override PartName="/xl/ctrlProps/ctrlProp202.xml" ContentType="application/vnd.ms-excel.controlproperties+xml"/>
  <Override PartName="/xl/ctrlProps/ctrlProp203.xml" ContentType="application/vnd.ms-excel.controlproperties+xml"/>
  <Override PartName="/xl/ctrlProps/ctrlProp204.xml" ContentType="application/vnd.ms-excel.controlproperties+xml"/>
  <Override PartName="/xl/ctrlProps/ctrlProp205.xml" ContentType="application/vnd.ms-excel.controlproperties+xml"/>
  <Override PartName="/xl/ctrlProps/ctrlProp206.xml" ContentType="application/vnd.ms-excel.controlproperties+xml"/>
  <Override PartName="/xl/ctrlProps/ctrlProp207.xml" ContentType="application/vnd.ms-excel.controlproperties+xml"/>
  <Override PartName="/xl/ctrlProps/ctrlProp208.xml" ContentType="application/vnd.ms-excel.controlproperties+xml"/>
  <Override PartName="/xl/ctrlProps/ctrlProp209.xml" ContentType="application/vnd.ms-excel.controlproperties+xml"/>
  <Override PartName="/xl/ctrlProps/ctrlProp210.xml" ContentType="application/vnd.ms-excel.controlproperties+xml"/>
  <Override PartName="/xl/ctrlProps/ctrlProp211.xml" ContentType="application/vnd.ms-excel.controlproperties+xml"/>
  <Override PartName="/xl/ctrlProps/ctrlProp212.xml" ContentType="application/vnd.ms-excel.controlproperties+xml"/>
  <Override PartName="/xl/ctrlProps/ctrlProp213.xml" ContentType="application/vnd.ms-excel.controlproperties+xml"/>
  <Override PartName="/xl/ctrlProps/ctrlProp214.xml" ContentType="application/vnd.ms-excel.controlproperties+xml"/>
  <Override PartName="/xl/ctrlProps/ctrlProp215.xml" ContentType="application/vnd.ms-excel.controlproperties+xml"/>
  <Override PartName="/xl/ctrlProps/ctrlProp216.xml" ContentType="application/vnd.ms-excel.controlproperties+xml"/>
  <Override PartName="/xl/ctrlProps/ctrlProp217.xml" ContentType="application/vnd.ms-excel.controlproperties+xml"/>
  <Override PartName="/xl/ctrlProps/ctrlProp218.xml" ContentType="application/vnd.ms-excel.controlproperties+xml"/>
  <Override PartName="/xl/ctrlProps/ctrlProp219.xml" ContentType="application/vnd.ms-excel.controlproperties+xml"/>
  <Override PartName="/xl/ctrlProps/ctrlProp220.xml" ContentType="application/vnd.ms-excel.controlproperties+xml"/>
  <Override PartName="/xl/ctrlProps/ctrlProp221.xml" ContentType="application/vnd.ms-excel.controlproperties+xml"/>
  <Override PartName="/xl/ctrlProps/ctrlProp222.xml" ContentType="application/vnd.ms-excel.controlproperties+xml"/>
  <Override PartName="/xl/ctrlProps/ctrlProp223.xml" ContentType="application/vnd.ms-excel.controlproperties+xml"/>
  <Override PartName="/xl/ctrlProps/ctrlProp224.xml" ContentType="application/vnd.ms-excel.controlproperties+xml"/>
  <Override PartName="/xl/ctrlProps/ctrlProp225.xml" ContentType="application/vnd.ms-excel.controlproperties+xml"/>
  <Override PartName="/xl/ctrlProps/ctrlProp226.xml" ContentType="application/vnd.ms-excel.controlproperties+xml"/>
  <Override PartName="/xl/ctrlProps/ctrlProp227.xml" ContentType="application/vnd.ms-excel.controlproperties+xml"/>
  <Override PartName="/xl/ctrlProps/ctrlProp228.xml" ContentType="application/vnd.ms-excel.controlproperties+xml"/>
  <Override PartName="/xl/ctrlProps/ctrlProp229.xml" ContentType="application/vnd.ms-excel.controlproperties+xml"/>
  <Override PartName="/xl/ctrlProps/ctrlProp230.xml" ContentType="application/vnd.ms-excel.controlproperties+xml"/>
  <Override PartName="/xl/ctrlProps/ctrlProp231.xml" ContentType="application/vnd.ms-excel.controlproperties+xml"/>
  <Override PartName="/xl/ctrlProps/ctrlProp232.xml" ContentType="application/vnd.ms-excel.controlproperties+xml"/>
  <Override PartName="/xl/ctrlProps/ctrlProp233.xml" ContentType="application/vnd.ms-excel.controlproperties+xml"/>
  <Override PartName="/xl/ctrlProps/ctrlProp234.xml" ContentType="application/vnd.ms-excel.controlproperties+xml"/>
  <Override PartName="/xl/ctrlProps/ctrlProp235.xml" ContentType="application/vnd.ms-excel.controlproperties+xml"/>
  <Override PartName="/xl/ctrlProps/ctrlProp236.xml" ContentType="application/vnd.ms-excel.controlproperties+xml"/>
  <Override PartName="/xl/ctrlProps/ctrlProp237.xml" ContentType="application/vnd.ms-excel.controlproperties+xml"/>
  <Override PartName="/xl/ctrlProps/ctrlProp238.xml" ContentType="application/vnd.ms-excel.controlproperties+xml"/>
  <Override PartName="/xl/ctrlProps/ctrlProp239.xml" ContentType="application/vnd.ms-excel.controlproperties+xml"/>
  <Override PartName="/xl/ctrlProps/ctrlProp240.xml" ContentType="application/vnd.ms-excel.controlproperties+xml"/>
  <Override PartName="/xl/ctrlProps/ctrlProp241.xml" ContentType="application/vnd.ms-excel.controlproperties+xml"/>
  <Override PartName="/xl/ctrlProps/ctrlProp242.xml" ContentType="application/vnd.ms-excel.controlproperties+xml"/>
  <Override PartName="/xl/ctrlProps/ctrlProp243.xml" ContentType="application/vnd.ms-excel.controlproperties+xml"/>
  <Override PartName="/xl/ctrlProps/ctrlProp244.xml" ContentType="application/vnd.ms-excel.controlproperties+xml"/>
  <Override PartName="/xl/ctrlProps/ctrlProp245.xml" ContentType="application/vnd.ms-excel.controlproperties+xml"/>
  <Override PartName="/xl/ctrlProps/ctrlProp246.xml" ContentType="application/vnd.ms-excel.controlproperties+xml"/>
  <Override PartName="/xl/ctrlProps/ctrlProp247.xml" ContentType="application/vnd.ms-excel.controlproperties+xml"/>
  <Override PartName="/xl/ctrlProps/ctrlProp248.xml" ContentType="application/vnd.ms-excel.controlproperties+xml"/>
  <Override PartName="/xl/ctrlProps/ctrlProp249.xml" ContentType="application/vnd.ms-excel.controlproperties+xml"/>
  <Override PartName="/xl/ctrlProps/ctrlProp250.xml" ContentType="application/vnd.ms-excel.controlproperties+xml"/>
  <Override PartName="/xl/ctrlProps/ctrlProp251.xml" ContentType="application/vnd.ms-excel.controlproperties+xml"/>
  <Override PartName="/xl/ctrlProps/ctrlProp252.xml" ContentType="application/vnd.ms-excel.controlproperties+xml"/>
  <Override PartName="/xl/ctrlProps/ctrlProp253.xml" ContentType="application/vnd.ms-excel.controlproperties+xml"/>
  <Override PartName="/xl/ctrlProps/ctrlProp254.xml" ContentType="application/vnd.ms-excel.controlproperties+xml"/>
  <Override PartName="/xl/ctrlProps/ctrlProp255.xml" ContentType="application/vnd.ms-excel.controlproperties+xml"/>
  <Override PartName="/xl/ctrlProps/ctrlProp256.xml" ContentType="application/vnd.ms-excel.controlproperties+xml"/>
  <Override PartName="/xl/ctrlProps/ctrlProp257.xml" ContentType="application/vnd.ms-excel.controlproperties+xml"/>
  <Override PartName="/xl/ctrlProps/ctrlProp258.xml" ContentType="application/vnd.ms-excel.controlproperties+xml"/>
  <Override PartName="/xl/ctrlProps/ctrlProp259.xml" ContentType="application/vnd.ms-excel.controlproperties+xml"/>
  <Override PartName="/xl/ctrlProps/ctrlProp260.xml" ContentType="application/vnd.ms-excel.controlproperties+xml"/>
  <Override PartName="/xl/ctrlProps/ctrlProp261.xml" ContentType="application/vnd.ms-excel.controlproperties+xml"/>
  <Override PartName="/xl/ctrlProps/ctrlProp262.xml" ContentType="application/vnd.ms-excel.controlproperties+xml"/>
  <Override PartName="/xl/ctrlProps/ctrlProp263.xml" ContentType="application/vnd.ms-excel.controlproperties+xml"/>
  <Override PartName="/xl/ctrlProps/ctrlProp264.xml" ContentType="application/vnd.ms-excel.controlproperties+xml"/>
  <Override PartName="/xl/ctrlProps/ctrlProp265.xml" ContentType="application/vnd.ms-excel.controlproperties+xml"/>
  <Override PartName="/xl/ctrlProps/ctrlProp266.xml" ContentType="application/vnd.ms-excel.controlproperties+xml"/>
  <Override PartName="/xl/ctrlProps/ctrlProp267.xml" ContentType="application/vnd.ms-excel.controlproperties+xml"/>
  <Override PartName="/xl/ctrlProps/ctrlProp268.xml" ContentType="application/vnd.ms-excel.controlproperties+xml"/>
  <Override PartName="/xl/ctrlProps/ctrlProp269.xml" ContentType="application/vnd.ms-excel.controlproperties+xml"/>
  <Override PartName="/xl/ctrlProps/ctrlProp270.xml" ContentType="application/vnd.ms-excel.controlproperties+xml"/>
  <Override PartName="/xl/ctrlProps/ctrlProp271.xml" ContentType="application/vnd.ms-excel.controlproperties+xml"/>
  <Override PartName="/xl/ctrlProps/ctrlProp272.xml" ContentType="application/vnd.ms-excel.controlproperties+xml"/>
  <Override PartName="/xl/ctrlProps/ctrlProp273.xml" ContentType="application/vnd.ms-excel.controlproperties+xml"/>
  <Override PartName="/xl/ctrlProps/ctrlProp274.xml" ContentType="application/vnd.ms-excel.controlproperties+xml"/>
  <Override PartName="/xl/ctrlProps/ctrlProp275.xml" ContentType="application/vnd.ms-excel.controlproperties+xml"/>
  <Override PartName="/xl/ctrlProps/ctrlProp276.xml" ContentType="application/vnd.ms-excel.controlproperties+xml"/>
  <Override PartName="/xl/ctrlProps/ctrlProp277.xml" ContentType="application/vnd.ms-excel.controlproperties+xml"/>
  <Override PartName="/xl/ctrlProps/ctrlProp278.xml" ContentType="application/vnd.ms-excel.controlproperties+xml"/>
  <Override PartName="/xl/ctrlProps/ctrlProp279.xml" ContentType="application/vnd.ms-excel.controlproperties+xml"/>
  <Override PartName="/xl/ctrlProps/ctrlProp280.xml" ContentType="application/vnd.ms-excel.controlproperties+xml"/>
  <Override PartName="/xl/ctrlProps/ctrlProp281.xml" ContentType="application/vnd.ms-excel.controlproperties+xml"/>
  <Override PartName="/xl/ctrlProps/ctrlProp282.xml" ContentType="application/vnd.ms-excel.controlproperties+xml"/>
  <Override PartName="/xl/ctrlProps/ctrlProp283.xml" ContentType="application/vnd.ms-excel.controlproperties+xml"/>
  <Override PartName="/xl/ctrlProps/ctrlProp284.xml" ContentType="application/vnd.ms-excel.controlproperties+xml"/>
  <Override PartName="/xl/ctrlProps/ctrlProp285.xml" ContentType="application/vnd.ms-excel.controlproperties+xml"/>
  <Override PartName="/xl/ctrlProps/ctrlProp286.xml" ContentType="application/vnd.ms-excel.controlproperties+xml"/>
  <Override PartName="/xl/ctrlProps/ctrlProp287.xml" ContentType="application/vnd.ms-excel.controlproperties+xml"/>
  <Override PartName="/xl/ctrlProps/ctrlProp288.xml" ContentType="application/vnd.ms-excel.controlproperties+xml"/>
  <Override PartName="/xl/ctrlProps/ctrlProp289.xml" ContentType="application/vnd.ms-excel.controlproperties+xml"/>
  <Override PartName="/xl/ctrlProps/ctrlProp290.xml" ContentType="application/vnd.ms-excel.controlproperties+xml"/>
  <Override PartName="/xl/ctrlProps/ctrlProp291.xml" ContentType="application/vnd.ms-excel.controlproperties+xml"/>
  <Override PartName="/xl/ctrlProps/ctrlProp292.xml" ContentType="application/vnd.ms-excel.controlproperties+xml"/>
  <Override PartName="/xl/ctrlProps/ctrlProp293.xml" ContentType="application/vnd.ms-excel.controlproperties+xml"/>
  <Override PartName="/xl/ctrlProps/ctrlProp294.xml" ContentType="application/vnd.ms-excel.controlproperties+xml"/>
  <Override PartName="/xl/ctrlProps/ctrlProp295.xml" ContentType="application/vnd.ms-excel.controlproperties+xml"/>
  <Override PartName="/xl/ctrlProps/ctrlProp296.xml" ContentType="application/vnd.ms-excel.controlproperties+xml"/>
  <Override PartName="/xl/ctrlProps/ctrlProp297.xml" ContentType="application/vnd.ms-excel.controlproperties+xml"/>
  <Override PartName="/xl/ctrlProps/ctrlProp298.xml" ContentType="application/vnd.ms-excel.controlproperties+xml"/>
  <Override PartName="/xl/ctrlProps/ctrlProp299.xml" ContentType="application/vnd.ms-excel.controlproperties+xml"/>
  <Override PartName="/xl/ctrlProps/ctrlProp300.xml" ContentType="application/vnd.ms-excel.controlproperties+xml"/>
  <Override PartName="/xl/ctrlProps/ctrlProp301.xml" ContentType="application/vnd.ms-excel.controlproperties+xml"/>
  <Override PartName="/xl/ctrlProps/ctrlProp302.xml" ContentType="application/vnd.ms-excel.controlproperties+xml"/>
  <Override PartName="/xl/ctrlProps/ctrlProp303.xml" ContentType="application/vnd.ms-excel.controlproperties+xml"/>
  <Override PartName="/xl/ctrlProps/ctrlProp304.xml" ContentType="application/vnd.ms-excel.controlproperties+xml"/>
  <Override PartName="/xl/ctrlProps/ctrlProp305.xml" ContentType="application/vnd.ms-excel.controlproperties+xml"/>
  <Override PartName="/xl/ctrlProps/ctrlProp306.xml" ContentType="application/vnd.ms-excel.controlproperties+xml"/>
  <Override PartName="/xl/ctrlProps/ctrlProp307.xml" ContentType="application/vnd.ms-excel.controlproperties+xml"/>
  <Override PartName="/xl/ctrlProps/ctrlProp308.xml" ContentType="application/vnd.ms-excel.controlproperties+xml"/>
  <Override PartName="/xl/ctrlProps/ctrlProp309.xml" ContentType="application/vnd.ms-excel.controlproperties+xml"/>
  <Override PartName="/xl/ctrlProps/ctrlProp310.xml" ContentType="application/vnd.ms-excel.controlproperties+xml"/>
  <Override PartName="/xl/comments7.xml" ContentType="application/vnd.openxmlformats-officedocument.spreadsheetml.comments+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hisWorkbook"/>
  <mc:AlternateContent xmlns:mc="http://schemas.openxmlformats.org/markup-compatibility/2006">
    <mc:Choice Requires="x15">
      <x15ac:absPath xmlns:x15ac="http://schemas.microsoft.com/office/spreadsheetml/2010/11/ac" url="\\IBECSV2\jsbc研究開発部\05_CASBEE\4_★CASBEE評価マニュアル\2024年度版（R06）\建築（新築）英語版\評価ソフト\"/>
    </mc:Choice>
  </mc:AlternateContent>
  <xr:revisionPtr revIDLastSave="0" documentId="13_ncr:1_{8D1DB0C6-8FA4-4BA6-B05D-F30CB7F7DA2A}" xr6:coauthVersionLast="47" xr6:coauthVersionMax="47" xr10:uidLastSave="{00000000-0000-0000-0000-000000000000}"/>
  <bookViews>
    <workbookView xWindow="4965" yWindow="225" windowWidth="20910" windowHeight="15255" xr2:uid="{3E1B1D26-792B-476D-9B81-BF9868EF28B0}"/>
  </bookViews>
  <sheets>
    <sheet name="Main" sheetId="2" r:id="rId1"/>
    <sheet name="Result" sheetId="4" r:id="rId2"/>
    <sheet name="Result(2-3SDGs)" sheetId="24" r:id="rId3"/>
    <sheet name="Consider" sheetId="7" r:id="rId4"/>
    <sheet name="複合用途" sheetId="22" state="hidden" r:id="rId5"/>
    <sheet name="Score" sheetId="5" r:id="rId6"/>
    <sheet name="Factor" sheetId="3" r:id="rId7"/>
    <sheet name="Q1" sheetId="8" r:id="rId8"/>
    <sheet name="Q2" sheetId="9" r:id="rId9"/>
    <sheet name="Q3" sheetId="10" r:id="rId10"/>
    <sheet name="LR1" sheetId="11" r:id="rId11"/>
    <sheet name="ENcalc" sheetId="20" r:id="rId12"/>
    <sheet name="LR2" sheetId="13" r:id="rId13"/>
    <sheet name="LR3" sheetId="14" r:id="rId14"/>
    <sheet name="WLC" sheetId="6" r:id="rId15"/>
    <sheet name="SDGs" sheetId="23" r:id="rId16"/>
    <sheet name="Std." sheetId="16" r:id="rId17"/>
    <sheet name="Indiv." sheetId="17" r:id="rId18"/>
    <sheet name="GHG data" sheetId="15" r:id="rId19"/>
    <sheet name="Weight" sheetId="18" r:id="rId20"/>
    <sheet name="Credit" sheetId="19" r:id="rId21"/>
  </sheets>
  <definedNames>
    <definedName name="_xlnm._FilterDatabase" localSheetId="7" hidden="1">'Q1'!#REF!</definedName>
    <definedName name="_xlnm._FilterDatabase" localSheetId="15" hidden="1">SDGs!$A$5:$N$197</definedName>
    <definedName name="_Hlk205628339" localSheetId="18">'GHG data'!$N$120</definedName>
    <definedName name="_xlnm.Print_Area" localSheetId="20">Credit!$A$1:$S$37</definedName>
    <definedName name="_xlnm.Print_Area" localSheetId="11">ENcalc!$A$1:$Q$129</definedName>
    <definedName name="_xlnm.Print_Area" localSheetId="6">Factor!$A$1:$N$32</definedName>
    <definedName name="_xlnm.Print_Area" localSheetId="18">'GHG data'!$A$1:$S$266</definedName>
    <definedName name="_xlnm.Print_Area" localSheetId="17">Indiv.!$A$1:$F$94</definedName>
    <definedName name="_xlnm.Print_Area" localSheetId="10">'LR1'!$C$1:$P$202</definedName>
    <definedName name="_xlnm.Print_Area" localSheetId="12">'LR2'!$D$1:$P$296</definedName>
    <definedName name="_xlnm.Print_Area" localSheetId="13">'LR3'!$D$1:$P$277</definedName>
    <definedName name="_xlnm.Print_Area" localSheetId="0">Main!$A$1:$G$75</definedName>
    <definedName name="_xlnm.Print_Area" localSheetId="7">'Q1'!$D$1:$P$476</definedName>
    <definedName name="_xlnm.Print_Area" localSheetId="8">'Q2'!$C$1:$P$427</definedName>
    <definedName name="_xlnm.Print_Area" localSheetId="9">'Q3'!$1:$140</definedName>
    <definedName name="_xlnm.Print_Area" localSheetId="1">Result!$A$1:$P$98</definedName>
    <definedName name="_xlnm.Print_Area" localSheetId="2">'Result(2-3SDGs)'!$A$1:$P$98</definedName>
    <definedName name="_xlnm.Print_Area" localSheetId="5">Score!$A$1:$U$579</definedName>
    <definedName name="_xlnm.Print_Area" localSheetId="15">SDGs!$A$1:$O$197</definedName>
    <definedName name="_xlnm.Print_Area" localSheetId="19">Weight!$A$1:$AE$196</definedName>
    <definedName name="_xlnm.Print_Area" localSheetId="14">WLC!$B$1:$Z$197</definedName>
    <definedName name="_xlnm.Print_Area" localSheetId="4">複合用途!$A$1:$CD$194</definedName>
    <definedName name="_xlnm.Print_Titles" localSheetId="19">Weight!$5:$6</definedName>
    <definedName name="_xlnm.Print_Titles" localSheetId="4">複合用途!$5:$6</definedName>
    <definedName name="Z_047384A4_E844_4BB4_B522_1CE13C4699E4_.wvu.Cols" localSheetId="3" hidden="1">Consider!$H:$IW</definedName>
    <definedName name="Z_047384A4_E844_4BB4_B522_1CE13C4699E4_.wvu.Cols" localSheetId="20" hidden="1">Credit!$T:$IV</definedName>
    <definedName name="Z_047384A4_E844_4BB4_B522_1CE13C4699E4_.wvu.Cols" localSheetId="18" hidden="1">'GHG data'!$G:$H,'GHG data'!$T:$IW</definedName>
    <definedName name="Z_047384A4_E844_4BB4_B522_1CE13C4699E4_.wvu.Cols" localSheetId="17" hidden="1">Indiv.!$H:$IV</definedName>
    <definedName name="Z_047384A4_E844_4BB4_B522_1CE13C4699E4_.wvu.Cols" localSheetId="10" hidden="1">'LR1'!$Q:$IV</definedName>
    <definedName name="Z_047384A4_E844_4BB4_B522_1CE13C4699E4_.wvu.Cols" localSheetId="12" hidden="1">'LR2'!$Q:$IW</definedName>
    <definedName name="Z_047384A4_E844_4BB4_B522_1CE13C4699E4_.wvu.Cols" localSheetId="13" hidden="1">'LR3'!$Q:$IV</definedName>
    <definedName name="Z_047384A4_E844_4BB4_B522_1CE13C4699E4_.wvu.Cols" localSheetId="0" hidden="1">Main!$I:$IV</definedName>
    <definedName name="Z_047384A4_E844_4BB4_B522_1CE13C4699E4_.wvu.Cols" localSheetId="7" hidden="1">'Q1'!$Q:$IV</definedName>
    <definedName name="Z_047384A4_E844_4BB4_B522_1CE13C4699E4_.wvu.Cols" localSheetId="8" hidden="1">'Q2'!$Q:$IV</definedName>
    <definedName name="Z_047384A4_E844_4BB4_B522_1CE13C4699E4_.wvu.Cols" localSheetId="9" hidden="1">'Q3'!$Q:$IV</definedName>
    <definedName name="Z_047384A4_E844_4BB4_B522_1CE13C4699E4_.wvu.Cols" localSheetId="5" hidden="1">Score!#REF!,Score!$Z:$GU</definedName>
    <definedName name="Z_047384A4_E844_4BB4_B522_1CE13C4699E4_.wvu.Cols" localSheetId="16" hidden="1">Std.!$H:$IV</definedName>
    <definedName name="Z_047384A4_E844_4BB4_B522_1CE13C4699E4_.wvu.Cols" localSheetId="19" hidden="1">Weight!$Q:$Q,Weight!$AY:$AY,Weight!$BP:$BP,Weight!$CG:$IW</definedName>
    <definedName name="Z_047384A4_E844_4BB4_B522_1CE13C4699E4_.wvu.Cols" localSheetId="14" hidden="1">WLC!$Q:$IV</definedName>
    <definedName name="Z_047384A4_E844_4BB4_B522_1CE13C4699E4_.wvu.Cols" localSheetId="4" hidden="1">複合用途!$BP:$BP,複合用途!$CX:$CX,複合用途!$DO:$DO,複合用途!$EF:$KV</definedName>
    <definedName name="Z_047384A4_E844_4BB4_B522_1CE13C4699E4_.wvu.PrintArea" localSheetId="20" hidden="1">Credit!$A$1:$S$37</definedName>
    <definedName name="Z_047384A4_E844_4BB4_B522_1CE13C4699E4_.wvu.PrintArea" localSheetId="18" hidden="1">'GHG data'!$A$1:$S$266</definedName>
    <definedName name="Z_047384A4_E844_4BB4_B522_1CE13C4699E4_.wvu.PrintArea" localSheetId="10" hidden="1">'LR1'!$C$1:$P$166</definedName>
    <definedName name="Z_047384A4_E844_4BB4_B522_1CE13C4699E4_.wvu.PrintArea" localSheetId="12" hidden="1">'LR2'!$C$1:$P$229</definedName>
    <definedName name="Z_047384A4_E844_4BB4_B522_1CE13C4699E4_.wvu.PrintArea" localSheetId="13" hidden="1">'LR3'!$C$1:$P$273</definedName>
    <definedName name="Z_047384A4_E844_4BB4_B522_1CE13C4699E4_.wvu.PrintArea" localSheetId="0" hidden="1">Main!$A$1:$G$73</definedName>
    <definedName name="Z_047384A4_E844_4BB4_B522_1CE13C4699E4_.wvu.PrintArea" localSheetId="7" hidden="1">'Q1'!$A$1:$P$476</definedName>
    <definedName name="Z_047384A4_E844_4BB4_B522_1CE13C4699E4_.wvu.PrintArea" localSheetId="8" hidden="1">'Q2'!$C$1:$P$456</definedName>
    <definedName name="Z_047384A4_E844_4BB4_B522_1CE13C4699E4_.wvu.PrintArea" localSheetId="9" hidden="1">'Q3'!$C$1:$P$161</definedName>
    <definedName name="Z_047384A4_E844_4BB4_B522_1CE13C4699E4_.wvu.PrintArea" localSheetId="1" hidden="1">Result!$A$1:$P$98</definedName>
    <definedName name="Z_047384A4_E844_4BB4_B522_1CE13C4699E4_.wvu.PrintArea" localSheetId="2" hidden="1">'Result(2-3SDGs)'!$A$1:$P$98</definedName>
    <definedName name="Z_047384A4_E844_4BB4_B522_1CE13C4699E4_.wvu.PrintArea" localSheetId="5" hidden="1">Score!$A$1:$V$197</definedName>
    <definedName name="Z_047384A4_E844_4BB4_B522_1CE13C4699E4_.wvu.PrintArea" localSheetId="19" hidden="1">Weight!$A$1:$CD$196</definedName>
    <definedName name="Z_047384A4_E844_4BB4_B522_1CE13C4699E4_.wvu.PrintArea" localSheetId="14" hidden="1">WLC!$B$1:$Z$197</definedName>
    <definedName name="Z_047384A4_E844_4BB4_B522_1CE13C4699E4_.wvu.PrintArea" localSheetId="4" hidden="1">複合用途!$A$1:$EC$194</definedName>
    <definedName name="Z_047384A4_E844_4BB4_B522_1CE13C4699E4_.wvu.PrintTitles" localSheetId="19" hidden="1">Weight!$5:$6</definedName>
    <definedName name="Z_047384A4_E844_4BB4_B522_1CE13C4699E4_.wvu.PrintTitles" localSheetId="4" hidden="1">複合用途!$5:$6</definedName>
    <definedName name="Z_047384A4_E844_4BB4_B522_1CE13C4699E4_.wvu.Rows" localSheetId="3" hidden="1">Consider!$12:$65391,Consider!#REF!</definedName>
    <definedName name="Z_047384A4_E844_4BB4_B522_1CE13C4699E4_.wvu.Rows" localSheetId="20" hidden="1">Credit!$39:$65536,Credit!$38:$38</definedName>
    <definedName name="Z_047384A4_E844_4BB4_B522_1CE13C4699E4_.wvu.Rows" localSheetId="18" hidden="1">'GHG data'!$268:$65531,'GHG data'!$6:$6,'GHG data'!$10:$12,'GHG data'!$16:$18,'GHG data'!$22:$24,'GHG data'!$28:$30,'GHG data'!$34:$36,'GHG data'!$40:$42,'GHG data'!$46:$48,'GHG data'!$52:$54,'GHG data'!$58:$60,'GHG data'!$66:$67,'GHG data'!$69:$70,'GHG data'!$72:$73,'GHG data'!$75:$76,'GHG data'!$78:$79,'GHG data'!$81:$82,'GHG data'!$84:$85,'GHG data'!$87:$88,'GHG data'!$90:$91,'GHG data'!$167:$167,'GHG data'!#REF!,'GHG data'!#REF!,'GHG data'!#REF!,'GHG data'!$258:$258,'GHG data'!$267:$267</definedName>
    <definedName name="Z_047384A4_E844_4BB4_B522_1CE13C4699E4_.wvu.Rows" localSheetId="17" hidden="1">Indiv.!$77:$65540,Indiv.!$39:$39</definedName>
    <definedName name="Z_047384A4_E844_4BB4_B522_1CE13C4699E4_.wvu.Rows" localSheetId="10" hidden="1">'LR1'!$333:$65559,'LR1'!#REF!,'LR1'!#REF!,'LR1'!$167:$331</definedName>
    <definedName name="Z_047384A4_E844_4BB4_B522_1CE13C4699E4_.wvu.Rows" localSheetId="12" hidden="1">'LR2'!$525:$65501,'LR2'!#REF!,'LR2'!$230:$524</definedName>
    <definedName name="Z_047384A4_E844_4BB4_B522_1CE13C4699E4_.wvu.Rows" localSheetId="13" hidden="1">'LR3'!$274:$65570,'LR3'!#REF!,'LR3'!#REF!</definedName>
    <definedName name="Z_047384A4_E844_4BB4_B522_1CE13C4699E4_.wvu.Rows" localSheetId="0" hidden="1">Main!$111:$65539,Main!$92:$110</definedName>
    <definedName name="Z_047384A4_E844_4BB4_B522_1CE13C4699E4_.wvu.Rows" localSheetId="7" hidden="1">'Q1'!$677:$65570,'Q1'!#REF!,'Q1'!$477:$676</definedName>
    <definedName name="Z_047384A4_E844_4BB4_B522_1CE13C4699E4_.wvu.Rows" localSheetId="8" hidden="1">'Q2'!$461:$65568,'Q2'!$182:$202,'Q2'!$247:$247,'Q2'!#REF!,'Q2'!$424:$448</definedName>
    <definedName name="Z_047384A4_E844_4BB4_B522_1CE13C4699E4_.wvu.Rows" localSheetId="9" hidden="1">'Q3'!$289:$65565,'Q3'!$141:$287</definedName>
    <definedName name="Z_047384A4_E844_4BB4_B522_1CE13C4699E4_.wvu.Rows" localSheetId="1" hidden="1">Result!$216:$65537,Result!$18:$21,Result!$72:$93,Result!$99:$215</definedName>
    <definedName name="Z_047384A4_E844_4BB4_B522_1CE13C4699E4_.wvu.Rows" localSheetId="2" hidden="1">'Result(2-3SDGs)'!$216:$65537,'Result(2-3SDGs)'!$18:$21,'Result(2-3SDGs)'!$72:$93,'Result(2-3SDGs)'!$99:$215</definedName>
    <definedName name="Z_047384A4_E844_4BB4_B522_1CE13C4699E4_.wvu.Rows" localSheetId="5" hidden="1">Score!$198:$65557,Score!$33:$34,Score!$77:$77,Score!$90:$92,Score!$99:$99,Score!$120:$120,Score!$125:$126,Score!$130:$137</definedName>
    <definedName name="Z_047384A4_E844_4BB4_B522_1CE13C4699E4_.wvu.Rows" localSheetId="16" hidden="1">Std.!$77:$65540,Std.!$39:$39</definedName>
    <definedName name="Z_047384A4_E844_4BB4_B522_1CE13C4699E4_.wvu.Rows" localSheetId="19" hidden="1">Weight!$235:$65552,Weight!$33:$34,Weight!$99:$99,Weight!$120:$120,Weight!$137:$137,Weight!$198:$234</definedName>
    <definedName name="Z_047384A4_E844_4BB4_B522_1CE13C4699E4_.wvu.Rows" localSheetId="14" hidden="1">WLC!$193:$65557,WLC!$26:$98,WLC!$157:$192</definedName>
    <definedName name="Z_047384A4_E844_4BB4_B522_1CE13C4699E4_.wvu.Rows" localSheetId="4" hidden="1">複合用途!$233:$65550,複合用途!$33:$34,複合用途!$99:$99,複合用途!$120:$120,複合用途!$137:$137,複合用途!$196:$232</definedName>
    <definedName name="図形">INDIRECT(Result!$AL$24)</definedName>
    <definedName name="非表示">Result!$AP$24</definedName>
    <definedName name="表示">Result!$AU$24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23" i="16" l="1"/>
  <c r="E29" i="16"/>
  <c r="E28" i="16"/>
  <c r="E27" i="16"/>
  <c r="E26" i="16"/>
  <c r="E25" i="16"/>
  <c r="E24" i="16"/>
  <c r="E13" i="16"/>
  <c r="L241" i="15" l="1"/>
  <c r="N241" i="15" s="1"/>
  <c r="L242" i="15"/>
  <c r="N242" i="15" s="1"/>
  <c r="L243" i="15"/>
  <c r="N243" i="15" s="1"/>
  <c r="L244" i="15"/>
  <c r="N245" i="15" s="1"/>
  <c r="L245" i="15"/>
  <c r="L246" i="15"/>
  <c r="N246" i="15" s="1"/>
  <c r="L247" i="15"/>
  <c r="N247" i="15" s="1"/>
  <c r="L248" i="15"/>
  <c r="N248" i="15" s="1"/>
  <c r="L249" i="15"/>
  <c r="N249" i="15" s="1"/>
  <c r="L250" i="15"/>
  <c r="N251" i="15" s="1"/>
  <c r="L251" i="15"/>
  <c r="L252" i="15"/>
  <c r="N252" i="15" s="1"/>
  <c r="L253" i="15"/>
  <c r="N253" i="15" s="1"/>
  <c r="L254" i="15"/>
  <c r="N254" i="15" s="1"/>
  <c r="L255" i="15"/>
  <c r="N255" i="15" s="1"/>
  <c r="L203" i="15"/>
  <c r="L204" i="15"/>
  <c r="N204" i="15" s="1"/>
  <c r="L205" i="15"/>
  <c r="N205" i="15" s="1"/>
  <c r="L206" i="15"/>
  <c r="N206" i="15" s="1"/>
  <c r="L207" i="15"/>
  <c r="N207" i="15" s="1"/>
  <c r="L208" i="15"/>
  <c r="N209" i="15" s="1"/>
  <c r="L209" i="15"/>
  <c r="L210" i="15"/>
  <c r="N210" i="15" s="1"/>
  <c r="L211" i="15"/>
  <c r="N211" i="15" s="1"/>
  <c r="L212" i="15"/>
  <c r="N212" i="15" s="1"/>
  <c r="L213" i="15"/>
  <c r="N213" i="15" s="1"/>
  <c r="L214" i="15"/>
  <c r="N215" i="15" s="1"/>
  <c r="L215" i="15"/>
  <c r="L216" i="15"/>
  <c r="N216" i="15" s="1"/>
  <c r="L217" i="15"/>
  <c r="N217" i="15" s="1"/>
  <c r="L218" i="15"/>
  <c r="N218" i="15" s="1"/>
  <c r="L219" i="15"/>
  <c r="N219" i="15" s="1"/>
  <c r="L221" i="15"/>
  <c r="L222" i="15"/>
  <c r="N222" i="15" s="1"/>
  <c r="L225" i="15"/>
  <c r="N225" i="15" s="1"/>
  <c r="L226" i="15"/>
  <c r="N227" i="15" s="1"/>
  <c r="L227" i="15"/>
  <c r="L228" i="15"/>
  <c r="N228" i="15" s="1"/>
  <c r="L229" i="15"/>
  <c r="N229" i="15" s="1"/>
  <c r="L230" i="15"/>
  <c r="N230" i="15" s="1"/>
  <c r="L231" i="15"/>
  <c r="N231" i="15" s="1"/>
  <c r="L232" i="15"/>
  <c r="N233" i="15" s="1"/>
  <c r="L233" i="15"/>
  <c r="L234" i="15"/>
  <c r="N234" i="15" s="1"/>
  <c r="L235" i="15"/>
  <c r="N235" i="15" s="1"/>
  <c r="L236" i="15"/>
  <c r="N236" i="15" s="1"/>
  <c r="L237" i="15"/>
  <c r="N237" i="15" s="1"/>
  <c r="L238" i="15"/>
  <c r="N239" i="15" s="1"/>
  <c r="L239" i="15"/>
  <c r="L240" i="15"/>
  <c r="N240" i="15" s="1"/>
  <c r="I203" i="15"/>
  <c r="I204" i="15"/>
  <c r="K204" i="15" s="1"/>
  <c r="I205" i="15"/>
  <c r="K205" i="15" s="1"/>
  <c r="I206" i="15"/>
  <c r="K206" i="15" s="1"/>
  <c r="I207" i="15"/>
  <c r="I208" i="15"/>
  <c r="K209" i="15" s="1"/>
  <c r="I209" i="15"/>
  <c r="I210" i="15"/>
  <c r="K210" i="15" s="1"/>
  <c r="I211" i="15"/>
  <c r="K211" i="15" s="1"/>
  <c r="I212" i="15"/>
  <c r="K212" i="15" s="1"/>
  <c r="I213" i="15"/>
  <c r="K213" i="15" s="1"/>
  <c r="I214" i="15"/>
  <c r="K215" i="15" s="1"/>
  <c r="I215" i="15"/>
  <c r="I216" i="15"/>
  <c r="K216" i="15" s="1"/>
  <c r="I217" i="15"/>
  <c r="K217" i="15" s="1"/>
  <c r="I218" i="15"/>
  <c r="K218" i="15" s="1"/>
  <c r="I219" i="15"/>
  <c r="K219" i="15" s="1"/>
  <c r="I220" i="15"/>
  <c r="K221" i="15" s="1"/>
  <c r="I222" i="15"/>
  <c r="K222" i="15" s="1"/>
  <c r="I224" i="15"/>
  <c r="K224" i="15" s="1"/>
  <c r="I226" i="15"/>
  <c r="K227" i="15" s="1"/>
  <c r="I227" i="15"/>
  <c r="I228" i="15"/>
  <c r="K228" i="15" s="1"/>
  <c r="I229" i="15"/>
  <c r="K229" i="15" s="1"/>
  <c r="I230" i="15"/>
  <c r="K230" i="15" s="1"/>
  <c r="I231" i="15"/>
  <c r="K231" i="15" s="1"/>
  <c r="I232" i="15"/>
  <c r="K233" i="15" s="1"/>
  <c r="I233" i="15"/>
  <c r="I234" i="15"/>
  <c r="K234" i="15" s="1"/>
  <c r="I235" i="15"/>
  <c r="K235" i="15" s="1"/>
  <c r="I236" i="15"/>
  <c r="K236" i="15" s="1"/>
  <c r="I237" i="15"/>
  <c r="K237" i="15" s="1"/>
  <c r="I238" i="15"/>
  <c r="K239" i="15" s="1"/>
  <c r="I239" i="15"/>
  <c r="I240" i="15"/>
  <c r="K240" i="15" s="1"/>
  <c r="I241" i="15"/>
  <c r="K241" i="15" s="1"/>
  <c r="I242" i="15"/>
  <c r="K242" i="15" s="1"/>
  <c r="I243" i="15"/>
  <c r="K243" i="15" s="1"/>
  <c r="I244" i="15"/>
  <c r="K245" i="15" s="1"/>
  <c r="I245" i="15"/>
  <c r="I246" i="15"/>
  <c r="K246" i="15" s="1"/>
  <c r="I247" i="15"/>
  <c r="K247" i="15" s="1"/>
  <c r="I248" i="15"/>
  <c r="K248" i="15" s="1"/>
  <c r="I249" i="15"/>
  <c r="K249" i="15" s="1"/>
  <c r="I250" i="15"/>
  <c r="K251" i="15" s="1"/>
  <c r="I251" i="15"/>
  <c r="I252" i="15"/>
  <c r="K252" i="15" s="1"/>
  <c r="I253" i="15"/>
  <c r="K253" i="15" s="1"/>
  <c r="I254" i="15"/>
  <c r="K254" i="15" s="1"/>
  <c r="I255" i="15"/>
  <c r="K255" i="15" s="1"/>
  <c r="O203" i="15"/>
  <c r="O204" i="15"/>
  <c r="Q204" i="15" s="1"/>
  <c r="O205" i="15"/>
  <c r="Q205" i="15" s="1"/>
  <c r="O206" i="15"/>
  <c r="Q206" i="15" s="1"/>
  <c r="O207" i="15"/>
  <c r="Q207" i="15" s="1"/>
  <c r="O208" i="15"/>
  <c r="Q209" i="15" s="1"/>
  <c r="O209" i="15"/>
  <c r="O210" i="15"/>
  <c r="Q210" i="15" s="1"/>
  <c r="O211" i="15"/>
  <c r="Q211" i="15" s="1"/>
  <c r="O212" i="15"/>
  <c r="Q212" i="15" s="1"/>
  <c r="O213" i="15"/>
  <c r="Q213" i="15" s="1"/>
  <c r="O214" i="15"/>
  <c r="Q215" i="15" s="1"/>
  <c r="O215" i="15"/>
  <c r="O216" i="15"/>
  <c r="Q216" i="15" s="1"/>
  <c r="O217" i="15"/>
  <c r="Q217" i="15" s="1"/>
  <c r="O218" i="15"/>
  <c r="Q218" i="15" s="1"/>
  <c r="O219" i="15"/>
  <c r="Q219" i="15" s="1"/>
  <c r="O222" i="15"/>
  <c r="Q222" i="15" s="1"/>
  <c r="O223" i="15"/>
  <c r="Q223" i="15" s="1"/>
  <c r="O226" i="15"/>
  <c r="Q227" i="15" s="1"/>
  <c r="O227" i="15"/>
  <c r="O228" i="15"/>
  <c r="Q228" i="15" s="1"/>
  <c r="O229" i="15"/>
  <c r="Q229" i="15" s="1"/>
  <c r="O230" i="15"/>
  <c r="Q230" i="15" s="1"/>
  <c r="O231" i="15"/>
  <c r="Q231" i="15" s="1"/>
  <c r="O232" i="15"/>
  <c r="Q233" i="15" s="1"/>
  <c r="O233" i="15"/>
  <c r="O234" i="15"/>
  <c r="Q234" i="15" s="1"/>
  <c r="O235" i="15"/>
  <c r="Q235" i="15" s="1"/>
  <c r="O236" i="15"/>
  <c r="Q236" i="15" s="1"/>
  <c r="O237" i="15"/>
  <c r="Q237" i="15" s="1"/>
  <c r="O238" i="15"/>
  <c r="Q239" i="15" s="1"/>
  <c r="O239" i="15"/>
  <c r="O240" i="15"/>
  <c r="Q240" i="15" s="1"/>
  <c r="O241" i="15"/>
  <c r="Q241" i="15" s="1"/>
  <c r="O242" i="15"/>
  <c r="Q242" i="15" s="1"/>
  <c r="O243" i="15"/>
  <c r="Q243" i="15" s="1"/>
  <c r="O244" i="15"/>
  <c r="Q245" i="15" s="1"/>
  <c r="O245" i="15"/>
  <c r="O246" i="15"/>
  <c r="Q246" i="15" s="1"/>
  <c r="O247" i="15"/>
  <c r="Q247" i="15" s="1"/>
  <c r="O248" i="15"/>
  <c r="Q248" i="15" s="1"/>
  <c r="O249" i="15"/>
  <c r="Q249" i="15" s="1"/>
  <c r="O250" i="15"/>
  <c r="Q251" i="15" s="1"/>
  <c r="O251" i="15"/>
  <c r="O252" i="15"/>
  <c r="Q252" i="15" s="1"/>
  <c r="O253" i="15"/>
  <c r="Q253" i="15" s="1"/>
  <c r="O254" i="15"/>
  <c r="Q254" i="15" s="1"/>
  <c r="O255" i="15"/>
  <c r="Q255" i="15" s="1"/>
  <c r="O202" i="15"/>
  <c r="Q203" i="15" s="1"/>
  <c r="L202" i="15"/>
  <c r="N203" i="15" s="1"/>
  <c r="I202" i="15"/>
  <c r="K203" i="15" s="1"/>
  <c r="W220" i="15"/>
  <c r="L220" i="15" s="1"/>
  <c r="N221" i="15" s="1"/>
  <c r="X220" i="15"/>
  <c r="W221" i="15"/>
  <c r="X221" i="15"/>
  <c r="I221" i="15" s="1"/>
  <c r="W222" i="15"/>
  <c r="X222" i="15"/>
  <c r="W223" i="15"/>
  <c r="L223" i="15" s="1"/>
  <c r="N223" i="15" s="1"/>
  <c r="X223" i="15"/>
  <c r="I223" i="15" s="1"/>
  <c r="K223" i="15" s="1"/>
  <c r="W224" i="15"/>
  <c r="L224" i="15" s="1"/>
  <c r="N224" i="15" s="1"/>
  <c r="X224" i="15"/>
  <c r="W225" i="15"/>
  <c r="X225" i="15"/>
  <c r="I225" i="15" s="1"/>
  <c r="K225" i="15" s="1"/>
  <c r="V221" i="15"/>
  <c r="O221" i="15" s="1"/>
  <c r="V222" i="15"/>
  <c r="V223" i="15"/>
  <c r="V224" i="15"/>
  <c r="O224" i="15" s="1"/>
  <c r="Q224" i="15" s="1"/>
  <c r="V225" i="15"/>
  <c r="O225" i="15" s="1"/>
  <c r="Q225" i="15" s="1"/>
  <c r="V220" i="15"/>
  <c r="O220" i="15" s="1"/>
  <c r="Q221" i="15" s="1"/>
  <c r="T250" i="15"/>
  <c r="T244" i="15"/>
  <c r="T238" i="15"/>
  <c r="T232" i="15"/>
  <c r="T226" i="15"/>
  <c r="T220" i="15"/>
  <c r="T214" i="15"/>
  <c r="T208" i="15"/>
  <c r="T202" i="15"/>
  <c r="U207" i="15"/>
  <c r="U203" i="15"/>
  <c r="U204" i="15"/>
  <c r="U205" i="15"/>
  <c r="U206" i="15"/>
  <c r="U202" i="15"/>
  <c r="L196" i="18" l="1"/>
  <c r="L195" i="18"/>
  <c r="L193" i="18"/>
  <c r="L192" i="18"/>
  <c r="L191" i="18"/>
  <c r="L189" i="18"/>
  <c r="L188" i="18"/>
  <c r="L187" i="18"/>
  <c r="L184" i="18"/>
  <c r="L183" i="18"/>
  <c r="L182" i="18"/>
  <c r="L181" i="18"/>
  <c r="L180" i="18"/>
  <c r="L178" i="18"/>
  <c r="L177" i="18"/>
  <c r="L175" i="18"/>
  <c r="L173" i="18"/>
  <c r="L172" i="18"/>
  <c r="L171" i="18"/>
  <c r="L169" i="18"/>
  <c r="L167" i="18"/>
  <c r="L166" i="18"/>
  <c r="L165" i="18"/>
  <c r="L164" i="18"/>
  <c r="L163" i="18"/>
  <c r="L162" i="18"/>
  <c r="L161" i="18"/>
  <c r="L160" i="18"/>
  <c r="L159" i="18"/>
  <c r="L158" i="18"/>
  <c r="L157" i="18"/>
  <c r="L156" i="18"/>
  <c r="L155" i="18"/>
  <c r="L154" i="18"/>
  <c r="L152" i="18"/>
  <c r="L151" i="18"/>
  <c r="L149" i="18"/>
  <c r="L146" i="18"/>
  <c r="L145" i="18"/>
  <c r="L143" i="18"/>
  <c r="L142" i="18"/>
  <c r="L141" i="18"/>
  <c r="L140" i="18"/>
  <c r="L137" i="18"/>
  <c r="L136" i="18"/>
  <c r="L135" i="18"/>
  <c r="L134" i="18"/>
  <c r="L133" i="18"/>
  <c r="L132" i="18"/>
  <c r="L131" i="18"/>
  <c r="L130" i="18"/>
  <c r="L129" i="18"/>
  <c r="L128" i="18"/>
  <c r="L127" i="18"/>
  <c r="L126" i="18"/>
  <c r="L125" i="18"/>
  <c r="L124" i="18"/>
  <c r="L123" i="18"/>
  <c r="L121" i="18"/>
  <c r="L119" i="18"/>
  <c r="L118" i="18"/>
  <c r="L116" i="18"/>
  <c r="L115" i="18"/>
  <c r="L114" i="18"/>
  <c r="L113" i="18"/>
  <c r="L111" i="18"/>
  <c r="L110" i="18"/>
  <c r="L109" i="18"/>
  <c r="L108" i="18"/>
  <c r="L107" i="18"/>
  <c r="L106" i="18"/>
  <c r="L98" i="18"/>
  <c r="L97" i="18"/>
  <c r="L96" i="18"/>
  <c r="L95" i="18"/>
  <c r="L94" i="18"/>
  <c r="L92" i="18"/>
  <c r="L91" i="18"/>
  <c r="L90" i="18"/>
  <c r="L88" i="18"/>
  <c r="L87" i="18"/>
  <c r="L86" i="18"/>
  <c r="L85" i="18"/>
  <c r="L84" i="18"/>
  <c r="L83" i="18"/>
  <c r="L81" i="18"/>
  <c r="L80" i="18"/>
  <c r="L77" i="18"/>
  <c r="L76" i="18"/>
  <c r="L75" i="18"/>
  <c r="L73" i="18"/>
  <c r="L71" i="18"/>
  <c r="L70" i="18"/>
  <c r="L67" i="18"/>
  <c r="L61" i="18"/>
  <c r="L60" i="18"/>
  <c r="L46" i="18"/>
  <c r="L45" i="18"/>
  <c r="L43" i="18"/>
  <c r="L34" i="18"/>
  <c r="L33" i="18"/>
  <c r="L32" i="18"/>
  <c r="L29" i="18"/>
  <c r="L28" i="18"/>
  <c r="L25" i="18"/>
  <c r="L23" i="18"/>
  <c r="L12" i="18"/>
  <c r="K184" i="18"/>
  <c r="K160" i="18"/>
  <c r="K137" i="18"/>
  <c r="K136" i="18"/>
  <c r="K135" i="18"/>
  <c r="K133" i="18"/>
  <c r="K131" i="18"/>
  <c r="K130" i="18"/>
  <c r="K128" i="18"/>
  <c r="K127" i="18"/>
  <c r="K126" i="18"/>
  <c r="K125" i="18"/>
  <c r="K115" i="18"/>
  <c r="K114" i="18"/>
  <c r="K73" i="18"/>
  <c r="K70" i="18"/>
  <c r="K46" i="18"/>
  <c r="K45" i="18"/>
  <c r="K38" i="18"/>
  <c r="K32" i="18"/>
  <c r="K27" i="18"/>
  <c r="K12" i="18"/>
  <c r="L194" i="23" l="1"/>
  <c r="L193" i="23"/>
  <c r="L192" i="23"/>
  <c r="L191" i="23"/>
  <c r="L188" i="23"/>
  <c r="L187" i="23"/>
  <c r="L186" i="23"/>
  <c r="L183" i="23"/>
  <c r="L182" i="23"/>
  <c r="L181" i="23"/>
  <c r="L180" i="23"/>
  <c r="L179" i="23"/>
  <c r="L178" i="23"/>
  <c r="L176" i="23"/>
  <c r="L175" i="23"/>
  <c r="L174" i="23"/>
  <c r="L173" i="23"/>
  <c r="L171" i="23"/>
  <c r="L170" i="23"/>
  <c r="L168" i="23"/>
  <c r="L167" i="23"/>
  <c r="L166" i="23"/>
  <c r="L165" i="23"/>
  <c r="L164" i="23"/>
  <c r="L163" i="23"/>
  <c r="L160" i="23"/>
  <c r="L159" i="23"/>
  <c r="L158" i="23"/>
  <c r="L157" i="23"/>
  <c r="L156" i="23"/>
  <c r="L155" i="23"/>
  <c r="L147" i="23"/>
  <c r="L146" i="23"/>
  <c r="L145" i="23"/>
  <c r="L144" i="23"/>
  <c r="L143" i="23"/>
  <c r="L142" i="23"/>
  <c r="L141" i="23"/>
  <c r="L140" i="23"/>
  <c r="L139" i="23"/>
  <c r="L138" i="23"/>
  <c r="L135" i="23"/>
  <c r="L134" i="23"/>
  <c r="L132" i="23"/>
  <c r="L131" i="23"/>
  <c r="L130" i="23"/>
  <c r="L128" i="23"/>
  <c r="L125" i="23"/>
  <c r="L121" i="23"/>
  <c r="L120" i="23"/>
  <c r="L119" i="23"/>
  <c r="L118" i="23"/>
  <c r="L117" i="23"/>
  <c r="L116" i="23"/>
  <c r="L115" i="23"/>
  <c r="L114" i="23"/>
  <c r="L112" i="23"/>
  <c r="L96" i="23"/>
  <c r="L95" i="23"/>
  <c r="L72" i="23"/>
  <c r="L71" i="23"/>
  <c r="L70" i="23"/>
  <c r="L69" i="23"/>
  <c r="L68" i="23"/>
  <c r="L67" i="23"/>
  <c r="L54" i="23"/>
  <c r="L45" i="23"/>
  <c r="L39" i="23"/>
  <c r="L38" i="23"/>
  <c r="L37" i="23"/>
  <c r="L36" i="23"/>
  <c r="L35" i="23"/>
  <c r="L34" i="23"/>
  <c r="N69" i="14" l="1"/>
  <c r="G94" i="13"/>
  <c r="I78" i="13"/>
  <c r="G97" i="13"/>
  <c r="G96" i="13"/>
  <c r="G95" i="13"/>
  <c r="K93" i="13"/>
  <c r="N124" i="10" l="1"/>
  <c r="M80" i="9" l="1"/>
  <c r="M79" i="9"/>
  <c r="M78" i="9"/>
  <c r="M77" i="9"/>
  <c r="L148" i="8"/>
  <c r="L147" i="8"/>
  <c r="L146" i="8"/>
  <c r="L145" i="8"/>
  <c r="L144" i="8"/>
  <c r="L69" i="4" l="1"/>
  <c r="H69" i="4"/>
  <c r="B69" i="4"/>
  <c r="L67" i="4"/>
  <c r="H67" i="4"/>
  <c r="B67" i="4"/>
  <c r="L65" i="4"/>
  <c r="B65" i="4"/>
  <c r="J114" i="10"/>
  <c r="L69" i="20"/>
  <c r="AK8" i="5" l="1"/>
  <c r="O61" i="10" l="1"/>
  <c r="P578" i="5" l="1"/>
  <c r="M578" i="5"/>
  <c r="K578" i="5"/>
  <c r="R577" i="5"/>
  <c r="M577" i="5"/>
  <c r="I577" i="5"/>
  <c r="N576" i="5"/>
  <c r="K347" i="9"/>
  <c r="K280" i="9"/>
  <c r="K47" i="14"/>
  <c r="G55" i="14"/>
  <c r="H57" i="14"/>
  <c r="H55" i="14"/>
  <c r="O50" i="14"/>
  <c r="O54" i="14"/>
  <c r="R578" i="5" s="1"/>
  <c r="M52" i="14" l="1"/>
  <c r="M50" i="14"/>
  <c r="M54" i="14"/>
  <c r="J54" i="14"/>
  <c r="I578" i="5" s="1"/>
  <c r="I54" i="14"/>
  <c r="J50" i="14"/>
  <c r="I50" i="14"/>
  <c r="F53" i="14"/>
  <c r="Q576" i="5" s="1"/>
  <c r="F51" i="14"/>
  <c r="I576" i="5" s="1"/>
  <c r="F50" i="14"/>
  <c r="L557" i="5"/>
  <c r="I557" i="5"/>
  <c r="I537" i="5"/>
  <c r="P536" i="5"/>
  <c r="M536" i="5"/>
  <c r="I536" i="5"/>
  <c r="I530" i="5"/>
  <c r="O510" i="5"/>
  <c r="Q510" i="5"/>
  <c r="S510" i="5"/>
  <c r="R506" i="5"/>
  <c r="R505" i="5"/>
  <c r="P506" i="5"/>
  <c r="P505" i="5"/>
  <c r="I505" i="5"/>
  <c r="L504" i="5"/>
  <c r="S500" i="5"/>
  <c r="O500" i="5"/>
  <c r="K500" i="5"/>
  <c r="I500" i="5"/>
  <c r="N494" i="5"/>
  <c r="I494" i="5"/>
  <c r="L485" i="5"/>
  <c r="L483" i="5"/>
  <c r="L465" i="5"/>
  <c r="L464" i="5"/>
  <c r="K418" i="5"/>
  <c r="I418" i="5"/>
  <c r="I485" i="5"/>
  <c r="I484" i="5"/>
  <c r="I483" i="5"/>
  <c r="I465" i="5"/>
  <c r="I464" i="5"/>
  <c r="N452" i="5"/>
  <c r="O452" i="5"/>
  <c r="I452" i="5"/>
  <c r="I450" i="5"/>
  <c r="I447" i="5"/>
  <c r="M248" i="9" l="1"/>
  <c r="L469" i="5" s="1"/>
  <c r="H237" i="9"/>
  <c r="L466" i="5" s="1"/>
  <c r="K248" i="9"/>
  <c r="I469" i="5" s="1"/>
  <c r="F237" i="9"/>
  <c r="I466" i="5" s="1"/>
  <c r="G248" i="9"/>
  <c r="I237" i="9"/>
  <c r="L237" i="9" s="1"/>
  <c r="K92" i="9"/>
  <c r="I446" i="5"/>
  <c r="R446" i="5"/>
  <c r="P446" i="5"/>
  <c r="M446" i="5"/>
  <c r="I437" i="5"/>
  <c r="I407" i="5"/>
  <c r="P407" i="5"/>
  <c r="M407" i="5"/>
  <c r="J407" i="5"/>
  <c r="I405" i="5"/>
  <c r="R406" i="5"/>
  <c r="P406" i="5"/>
  <c r="N406" i="5"/>
  <c r="L406" i="5"/>
  <c r="G126" i="13" l="1"/>
  <c r="F323" i="8" l="1"/>
  <c r="F322" i="8"/>
  <c r="F321" i="8"/>
  <c r="F320" i="8"/>
  <c r="F319" i="8"/>
  <c r="O9" i="10"/>
  <c r="O9" i="11"/>
  <c r="O9" i="13"/>
  <c r="O9" i="14"/>
  <c r="O9" i="9"/>
  <c r="N1" i="10"/>
  <c r="N1" i="11"/>
  <c r="N1" i="13"/>
  <c r="N1" i="14"/>
  <c r="N1" i="9"/>
  <c r="E102" i="20"/>
  <c r="E101" i="20"/>
  <c r="E100" i="20"/>
  <c r="F99" i="20"/>
  <c r="F98" i="20"/>
  <c r="F97" i="20"/>
  <c r="E97" i="20"/>
  <c r="E96" i="20"/>
  <c r="F95" i="20"/>
  <c r="F94" i="20"/>
  <c r="F93" i="20"/>
  <c r="F92" i="20"/>
  <c r="E92" i="20"/>
  <c r="F91" i="20"/>
  <c r="F90" i="20"/>
  <c r="G89" i="20"/>
  <c r="G88" i="20"/>
  <c r="F88" i="20"/>
  <c r="F87" i="20"/>
  <c r="E87" i="20"/>
  <c r="F86" i="20"/>
  <c r="F85" i="20"/>
  <c r="F84" i="20"/>
  <c r="E84" i="20"/>
  <c r="E101" i="6"/>
  <c r="E123" i="6" s="1"/>
  <c r="D21" i="6"/>
  <c r="E11" i="6"/>
  <c r="E112" i="6" s="1"/>
  <c r="E12" i="6"/>
  <c r="E113" i="6" s="1"/>
  <c r="E13" i="6"/>
  <c r="E114" i="6" s="1"/>
  <c r="E14" i="6"/>
  <c r="E115" i="6" s="1"/>
  <c r="E15" i="6"/>
  <c r="E116" i="6" s="1"/>
  <c r="E16" i="6"/>
  <c r="E117" i="6" s="1"/>
  <c r="E17" i="6"/>
  <c r="E118" i="6" s="1"/>
  <c r="E18" i="6"/>
  <c r="E119" i="6" s="1"/>
  <c r="E10" i="6"/>
  <c r="E111" i="6" s="1"/>
  <c r="O9" i="6"/>
  <c r="O110" i="6"/>
  <c r="O151" i="6"/>
  <c r="E141" i="6"/>
  <c r="E142" i="6"/>
  <c r="E143" i="6"/>
  <c r="E140" i="6"/>
  <c r="E147" i="6"/>
  <c r="E139" i="6"/>
  <c r="E102" i="6"/>
  <c r="E124" i="6" s="1"/>
  <c r="D22" i="6"/>
  <c r="D9" i="6"/>
  <c r="D110" i="6" s="1"/>
  <c r="E27" i="6"/>
  <c r="J37" i="6"/>
  <c r="I37" i="6"/>
  <c r="C37" i="6"/>
  <c r="B5" i="17"/>
  <c r="F4" i="17"/>
  <c r="E4" i="17"/>
  <c r="D4" i="17"/>
  <c r="C4" i="17"/>
  <c r="B4" i="17"/>
  <c r="B40" i="17"/>
  <c r="B54" i="17"/>
  <c r="B55" i="17"/>
  <c r="C45" i="16" l="1"/>
  <c r="C45" i="17" s="1"/>
  <c r="C44" i="16"/>
  <c r="C43" i="16"/>
  <c r="C43" i="17" s="1"/>
  <c r="C41" i="16"/>
  <c r="C41" i="17" s="1"/>
  <c r="C40" i="16"/>
  <c r="C40" i="17" s="1"/>
  <c r="C39" i="16"/>
  <c r="C39" i="17" s="1"/>
  <c r="C38" i="16"/>
  <c r="C38" i="17" s="1"/>
  <c r="C25" i="17"/>
  <c r="C23" i="17"/>
  <c r="E28" i="6"/>
  <c r="E29" i="6"/>
  <c r="E30" i="6"/>
  <c r="E31" i="6"/>
  <c r="E32" i="6"/>
  <c r="E33" i="6"/>
  <c r="E34" i="6"/>
  <c r="E26" i="6"/>
  <c r="D86" i="6"/>
  <c r="D80" i="6"/>
  <c r="D74" i="6"/>
  <c r="D68" i="6"/>
  <c r="D62" i="6"/>
  <c r="D56" i="6"/>
  <c r="D50" i="6"/>
  <c r="D44" i="6"/>
  <c r="D38" i="6"/>
  <c r="F2" i="17"/>
  <c r="D58" i="17"/>
  <c r="D57" i="17"/>
  <c r="D56" i="17"/>
  <c r="D55" i="17"/>
  <c r="D54" i="17"/>
  <c r="D53" i="17"/>
  <c r="D52" i="17"/>
  <c r="D51" i="17"/>
  <c r="D50" i="17"/>
  <c r="B75" i="17"/>
  <c r="B74" i="17"/>
  <c r="B73" i="17"/>
  <c r="B72" i="17"/>
  <c r="C70" i="17"/>
  <c r="C69" i="17"/>
  <c r="C68" i="17"/>
  <c r="C67" i="17"/>
  <c r="C66" i="17"/>
  <c r="C65" i="17"/>
  <c r="C64" i="17"/>
  <c r="C63" i="17"/>
  <c r="C62" i="17"/>
  <c r="C61" i="17"/>
  <c r="C60" i="17"/>
  <c r="C55" i="17"/>
  <c r="C54" i="17"/>
  <c r="C49" i="17"/>
  <c r="C48" i="17"/>
  <c r="C47" i="17"/>
  <c r="C46" i="17"/>
  <c r="C44" i="17"/>
  <c r="C42" i="17"/>
  <c r="B39" i="17"/>
  <c r="B38" i="17"/>
  <c r="C37" i="17"/>
  <c r="B37" i="17"/>
  <c r="C36" i="17"/>
  <c r="B36" i="17"/>
  <c r="C35" i="17"/>
  <c r="C34" i="17"/>
  <c r="B34" i="17"/>
  <c r="C33" i="17"/>
  <c r="B33" i="17"/>
  <c r="C32" i="17"/>
  <c r="B32" i="17"/>
  <c r="C31" i="17"/>
  <c r="B31" i="17"/>
  <c r="C30" i="17"/>
  <c r="B30" i="17"/>
  <c r="C29" i="17"/>
  <c r="B29" i="17"/>
  <c r="C28" i="17"/>
  <c r="B28" i="17"/>
  <c r="C27" i="17"/>
  <c r="B27" i="17"/>
  <c r="C26" i="17"/>
  <c r="B26" i="17"/>
  <c r="B25" i="17"/>
  <c r="C24" i="17"/>
  <c r="B24" i="17"/>
  <c r="B23" i="17"/>
  <c r="C22" i="17"/>
  <c r="B22" i="17"/>
  <c r="C21" i="17"/>
  <c r="B21" i="17"/>
  <c r="B20" i="17"/>
  <c r="B19" i="17"/>
  <c r="B18" i="17"/>
  <c r="B17" i="17"/>
  <c r="B16" i="17"/>
  <c r="B15" i="17"/>
  <c r="C14" i="17"/>
  <c r="B14" i="17"/>
  <c r="C13" i="17"/>
  <c r="B13" i="17"/>
  <c r="C12" i="17"/>
  <c r="B12" i="17"/>
  <c r="C11" i="17"/>
  <c r="B11" i="17"/>
  <c r="C10" i="17"/>
  <c r="C9" i="17"/>
  <c r="C8" i="17"/>
  <c r="B8" i="17"/>
  <c r="C7" i="17"/>
  <c r="C6" i="17"/>
  <c r="C5" i="17"/>
  <c r="C23" i="3" l="1"/>
  <c r="C25" i="3" s="1"/>
  <c r="D9" i="3"/>
  <c r="D16" i="3" s="1"/>
  <c r="D20" i="3" s="1"/>
  <c r="D24" i="3" s="1"/>
  <c r="D28" i="3" s="1"/>
  <c r="D13" i="24" l="1"/>
  <c r="J12" i="24"/>
  <c r="J12" i="4"/>
  <c r="L65" i="24"/>
  <c r="B65" i="24"/>
  <c r="I47" i="5"/>
  <c r="I50" i="5"/>
  <c r="X57" i="24" l="1"/>
  <c r="X57" i="4"/>
  <c r="U57" i="24"/>
  <c r="U57" i="4"/>
  <c r="R57" i="24"/>
  <c r="R57" i="4"/>
  <c r="X46" i="24"/>
  <c r="X46" i="4"/>
  <c r="U46" i="24"/>
  <c r="U46" i="4"/>
  <c r="R46" i="24"/>
  <c r="R46" i="4"/>
  <c r="X37" i="24" l="1"/>
  <c r="X36" i="24"/>
  <c r="D43" i="2"/>
  <c r="AH40" i="24"/>
  <c r="L23" i="24" s="1"/>
  <c r="K11" i="4"/>
  <c r="I67" i="2"/>
  <c r="I65" i="2"/>
  <c r="I64" i="2"/>
  <c r="I63" i="2"/>
  <c r="I60" i="2"/>
  <c r="I59" i="2"/>
  <c r="I55" i="2"/>
  <c r="I50" i="2"/>
  <c r="I47" i="2"/>
  <c r="K19" i="2"/>
  <c r="C42" i="4"/>
  <c r="C42" i="24"/>
  <c r="F101" i="6" l="1"/>
  <c r="F102" i="6"/>
  <c r="Q155" i="15"/>
  <c r="K55" i="14" l="1"/>
  <c r="K58" i="14" s="1"/>
  <c r="E209" i="15"/>
  <c r="F209" i="15"/>
  <c r="F215" i="15" s="1"/>
  <c r="E210" i="15"/>
  <c r="F210" i="15"/>
  <c r="P46" i="6" s="1"/>
  <c r="E211" i="15"/>
  <c r="F211" i="15"/>
  <c r="F217" i="15" s="1"/>
  <c r="E212" i="15"/>
  <c r="F212" i="15"/>
  <c r="P48" i="6" s="1"/>
  <c r="E213" i="15"/>
  <c r="F213" i="15"/>
  <c r="F219" i="15" s="1"/>
  <c r="F216" i="15"/>
  <c r="P52" i="6" s="1"/>
  <c r="F208" i="15"/>
  <c r="P44" i="6" s="1"/>
  <c r="E208" i="15"/>
  <c r="E94" i="6"/>
  <c r="C16" i="16" s="1"/>
  <c r="C16" i="17" s="1"/>
  <c r="F94" i="6"/>
  <c r="E95" i="6"/>
  <c r="C17" i="16" s="1"/>
  <c r="C17" i="17" s="1"/>
  <c r="F95" i="6"/>
  <c r="E96" i="6"/>
  <c r="C18" i="16" s="1"/>
  <c r="C18" i="17" s="1"/>
  <c r="F96" i="6"/>
  <c r="E97" i="6"/>
  <c r="C19" i="16" s="1"/>
  <c r="C19" i="17" s="1"/>
  <c r="F97" i="6"/>
  <c r="E98" i="6"/>
  <c r="C20" i="16" s="1"/>
  <c r="C20" i="17" s="1"/>
  <c r="F98" i="6"/>
  <c r="E93" i="6"/>
  <c r="C15" i="16" s="1"/>
  <c r="C15" i="17" s="1"/>
  <c r="F93" i="6"/>
  <c r="P39" i="6"/>
  <c r="P40" i="6"/>
  <c r="P41" i="6"/>
  <c r="P42" i="6"/>
  <c r="P43" i="6"/>
  <c r="P45" i="6"/>
  <c r="P38" i="6"/>
  <c r="E39" i="6"/>
  <c r="E40" i="6"/>
  <c r="E41" i="6"/>
  <c r="E42" i="6"/>
  <c r="E43" i="6"/>
  <c r="E38" i="6"/>
  <c r="K207" i="15"/>
  <c r="E44" i="6" l="1"/>
  <c r="U208" i="15"/>
  <c r="E215" i="15"/>
  <c r="U215" i="15" s="1"/>
  <c r="U209" i="15"/>
  <c r="E49" i="6"/>
  <c r="U213" i="15"/>
  <c r="E218" i="15"/>
  <c r="U218" i="15" s="1"/>
  <c r="U212" i="15"/>
  <c r="E47" i="6"/>
  <c r="U211" i="15"/>
  <c r="E46" i="6"/>
  <c r="U210" i="15"/>
  <c r="E216" i="15"/>
  <c r="F225" i="15"/>
  <c r="P61" i="6" s="1"/>
  <c r="P55" i="6"/>
  <c r="P49" i="6"/>
  <c r="F218" i="15"/>
  <c r="P47" i="6"/>
  <c r="E48" i="6"/>
  <c r="F222" i="15"/>
  <c r="F221" i="15"/>
  <c r="F227" i="15" s="1"/>
  <c r="P51" i="6"/>
  <c r="F214" i="15"/>
  <c r="E214" i="15"/>
  <c r="U214" i="15" s="1"/>
  <c r="P53" i="6"/>
  <c r="F223" i="15"/>
  <c r="E51" i="6"/>
  <c r="E221" i="15"/>
  <c r="U221" i="15" s="1"/>
  <c r="E45" i="6"/>
  <c r="E217" i="15"/>
  <c r="U217" i="15" s="1"/>
  <c r="E219" i="15"/>
  <c r="U219" i="15" s="1"/>
  <c r="E224" i="15" l="1"/>
  <c r="U224" i="15" s="1"/>
  <c r="P57" i="6"/>
  <c r="E54" i="6"/>
  <c r="E222" i="15"/>
  <c r="U216" i="15"/>
  <c r="E52" i="6"/>
  <c r="F231" i="15"/>
  <c r="P67" i="6" s="1"/>
  <c r="F224" i="15"/>
  <c r="P54" i="6"/>
  <c r="F228" i="15"/>
  <c r="P58" i="6"/>
  <c r="F220" i="15"/>
  <c r="P50" i="6"/>
  <c r="E50" i="6"/>
  <c r="E220" i="15"/>
  <c r="U220" i="15" s="1"/>
  <c r="E55" i="6"/>
  <c r="E225" i="15"/>
  <c r="U225" i="15" s="1"/>
  <c r="E230" i="15"/>
  <c r="U230" i="15" s="1"/>
  <c r="E60" i="6"/>
  <c r="E223" i="15"/>
  <c r="U223" i="15" s="1"/>
  <c r="E53" i="6"/>
  <c r="F229" i="15"/>
  <c r="P59" i="6"/>
  <c r="E227" i="15"/>
  <c r="U227" i="15" s="1"/>
  <c r="E57" i="6"/>
  <c r="F233" i="15"/>
  <c r="P63" i="6"/>
  <c r="F237" i="15" l="1"/>
  <c r="U222" i="15"/>
  <c r="E58" i="6"/>
  <c r="E228" i="15"/>
  <c r="P60" i="6"/>
  <c r="F230" i="15"/>
  <c r="P64" i="6"/>
  <c r="F234" i="15"/>
  <c r="E226" i="15"/>
  <c r="U226" i="15" s="1"/>
  <c r="E56" i="6"/>
  <c r="F226" i="15"/>
  <c r="P56" i="6"/>
  <c r="P69" i="6"/>
  <c r="F239" i="15"/>
  <c r="E63" i="6"/>
  <c r="E233" i="15"/>
  <c r="U233" i="15" s="1"/>
  <c r="E66" i="6"/>
  <c r="E236" i="15"/>
  <c r="U236" i="15" s="1"/>
  <c r="E59" i="6"/>
  <c r="E229" i="15"/>
  <c r="U229" i="15" s="1"/>
  <c r="E231" i="15"/>
  <c r="U231" i="15" s="1"/>
  <c r="E61" i="6"/>
  <c r="F243" i="15"/>
  <c r="P73" i="6"/>
  <c r="F235" i="15"/>
  <c r="P65" i="6"/>
  <c r="U228" i="15" l="1"/>
  <c r="E64" i="6"/>
  <c r="E234" i="15"/>
  <c r="P66" i="6"/>
  <c r="F236" i="15"/>
  <c r="P70" i="6"/>
  <c r="F240" i="15"/>
  <c r="P62" i="6"/>
  <c r="F232" i="15"/>
  <c r="E232" i="15"/>
  <c r="U232" i="15" s="1"/>
  <c r="E62" i="6"/>
  <c r="E239" i="15"/>
  <c r="U239" i="15" s="1"/>
  <c r="E69" i="6"/>
  <c r="F245" i="15"/>
  <c r="P75" i="6"/>
  <c r="F249" i="15"/>
  <c r="P79" i="6"/>
  <c r="E242" i="15"/>
  <c r="U242" i="15" s="1"/>
  <c r="E72" i="6"/>
  <c r="E65" i="6"/>
  <c r="E235" i="15"/>
  <c r="U235" i="15" s="1"/>
  <c r="F241" i="15"/>
  <c r="P71" i="6"/>
  <c r="E67" i="6"/>
  <c r="E237" i="15"/>
  <c r="U237" i="15" s="1"/>
  <c r="U234" i="15" l="1"/>
  <c r="E70" i="6"/>
  <c r="E240" i="15"/>
  <c r="F242" i="15"/>
  <c r="P72" i="6"/>
  <c r="P76" i="6"/>
  <c r="F246" i="15"/>
  <c r="P68" i="6"/>
  <c r="F238" i="15"/>
  <c r="E238" i="15"/>
  <c r="U238" i="15" s="1"/>
  <c r="E68" i="6"/>
  <c r="E75" i="6"/>
  <c r="E245" i="15"/>
  <c r="U245" i="15" s="1"/>
  <c r="F251" i="15"/>
  <c r="P87" i="6" s="1"/>
  <c r="P81" i="6"/>
  <c r="E71" i="6"/>
  <c r="E241" i="15"/>
  <c r="U241" i="15" s="1"/>
  <c r="E73" i="6"/>
  <c r="E243" i="15"/>
  <c r="U243" i="15" s="1"/>
  <c r="E248" i="15"/>
  <c r="U248" i="15" s="1"/>
  <c r="E78" i="6"/>
  <c r="P85" i="6"/>
  <c r="F255" i="15"/>
  <c r="P91" i="6" s="1"/>
  <c r="P77" i="6"/>
  <c r="F247" i="15"/>
  <c r="U240" i="15" l="1"/>
  <c r="E246" i="15"/>
  <c r="E76" i="6"/>
  <c r="P78" i="6"/>
  <c r="F248" i="15"/>
  <c r="F252" i="15"/>
  <c r="P88" i="6" s="1"/>
  <c r="P82" i="6"/>
  <c r="P74" i="6"/>
  <c r="F244" i="15"/>
  <c r="E74" i="6"/>
  <c r="E244" i="15"/>
  <c r="U244" i="15" s="1"/>
  <c r="E254" i="15"/>
  <c r="E84" i="6"/>
  <c r="E79" i="6"/>
  <c r="E249" i="15"/>
  <c r="U249" i="15" s="1"/>
  <c r="E247" i="15"/>
  <c r="U247" i="15" s="1"/>
  <c r="E77" i="6"/>
  <c r="F253" i="15"/>
  <c r="P89" i="6" s="1"/>
  <c r="P83" i="6"/>
  <c r="E81" i="6"/>
  <c r="E251" i="15"/>
  <c r="E87" i="6" l="1"/>
  <c r="U251" i="15"/>
  <c r="E90" i="6"/>
  <c r="U254" i="15"/>
  <c r="U246" i="15"/>
  <c r="E252" i="15"/>
  <c r="E82" i="6"/>
  <c r="P84" i="6"/>
  <c r="F254" i="15"/>
  <c r="P90" i="6" s="1"/>
  <c r="E250" i="15"/>
  <c r="E80" i="6"/>
  <c r="F250" i="15"/>
  <c r="P86" i="6" s="1"/>
  <c r="P80" i="6"/>
  <c r="E255" i="15"/>
  <c r="E85" i="6"/>
  <c r="E83" i="6"/>
  <c r="E253" i="15"/>
  <c r="E86" i="6" l="1"/>
  <c r="U250" i="15"/>
  <c r="E91" i="6"/>
  <c r="U255" i="15"/>
  <c r="E89" i="6"/>
  <c r="U253" i="15"/>
  <c r="E88" i="6"/>
  <c r="U252" i="15"/>
  <c r="L118" i="20"/>
  <c r="G48" i="20"/>
  <c r="K70" i="20" l="1"/>
  <c r="K69" i="20"/>
  <c r="D25" i="3"/>
  <c r="K123" i="20" l="1"/>
  <c r="N62" i="20"/>
  <c r="L70" i="20" l="1"/>
  <c r="K115" i="20"/>
  <c r="L115" i="20"/>
  <c r="N67" i="20"/>
  <c r="M31" i="20"/>
  <c r="N63" i="20"/>
  <c r="N64" i="20"/>
  <c r="N65" i="20"/>
  <c r="N66" i="20"/>
  <c r="N68" i="20"/>
  <c r="M69" i="20"/>
  <c r="N70" i="20" l="1"/>
  <c r="L512" i="5" s="1"/>
  <c r="N69" i="20"/>
  <c r="N512" i="5" l="1"/>
  <c r="L125" i="20"/>
  <c r="F160" i="15"/>
  <c r="F164" i="15" s="1"/>
  <c r="F168" i="15" s="1"/>
  <c r="F172" i="15" s="1"/>
  <c r="F176" i="15" s="1"/>
  <c r="F159" i="15"/>
  <c r="F163" i="15" s="1"/>
  <c r="F167" i="15" s="1"/>
  <c r="F171" i="15" s="1"/>
  <c r="F175" i="15" s="1"/>
  <c r="F158" i="15"/>
  <c r="F162" i="15" s="1"/>
  <c r="F166" i="15" s="1"/>
  <c r="F170" i="15" s="1"/>
  <c r="F174" i="15" s="1"/>
  <c r="F157" i="15"/>
  <c r="F161" i="15" s="1"/>
  <c r="F165" i="15" s="1"/>
  <c r="F169" i="15" s="1"/>
  <c r="F173" i="15" s="1"/>
  <c r="H116" i="20"/>
  <c r="H118" i="20"/>
  <c r="E67" i="2"/>
  <c r="Y16" i="14"/>
  <c r="Y17" i="14"/>
  <c r="Y18" i="14"/>
  <c r="Y14" i="14"/>
  <c r="S16" i="14"/>
  <c r="S17" i="14"/>
  <c r="S18" i="14"/>
  <c r="S14" i="14"/>
  <c r="R15" i="14"/>
  <c r="S15" i="14" s="1"/>
  <c r="P118" i="20" l="1"/>
  <c r="H115" i="20"/>
  <c r="H125" i="20"/>
  <c r="N61" i="20"/>
  <c r="H33" i="20" s="1"/>
  <c r="Y15" i="14"/>
  <c r="H124" i="20" l="1"/>
  <c r="H117" i="20"/>
  <c r="L32" i="20"/>
  <c r="P64" i="20"/>
  <c r="K125" i="20" l="1"/>
  <c r="N125" i="20" s="1"/>
  <c r="K118" i="20"/>
  <c r="N118" i="20" s="1"/>
  <c r="N20" i="20"/>
  <c r="Z17" i="14"/>
  <c r="AA17" i="14" s="1"/>
  <c r="Z16" i="14"/>
  <c r="AA16" i="14" s="1"/>
  <c r="Z15" i="14"/>
  <c r="AA15" i="14" s="1"/>
  <c r="M13" i="14"/>
  <c r="Z14" i="14"/>
  <c r="AA14" i="14" s="1"/>
  <c r="I143" i="5" l="1"/>
  <c r="I142" i="5"/>
  <c r="H23" i="20"/>
  <c r="Y39" i="24"/>
  <c r="Z39" i="24"/>
  <c r="V40" i="24"/>
  <c r="W40" i="24"/>
  <c r="X40" i="24"/>
  <c r="Y40" i="24"/>
  <c r="V41" i="24"/>
  <c r="W41" i="24"/>
  <c r="X41" i="24"/>
  <c r="T42" i="24"/>
  <c r="U42" i="24"/>
  <c r="W42" i="24"/>
  <c r="X42" i="24"/>
  <c r="T43" i="24"/>
  <c r="U43" i="24"/>
  <c r="V43" i="24"/>
  <c r="S42" i="24"/>
  <c r="S43" i="24"/>
  <c r="U36" i="24"/>
  <c r="E61" i="17"/>
  <c r="E60" i="17"/>
  <c r="H28" i="24" l="1"/>
  <c r="I15" i="3"/>
  <c r="J19" i="3"/>
  <c r="I19" i="3"/>
  <c r="I101" i="15"/>
  <c r="J102" i="15"/>
  <c r="J100" i="15"/>
  <c r="L14" i="3"/>
  <c r="L13" i="3"/>
  <c r="L12" i="3"/>
  <c r="L11" i="3"/>
  <c r="L10" i="3"/>
  <c r="L9" i="3"/>
  <c r="L8" i="3"/>
  <c r="L7" i="3"/>
  <c r="L6" i="3"/>
  <c r="L5" i="3"/>
  <c r="H2" i="3"/>
  <c r="R121" i="15"/>
  <c r="H128" i="20" l="1"/>
  <c r="H121" i="20"/>
  <c r="G79" i="20"/>
  <c r="AA23" i="20" l="1"/>
  <c r="M334" i="5"/>
  <c r="L334" i="5"/>
  <c r="K334" i="5"/>
  <c r="J334" i="5"/>
  <c r="I334" i="5"/>
  <c r="W142" i="5"/>
  <c r="K142" i="18" s="1"/>
  <c r="G201" i="11"/>
  <c r="G195" i="11" s="1"/>
  <c r="CJ143" i="18"/>
  <c r="DA143" i="18"/>
  <c r="CJ142" i="18"/>
  <c r="DA142" i="18"/>
  <c r="I91" i="15"/>
  <c r="O79" i="15"/>
  <c r="L73" i="15"/>
  <c r="P86" i="15"/>
  <c r="Q86" i="15" s="1"/>
  <c r="M86" i="15"/>
  <c r="N86" i="15" s="1"/>
  <c r="J86" i="15"/>
  <c r="K86" i="15" s="1"/>
  <c r="P83" i="15"/>
  <c r="Q83" i="15" s="1"/>
  <c r="M83" i="15"/>
  <c r="N83" i="15" s="1"/>
  <c r="J83" i="15"/>
  <c r="K83" i="15" s="1"/>
  <c r="P80" i="15"/>
  <c r="Q80" i="15" s="1"/>
  <c r="M80" i="15"/>
  <c r="N80" i="15" s="1"/>
  <c r="J80" i="15"/>
  <c r="K80" i="15" s="1"/>
  <c r="P77" i="15"/>
  <c r="Q77" i="15" s="1"/>
  <c r="M77" i="15"/>
  <c r="N77" i="15" s="1"/>
  <c r="J77" i="15"/>
  <c r="K77" i="15" s="1"/>
  <c r="P74" i="15"/>
  <c r="Q74" i="15" s="1"/>
  <c r="M74" i="15"/>
  <c r="N74" i="15" s="1"/>
  <c r="J74" i="15"/>
  <c r="K74" i="15" s="1"/>
  <c r="P71" i="15"/>
  <c r="Q71" i="15" s="1"/>
  <c r="M71" i="15"/>
  <c r="N71" i="15" s="1"/>
  <c r="N73" i="15" s="1"/>
  <c r="J71" i="15"/>
  <c r="K71" i="15" s="1"/>
  <c r="K73" i="15" s="1"/>
  <c r="P68" i="15"/>
  <c r="Q68" i="15" s="1"/>
  <c r="M68" i="15"/>
  <c r="N68" i="15" s="1"/>
  <c r="J68" i="15"/>
  <c r="K68" i="15" s="1"/>
  <c r="P65" i="15"/>
  <c r="Q65" i="15" s="1"/>
  <c r="M65" i="15"/>
  <c r="N65" i="15" s="1"/>
  <c r="J65" i="15"/>
  <c r="K65" i="15" s="1"/>
  <c r="I67" i="15"/>
  <c r="P51" i="15"/>
  <c r="Q51" i="15" s="1"/>
  <c r="M51" i="15"/>
  <c r="N51" i="15" s="1"/>
  <c r="J51" i="15"/>
  <c r="K51" i="15" s="1"/>
  <c r="P50" i="15"/>
  <c r="Q50" i="15" s="1"/>
  <c r="M50" i="15"/>
  <c r="N50" i="15" s="1"/>
  <c r="J50" i="15"/>
  <c r="K50" i="15" s="1"/>
  <c r="P49" i="15"/>
  <c r="Q49" i="15" s="1"/>
  <c r="M49" i="15"/>
  <c r="N49" i="15" s="1"/>
  <c r="J49" i="15"/>
  <c r="K49" i="15" s="1"/>
  <c r="P45" i="15"/>
  <c r="Q45" i="15" s="1"/>
  <c r="M45" i="15"/>
  <c r="N45" i="15" s="1"/>
  <c r="J45" i="15"/>
  <c r="K45" i="15" s="1"/>
  <c r="P44" i="15"/>
  <c r="Q44" i="15" s="1"/>
  <c r="M44" i="15"/>
  <c r="N44" i="15" s="1"/>
  <c r="J44" i="15"/>
  <c r="K44" i="15" s="1"/>
  <c r="P43" i="15"/>
  <c r="Q43" i="15" s="1"/>
  <c r="M43" i="15"/>
  <c r="N43" i="15" s="1"/>
  <c r="J43" i="15"/>
  <c r="K43" i="15" s="1"/>
  <c r="P39" i="15"/>
  <c r="Q39" i="15" s="1"/>
  <c r="M39" i="15"/>
  <c r="N39" i="15" s="1"/>
  <c r="J39" i="15"/>
  <c r="K39" i="15" s="1"/>
  <c r="P38" i="15"/>
  <c r="Q38" i="15" s="1"/>
  <c r="M38" i="15"/>
  <c r="N38" i="15" s="1"/>
  <c r="J38" i="15"/>
  <c r="K38" i="15" s="1"/>
  <c r="P37" i="15"/>
  <c r="Q37" i="15" s="1"/>
  <c r="M37" i="15"/>
  <c r="N37" i="15" s="1"/>
  <c r="J37" i="15"/>
  <c r="K37" i="15" s="1"/>
  <c r="P33" i="15"/>
  <c r="Q33" i="15" s="1"/>
  <c r="M33" i="15"/>
  <c r="N33" i="15" s="1"/>
  <c r="J33" i="15"/>
  <c r="K33" i="15" s="1"/>
  <c r="P32" i="15"/>
  <c r="Q32" i="15" s="1"/>
  <c r="M32" i="15"/>
  <c r="N32" i="15" s="1"/>
  <c r="J32" i="15"/>
  <c r="K32" i="15" s="1"/>
  <c r="P31" i="15"/>
  <c r="Q31" i="15" s="1"/>
  <c r="M31" i="15"/>
  <c r="N31" i="15" s="1"/>
  <c r="J31" i="15"/>
  <c r="K31" i="15" s="1"/>
  <c r="P27" i="15"/>
  <c r="Q27" i="15" s="1"/>
  <c r="M27" i="15"/>
  <c r="N27" i="15" s="1"/>
  <c r="J27" i="15"/>
  <c r="K27" i="15" s="1"/>
  <c r="P26" i="15"/>
  <c r="Q26" i="15" s="1"/>
  <c r="M26" i="15"/>
  <c r="N26" i="15" s="1"/>
  <c r="J26" i="15"/>
  <c r="K26" i="15" s="1"/>
  <c r="P25" i="15"/>
  <c r="Q25" i="15" s="1"/>
  <c r="M25" i="15"/>
  <c r="N25" i="15" s="1"/>
  <c r="J25" i="15"/>
  <c r="K25" i="15" s="1"/>
  <c r="P21" i="15"/>
  <c r="Q21" i="15" s="1"/>
  <c r="M21" i="15"/>
  <c r="N21" i="15" s="1"/>
  <c r="J21" i="15"/>
  <c r="K21" i="15" s="1"/>
  <c r="P20" i="15"/>
  <c r="Q20" i="15" s="1"/>
  <c r="M20" i="15"/>
  <c r="N20" i="15" s="1"/>
  <c r="J20" i="15"/>
  <c r="K20" i="15" s="1"/>
  <c r="P19" i="15"/>
  <c r="Q19" i="15" s="1"/>
  <c r="M19" i="15"/>
  <c r="N19" i="15" s="1"/>
  <c r="J19" i="15"/>
  <c r="K19" i="15" s="1"/>
  <c r="P15" i="15"/>
  <c r="Q15" i="15" s="1"/>
  <c r="M15" i="15"/>
  <c r="N15" i="15" s="1"/>
  <c r="J15" i="15"/>
  <c r="K15" i="15" s="1"/>
  <c r="P14" i="15"/>
  <c r="Q14" i="15" s="1"/>
  <c r="M14" i="15"/>
  <c r="N14" i="15" s="1"/>
  <c r="J14" i="15"/>
  <c r="K14" i="15" s="1"/>
  <c r="P13" i="15"/>
  <c r="Q13" i="15" s="1"/>
  <c r="M13" i="15"/>
  <c r="N13" i="15" s="1"/>
  <c r="J13" i="15"/>
  <c r="K13" i="15" s="1"/>
  <c r="J9" i="15"/>
  <c r="K9" i="15" s="1"/>
  <c r="M9" i="15" s="1"/>
  <c r="N9" i="15" s="1"/>
  <c r="P9" i="15" s="1"/>
  <c r="Q9" i="15" s="1"/>
  <c r="J8" i="15"/>
  <c r="K8" i="15" s="1"/>
  <c r="M8" i="15" s="1"/>
  <c r="P8" i="15" s="1"/>
  <c r="Q8" i="15" s="1"/>
  <c r="M7" i="15"/>
  <c r="P7" i="15" s="1"/>
  <c r="Q7" i="15" s="1"/>
  <c r="J7" i="15"/>
  <c r="K7" i="15" s="1"/>
  <c r="M108" i="20"/>
  <c r="M107" i="20"/>
  <c r="R24" i="6"/>
  <c r="R25" i="6"/>
  <c r="F124" i="6"/>
  <c r="F123" i="6"/>
  <c r="K505" i="5"/>
  <c r="N159" i="15"/>
  <c r="Q175" i="15"/>
  <c r="P175" i="15"/>
  <c r="O175" i="15"/>
  <c r="N175" i="15"/>
  <c r="M175" i="15"/>
  <c r="L175" i="15"/>
  <c r="K175" i="15"/>
  <c r="J175" i="15"/>
  <c r="Q171" i="15"/>
  <c r="P171" i="15"/>
  <c r="O171" i="15"/>
  <c r="N171" i="15"/>
  <c r="M171" i="15"/>
  <c r="L171" i="15"/>
  <c r="K171" i="15"/>
  <c r="J171" i="15"/>
  <c r="Q167" i="15"/>
  <c r="P167" i="15"/>
  <c r="O167" i="15"/>
  <c r="N167" i="15"/>
  <c r="M167" i="15"/>
  <c r="L167" i="15"/>
  <c r="K167" i="15"/>
  <c r="J167" i="15"/>
  <c r="Q163" i="15"/>
  <c r="P163" i="15"/>
  <c r="O163" i="15"/>
  <c r="N163" i="15"/>
  <c r="M163" i="15"/>
  <c r="L163" i="15"/>
  <c r="K163" i="15"/>
  <c r="J163" i="15"/>
  <c r="Q159" i="15"/>
  <c r="P159" i="15"/>
  <c r="O159" i="15"/>
  <c r="M159" i="15"/>
  <c r="L159" i="15"/>
  <c r="K159" i="15"/>
  <c r="J159" i="15"/>
  <c r="K155" i="15"/>
  <c r="L155" i="15"/>
  <c r="M155" i="15"/>
  <c r="N155" i="15"/>
  <c r="O155" i="15"/>
  <c r="P155" i="15"/>
  <c r="J155" i="15"/>
  <c r="AO176" i="15"/>
  <c r="Q176" i="15" s="1"/>
  <c r="AN176" i="15"/>
  <c r="P176" i="15" s="1"/>
  <c r="AM176" i="15"/>
  <c r="O176" i="15" s="1"/>
  <c r="AL176" i="15"/>
  <c r="N176" i="15" s="1"/>
  <c r="AK176" i="15"/>
  <c r="M176" i="15" s="1"/>
  <c r="AJ176" i="15"/>
  <c r="L176" i="15" s="1"/>
  <c r="AI176" i="15"/>
  <c r="K176" i="15" s="1"/>
  <c r="AH176" i="15"/>
  <c r="J176" i="15" s="1"/>
  <c r="AO172" i="15"/>
  <c r="Q172" i="15" s="1"/>
  <c r="AN172" i="15"/>
  <c r="P172" i="15" s="1"/>
  <c r="AM172" i="15"/>
  <c r="O172" i="15" s="1"/>
  <c r="AL172" i="15"/>
  <c r="N172" i="15" s="1"/>
  <c r="AK172" i="15"/>
  <c r="M172" i="15" s="1"/>
  <c r="AJ172" i="15"/>
  <c r="L172" i="15" s="1"/>
  <c r="AI172" i="15"/>
  <c r="K172" i="15" s="1"/>
  <c r="AH172" i="15"/>
  <c r="J172" i="15" s="1"/>
  <c r="AO168" i="15"/>
  <c r="Q168" i="15" s="1"/>
  <c r="AN168" i="15"/>
  <c r="P168" i="15" s="1"/>
  <c r="AM168" i="15"/>
  <c r="O168" i="15" s="1"/>
  <c r="AL168" i="15"/>
  <c r="N168" i="15" s="1"/>
  <c r="AK168" i="15"/>
  <c r="M168" i="15" s="1"/>
  <c r="AJ168" i="15"/>
  <c r="L168" i="15" s="1"/>
  <c r="AI168" i="15"/>
  <c r="K168" i="15" s="1"/>
  <c r="AH168" i="15"/>
  <c r="J168" i="15" s="1"/>
  <c r="AO164" i="15"/>
  <c r="Q164" i="15" s="1"/>
  <c r="AN164" i="15"/>
  <c r="P164" i="15" s="1"/>
  <c r="AM164" i="15"/>
  <c r="O164" i="15" s="1"/>
  <c r="AL164" i="15"/>
  <c r="N164" i="15" s="1"/>
  <c r="AK164" i="15"/>
  <c r="M164" i="15" s="1"/>
  <c r="AJ164" i="15"/>
  <c r="L164" i="15" s="1"/>
  <c r="AI164" i="15"/>
  <c r="K164" i="15" s="1"/>
  <c r="AH164" i="15"/>
  <c r="J164" i="15" s="1"/>
  <c r="AO160" i="15"/>
  <c r="Q160" i="15" s="1"/>
  <c r="AN160" i="15"/>
  <c r="P160" i="15" s="1"/>
  <c r="AM160" i="15"/>
  <c r="O160" i="15" s="1"/>
  <c r="AL160" i="15"/>
  <c r="N160" i="15" s="1"/>
  <c r="AK160" i="15"/>
  <c r="M160" i="15" s="1"/>
  <c r="AJ160" i="15"/>
  <c r="L160" i="15" s="1"/>
  <c r="AI160" i="15"/>
  <c r="K160" i="15" s="1"/>
  <c r="AH160" i="15"/>
  <c r="J160" i="15" s="1"/>
  <c r="AI156" i="15"/>
  <c r="K156" i="15" s="1"/>
  <c r="AJ156" i="15"/>
  <c r="L156" i="15" s="1"/>
  <c r="AK156" i="15"/>
  <c r="M156" i="15" s="1"/>
  <c r="AL156" i="15"/>
  <c r="N156" i="15" s="1"/>
  <c r="AM156" i="15"/>
  <c r="O156" i="15" s="1"/>
  <c r="AN156" i="15"/>
  <c r="P156" i="15" s="1"/>
  <c r="AO156" i="15"/>
  <c r="Q156" i="15" s="1"/>
  <c r="AO174" i="15"/>
  <c r="Q174" i="15" s="1"/>
  <c r="AN174" i="15"/>
  <c r="P174" i="15" s="1"/>
  <c r="AM174" i="15"/>
  <c r="O174" i="15" s="1"/>
  <c r="AL174" i="15"/>
  <c r="N174" i="15" s="1"/>
  <c r="AK174" i="15"/>
  <c r="M174" i="15" s="1"/>
  <c r="AJ174" i="15"/>
  <c r="L174" i="15" s="1"/>
  <c r="AI174" i="15"/>
  <c r="K174" i="15" s="1"/>
  <c r="AH174" i="15"/>
  <c r="J174" i="15" s="1"/>
  <c r="AO173" i="15"/>
  <c r="Q173" i="15" s="1"/>
  <c r="AN173" i="15"/>
  <c r="P173" i="15" s="1"/>
  <c r="AM173" i="15"/>
  <c r="O173" i="15" s="1"/>
  <c r="AL173" i="15"/>
  <c r="N173" i="15" s="1"/>
  <c r="AK173" i="15"/>
  <c r="M173" i="15" s="1"/>
  <c r="AJ173" i="15"/>
  <c r="L173" i="15" s="1"/>
  <c r="AI173" i="15"/>
  <c r="K173" i="15" s="1"/>
  <c r="AH173" i="15"/>
  <c r="J173" i="15" s="1"/>
  <c r="AO170" i="15"/>
  <c r="Q170" i="15" s="1"/>
  <c r="AN170" i="15"/>
  <c r="P170" i="15" s="1"/>
  <c r="AM170" i="15"/>
  <c r="O170" i="15" s="1"/>
  <c r="AL170" i="15"/>
  <c r="N170" i="15" s="1"/>
  <c r="AK170" i="15"/>
  <c r="M170" i="15" s="1"/>
  <c r="AJ170" i="15"/>
  <c r="L170" i="15" s="1"/>
  <c r="AI170" i="15"/>
  <c r="K170" i="15" s="1"/>
  <c r="AH170" i="15"/>
  <c r="J170" i="15" s="1"/>
  <c r="AO169" i="15"/>
  <c r="Q169" i="15" s="1"/>
  <c r="AN169" i="15"/>
  <c r="P169" i="15" s="1"/>
  <c r="AM169" i="15"/>
  <c r="O169" i="15" s="1"/>
  <c r="AL169" i="15"/>
  <c r="N169" i="15" s="1"/>
  <c r="AK169" i="15"/>
  <c r="M169" i="15" s="1"/>
  <c r="AJ169" i="15"/>
  <c r="L169" i="15" s="1"/>
  <c r="AI169" i="15"/>
  <c r="K169" i="15" s="1"/>
  <c r="AH169" i="15"/>
  <c r="J169" i="15" s="1"/>
  <c r="AO166" i="15"/>
  <c r="Q166" i="15" s="1"/>
  <c r="AN166" i="15"/>
  <c r="P166" i="15" s="1"/>
  <c r="AM166" i="15"/>
  <c r="O166" i="15" s="1"/>
  <c r="AL166" i="15"/>
  <c r="N166" i="15" s="1"/>
  <c r="AK166" i="15"/>
  <c r="M166" i="15" s="1"/>
  <c r="AJ166" i="15"/>
  <c r="L166" i="15" s="1"/>
  <c r="AI166" i="15"/>
  <c r="K166" i="15" s="1"/>
  <c r="AH166" i="15"/>
  <c r="J166" i="15" s="1"/>
  <c r="AO165" i="15"/>
  <c r="Q165" i="15" s="1"/>
  <c r="AN165" i="15"/>
  <c r="P165" i="15" s="1"/>
  <c r="AM165" i="15"/>
  <c r="O165" i="15" s="1"/>
  <c r="AL165" i="15"/>
  <c r="N165" i="15" s="1"/>
  <c r="AK165" i="15"/>
  <c r="M165" i="15" s="1"/>
  <c r="AJ165" i="15"/>
  <c r="L165" i="15" s="1"/>
  <c r="AI165" i="15"/>
  <c r="K165" i="15" s="1"/>
  <c r="AH165" i="15"/>
  <c r="J165" i="15" s="1"/>
  <c r="AO162" i="15"/>
  <c r="Q162" i="15" s="1"/>
  <c r="AN162" i="15"/>
  <c r="P162" i="15" s="1"/>
  <c r="AM162" i="15"/>
  <c r="O162" i="15" s="1"/>
  <c r="AL162" i="15"/>
  <c r="N162" i="15" s="1"/>
  <c r="AK162" i="15"/>
  <c r="M162" i="15" s="1"/>
  <c r="AJ162" i="15"/>
  <c r="L162" i="15" s="1"/>
  <c r="AI162" i="15"/>
  <c r="K162" i="15" s="1"/>
  <c r="AH162" i="15"/>
  <c r="J162" i="15" s="1"/>
  <c r="AO161" i="15"/>
  <c r="Q161" i="15" s="1"/>
  <c r="AN161" i="15"/>
  <c r="P161" i="15" s="1"/>
  <c r="AA154" i="15" s="1"/>
  <c r="AM161" i="15"/>
  <c r="O161" i="15" s="1"/>
  <c r="AL161" i="15"/>
  <c r="N161" i="15" s="1"/>
  <c r="AK161" i="15"/>
  <c r="M161" i="15" s="1"/>
  <c r="AJ161" i="15"/>
  <c r="L161" i="15" s="1"/>
  <c r="W154" i="15" s="1"/>
  <c r="AI161" i="15"/>
  <c r="K161" i="15" s="1"/>
  <c r="AH161" i="15"/>
  <c r="J161" i="15" s="1"/>
  <c r="AO158" i="15"/>
  <c r="Q158" i="15" s="1"/>
  <c r="AN158" i="15"/>
  <c r="P158" i="15" s="1"/>
  <c r="AM158" i="15"/>
  <c r="O158" i="15" s="1"/>
  <c r="AL158" i="15"/>
  <c r="N158" i="15" s="1"/>
  <c r="AK158" i="15"/>
  <c r="M158" i="15" s="1"/>
  <c r="AJ158" i="15"/>
  <c r="L158" i="15" s="1"/>
  <c r="AI158" i="15"/>
  <c r="K158" i="15" s="1"/>
  <c r="AH158" i="15"/>
  <c r="J158" i="15" s="1"/>
  <c r="AO157" i="15"/>
  <c r="Q157" i="15" s="1"/>
  <c r="AN157" i="15"/>
  <c r="P157" i="15" s="1"/>
  <c r="AM157" i="15"/>
  <c r="O157" i="15" s="1"/>
  <c r="AL157" i="15"/>
  <c r="N157" i="15" s="1"/>
  <c r="AK157" i="15"/>
  <c r="M157" i="15" s="1"/>
  <c r="AJ157" i="15"/>
  <c r="L157" i="15" s="1"/>
  <c r="AI157" i="15"/>
  <c r="K157" i="15" s="1"/>
  <c r="AH157" i="15"/>
  <c r="J157" i="15" s="1"/>
  <c r="AI153" i="15"/>
  <c r="K153" i="15" s="1"/>
  <c r="AJ153" i="15"/>
  <c r="L153" i="15" s="1"/>
  <c r="AK153" i="15"/>
  <c r="M153" i="15" s="1"/>
  <c r="AL153" i="15"/>
  <c r="N153" i="15" s="1"/>
  <c r="AM153" i="15"/>
  <c r="O153" i="15" s="1"/>
  <c r="AN153" i="15"/>
  <c r="P153" i="15" s="1"/>
  <c r="AO153" i="15"/>
  <c r="Q153" i="15" s="1"/>
  <c r="AI154" i="15"/>
  <c r="K154" i="15" s="1"/>
  <c r="AJ154" i="15"/>
  <c r="L154" i="15" s="1"/>
  <c r="AK154" i="15"/>
  <c r="M154" i="15" s="1"/>
  <c r="AL154" i="15"/>
  <c r="N154" i="15" s="1"/>
  <c r="AM154" i="15"/>
  <c r="O154" i="15" s="1"/>
  <c r="AN154" i="15"/>
  <c r="P154" i="15" s="1"/>
  <c r="AO154" i="15"/>
  <c r="Q154" i="15" s="1"/>
  <c r="AH156" i="15"/>
  <c r="J156" i="15" s="1"/>
  <c r="AH154" i="15"/>
  <c r="J154" i="15" s="1"/>
  <c r="AH153" i="15"/>
  <c r="J153" i="15" s="1"/>
  <c r="U154" i="15" s="1"/>
  <c r="W177" i="15"/>
  <c r="V177" i="15"/>
  <c r="U177" i="15"/>
  <c r="AA153" i="15" l="1"/>
  <c r="AB154" i="15"/>
  <c r="AB153" i="15"/>
  <c r="I141" i="6"/>
  <c r="G334" i="5"/>
  <c r="F187" i="11"/>
  <c r="N7" i="15"/>
  <c r="M73" i="15"/>
  <c r="N8" i="15"/>
  <c r="Z154" i="15"/>
  <c r="Y154" i="15"/>
  <c r="X178" i="15"/>
  <c r="Y178" i="15" s="1"/>
  <c r="X177" i="15"/>
  <c r="Y177" i="15" s="1"/>
  <c r="W143" i="5" l="1"/>
  <c r="K143" i="18" s="1"/>
  <c r="V153" i="15"/>
  <c r="Z153" i="15"/>
  <c r="X154" i="15"/>
  <c r="X153" i="15"/>
  <c r="V154" i="15"/>
  <c r="W153" i="15"/>
  <c r="Y153" i="15"/>
  <c r="G3" i="23" l="1"/>
  <c r="H3" i="23"/>
  <c r="K3" i="2"/>
  <c r="C6" i="2" s="1"/>
  <c r="L5" i="4" s="1"/>
  <c r="G23" i="20"/>
  <c r="N48" i="20" l="1"/>
  <c r="R512" i="5"/>
  <c r="R511" i="5"/>
  <c r="Q511" i="5"/>
  <c r="P512" i="5"/>
  <c r="N511" i="5"/>
  <c r="G46" i="20"/>
  <c r="O70" i="11" s="1"/>
  <c r="H69" i="11"/>
  <c r="H68" i="11"/>
  <c r="H67" i="11"/>
  <c r="G75" i="11"/>
  <c r="G74" i="11"/>
  <c r="G73" i="11"/>
  <c r="G72" i="11"/>
  <c r="G71" i="11"/>
  <c r="C47" i="2"/>
  <c r="C50" i="2"/>
  <c r="J13" i="20"/>
  <c r="C60" i="2"/>
  <c r="J60" i="2" s="1"/>
  <c r="C55" i="2"/>
  <c r="G44" i="20" s="1"/>
  <c r="K70" i="11" s="1"/>
  <c r="R56" i="2"/>
  <c r="L76" i="15"/>
  <c r="S25" i="6" l="1"/>
  <c r="G43" i="20"/>
  <c r="I70" i="11" s="1"/>
  <c r="L511" i="5"/>
  <c r="G45" i="20"/>
  <c r="M70" i="11" s="1"/>
  <c r="AA22" i="20"/>
  <c r="AB22" i="20" s="1"/>
  <c r="AA20" i="20"/>
  <c r="AB20" i="20" s="1"/>
  <c r="AA21" i="20"/>
  <c r="AB21" i="20" s="1"/>
  <c r="G132" i="15"/>
  <c r="H132" i="15" s="1"/>
  <c r="R59" i="2"/>
  <c r="G47" i="20" l="1"/>
  <c r="AB23" i="20"/>
  <c r="G263" i="14"/>
  <c r="G142" i="14"/>
  <c r="G122" i="14"/>
  <c r="G82" i="14"/>
  <c r="G61" i="10"/>
  <c r="G54" i="10" s="1"/>
  <c r="G41" i="10"/>
  <c r="G96" i="10"/>
  <c r="G74" i="10" s="1"/>
  <c r="G139" i="10"/>
  <c r="D4" i="7"/>
  <c r="B66" i="4" s="1"/>
  <c r="H45" i="20" l="1"/>
  <c r="H46" i="20"/>
  <c r="K63" i="11"/>
  <c r="H44" i="20"/>
  <c r="H43" i="20"/>
  <c r="G12" i="20"/>
  <c r="S577" i="5"/>
  <c r="P577" i="5"/>
  <c r="K577" i="5"/>
  <c r="AD194" i="23" l="1"/>
  <c r="AF194" i="23" s="1"/>
  <c r="AG194" i="23" s="1"/>
  <c r="AD110" i="23"/>
  <c r="AD192" i="23"/>
  <c r="AF192" i="23" s="1"/>
  <c r="AG192" i="23" s="1"/>
  <c r="AD188" i="23"/>
  <c r="AD133" i="23"/>
  <c r="AD147" i="23"/>
  <c r="AF147" i="23" s="1"/>
  <c r="AG147" i="23" s="1"/>
  <c r="AB173" i="23"/>
  <c r="AB166" i="23"/>
  <c r="AB114" i="23"/>
  <c r="N62" i="2"/>
  <c r="O62" i="2" s="1"/>
  <c r="N61" i="2"/>
  <c r="O61" i="2" s="1"/>
  <c r="N58" i="2"/>
  <c r="O58" i="2" s="1"/>
  <c r="N54" i="2"/>
  <c r="O54" i="2" s="1"/>
  <c r="N53" i="2"/>
  <c r="O53" i="2" s="1"/>
  <c r="N52" i="2"/>
  <c r="O52" i="2" s="1"/>
  <c r="N51" i="2"/>
  <c r="O51" i="2" s="1"/>
  <c r="N48" i="2"/>
  <c r="O48" i="2" s="1"/>
  <c r="N66" i="2"/>
  <c r="O66" i="2" s="1"/>
  <c r="AD137" i="23"/>
  <c r="AF137" i="23" s="1"/>
  <c r="AG137" i="23" s="1"/>
  <c r="AD135" i="23"/>
  <c r="AF135" i="23" s="1"/>
  <c r="AG135" i="23" s="1"/>
  <c r="AD87" i="23"/>
  <c r="AF188" i="23" l="1"/>
  <c r="AG188" i="23" s="1"/>
  <c r="H144" i="15" l="1"/>
  <c r="H143" i="15"/>
  <c r="G142" i="15"/>
  <c r="H142" i="15" s="1"/>
  <c r="P141" i="15"/>
  <c r="P140" i="15"/>
  <c r="P139" i="15"/>
  <c r="P138" i="15"/>
  <c r="P137" i="15"/>
  <c r="P136" i="15"/>
  <c r="P135" i="15"/>
  <c r="G135" i="15"/>
  <c r="H135" i="15" s="1"/>
  <c r="J96" i="20" s="1"/>
  <c r="P134" i="15"/>
  <c r="P133" i="15"/>
  <c r="P132" i="15"/>
  <c r="P131" i="15"/>
  <c r="P130" i="15"/>
  <c r="P129" i="15"/>
  <c r="P128" i="15"/>
  <c r="P127" i="15"/>
  <c r="P126" i="15"/>
  <c r="P125" i="15"/>
  <c r="P124" i="15"/>
  <c r="P123" i="15"/>
  <c r="Q121" i="15"/>
  <c r="O121" i="15"/>
  <c r="P121" i="15"/>
  <c r="Q91" i="15"/>
  <c r="P91" i="15"/>
  <c r="O91" i="15"/>
  <c r="N91" i="15"/>
  <c r="M91" i="15"/>
  <c r="L91" i="15"/>
  <c r="K91" i="15"/>
  <c r="J91" i="15"/>
  <c r="Q88" i="15"/>
  <c r="P88" i="15"/>
  <c r="O88" i="15"/>
  <c r="N88" i="15"/>
  <c r="M88" i="15"/>
  <c r="L88" i="15"/>
  <c r="K88" i="15"/>
  <c r="J88" i="15"/>
  <c r="I88" i="15"/>
  <c r="Q85" i="15"/>
  <c r="P85" i="15"/>
  <c r="O85" i="15"/>
  <c r="N85" i="15"/>
  <c r="M85" i="15"/>
  <c r="L85" i="15"/>
  <c r="K85" i="15"/>
  <c r="J85" i="15"/>
  <c r="I85" i="15"/>
  <c r="Q82" i="15"/>
  <c r="P82" i="15"/>
  <c r="O82" i="15"/>
  <c r="N82" i="15"/>
  <c r="M82" i="15"/>
  <c r="L82" i="15"/>
  <c r="K82" i="15"/>
  <c r="J82" i="15"/>
  <c r="I82" i="15"/>
  <c r="Q79" i="15"/>
  <c r="P79" i="15"/>
  <c r="N79" i="15"/>
  <c r="M79" i="15"/>
  <c r="L79" i="15"/>
  <c r="K79" i="15"/>
  <c r="J79" i="15"/>
  <c r="I79" i="15"/>
  <c r="Q76" i="15"/>
  <c r="P76" i="15"/>
  <c r="O76" i="15"/>
  <c r="N76" i="15"/>
  <c r="M76" i="15"/>
  <c r="K76" i="15"/>
  <c r="J76" i="15"/>
  <c r="I76" i="15"/>
  <c r="Q73" i="15"/>
  <c r="P73" i="15"/>
  <c r="O73" i="15"/>
  <c r="J73" i="15"/>
  <c r="I73" i="15"/>
  <c r="Q70" i="15"/>
  <c r="P70" i="15"/>
  <c r="O70" i="15"/>
  <c r="N70" i="15"/>
  <c r="M70" i="15"/>
  <c r="L70" i="15"/>
  <c r="K70" i="15"/>
  <c r="J70" i="15"/>
  <c r="I70" i="15"/>
  <c r="Q67" i="15"/>
  <c r="P67" i="15"/>
  <c r="O67" i="15"/>
  <c r="N67" i="15"/>
  <c r="M67" i="15"/>
  <c r="L67" i="15"/>
  <c r="K67" i="15"/>
  <c r="J67" i="15"/>
  <c r="G18" i="15"/>
  <c r="G24" i="15" s="1"/>
  <c r="G30" i="15" s="1"/>
  <c r="G36" i="15" s="1"/>
  <c r="G42" i="15" s="1"/>
  <c r="G48" i="15" s="1"/>
  <c r="G54" i="15" s="1"/>
  <c r="G60" i="15" s="1"/>
  <c r="G17" i="15"/>
  <c r="G23" i="15" s="1"/>
  <c r="G29" i="15" s="1"/>
  <c r="G35" i="15" s="1"/>
  <c r="G41" i="15" s="1"/>
  <c r="G47" i="15" s="1"/>
  <c r="G53" i="15" s="1"/>
  <c r="G59" i="15" s="1"/>
  <c r="G16" i="15"/>
  <c r="G22" i="15" s="1"/>
  <c r="G28" i="15" s="1"/>
  <c r="G34" i="15" s="1"/>
  <c r="G40" i="15" s="1"/>
  <c r="G46" i="15" s="1"/>
  <c r="G52" i="15" s="1"/>
  <c r="G58" i="15" s="1"/>
  <c r="G15" i="15"/>
  <c r="G21" i="15" s="1"/>
  <c r="G27" i="15" s="1"/>
  <c r="G33" i="15" s="1"/>
  <c r="G39" i="15" s="1"/>
  <c r="G45" i="15" s="1"/>
  <c r="G51" i="15" s="1"/>
  <c r="G57" i="15" s="1"/>
  <c r="G14" i="15"/>
  <c r="G20" i="15" s="1"/>
  <c r="G26" i="15" s="1"/>
  <c r="G32" i="15" s="1"/>
  <c r="G38" i="15" s="1"/>
  <c r="G44" i="15" s="1"/>
  <c r="G50" i="15" s="1"/>
  <c r="G56" i="15" s="1"/>
  <c r="G13" i="15"/>
  <c r="G19" i="15" s="1"/>
  <c r="G25" i="15" s="1"/>
  <c r="G31" i="15" s="1"/>
  <c r="G37" i="15" s="1"/>
  <c r="G43" i="15" s="1"/>
  <c r="G49" i="15" s="1"/>
  <c r="G55" i="15" s="1"/>
  <c r="CV196" i="18"/>
  <c r="CU196" i="18"/>
  <c r="CT196" i="18"/>
  <c r="CS196" i="18"/>
  <c r="CR196" i="18"/>
  <c r="CQ196" i="18"/>
  <c r="CP196" i="18"/>
  <c r="CO196" i="18"/>
  <c r="CN196" i="18"/>
  <c r="CM196" i="18"/>
  <c r="CL196" i="18"/>
  <c r="CK196" i="18"/>
  <c r="CJ196" i="18"/>
  <c r="CV195" i="18"/>
  <c r="CU195" i="18"/>
  <c r="CT195" i="18"/>
  <c r="CS195" i="18"/>
  <c r="CR195" i="18"/>
  <c r="CQ195" i="18"/>
  <c r="CP195" i="18"/>
  <c r="CO195" i="18"/>
  <c r="CN195" i="18"/>
  <c r="CM195" i="18"/>
  <c r="CL195" i="18"/>
  <c r="CK195" i="18"/>
  <c r="CJ195" i="18"/>
  <c r="CV194" i="18"/>
  <c r="CU194" i="18"/>
  <c r="CT194" i="18"/>
  <c r="CS194" i="18"/>
  <c r="CR194" i="18"/>
  <c r="CQ194" i="18"/>
  <c r="CP194" i="18"/>
  <c r="CO194" i="18"/>
  <c r="CN194" i="18"/>
  <c r="CM194" i="18"/>
  <c r="CL194" i="18"/>
  <c r="CK194" i="18"/>
  <c r="CJ194" i="18"/>
  <c r="CV193" i="18"/>
  <c r="CU193" i="18"/>
  <c r="CT193" i="18"/>
  <c r="CS193" i="18"/>
  <c r="CR193" i="18"/>
  <c r="CQ193" i="18"/>
  <c r="CP193" i="18"/>
  <c r="CO193" i="18"/>
  <c r="CN193" i="18"/>
  <c r="CM193" i="18"/>
  <c r="CL193" i="18"/>
  <c r="CK193" i="18"/>
  <c r="CJ193" i="18"/>
  <c r="DA192" i="18"/>
  <c r="CV192" i="18"/>
  <c r="CU192" i="18"/>
  <c r="CT192" i="18"/>
  <c r="CS192" i="18"/>
  <c r="CR192" i="18"/>
  <c r="CQ192" i="18"/>
  <c r="CP192" i="18"/>
  <c r="CO192" i="18"/>
  <c r="CN192" i="18"/>
  <c r="CM192" i="18"/>
  <c r="CL192" i="18"/>
  <c r="CK192" i="18"/>
  <c r="CJ192" i="18"/>
  <c r="CV191" i="18"/>
  <c r="CU191" i="18"/>
  <c r="CT191" i="18"/>
  <c r="CS191" i="18"/>
  <c r="CR191" i="18"/>
  <c r="CQ191" i="18"/>
  <c r="CP191" i="18"/>
  <c r="CO191" i="18"/>
  <c r="CN191" i="18"/>
  <c r="CM191" i="18"/>
  <c r="CL191" i="18"/>
  <c r="CK191" i="18"/>
  <c r="CJ191" i="18"/>
  <c r="CV190" i="18"/>
  <c r="CU190" i="18"/>
  <c r="CT190" i="18"/>
  <c r="CS190" i="18"/>
  <c r="CR190" i="18"/>
  <c r="CQ190" i="18"/>
  <c r="CP190" i="18"/>
  <c r="CO190" i="18"/>
  <c r="CN190" i="18"/>
  <c r="CM190" i="18"/>
  <c r="CL190" i="18"/>
  <c r="CK190" i="18"/>
  <c r="CJ190" i="18"/>
  <c r="CV189" i="18"/>
  <c r="CU189" i="18"/>
  <c r="CT189" i="18"/>
  <c r="CS189" i="18"/>
  <c r="CR189" i="18"/>
  <c r="CQ189" i="18"/>
  <c r="CP189" i="18"/>
  <c r="CO189" i="18"/>
  <c r="CN189" i="18"/>
  <c r="CM189" i="18"/>
  <c r="CL189" i="18"/>
  <c r="CK189" i="18"/>
  <c r="CJ189" i="18"/>
  <c r="CV188" i="18"/>
  <c r="CU188" i="18"/>
  <c r="CT188" i="18"/>
  <c r="CS188" i="18"/>
  <c r="CR188" i="18"/>
  <c r="CQ188" i="18"/>
  <c r="CP188" i="18"/>
  <c r="CO188" i="18"/>
  <c r="CN188" i="18"/>
  <c r="CM188" i="18"/>
  <c r="CL188" i="18"/>
  <c r="CK188" i="18"/>
  <c r="CJ188" i="18"/>
  <c r="CV187" i="18"/>
  <c r="CU187" i="18"/>
  <c r="CT187" i="18"/>
  <c r="CS187" i="18"/>
  <c r="CR187" i="18"/>
  <c r="CQ187" i="18"/>
  <c r="CP187" i="18"/>
  <c r="CO187" i="18"/>
  <c r="CN187" i="18"/>
  <c r="CM187" i="18"/>
  <c r="CL187" i="18"/>
  <c r="CK187" i="18"/>
  <c r="CJ187" i="18"/>
  <c r="CV186" i="18"/>
  <c r="CU186" i="18"/>
  <c r="CT186" i="18"/>
  <c r="CS186" i="18"/>
  <c r="CR186" i="18"/>
  <c r="CQ186" i="18"/>
  <c r="CP186" i="18"/>
  <c r="CO186" i="18"/>
  <c r="CN186" i="18"/>
  <c r="CM186" i="18"/>
  <c r="CL186" i="18"/>
  <c r="CK186" i="18"/>
  <c r="CJ186" i="18"/>
  <c r="CV185" i="18"/>
  <c r="CU185" i="18"/>
  <c r="CT185" i="18"/>
  <c r="CA185" i="18"/>
  <c r="CS185" i="18" s="1"/>
  <c r="BZ185" i="18"/>
  <c r="CR185" i="18" s="1"/>
  <c r="BY185" i="18"/>
  <c r="CQ185" i="18" s="1"/>
  <c r="BX185" i="18"/>
  <c r="CP185" i="18" s="1"/>
  <c r="BW185" i="18"/>
  <c r="CO185" i="18" s="1"/>
  <c r="BV185" i="18"/>
  <c r="CN185" i="18" s="1"/>
  <c r="BU185" i="18"/>
  <c r="CM185" i="18" s="1"/>
  <c r="BT185" i="18"/>
  <c r="CL185" i="18" s="1"/>
  <c r="BS185" i="18"/>
  <c r="CK185" i="18" s="1"/>
  <c r="BR185" i="18"/>
  <c r="CJ185" i="18" s="1"/>
  <c r="BJ185" i="18"/>
  <c r="BI185" i="18"/>
  <c r="BH185" i="18"/>
  <c r="BG185" i="18"/>
  <c r="BF185" i="18"/>
  <c r="BE185" i="18"/>
  <c r="BD185" i="18"/>
  <c r="BC185" i="18"/>
  <c r="BB185" i="18"/>
  <c r="BA185" i="18"/>
  <c r="CV183" i="18"/>
  <c r="CU183" i="18"/>
  <c r="CT183" i="18"/>
  <c r="CS183" i="18"/>
  <c r="CR183" i="18"/>
  <c r="CQ183" i="18"/>
  <c r="CP183" i="18"/>
  <c r="CO183" i="18"/>
  <c r="CN183" i="18"/>
  <c r="CM183" i="18"/>
  <c r="CL183" i="18"/>
  <c r="CK183" i="18"/>
  <c r="CJ183" i="18"/>
  <c r="CV182" i="18"/>
  <c r="CU182" i="18"/>
  <c r="CT182" i="18"/>
  <c r="CS182" i="18"/>
  <c r="CR182" i="18"/>
  <c r="CQ182" i="18"/>
  <c r="CP182" i="18"/>
  <c r="CO182" i="18"/>
  <c r="CN182" i="18"/>
  <c r="CM182" i="18"/>
  <c r="CL182" i="18"/>
  <c r="CK182" i="18"/>
  <c r="CJ182" i="18"/>
  <c r="CV181" i="18"/>
  <c r="CU181" i="18"/>
  <c r="CT181" i="18"/>
  <c r="CS181" i="18"/>
  <c r="CR181" i="18"/>
  <c r="CQ181" i="18"/>
  <c r="CP181" i="18"/>
  <c r="CO181" i="18"/>
  <c r="CN181" i="18"/>
  <c r="CM181" i="18"/>
  <c r="CL181" i="18"/>
  <c r="CK181" i="18"/>
  <c r="CJ181" i="18"/>
  <c r="CV180" i="18"/>
  <c r="CU180" i="18"/>
  <c r="CT180" i="18"/>
  <c r="CS180" i="18"/>
  <c r="CR180" i="18"/>
  <c r="CQ180" i="18"/>
  <c r="CP180" i="18"/>
  <c r="CO180" i="18"/>
  <c r="CN180" i="18"/>
  <c r="CM180" i="18"/>
  <c r="CL180" i="18"/>
  <c r="CK180" i="18"/>
  <c r="CJ180" i="18"/>
  <c r="CV179" i="18"/>
  <c r="CU179" i="18"/>
  <c r="CT179" i="18"/>
  <c r="CS179" i="18"/>
  <c r="CR179" i="18"/>
  <c r="CQ179" i="18"/>
  <c r="CP179" i="18"/>
  <c r="CO179" i="18"/>
  <c r="CN179" i="18"/>
  <c r="CM179" i="18"/>
  <c r="CL179" i="18"/>
  <c r="CK179" i="18"/>
  <c r="CJ179" i="18"/>
  <c r="CV178" i="18"/>
  <c r="CU178" i="18"/>
  <c r="CT178" i="18"/>
  <c r="CS178" i="18"/>
  <c r="CR178" i="18"/>
  <c r="CQ178" i="18"/>
  <c r="CP178" i="18"/>
  <c r="CO178" i="18"/>
  <c r="CN178" i="18"/>
  <c r="CM178" i="18"/>
  <c r="CL178" i="18"/>
  <c r="CK178" i="18"/>
  <c r="CJ178" i="18"/>
  <c r="CV177" i="18"/>
  <c r="CU177" i="18"/>
  <c r="CT177" i="18"/>
  <c r="CS177" i="18"/>
  <c r="CR177" i="18"/>
  <c r="CQ177" i="18"/>
  <c r="CP177" i="18"/>
  <c r="CO177" i="18"/>
  <c r="CN177" i="18"/>
  <c r="CM177" i="18"/>
  <c r="CL177" i="18"/>
  <c r="CK177" i="18"/>
  <c r="CJ177" i="18"/>
  <c r="CV176" i="18"/>
  <c r="CU176" i="18"/>
  <c r="CT176" i="18"/>
  <c r="CA176" i="18"/>
  <c r="CS176" i="18" s="1"/>
  <c r="BZ176" i="18"/>
  <c r="CR176" i="18" s="1"/>
  <c r="BY176" i="18"/>
  <c r="CQ176" i="18" s="1"/>
  <c r="BX176" i="18"/>
  <c r="CP176" i="18" s="1"/>
  <c r="BW176" i="18"/>
  <c r="CO176" i="18" s="1"/>
  <c r="BV176" i="18"/>
  <c r="CN176" i="18" s="1"/>
  <c r="BU176" i="18"/>
  <c r="CM176" i="18" s="1"/>
  <c r="BT176" i="18"/>
  <c r="CL176" i="18" s="1"/>
  <c r="BS176" i="18"/>
  <c r="CK176" i="18" s="1"/>
  <c r="BR176" i="18"/>
  <c r="CJ176" i="18" s="1"/>
  <c r="BJ176" i="18"/>
  <c r="BI176" i="18"/>
  <c r="BH176" i="18"/>
  <c r="BG176" i="18"/>
  <c r="BF176" i="18"/>
  <c r="BE176" i="18"/>
  <c r="BD176" i="18"/>
  <c r="BC176" i="18"/>
  <c r="BB176" i="18"/>
  <c r="BA176" i="18"/>
  <c r="CV175" i="18"/>
  <c r="CU175" i="18"/>
  <c r="CT175" i="18"/>
  <c r="CA175" i="18"/>
  <c r="CS175" i="18" s="1"/>
  <c r="BZ175" i="18"/>
  <c r="CR175" i="18" s="1"/>
  <c r="BY175" i="18"/>
  <c r="CQ175" i="18" s="1"/>
  <c r="BX175" i="18"/>
  <c r="CP175" i="18" s="1"/>
  <c r="BW175" i="18"/>
  <c r="CO175" i="18" s="1"/>
  <c r="BV175" i="18"/>
  <c r="CN175" i="18" s="1"/>
  <c r="BU175" i="18"/>
  <c r="CM175" i="18" s="1"/>
  <c r="BT175" i="18"/>
  <c r="CL175" i="18" s="1"/>
  <c r="BS175" i="18"/>
  <c r="CK175" i="18" s="1"/>
  <c r="BR175" i="18"/>
  <c r="CJ175" i="18" s="1"/>
  <c r="BJ175" i="18"/>
  <c r="BI175" i="18"/>
  <c r="BH175" i="18"/>
  <c r="BG175" i="18"/>
  <c r="BF175" i="18"/>
  <c r="BE175" i="18"/>
  <c r="BD175" i="18"/>
  <c r="BC175" i="18"/>
  <c r="BB175" i="18"/>
  <c r="BA175" i="18"/>
  <c r="CV174" i="18"/>
  <c r="CU174" i="18"/>
  <c r="CT174" i="18"/>
  <c r="CS174" i="18"/>
  <c r="CR174" i="18"/>
  <c r="CQ174" i="18"/>
  <c r="CP174" i="18"/>
  <c r="CO174" i="18"/>
  <c r="CN174" i="18"/>
  <c r="CM174" i="18"/>
  <c r="CL174" i="18"/>
  <c r="CK174" i="18"/>
  <c r="CJ174" i="18"/>
  <c r="CV173" i="18"/>
  <c r="CU173" i="18"/>
  <c r="CT173" i="18"/>
  <c r="CS173" i="18"/>
  <c r="CR173" i="18"/>
  <c r="CQ173" i="18"/>
  <c r="CP173" i="18"/>
  <c r="CO173" i="18"/>
  <c r="CN173" i="18"/>
  <c r="CM173" i="18"/>
  <c r="CL173" i="18"/>
  <c r="CK173" i="18"/>
  <c r="CJ173" i="18"/>
  <c r="CV172" i="18"/>
  <c r="CU172" i="18"/>
  <c r="CT172" i="18"/>
  <c r="CS172" i="18"/>
  <c r="CR172" i="18"/>
  <c r="CQ172" i="18"/>
  <c r="CP172" i="18"/>
  <c r="CO172" i="18"/>
  <c r="CN172" i="18"/>
  <c r="CM172" i="18"/>
  <c r="CL172" i="18"/>
  <c r="CK172" i="18"/>
  <c r="CJ172" i="18"/>
  <c r="CV171" i="18"/>
  <c r="CU171" i="18"/>
  <c r="CT171" i="18"/>
  <c r="CS171" i="18"/>
  <c r="CR171" i="18"/>
  <c r="CQ171" i="18"/>
  <c r="CP171" i="18"/>
  <c r="CO171" i="18"/>
  <c r="CN171" i="18"/>
  <c r="CM171" i="18"/>
  <c r="CL171" i="18"/>
  <c r="CK171" i="18"/>
  <c r="CJ171" i="18"/>
  <c r="CV170" i="18"/>
  <c r="CU170" i="18"/>
  <c r="CT170" i="18"/>
  <c r="CS170" i="18"/>
  <c r="CR170" i="18"/>
  <c r="CQ170" i="18"/>
  <c r="CP170" i="18"/>
  <c r="CO170" i="18"/>
  <c r="CN170" i="18"/>
  <c r="CM170" i="18"/>
  <c r="CL170" i="18"/>
  <c r="CK170" i="18"/>
  <c r="CJ170" i="18"/>
  <c r="CV169" i="18"/>
  <c r="CU169" i="18"/>
  <c r="CT169" i="18"/>
  <c r="CS169" i="18"/>
  <c r="CR169" i="18"/>
  <c r="CQ169" i="18"/>
  <c r="CP169" i="18"/>
  <c r="CO169" i="18"/>
  <c r="CN169" i="18"/>
  <c r="CM169" i="18"/>
  <c r="CL169" i="18"/>
  <c r="CK169" i="18"/>
  <c r="CJ169" i="18"/>
  <c r="DA168" i="18"/>
  <c r="CV168" i="18"/>
  <c r="CU168" i="18"/>
  <c r="CT168" i="18"/>
  <c r="DA167" i="18"/>
  <c r="CV167" i="18"/>
  <c r="CU167" i="18"/>
  <c r="CT167" i="18"/>
  <c r="DA166" i="18"/>
  <c r="CV166" i="18"/>
  <c r="CU166" i="18"/>
  <c r="CT166" i="18"/>
  <c r="DA165" i="18"/>
  <c r="CV165" i="18"/>
  <c r="CU165" i="18"/>
  <c r="CT165" i="18"/>
  <c r="DA164" i="18"/>
  <c r="CV164" i="18"/>
  <c r="CU164" i="18"/>
  <c r="CT164" i="18"/>
  <c r="DA163" i="18"/>
  <c r="CV163" i="18"/>
  <c r="CU163" i="18"/>
  <c r="CT163" i="18"/>
  <c r="DA162" i="18"/>
  <c r="CV162" i="18"/>
  <c r="CU162" i="18"/>
  <c r="CT162" i="18"/>
  <c r="DA161" i="18"/>
  <c r="CV161" i="18"/>
  <c r="CU161" i="18"/>
  <c r="CT161" i="18"/>
  <c r="DA160" i="18"/>
  <c r="CV160" i="18"/>
  <c r="CU160" i="18"/>
  <c r="CT160" i="18"/>
  <c r="CV159" i="18"/>
  <c r="CU159" i="18"/>
  <c r="CT159" i="18"/>
  <c r="CV158" i="18"/>
  <c r="CU158" i="18"/>
  <c r="CT158" i="18"/>
  <c r="DA157" i="18"/>
  <c r="CV157" i="18"/>
  <c r="CU157" i="18"/>
  <c r="CT157" i="18"/>
  <c r="CV156" i="18"/>
  <c r="CU156" i="18"/>
  <c r="CT156" i="18"/>
  <c r="CV155" i="18"/>
  <c r="CU155" i="18"/>
  <c r="CT155" i="18"/>
  <c r="CV154" i="18"/>
  <c r="CU154" i="18"/>
  <c r="CT154" i="18"/>
  <c r="CV153" i="18"/>
  <c r="CU153" i="18"/>
  <c r="CT153" i="18"/>
  <c r="DA152" i="18"/>
  <c r="CV152" i="18"/>
  <c r="CU152" i="18"/>
  <c r="CT152" i="18"/>
  <c r="CS152" i="18"/>
  <c r="CR152" i="18"/>
  <c r="CQ152" i="18"/>
  <c r="CP152" i="18"/>
  <c r="CO152" i="18"/>
  <c r="CN152" i="18"/>
  <c r="CM152" i="18"/>
  <c r="CL152" i="18"/>
  <c r="CK152" i="18"/>
  <c r="CJ152" i="18"/>
  <c r="DA151" i="18"/>
  <c r="CV151" i="18"/>
  <c r="CU151" i="18"/>
  <c r="CT151" i="18"/>
  <c r="CS151" i="18"/>
  <c r="CR151" i="18"/>
  <c r="CQ151" i="18"/>
  <c r="CP151" i="18"/>
  <c r="CO151" i="18"/>
  <c r="CN151" i="18"/>
  <c r="CM151" i="18"/>
  <c r="CL151" i="18"/>
  <c r="CK151" i="18"/>
  <c r="CJ151" i="18"/>
  <c r="DA150" i="18"/>
  <c r="CV150" i="18"/>
  <c r="CU150" i="18"/>
  <c r="CT150" i="18"/>
  <c r="CS150" i="18"/>
  <c r="CR150" i="18"/>
  <c r="CQ150" i="18"/>
  <c r="CP150" i="18"/>
  <c r="CO150" i="18"/>
  <c r="CN150" i="18"/>
  <c r="CM150" i="18"/>
  <c r="CL150" i="18"/>
  <c r="CK150" i="18"/>
  <c r="CJ150" i="18"/>
  <c r="DA149" i="18"/>
  <c r="CV149" i="18"/>
  <c r="CU149" i="18"/>
  <c r="CT149" i="18"/>
  <c r="CS149" i="18"/>
  <c r="CR149" i="18"/>
  <c r="CQ149" i="18"/>
  <c r="CP149" i="18"/>
  <c r="CO149" i="18"/>
  <c r="CN149" i="18"/>
  <c r="CM149" i="18"/>
  <c r="CL149" i="18"/>
  <c r="CK149" i="18"/>
  <c r="CJ149" i="18"/>
  <c r="CV148" i="18"/>
  <c r="CU148" i="18"/>
  <c r="CT148" i="18"/>
  <c r="CV147" i="18"/>
  <c r="CU147" i="18"/>
  <c r="CT147" i="18"/>
  <c r="DA146" i="18"/>
  <c r="CV146" i="18"/>
  <c r="CU146" i="18"/>
  <c r="CT146" i="18"/>
  <c r="CS146" i="18"/>
  <c r="CR146" i="18"/>
  <c r="CQ146" i="18"/>
  <c r="CP146" i="18"/>
  <c r="CO146" i="18"/>
  <c r="CN146" i="18"/>
  <c r="CM146" i="18"/>
  <c r="CL146" i="18"/>
  <c r="CK146" i="18"/>
  <c r="CJ146" i="18"/>
  <c r="DA145" i="18"/>
  <c r="CV145" i="18"/>
  <c r="CU145" i="18"/>
  <c r="CT145" i="18"/>
  <c r="CS145" i="18"/>
  <c r="CR145" i="18"/>
  <c r="CQ145" i="18"/>
  <c r="CP145" i="18"/>
  <c r="CO145" i="18"/>
  <c r="CN145" i="18"/>
  <c r="CM145" i="18"/>
  <c r="CL145" i="18"/>
  <c r="CK145" i="18"/>
  <c r="CJ145" i="18"/>
  <c r="DA144" i="18"/>
  <c r="CV144" i="18"/>
  <c r="CU144" i="18"/>
  <c r="CT144" i="18"/>
  <c r="CS144" i="18"/>
  <c r="CR144" i="18"/>
  <c r="CQ144" i="18"/>
  <c r="CP144" i="18"/>
  <c r="CO144" i="18"/>
  <c r="CN144" i="18"/>
  <c r="CM144" i="18"/>
  <c r="CL144" i="18"/>
  <c r="CK144" i="18"/>
  <c r="CJ144" i="18"/>
  <c r="DA141" i="18"/>
  <c r="CV141" i="18"/>
  <c r="CU141" i="18"/>
  <c r="CT141" i="18"/>
  <c r="CS141" i="18"/>
  <c r="CR141" i="18"/>
  <c r="CQ141" i="18"/>
  <c r="CP141" i="18"/>
  <c r="CO141" i="18"/>
  <c r="CN141" i="18"/>
  <c r="CM141" i="18"/>
  <c r="CL141" i="18"/>
  <c r="CK141" i="18"/>
  <c r="CJ141" i="18"/>
  <c r="DA140" i="18"/>
  <c r="CV140" i="18"/>
  <c r="CU140" i="18"/>
  <c r="CT140" i="18"/>
  <c r="CS140" i="18"/>
  <c r="CR140" i="18"/>
  <c r="CQ140" i="18"/>
  <c r="CP140" i="18"/>
  <c r="CO140" i="18"/>
  <c r="CN140" i="18"/>
  <c r="CM140" i="18"/>
  <c r="CL140" i="18"/>
  <c r="CK140" i="18"/>
  <c r="CJ140" i="18"/>
  <c r="DA139" i="18"/>
  <c r="CV139" i="18"/>
  <c r="CU139" i="18"/>
  <c r="CT139" i="18"/>
  <c r="CS139" i="18"/>
  <c r="CR139" i="18"/>
  <c r="CQ139" i="18"/>
  <c r="CP139" i="18"/>
  <c r="CO139" i="18"/>
  <c r="CN139" i="18"/>
  <c r="CM139" i="18"/>
  <c r="CL139" i="18"/>
  <c r="CK139" i="18"/>
  <c r="CJ139" i="18"/>
  <c r="CF139" i="18"/>
  <c r="DA138" i="18"/>
  <c r="CV138" i="18"/>
  <c r="CU138" i="18"/>
  <c r="CT138" i="18"/>
  <c r="CS138" i="18"/>
  <c r="CR138" i="18"/>
  <c r="CQ138" i="18"/>
  <c r="CP138" i="18"/>
  <c r="CO138" i="18"/>
  <c r="CN138" i="18"/>
  <c r="CM138" i="18"/>
  <c r="CL138" i="18"/>
  <c r="CK138" i="18"/>
  <c r="CJ138" i="18"/>
  <c r="CF138" i="18"/>
  <c r="DA137" i="18"/>
  <c r="CV137" i="18"/>
  <c r="CU137" i="18"/>
  <c r="CT137" i="18"/>
  <c r="CS137" i="18"/>
  <c r="CR137" i="18"/>
  <c r="CQ137" i="18"/>
  <c r="CP137" i="18"/>
  <c r="CO137" i="18"/>
  <c r="CN137" i="18"/>
  <c r="CM137" i="18"/>
  <c r="CL137" i="18"/>
  <c r="CK137" i="18"/>
  <c r="CJ137" i="18"/>
  <c r="CF137" i="18"/>
  <c r="DA136" i="18"/>
  <c r="CV136" i="18"/>
  <c r="CU136" i="18"/>
  <c r="CT136" i="18"/>
  <c r="CS136" i="18"/>
  <c r="CR136" i="18"/>
  <c r="CQ136" i="18"/>
  <c r="CP136" i="18"/>
  <c r="CO136" i="18"/>
  <c r="CN136" i="18"/>
  <c r="CM136" i="18"/>
  <c r="CL136" i="18"/>
  <c r="CK136" i="18"/>
  <c r="CJ136" i="18"/>
  <c r="CF136" i="18"/>
  <c r="DA135" i="18"/>
  <c r="CV135" i="18"/>
  <c r="CU135" i="18"/>
  <c r="CT135" i="18"/>
  <c r="CS135" i="18"/>
  <c r="CR135" i="18"/>
  <c r="CQ135" i="18"/>
  <c r="CP135" i="18"/>
  <c r="CO135" i="18"/>
  <c r="CN135" i="18"/>
  <c r="CM135" i="18"/>
  <c r="CL135" i="18"/>
  <c r="CK135" i="18"/>
  <c r="CJ135" i="18"/>
  <c r="CF135" i="18"/>
  <c r="DA134" i="18"/>
  <c r="CV134" i="18"/>
  <c r="CU134" i="18"/>
  <c r="CT134" i="18"/>
  <c r="CS134" i="18"/>
  <c r="CR134" i="18"/>
  <c r="CQ134" i="18"/>
  <c r="CP134" i="18"/>
  <c r="CO134" i="18"/>
  <c r="CN134" i="18"/>
  <c r="CM134" i="18"/>
  <c r="CL134" i="18"/>
  <c r="CK134" i="18"/>
  <c r="CJ134" i="18"/>
  <c r="CF134" i="18"/>
  <c r="DA133" i="18"/>
  <c r="CV133" i="18"/>
  <c r="CU133" i="18"/>
  <c r="CT133" i="18"/>
  <c r="CS133" i="18"/>
  <c r="CR133" i="18"/>
  <c r="CQ133" i="18"/>
  <c r="CP133" i="18"/>
  <c r="CO133" i="18"/>
  <c r="CN133" i="18"/>
  <c r="CM133" i="18"/>
  <c r="CL133" i="18"/>
  <c r="CK133" i="18"/>
  <c r="CJ133" i="18"/>
  <c r="CF133" i="18"/>
  <c r="DA132" i="18"/>
  <c r="CV132" i="18"/>
  <c r="CU132" i="18"/>
  <c r="CT132" i="18"/>
  <c r="CS132" i="18"/>
  <c r="CR132" i="18"/>
  <c r="CQ132" i="18"/>
  <c r="CP132" i="18"/>
  <c r="CO132" i="18"/>
  <c r="CN132" i="18"/>
  <c r="CM132" i="18"/>
  <c r="CL132" i="18"/>
  <c r="CK132" i="18"/>
  <c r="CJ132" i="18"/>
  <c r="CF132" i="18"/>
  <c r="DA131" i="18"/>
  <c r="CV131" i="18"/>
  <c r="CU131" i="18"/>
  <c r="CT131" i="18"/>
  <c r="CS131" i="18"/>
  <c r="CR131" i="18"/>
  <c r="CQ131" i="18"/>
  <c r="CP131" i="18"/>
  <c r="CO131" i="18"/>
  <c r="CN131" i="18"/>
  <c r="CM131" i="18"/>
  <c r="CL131" i="18"/>
  <c r="CK131" i="18"/>
  <c r="CJ131" i="18"/>
  <c r="DA130" i="18"/>
  <c r="CV130" i="18"/>
  <c r="CU130" i="18"/>
  <c r="CT130" i="18"/>
  <c r="CS130" i="18"/>
  <c r="CR130" i="18"/>
  <c r="CQ130" i="18"/>
  <c r="CP130" i="18"/>
  <c r="CO130" i="18"/>
  <c r="CN130" i="18"/>
  <c r="CM130" i="18"/>
  <c r="CL130" i="18"/>
  <c r="CK130" i="18"/>
  <c r="CJ130" i="18"/>
  <c r="DA129" i="18"/>
  <c r="CV129" i="18"/>
  <c r="CU129" i="18"/>
  <c r="CT129" i="18"/>
  <c r="CS129" i="18"/>
  <c r="CR129" i="18"/>
  <c r="CQ129" i="18"/>
  <c r="CP129" i="18"/>
  <c r="CO129" i="18"/>
  <c r="CN129" i="18"/>
  <c r="CM129" i="18"/>
  <c r="CL129" i="18"/>
  <c r="CK129" i="18"/>
  <c r="CJ129" i="18"/>
  <c r="DA128" i="18"/>
  <c r="CV128" i="18"/>
  <c r="CU128" i="18"/>
  <c r="CT128" i="18"/>
  <c r="CS128" i="18"/>
  <c r="CR128" i="18"/>
  <c r="CQ128" i="18"/>
  <c r="CP128" i="18"/>
  <c r="CO128" i="18"/>
  <c r="CN128" i="18"/>
  <c r="CM128" i="18"/>
  <c r="CL128" i="18"/>
  <c r="CK128" i="18"/>
  <c r="CJ128" i="18"/>
  <c r="DA127" i="18"/>
  <c r="CV127" i="18"/>
  <c r="CU127" i="18"/>
  <c r="CT127" i="18"/>
  <c r="CS127" i="18"/>
  <c r="CR127" i="18"/>
  <c r="CQ127" i="18"/>
  <c r="CP127" i="18"/>
  <c r="CO127" i="18"/>
  <c r="CN127" i="18"/>
  <c r="CM127" i="18"/>
  <c r="CL127" i="18"/>
  <c r="CK127" i="18"/>
  <c r="CJ127" i="18"/>
  <c r="DA126" i="18"/>
  <c r="CV126" i="18"/>
  <c r="CU126" i="18"/>
  <c r="CT126" i="18"/>
  <c r="CS126" i="18"/>
  <c r="CR126" i="18"/>
  <c r="CQ126" i="18"/>
  <c r="CP126" i="18"/>
  <c r="CO126" i="18"/>
  <c r="CN126" i="18"/>
  <c r="CM126" i="18"/>
  <c r="CL126" i="18"/>
  <c r="CK126" i="18"/>
  <c r="CJ126" i="18"/>
  <c r="DA125" i="18"/>
  <c r="CV125" i="18"/>
  <c r="CU125" i="18"/>
  <c r="CT125" i="18"/>
  <c r="CS125" i="18"/>
  <c r="CR125" i="18"/>
  <c r="CQ125" i="18"/>
  <c r="CP125" i="18"/>
  <c r="CO125" i="18"/>
  <c r="CN125" i="18"/>
  <c r="CM125" i="18"/>
  <c r="CL125" i="18"/>
  <c r="CK125" i="18"/>
  <c r="CJ125" i="18"/>
  <c r="DA124" i="18"/>
  <c r="CV124" i="18"/>
  <c r="CU124" i="18"/>
  <c r="CT124" i="18"/>
  <c r="CS124" i="18"/>
  <c r="CR124" i="18"/>
  <c r="CQ124" i="18"/>
  <c r="CP124" i="18"/>
  <c r="CO124" i="18"/>
  <c r="CN124" i="18"/>
  <c r="CM124" i="18"/>
  <c r="CL124" i="18"/>
  <c r="CK124" i="18"/>
  <c r="CJ124" i="18"/>
  <c r="DA123" i="18"/>
  <c r="CV123" i="18"/>
  <c r="CU123" i="18"/>
  <c r="CT123" i="18"/>
  <c r="CS123" i="18"/>
  <c r="CR123" i="18"/>
  <c r="CQ123" i="18"/>
  <c r="CP123" i="18"/>
  <c r="CO123" i="18"/>
  <c r="CN123" i="18"/>
  <c r="CM123" i="18"/>
  <c r="CL123" i="18"/>
  <c r="CK123" i="18"/>
  <c r="CJ123" i="18"/>
  <c r="CV122" i="18"/>
  <c r="CU122" i="18"/>
  <c r="CT122" i="18"/>
  <c r="DA121" i="18"/>
  <c r="CV121" i="18"/>
  <c r="CU121" i="18"/>
  <c r="CT121" i="18"/>
  <c r="CS121" i="18"/>
  <c r="CR121" i="18"/>
  <c r="CQ121" i="18"/>
  <c r="CP121" i="18"/>
  <c r="CO121" i="18"/>
  <c r="CN121" i="18"/>
  <c r="CM121" i="18"/>
  <c r="CL121" i="18"/>
  <c r="CK121" i="18"/>
  <c r="CJ121" i="18"/>
  <c r="DA120" i="18"/>
  <c r="CV120" i="18"/>
  <c r="CU120" i="18"/>
  <c r="CT120" i="18"/>
  <c r="CS120" i="18"/>
  <c r="CR120" i="18"/>
  <c r="CQ120" i="18"/>
  <c r="CP120" i="18"/>
  <c r="CO120" i="18"/>
  <c r="CN120" i="18"/>
  <c r="CM120" i="18"/>
  <c r="CL120" i="18"/>
  <c r="CK120" i="18"/>
  <c r="CJ120" i="18"/>
  <c r="H120" i="18"/>
  <c r="CV119" i="18"/>
  <c r="CU119" i="18"/>
  <c r="CT119" i="18"/>
  <c r="CS119" i="18"/>
  <c r="CR119" i="18"/>
  <c r="CQ119" i="18"/>
  <c r="CP119" i="18"/>
  <c r="CO119" i="18"/>
  <c r="CN119" i="18"/>
  <c r="CM119" i="18"/>
  <c r="CL119" i="18"/>
  <c r="CK119" i="18"/>
  <c r="CJ119" i="18"/>
  <c r="CV118" i="18"/>
  <c r="CU118" i="18"/>
  <c r="CT118" i="18"/>
  <c r="CS118" i="18"/>
  <c r="CR118" i="18"/>
  <c r="CQ118" i="18"/>
  <c r="CP118" i="18"/>
  <c r="CO118" i="18"/>
  <c r="CN118" i="18"/>
  <c r="CM118" i="18"/>
  <c r="CL118" i="18"/>
  <c r="CK118" i="18"/>
  <c r="CJ118" i="18"/>
  <c r="CV117" i="18"/>
  <c r="CU117" i="18"/>
  <c r="CT117" i="18"/>
  <c r="CS117" i="18"/>
  <c r="CR117" i="18"/>
  <c r="CQ117" i="18"/>
  <c r="CP117" i="18"/>
  <c r="CO117" i="18"/>
  <c r="CN117" i="18"/>
  <c r="CM117" i="18"/>
  <c r="CL117" i="18"/>
  <c r="CK117" i="18"/>
  <c r="CJ117" i="18"/>
  <c r="CV116" i="18"/>
  <c r="CU116" i="18"/>
  <c r="CT116" i="18"/>
  <c r="CS116" i="18"/>
  <c r="CR116" i="18"/>
  <c r="CQ116" i="18"/>
  <c r="CP116" i="18"/>
  <c r="CO116" i="18"/>
  <c r="CN116" i="18"/>
  <c r="CM116" i="18"/>
  <c r="CL116" i="18"/>
  <c r="CK116" i="18"/>
  <c r="CJ116" i="18"/>
  <c r="CV113" i="18"/>
  <c r="CU113" i="18"/>
  <c r="CT113" i="18"/>
  <c r="CS113" i="18"/>
  <c r="CR113" i="18"/>
  <c r="CQ113" i="18"/>
  <c r="CP113" i="18"/>
  <c r="CO113" i="18"/>
  <c r="CN113" i="18"/>
  <c r="CM113" i="18"/>
  <c r="CL113" i="18"/>
  <c r="CK113" i="18"/>
  <c r="CJ113" i="18"/>
  <c r="CV112" i="18"/>
  <c r="CU112" i="18"/>
  <c r="CT112" i="18"/>
  <c r="DA111" i="18"/>
  <c r="DA110" i="18"/>
  <c r="DA109" i="18"/>
  <c r="DA108" i="18"/>
  <c r="DA105" i="18"/>
  <c r="DA104" i="18"/>
  <c r="DA101" i="18"/>
  <c r="CV100" i="18"/>
  <c r="CU100" i="18"/>
  <c r="CT100" i="18"/>
  <c r="DA99" i="18"/>
  <c r="CV99" i="18"/>
  <c r="CU99" i="18"/>
  <c r="CT99" i="18"/>
  <c r="CS99" i="18"/>
  <c r="CR99" i="18"/>
  <c r="CQ99" i="18"/>
  <c r="CP99" i="18"/>
  <c r="CO99" i="18"/>
  <c r="CN99" i="18"/>
  <c r="CM99" i="18"/>
  <c r="CL99" i="18"/>
  <c r="CK99" i="18"/>
  <c r="CJ99" i="18"/>
  <c r="H99" i="18"/>
  <c r="CV98" i="18"/>
  <c r="CU98" i="18"/>
  <c r="CT98" i="18"/>
  <c r="CV97" i="18"/>
  <c r="CU97" i="18"/>
  <c r="CT97" i="18"/>
  <c r="CV96" i="18"/>
  <c r="CU96" i="18"/>
  <c r="CT96" i="18"/>
  <c r="CV95" i="18"/>
  <c r="CU95" i="18"/>
  <c r="CT95" i="18"/>
  <c r="CV94" i="18"/>
  <c r="CU94" i="18"/>
  <c r="CT94" i="18"/>
  <c r="CV93" i="18"/>
  <c r="CU93" i="18"/>
  <c r="CT93" i="18"/>
  <c r="DA92" i="18"/>
  <c r="CV92" i="18"/>
  <c r="CU92" i="18"/>
  <c r="CT92" i="18"/>
  <c r="CS92" i="18"/>
  <c r="CR92" i="18"/>
  <c r="CQ92" i="18"/>
  <c r="CP92" i="18"/>
  <c r="CO92" i="18"/>
  <c r="CN92" i="18"/>
  <c r="CM92" i="18"/>
  <c r="CL92" i="18"/>
  <c r="CK92" i="18"/>
  <c r="CJ92" i="18"/>
  <c r="DA91" i="18"/>
  <c r="CV91" i="18"/>
  <c r="CU91" i="18"/>
  <c r="CT91" i="18"/>
  <c r="CS91" i="18"/>
  <c r="CR91" i="18"/>
  <c r="CQ91" i="18"/>
  <c r="CP91" i="18"/>
  <c r="CO91" i="18"/>
  <c r="CN91" i="18"/>
  <c r="CM91" i="18"/>
  <c r="CL91" i="18"/>
  <c r="CK91" i="18"/>
  <c r="CJ91" i="18"/>
  <c r="DA90" i="18"/>
  <c r="CV90" i="18"/>
  <c r="CU90" i="18"/>
  <c r="CT90" i="18"/>
  <c r="CS90" i="18"/>
  <c r="CR90" i="18"/>
  <c r="CQ90" i="18"/>
  <c r="CP90" i="18"/>
  <c r="CO90" i="18"/>
  <c r="CN90" i="18"/>
  <c r="CM90" i="18"/>
  <c r="CL90" i="18"/>
  <c r="CK90" i="18"/>
  <c r="CJ90" i="18"/>
  <c r="DA89" i="18"/>
  <c r="CV89" i="18"/>
  <c r="CU89" i="18"/>
  <c r="CT89" i="18"/>
  <c r="CS89" i="18"/>
  <c r="CR89" i="18"/>
  <c r="CQ89" i="18"/>
  <c r="CP89" i="18"/>
  <c r="CO89" i="18"/>
  <c r="CN89" i="18"/>
  <c r="CM89" i="18"/>
  <c r="CL89" i="18"/>
  <c r="CK89" i="18"/>
  <c r="CJ89" i="18"/>
  <c r="CV88" i="18"/>
  <c r="CU88" i="18"/>
  <c r="CV87" i="18"/>
  <c r="CU87" i="18"/>
  <c r="CV86" i="18"/>
  <c r="CU86" i="18"/>
  <c r="CV85" i="18"/>
  <c r="CU85" i="18"/>
  <c r="CV84" i="18"/>
  <c r="CU84" i="18"/>
  <c r="CV83" i="18"/>
  <c r="CU83" i="18"/>
  <c r="CV82" i="18"/>
  <c r="CU82" i="18"/>
  <c r="CT82" i="18"/>
  <c r="DA81" i="18"/>
  <c r="CV81" i="18"/>
  <c r="CU81" i="18"/>
  <c r="CT81" i="18"/>
  <c r="DA80" i="18"/>
  <c r="CV80" i="18"/>
  <c r="CU80" i="18"/>
  <c r="CT80" i="18"/>
  <c r="CV79" i="18"/>
  <c r="CU79" i="18"/>
  <c r="CT79" i="18"/>
  <c r="CV78" i="18"/>
  <c r="CU78" i="18"/>
  <c r="CT78" i="18"/>
  <c r="DA77" i="18"/>
  <c r="CV77" i="18"/>
  <c r="CU77" i="18"/>
  <c r="CT77" i="18"/>
  <c r="CS77" i="18"/>
  <c r="CR77" i="18"/>
  <c r="CQ77" i="18"/>
  <c r="CP77" i="18"/>
  <c r="CO77" i="18"/>
  <c r="CN77" i="18"/>
  <c r="CM77" i="18"/>
  <c r="CL77" i="18"/>
  <c r="CK77" i="18"/>
  <c r="CJ77" i="18"/>
  <c r="CV76" i="18"/>
  <c r="CU76" i="18"/>
  <c r="CT76" i="18"/>
  <c r="CS76" i="18"/>
  <c r="CR76" i="18"/>
  <c r="CQ76" i="18"/>
  <c r="CP76" i="18"/>
  <c r="CO76" i="18"/>
  <c r="CN76" i="18"/>
  <c r="CM76" i="18"/>
  <c r="CL76" i="18"/>
  <c r="CK76" i="18"/>
  <c r="CJ76" i="18"/>
  <c r="CV75" i="18"/>
  <c r="CU75" i="18"/>
  <c r="CT75" i="18"/>
  <c r="CS75" i="18"/>
  <c r="CR75" i="18"/>
  <c r="CQ75" i="18"/>
  <c r="CP75" i="18"/>
  <c r="CO75" i="18"/>
  <c r="CN75" i="18"/>
  <c r="CM75" i="18"/>
  <c r="CL75" i="18"/>
  <c r="CK75" i="18"/>
  <c r="CJ75" i="18"/>
  <c r="CV74" i="18"/>
  <c r="CU74" i="18"/>
  <c r="CT74" i="18"/>
  <c r="CS74" i="18"/>
  <c r="CR74" i="18"/>
  <c r="CQ74" i="18"/>
  <c r="CP74" i="18"/>
  <c r="CO74" i="18"/>
  <c r="CN74" i="18"/>
  <c r="CM74" i="18"/>
  <c r="CL74" i="18"/>
  <c r="CK74" i="18"/>
  <c r="CJ74" i="18"/>
  <c r="CV72" i="18"/>
  <c r="CU72" i="18"/>
  <c r="CT72" i="18"/>
  <c r="CS72" i="18"/>
  <c r="CR72" i="18"/>
  <c r="CQ72" i="18"/>
  <c r="CP72" i="18"/>
  <c r="CO72" i="18"/>
  <c r="CN72" i="18"/>
  <c r="CM72" i="18"/>
  <c r="CL72" i="18"/>
  <c r="CK72" i="18"/>
  <c r="CJ72" i="18"/>
  <c r="CV71" i="18"/>
  <c r="CU71" i="18"/>
  <c r="CT71" i="18"/>
  <c r="CS71" i="18"/>
  <c r="CR71" i="18"/>
  <c r="CQ71" i="18"/>
  <c r="CP71" i="18"/>
  <c r="CO71" i="18"/>
  <c r="CN71" i="18"/>
  <c r="CM71" i="18"/>
  <c r="CL71" i="18"/>
  <c r="CK71" i="18"/>
  <c r="CJ71" i="18"/>
  <c r="CV69" i="18"/>
  <c r="CU69" i="18"/>
  <c r="CT69" i="18"/>
  <c r="CS69" i="18"/>
  <c r="CR69" i="18"/>
  <c r="CQ69" i="18"/>
  <c r="CP69" i="18"/>
  <c r="CO69" i="18"/>
  <c r="CN69" i="18"/>
  <c r="CM69" i="18"/>
  <c r="CL69" i="18"/>
  <c r="CK69" i="18"/>
  <c r="CJ69" i="18"/>
  <c r="CV68" i="18"/>
  <c r="CU68" i="18"/>
  <c r="CT68" i="18"/>
  <c r="CS68" i="18"/>
  <c r="CR68" i="18"/>
  <c r="CQ68" i="18"/>
  <c r="CP68" i="18"/>
  <c r="CO68" i="18"/>
  <c r="CN68" i="18"/>
  <c r="CM68" i="18"/>
  <c r="CL68" i="18"/>
  <c r="CK68" i="18"/>
  <c r="CJ68" i="18"/>
  <c r="DA67" i="18"/>
  <c r="CV67" i="18"/>
  <c r="CU67" i="18"/>
  <c r="CT67" i="18"/>
  <c r="CS67" i="18"/>
  <c r="CR67" i="18"/>
  <c r="CQ67" i="18"/>
  <c r="CP67" i="18"/>
  <c r="CO67" i="18"/>
  <c r="CN67" i="18"/>
  <c r="CM67" i="18"/>
  <c r="CL67" i="18"/>
  <c r="CK67" i="18"/>
  <c r="CJ67" i="18"/>
  <c r="DA66" i="18"/>
  <c r="CV66" i="18"/>
  <c r="CU66" i="18"/>
  <c r="CT66" i="18"/>
  <c r="CS66" i="18"/>
  <c r="CR66" i="18"/>
  <c r="CQ66" i="18"/>
  <c r="CP66" i="18"/>
  <c r="CO66" i="18"/>
  <c r="CN66" i="18"/>
  <c r="CM66" i="18"/>
  <c r="CL66" i="18"/>
  <c r="CK66" i="18"/>
  <c r="CJ66" i="18"/>
  <c r="DA65" i="18"/>
  <c r="CV65" i="18"/>
  <c r="CU65" i="18"/>
  <c r="CT65" i="18"/>
  <c r="CS65" i="18"/>
  <c r="CR65" i="18"/>
  <c r="CQ65" i="18"/>
  <c r="CP65" i="18"/>
  <c r="CO65" i="18"/>
  <c r="CN65" i="18"/>
  <c r="CM65" i="18"/>
  <c r="CL65" i="18"/>
  <c r="CK65" i="18"/>
  <c r="CJ65" i="18"/>
  <c r="DA64" i="18"/>
  <c r="CV64" i="18"/>
  <c r="CU64" i="18"/>
  <c r="CT64" i="18"/>
  <c r="CS64" i="18"/>
  <c r="CR64" i="18"/>
  <c r="CQ64" i="18"/>
  <c r="CP64" i="18"/>
  <c r="CO64" i="18"/>
  <c r="CN64" i="18"/>
  <c r="CM64" i="18"/>
  <c r="CL64" i="18"/>
  <c r="CK64" i="18"/>
  <c r="CJ64" i="18"/>
  <c r="CV63" i="18"/>
  <c r="CU63" i="18"/>
  <c r="CT63" i="18"/>
  <c r="CV62" i="18"/>
  <c r="CU62" i="18"/>
  <c r="CT62" i="18"/>
  <c r="DA61" i="18"/>
  <c r="CV61" i="18"/>
  <c r="CU61" i="18"/>
  <c r="CT61" i="18"/>
  <c r="CS61" i="18"/>
  <c r="CR61" i="18"/>
  <c r="CQ61" i="18"/>
  <c r="CP61" i="18"/>
  <c r="CO61" i="18"/>
  <c r="CN61" i="18"/>
  <c r="CM61" i="18"/>
  <c r="CL61" i="18"/>
  <c r="CK61" i="18"/>
  <c r="CJ61" i="18"/>
  <c r="DA60" i="18"/>
  <c r="CV60" i="18"/>
  <c r="CU60" i="18"/>
  <c r="CT60" i="18"/>
  <c r="CS60" i="18"/>
  <c r="CR60" i="18"/>
  <c r="CQ60" i="18"/>
  <c r="CP60" i="18"/>
  <c r="CO60" i="18"/>
  <c r="CN60" i="18"/>
  <c r="CM60" i="18"/>
  <c r="CL60" i="18"/>
  <c r="CK60" i="18"/>
  <c r="CJ60" i="18"/>
  <c r="DA59" i="18"/>
  <c r="CV59" i="18"/>
  <c r="CU59" i="18"/>
  <c r="CT59" i="18"/>
  <c r="CS59" i="18"/>
  <c r="CR59" i="18"/>
  <c r="CQ59" i="18"/>
  <c r="CP59" i="18"/>
  <c r="CO59" i="18"/>
  <c r="CN59" i="18"/>
  <c r="CM59" i="18"/>
  <c r="CL59" i="18"/>
  <c r="CK59" i="18"/>
  <c r="CJ59" i="18"/>
  <c r="CP57" i="18"/>
  <c r="CD57" i="18"/>
  <c r="CV57" i="18" s="1"/>
  <c r="CC57" i="18"/>
  <c r="CU57" i="18" s="1"/>
  <c r="CB57" i="18"/>
  <c r="CT57" i="18" s="1"/>
  <c r="CA57" i="18"/>
  <c r="CS57" i="18" s="1"/>
  <c r="BZ57" i="18"/>
  <c r="CR57" i="18" s="1"/>
  <c r="BY57" i="18"/>
  <c r="CQ57" i="18" s="1"/>
  <c r="BW57" i="18"/>
  <c r="CO57" i="18" s="1"/>
  <c r="BV57" i="18"/>
  <c r="CN57" i="18" s="1"/>
  <c r="BU57" i="18"/>
  <c r="CM57" i="18" s="1"/>
  <c r="BT57" i="18"/>
  <c r="CL57" i="18" s="1"/>
  <c r="BS57" i="18"/>
  <c r="CK57" i="18" s="1"/>
  <c r="BR57" i="18"/>
  <c r="DA57" i="18" s="1"/>
  <c r="CP56" i="18"/>
  <c r="CO56" i="18"/>
  <c r="CN56" i="18"/>
  <c r="CM56" i="18"/>
  <c r="CL56" i="18"/>
  <c r="CD56" i="18"/>
  <c r="CV56" i="18" s="1"/>
  <c r="CC56" i="18"/>
  <c r="CU56" i="18" s="1"/>
  <c r="CB56" i="18"/>
  <c r="CT56" i="18" s="1"/>
  <c r="CA56" i="18"/>
  <c r="CS56" i="18" s="1"/>
  <c r="BZ56" i="18"/>
  <c r="CR56" i="18" s="1"/>
  <c r="BY56" i="18"/>
  <c r="CQ56" i="18" s="1"/>
  <c r="BS56" i="18"/>
  <c r="CK56" i="18" s="1"/>
  <c r="BR56" i="18"/>
  <c r="CJ56" i="18" s="1"/>
  <c r="CP55" i="18"/>
  <c r="CD55" i="18"/>
  <c r="CV55" i="18" s="1"/>
  <c r="CC55" i="18"/>
  <c r="CU55" i="18" s="1"/>
  <c r="CB55" i="18"/>
  <c r="CT55" i="18" s="1"/>
  <c r="CA55" i="18"/>
  <c r="CS55" i="18" s="1"/>
  <c r="BZ55" i="18"/>
  <c r="CR55" i="18" s="1"/>
  <c r="BY55" i="18"/>
  <c r="CQ55" i="18" s="1"/>
  <c r="BW55" i="18"/>
  <c r="CO55" i="18" s="1"/>
  <c r="BV55" i="18"/>
  <c r="CN55" i="18" s="1"/>
  <c r="BU55" i="18"/>
  <c r="CM55" i="18" s="1"/>
  <c r="BT55" i="18"/>
  <c r="CL55" i="18" s="1"/>
  <c r="BS55" i="18"/>
  <c r="CK55" i="18" s="1"/>
  <c r="BR55" i="18"/>
  <c r="DA55" i="18" s="1"/>
  <c r="DA54" i="18"/>
  <c r="CV54" i="18"/>
  <c r="CU54" i="18"/>
  <c r="CT54" i="18"/>
  <c r="CS54" i="18"/>
  <c r="CR54" i="18"/>
  <c r="CQ54" i="18"/>
  <c r="CP54" i="18"/>
  <c r="CO54" i="18"/>
  <c r="CN54" i="18"/>
  <c r="CM54" i="18"/>
  <c r="CL54" i="18"/>
  <c r="CK54" i="18"/>
  <c r="CJ54" i="18"/>
  <c r="DA53" i="18"/>
  <c r="CV53" i="18"/>
  <c r="CU53" i="18"/>
  <c r="CT53" i="18"/>
  <c r="CS53" i="18"/>
  <c r="CR53" i="18"/>
  <c r="CQ53" i="18"/>
  <c r="CP53" i="18"/>
  <c r="CO53" i="18"/>
  <c r="CN53" i="18"/>
  <c r="CM53" i="18"/>
  <c r="CL53" i="18"/>
  <c r="CK53" i="18"/>
  <c r="CJ53" i="18"/>
  <c r="DA52" i="18"/>
  <c r="CV52" i="18"/>
  <c r="CU52" i="18"/>
  <c r="CT52" i="18"/>
  <c r="CS52" i="18"/>
  <c r="CR52" i="18"/>
  <c r="CQ52" i="18"/>
  <c r="CP52" i="18"/>
  <c r="CO52" i="18"/>
  <c r="CN52" i="18"/>
  <c r="CM52" i="18"/>
  <c r="CL52" i="18"/>
  <c r="CK52" i="18"/>
  <c r="CJ52" i="18"/>
  <c r="DA50" i="18"/>
  <c r="CV50" i="18"/>
  <c r="CU50" i="18"/>
  <c r="CT50" i="18"/>
  <c r="CS50" i="18"/>
  <c r="CR50" i="18"/>
  <c r="CQ50" i="18"/>
  <c r="CP50" i="18"/>
  <c r="CO50" i="18"/>
  <c r="CN50" i="18"/>
  <c r="CM50" i="18"/>
  <c r="CL50" i="18"/>
  <c r="CK50" i="18"/>
  <c r="CJ50" i="18"/>
  <c r="DA49" i="18"/>
  <c r="CV49" i="18"/>
  <c r="CU49" i="18"/>
  <c r="CT49" i="18"/>
  <c r="CS49" i="18"/>
  <c r="CR49" i="18"/>
  <c r="CQ49" i="18"/>
  <c r="CP49" i="18"/>
  <c r="CO49" i="18"/>
  <c r="CN49" i="18"/>
  <c r="CM49" i="18"/>
  <c r="CL49" i="18"/>
  <c r="CK49" i="18"/>
  <c r="CJ49" i="18"/>
  <c r="DA48" i="18"/>
  <c r="CV48" i="18"/>
  <c r="CU48" i="18"/>
  <c r="CT48" i="18"/>
  <c r="CS48" i="18"/>
  <c r="CR48" i="18"/>
  <c r="CQ48" i="18"/>
  <c r="CP48" i="18"/>
  <c r="CO48" i="18"/>
  <c r="CN48" i="18"/>
  <c r="CM48" i="18"/>
  <c r="CL48" i="18"/>
  <c r="CK48" i="18"/>
  <c r="CJ48" i="18"/>
  <c r="DA47" i="18"/>
  <c r="CV47" i="18"/>
  <c r="CU47" i="18"/>
  <c r="CT47" i="18"/>
  <c r="CS47" i="18"/>
  <c r="CR47" i="18"/>
  <c r="CQ47" i="18"/>
  <c r="CP47" i="18"/>
  <c r="CO47" i="18"/>
  <c r="CN47" i="18"/>
  <c r="CM47" i="18"/>
  <c r="CL47" i="18"/>
  <c r="CK47" i="18"/>
  <c r="CJ47" i="18"/>
  <c r="DA46" i="18"/>
  <c r="CV46" i="18"/>
  <c r="CU46" i="18"/>
  <c r="CT46" i="18"/>
  <c r="CS46" i="18"/>
  <c r="CR46" i="18"/>
  <c r="CQ46" i="18"/>
  <c r="CP46" i="18"/>
  <c r="CO46" i="18"/>
  <c r="CN46" i="18"/>
  <c r="CM46" i="18"/>
  <c r="CL46" i="18"/>
  <c r="CK46" i="18"/>
  <c r="CJ46" i="18"/>
  <c r="DA45" i="18"/>
  <c r="CV45" i="18"/>
  <c r="CU45" i="18"/>
  <c r="CT45" i="18"/>
  <c r="CS45" i="18"/>
  <c r="CR45" i="18"/>
  <c r="CQ45" i="18"/>
  <c r="CP45" i="18"/>
  <c r="CO45" i="18"/>
  <c r="CN45" i="18"/>
  <c r="CM45" i="18"/>
  <c r="CL45" i="18"/>
  <c r="CK45" i="18"/>
  <c r="CJ45" i="18"/>
  <c r="DA44" i="18"/>
  <c r="CV44" i="18"/>
  <c r="CU44" i="18"/>
  <c r="CT44" i="18"/>
  <c r="CS44" i="18"/>
  <c r="CR44" i="18"/>
  <c r="CQ44" i="18"/>
  <c r="CP44" i="18"/>
  <c r="CO44" i="18"/>
  <c r="CN44" i="18"/>
  <c r="CM44" i="18"/>
  <c r="CL44" i="18"/>
  <c r="CK44" i="18"/>
  <c r="CJ44" i="18"/>
  <c r="CV42" i="18"/>
  <c r="CU42" i="18"/>
  <c r="CT42" i="18"/>
  <c r="CS42" i="18"/>
  <c r="CR42" i="18"/>
  <c r="CQ42" i="18"/>
  <c r="CP42" i="18"/>
  <c r="CO42" i="18"/>
  <c r="CN42" i="18"/>
  <c r="CM42" i="18"/>
  <c r="CL42" i="18"/>
  <c r="CK42" i="18"/>
  <c r="CJ42" i="18"/>
  <c r="CV41" i="18"/>
  <c r="CU41" i="18"/>
  <c r="CT41" i="18"/>
  <c r="CS41" i="18"/>
  <c r="CR41" i="18"/>
  <c r="CQ41" i="18"/>
  <c r="CP41" i="18"/>
  <c r="CO41" i="18"/>
  <c r="CN41" i="18"/>
  <c r="CM41" i="18"/>
  <c r="CL41" i="18"/>
  <c r="CK41" i="18"/>
  <c r="CJ41" i="18"/>
  <c r="DA40" i="18"/>
  <c r="CV40" i="18"/>
  <c r="CU40" i="18"/>
  <c r="CT40" i="18"/>
  <c r="CS40" i="18"/>
  <c r="CR40" i="18"/>
  <c r="CQ40" i="18"/>
  <c r="CP40" i="18"/>
  <c r="CO40" i="18"/>
  <c r="CN40" i="18"/>
  <c r="CM40" i="18"/>
  <c r="CL40" i="18"/>
  <c r="CK40" i="18"/>
  <c r="CJ40" i="18"/>
  <c r="DA39" i="18"/>
  <c r="CV39" i="18"/>
  <c r="CU39" i="18"/>
  <c r="CT39" i="18"/>
  <c r="CS39" i="18"/>
  <c r="CR39" i="18"/>
  <c r="CQ39" i="18"/>
  <c r="CP39" i="18"/>
  <c r="CO39" i="18"/>
  <c r="CN39" i="18"/>
  <c r="CM39" i="18"/>
  <c r="CL39" i="18"/>
  <c r="CK39" i="18"/>
  <c r="CJ39" i="18"/>
  <c r="DA38" i="18"/>
  <c r="CV38" i="18"/>
  <c r="CU38" i="18"/>
  <c r="CT38" i="18"/>
  <c r="CS38" i="18"/>
  <c r="CR38" i="18"/>
  <c r="CQ38" i="18"/>
  <c r="CP38" i="18"/>
  <c r="CO38" i="18"/>
  <c r="CN38" i="18"/>
  <c r="CM38" i="18"/>
  <c r="CL38" i="18"/>
  <c r="CK38" i="18"/>
  <c r="CJ38" i="18"/>
  <c r="DA37" i="18"/>
  <c r="CV37" i="18"/>
  <c r="CU37" i="18"/>
  <c r="CT37" i="18"/>
  <c r="CS37" i="18"/>
  <c r="CR37" i="18"/>
  <c r="CQ37" i="18"/>
  <c r="CP37" i="18"/>
  <c r="CO37" i="18"/>
  <c r="CN37" i="18"/>
  <c r="CM37" i="18"/>
  <c r="CL37" i="18"/>
  <c r="CK37" i="18"/>
  <c r="CJ37" i="18"/>
  <c r="DA36" i="18"/>
  <c r="CV36" i="18"/>
  <c r="CU36" i="18"/>
  <c r="CT36" i="18"/>
  <c r="CS36" i="18"/>
  <c r="CR36" i="18"/>
  <c r="CQ36" i="18"/>
  <c r="CP36" i="18"/>
  <c r="CO36" i="18"/>
  <c r="CN36" i="18"/>
  <c r="CM36" i="18"/>
  <c r="CL36" i="18"/>
  <c r="CK36" i="18"/>
  <c r="CJ36" i="18"/>
  <c r="DA35" i="18"/>
  <c r="CV35" i="18"/>
  <c r="CU35" i="18"/>
  <c r="CT35" i="18"/>
  <c r="CS35" i="18"/>
  <c r="CR35" i="18"/>
  <c r="CQ35" i="18"/>
  <c r="CP35" i="18"/>
  <c r="CO35" i="18"/>
  <c r="CN35" i="18"/>
  <c r="CM35" i="18"/>
  <c r="CL35" i="18"/>
  <c r="CK35" i="18"/>
  <c r="CJ35" i="18"/>
  <c r="DA34" i="18"/>
  <c r="DA33" i="18"/>
  <c r="DA32" i="18"/>
  <c r="DA31" i="18"/>
  <c r="CV31" i="18"/>
  <c r="CU31" i="18"/>
  <c r="CT31" i="18"/>
  <c r="CS31" i="18"/>
  <c r="CR31" i="18"/>
  <c r="CQ31" i="18"/>
  <c r="CP31" i="18"/>
  <c r="CO31" i="18"/>
  <c r="CN31" i="18"/>
  <c r="CM31" i="18"/>
  <c r="CL31" i="18"/>
  <c r="CK31" i="18"/>
  <c r="CJ31" i="18"/>
  <c r="DA30" i="18"/>
  <c r="CV30" i="18"/>
  <c r="CU30" i="18"/>
  <c r="CT30" i="18"/>
  <c r="CS30" i="18"/>
  <c r="CR30" i="18"/>
  <c r="CQ30" i="18"/>
  <c r="CP30" i="18"/>
  <c r="CO30" i="18"/>
  <c r="CN30" i="18"/>
  <c r="CM30" i="18"/>
  <c r="CL30" i="18"/>
  <c r="CK30" i="18"/>
  <c r="CJ30" i="18"/>
  <c r="DA29" i="18"/>
  <c r="CV29" i="18"/>
  <c r="CU29" i="18"/>
  <c r="CT29" i="18"/>
  <c r="CS29" i="18"/>
  <c r="CR29" i="18"/>
  <c r="CQ29" i="18"/>
  <c r="CP29" i="18"/>
  <c r="CO29" i="18"/>
  <c r="CN29" i="18"/>
  <c r="CM29" i="18"/>
  <c r="CL29" i="18"/>
  <c r="CK29" i="18"/>
  <c r="CJ29" i="18"/>
  <c r="DA28" i="18"/>
  <c r="CV28" i="18"/>
  <c r="CU28" i="18"/>
  <c r="CT28" i="18"/>
  <c r="CS28" i="18"/>
  <c r="CR28" i="18"/>
  <c r="CQ28" i="18"/>
  <c r="CP28" i="18"/>
  <c r="CO28" i="18"/>
  <c r="CN28" i="18"/>
  <c r="CM28" i="18"/>
  <c r="CL28" i="18"/>
  <c r="CK28" i="18"/>
  <c r="CJ28" i="18"/>
  <c r="DA27" i="18"/>
  <c r="CV27" i="18"/>
  <c r="CU27" i="18"/>
  <c r="CT27" i="18"/>
  <c r="CS27" i="18"/>
  <c r="CR27" i="18"/>
  <c r="CQ27" i="18"/>
  <c r="CP27" i="18"/>
  <c r="CO27" i="18"/>
  <c r="CN27" i="18"/>
  <c r="CM27" i="18"/>
  <c r="CL27" i="18"/>
  <c r="CK27" i="18"/>
  <c r="CJ27" i="18"/>
  <c r="DA26" i="18"/>
  <c r="CV26" i="18"/>
  <c r="CU26" i="18"/>
  <c r="CT26" i="18"/>
  <c r="CS26" i="18"/>
  <c r="CR26" i="18"/>
  <c r="CQ26" i="18"/>
  <c r="CP26" i="18"/>
  <c r="CO26" i="18"/>
  <c r="CN26" i="18"/>
  <c r="CM26" i="18"/>
  <c r="CL26" i="18"/>
  <c r="CK26" i="18"/>
  <c r="CJ26" i="18"/>
  <c r="CV25" i="18"/>
  <c r="CU25" i="18"/>
  <c r="CT25" i="18"/>
  <c r="CS25" i="18"/>
  <c r="CP25" i="18"/>
  <c r="CK25" i="18"/>
  <c r="BZ25" i="18"/>
  <c r="CR25" i="18" s="1"/>
  <c r="BY25" i="18"/>
  <c r="CQ25" i="18" s="1"/>
  <c r="BW25" i="18"/>
  <c r="CO25" i="18" s="1"/>
  <c r="BV25" i="18"/>
  <c r="CN25" i="18" s="1"/>
  <c r="BU25" i="18"/>
  <c r="CM25" i="18" s="1"/>
  <c r="BT25" i="18"/>
  <c r="CL25" i="18" s="1"/>
  <c r="BR25" i="18"/>
  <c r="CJ25" i="18" s="1"/>
  <c r="CD24" i="18"/>
  <c r="CV24" i="18" s="1"/>
  <c r="CC24" i="18"/>
  <c r="CU24" i="18" s="1"/>
  <c r="CB24" i="18"/>
  <c r="CT24" i="18" s="1"/>
  <c r="CA24" i="18"/>
  <c r="CS24" i="18" s="1"/>
  <c r="BZ24" i="18"/>
  <c r="CR24" i="18" s="1"/>
  <c r="BY24" i="18"/>
  <c r="CQ24" i="18" s="1"/>
  <c r="BX24" i="18"/>
  <c r="CP24" i="18" s="1"/>
  <c r="BW24" i="18"/>
  <c r="CO24" i="18" s="1"/>
  <c r="BV24" i="18"/>
  <c r="CN24" i="18" s="1"/>
  <c r="BU24" i="18"/>
  <c r="CM24" i="18" s="1"/>
  <c r="BT24" i="18"/>
  <c r="CL24" i="18" s="1"/>
  <c r="BS24" i="18"/>
  <c r="CK24" i="18" s="1"/>
  <c r="BR24" i="18"/>
  <c r="DA23" i="18"/>
  <c r="CV23" i="18"/>
  <c r="CU23" i="18"/>
  <c r="CT23" i="18"/>
  <c r="CS23" i="18"/>
  <c r="CR23" i="18"/>
  <c r="CQ23" i="18"/>
  <c r="CP23" i="18"/>
  <c r="CO23" i="18"/>
  <c r="CN23" i="18"/>
  <c r="CM23" i="18"/>
  <c r="CL23" i="18"/>
  <c r="CK23" i="18"/>
  <c r="CJ23" i="18"/>
  <c r="CD22" i="18"/>
  <c r="CV22" i="18" s="1"/>
  <c r="CC22" i="18"/>
  <c r="CU22" i="18" s="1"/>
  <c r="CB22" i="18"/>
  <c r="CT22" i="18" s="1"/>
  <c r="CA22" i="18"/>
  <c r="CS22" i="18" s="1"/>
  <c r="BZ22" i="18"/>
  <c r="CR22" i="18" s="1"/>
  <c r="BY22" i="18"/>
  <c r="CQ22" i="18" s="1"/>
  <c r="BX22" i="18"/>
  <c r="CP22" i="18" s="1"/>
  <c r="BW22" i="18"/>
  <c r="CO22" i="18" s="1"/>
  <c r="BV22" i="18"/>
  <c r="CN22" i="18" s="1"/>
  <c r="BU22" i="18"/>
  <c r="CM22" i="18" s="1"/>
  <c r="BT22" i="18"/>
  <c r="CL22" i="18" s="1"/>
  <c r="BS22" i="18"/>
  <c r="CK22" i="18" s="1"/>
  <c r="BR22" i="18"/>
  <c r="CJ22" i="18" s="1"/>
  <c r="DA21" i="18"/>
  <c r="CV21" i="18"/>
  <c r="CU21" i="18"/>
  <c r="CT21" i="18"/>
  <c r="CS21" i="18"/>
  <c r="CR21" i="18"/>
  <c r="CQ21" i="18"/>
  <c r="CP21" i="18"/>
  <c r="CO21" i="18"/>
  <c r="CN21" i="18"/>
  <c r="CM21" i="18"/>
  <c r="CL21" i="18"/>
  <c r="CK21" i="18"/>
  <c r="CJ21" i="18"/>
  <c r="DA20" i="18"/>
  <c r="CV20" i="18"/>
  <c r="CU20" i="18"/>
  <c r="CT20" i="18"/>
  <c r="CS20" i="18"/>
  <c r="CR20" i="18"/>
  <c r="CQ20" i="18"/>
  <c r="CP20" i="18"/>
  <c r="CO20" i="18"/>
  <c r="CN20" i="18"/>
  <c r="CM20" i="18"/>
  <c r="CL20" i="18"/>
  <c r="CK20" i="18"/>
  <c r="CJ20" i="18"/>
  <c r="CV19" i="18"/>
  <c r="CP19" i="18"/>
  <c r="CV18" i="18"/>
  <c r="CU18" i="18"/>
  <c r="CT18" i="18"/>
  <c r="CS18" i="18"/>
  <c r="CR18" i="18"/>
  <c r="CQ18" i="18"/>
  <c r="CP18" i="18"/>
  <c r="CO18" i="18"/>
  <c r="CN18" i="18"/>
  <c r="CM18" i="18"/>
  <c r="CL18" i="18"/>
  <c r="CK18" i="18"/>
  <c r="CJ18" i="18"/>
  <c r="CV17" i="18"/>
  <c r="CU17" i="18"/>
  <c r="CT17" i="18"/>
  <c r="CS17" i="18"/>
  <c r="CR17" i="18"/>
  <c r="CQ17" i="18"/>
  <c r="CP17" i="18"/>
  <c r="CO17" i="18"/>
  <c r="CN17" i="18"/>
  <c r="CM17" i="18"/>
  <c r="CL17" i="18"/>
  <c r="CK17" i="18"/>
  <c r="CJ17" i="18"/>
  <c r="CV16" i="18"/>
  <c r="CU16" i="18"/>
  <c r="CT16" i="18"/>
  <c r="CS16" i="18"/>
  <c r="CR16" i="18"/>
  <c r="CQ16" i="18"/>
  <c r="CP16" i="18"/>
  <c r="CO16" i="18"/>
  <c r="CN16" i="18"/>
  <c r="CM16" i="18"/>
  <c r="CL16" i="18"/>
  <c r="CK16" i="18"/>
  <c r="CJ16" i="18"/>
  <c r="CV15" i="18"/>
  <c r="CU15" i="18"/>
  <c r="CT15" i="18"/>
  <c r="CS15" i="18"/>
  <c r="CR15" i="18"/>
  <c r="CQ15" i="18"/>
  <c r="CP15" i="18"/>
  <c r="CO15" i="18"/>
  <c r="CN15" i="18"/>
  <c r="CM15" i="18"/>
  <c r="CL15" i="18"/>
  <c r="CK15" i="18"/>
  <c r="CJ15" i="18"/>
  <c r="DA13" i="18"/>
  <c r="DA12" i="18"/>
  <c r="DA10" i="18"/>
  <c r="CV10" i="18"/>
  <c r="CU10" i="18"/>
  <c r="CT10" i="18"/>
  <c r="CS10" i="18"/>
  <c r="CR10" i="18"/>
  <c r="CQ10" i="18"/>
  <c r="CP10" i="18"/>
  <c r="CO10" i="18"/>
  <c r="CN10" i="18"/>
  <c r="CM10" i="18"/>
  <c r="CL10" i="18"/>
  <c r="CK10" i="18"/>
  <c r="CJ10" i="18"/>
  <c r="CV9" i="18"/>
  <c r="CU9" i="18"/>
  <c r="CT9" i="18"/>
  <c r="DA8" i="18"/>
  <c r="AD8" i="18"/>
  <c r="AC8" i="18"/>
  <c r="X8" i="18"/>
  <c r="W8" i="18"/>
  <c r="Q3" i="18"/>
  <c r="P3" i="18"/>
  <c r="D7" i="17"/>
  <c r="E7" i="17" s="1"/>
  <c r="F3" i="17"/>
  <c r="D68" i="16"/>
  <c r="E45" i="16"/>
  <c r="D45" i="16"/>
  <c r="E44" i="16"/>
  <c r="D44" i="16"/>
  <c r="E43" i="16"/>
  <c r="D43" i="16"/>
  <c r="E41" i="16"/>
  <c r="D41" i="16"/>
  <c r="E40" i="16"/>
  <c r="D40" i="16"/>
  <c r="E38" i="16"/>
  <c r="D38" i="16"/>
  <c r="D7" i="16"/>
  <c r="E7" i="16" s="1"/>
  <c r="F3" i="16"/>
  <c r="F2" i="16"/>
  <c r="F135" i="6"/>
  <c r="F134" i="6"/>
  <c r="S23" i="6"/>
  <c r="R23" i="6"/>
  <c r="S22" i="6"/>
  <c r="R22" i="6"/>
  <c r="F22" i="6"/>
  <c r="U21" i="6"/>
  <c r="T21" i="6"/>
  <c r="S21" i="6"/>
  <c r="R21" i="6"/>
  <c r="F21" i="6"/>
  <c r="S20" i="6"/>
  <c r="R20" i="6"/>
  <c r="F20" i="6"/>
  <c r="S19" i="6"/>
  <c r="R19" i="6"/>
  <c r="S18" i="6"/>
  <c r="R18" i="6"/>
  <c r="N18" i="6"/>
  <c r="S17" i="6"/>
  <c r="R17" i="6"/>
  <c r="N17" i="6"/>
  <c r="S16" i="6"/>
  <c r="R16" i="6"/>
  <c r="N16" i="6"/>
  <c r="S15" i="6"/>
  <c r="R15" i="6"/>
  <c r="N15" i="6"/>
  <c r="S14" i="6"/>
  <c r="R14" i="6"/>
  <c r="N14" i="6"/>
  <c r="S13" i="6"/>
  <c r="R13" i="6"/>
  <c r="N13" i="6"/>
  <c r="S12" i="6"/>
  <c r="R12" i="6"/>
  <c r="N12" i="6"/>
  <c r="AA11" i="6"/>
  <c r="S11" i="6"/>
  <c r="R11" i="6"/>
  <c r="N11" i="6"/>
  <c r="S10" i="6"/>
  <c r="R10" i="6"/>
  <c r="S9" i="6"/>
  <c r="R9" i="6"/>
  <c r="S8" i="6"/>
  <c r="R8" i="6"/>
  <c r="O3" i="6"/>
  <c r="B3" i="6"/>
  <c r="F272" i="14"/>
  <c r="F271" i="14"/>
  <c r="F270" i="14"/>
  <c r="F269" i="14"/>
  <c r="F268" i="14"/>
  <c r="O263" i="14"/>
  <c r="G256" i="14"/>
  <c r="F248" i="14" s="1"/>
  <c r="F241" i="14"/>
  <c r="F240" i="14"/>
  <c r="F239" i="14"/>
  <c r="F238" i="14"/>
  <c r="F237" i="14"/>
  <c r="O232" i="14"/>
  <c r="G232" i="14"/>
  <c r="G226" i="14" s="1"/>
  <c r="F218" i="14" s="1"/>
  <c r="F213" i="14"/>
  <c r="F212" i="14"/>
  <c r="F211" i="14"/>
  <c r="F210" i="14"/>
  <c r="F209" i="14"/>
  <c r="F202" i="14"/>
  <c r="F201" i="14"/>
  <c r="F200" i="14"/>
  <c r="F199" i="14"/>
  <c r="F198" i="14"/>
  <c r="F181" i="14"/>
  <c r="F180" i="14"/>
  <c r="F179" i="14"/>
  <c r="F178" i="14"/>
  <c r="F177" i="14"/>
  <c r="F153" i="14"/>
  <c r="F152" i="14"/>
  <c r="F151" i="14"/>
  <c r="F150" i="14"/>
  <c r="F149" i="14"/>
  <c r="O142" i="14"/>
  <c r="M142" i="14"/>
  <c r="K142" i="14"/>
  <c r="O122" i="14"/>
  <c r="G115" i="14"/>
  <c r="F107" i="14" s="1"/>
  <c r="F109" i="14" s="1"/>
  <c r="F102" i="14"/>
  <c r="F101" i="14"/>
  <c r="F100" i="14"/>
  <c r="F99" i="14"/>
  <c r="F98" i="14"/>
  <c r="F92" i="14"/>
  <c r="F91" i="14"/>
  <c r="F90" i="14"/>
  <c r="F89" i="14"/>
  <c r="F88" i="14"/>
  <c r="O82" i="14"/>
  <c r="G60" i="14"/>
  <c r="F41" i="14" s="1"/>
  <c r="N58" i="14"/>
  <c r="Q578" i="5" s="1"/>
  <c r="O57" i="14"/>
  <c r="L57" i="14"/>
  <c r="L58" i="14" s="1"/>
  <c r="I57" i="14"/>
  <c r="N53" i="14" s="1"/>
  <c r="J56" i="14"/>
  <c r="J52" i="14" s="1"/>
  <c r="J55" i="14"/>
  <c r="I55" i="14"/>
  <c r="N52" i="14"/>
  <c r="L52" i="14"/>
  <c r="K52" i="14"/>
  <c r="H48" i="14"/>
  <c r="N67" i="14" s="1"/>
  <c r="F36" i="14"/>
  <c r="F35" i="14"/>
  <c r="F34" i="14"/>
  <c r="F33" i="14"/>
  <c r="F32" i="14"/>
  <c r="O5" i="14"/>
  <c r="O4" i="14"/>
  <c r="O3" i="14"/>
  <c r="F294" i="13"/>
  <c r="F293" i="13"/>
  <c r="F292" i="13"/>
  <c r="F291" i="13"/>
  <c r="F290" i="13"/>
  <c r="F228" i="13"/>
  <c r="F227" i="13"/>
  <c r="F226" i="13"/>
  <c r="F225" i="13"/>
  <c r="F224" i="13"/>
  <c r="F217" i="13"/>
  <c r="F216" i="13"/>
  <c r="F215" i="13"/>
  <c r="F214" i="13"/>
  <c r="F213" i="13"/>
  <c r="L207" i="13"/>
  <c r="H184" i="13"/>
  <c r="F169" i="13" s="1"/>
  <c r="W167" i="5" s="1"/>
  <c r="K167" i="18" s="1"/>
  <c r="G165" i="13"/>
  <c r="F147" i="13" s="1"/>
  <c r="L162" i="13"/>
  <c r="K147" i="13" s="1"/>
  <c r="W166" i="5" s="1"/>
  <c r="K166" i="18" s="1"/>
  <c r="K143" i="13"/>
  <c r="F143" i="13"/>
  <c r="K142" i="13"/>
  <c r="F142" i="13"/>
  <c r="K141" i="13"/>
  <c r="F141" i="13"/>
  <c r="K140" i="13"/>
  <c r="F140" i="13"/>
  <c r="K139" i="13"/>
  <c r="F139" i="13"/>
  <c r="K134" i="13"/>
  <c r="F134" i="13"/>
  <c r="K133" i="13"/>
  <c r="F133" i="13"/>
  <c r="K132" i="13"/>
  <c r="F132" i="13"/>
  <c r="K131" i="13"/>
  <c r="F131" i="13"/>
  <c r="K130" i="13"/>
  <c r="F130" i="13"/>
  <c r="G121" i="13"/>
  <c r="F113" i="13" s="1"/>
  <c r="F106" i="13"/>
  <c r="F105" i="13"/>
  <c r="F104" i="13"/>
  <c r="F103" i="13"/>
  <c r="F102" i="13"/>
  <c r="F92" i="13"/>
  <c r="F91" i="13"/>
  <c r="F90" i="13"/>
  <c r="F89" i="13"/>
  <c r="F88" i="13"/>
  <c r="J83" i="13"/>
  <c r="J82" i="13"/>
  <c r="J81" i="13"/>
  <c r="J80" i="13"/>
  <c r="J79" i="13"/>
  <c r="F76" i="13"/>
  <c r="F75" i="13"/>
  <c r="F74" i="13"/>
  <c r="F73" i="13"/>
  <c r="F72" i="13"/>
  <c r="F66" i="13"/>
  <c r="F65" i="13"/>
  <c r="F64" i="13"/>
  <c r="F63" i="13"/>
  <c r="F62" i="13"/>
  <c r="O57" i="13"/>
  <c r="G57" i="13"/>
  <c r="G52" i="13" s="1"/>
  <c r="F44" i="13" s="1"/>
  <c r="W154" i="5" s="1"/>
  <c r="K154" i="18" s="1"/>
  <c r="M49" i="13"/>
  <c r="M48" i="13"/>
  <c r="M47" i="13"/>
  <c r="M46" i="13"/>
  <c r="M45" i="13"/>
  <c r="L38" i="13"/>
  <c r="N343" i="5" s="1"/>
  <c r="L33" i="13"/>
  <c r="I343" i="5" s="1"/>
  <c r="K30" i="13"/>
  <c r="F30" i="13"/>
  <c r="K29" i="13"/>
  <c r="F29" i="13"/>
  <c r="K28" i="13"/>
  <c r="F28" i="13"/>
  <c r="K27" i="13"/>
  <c r="F27" i="13"/>
  <c r="K26" i="13"/>
  <c r="F26" i="13"/>
  <c r="F19" i="13"/>
  <c r="F18" i="13"/>
  <c r="F17" i="13"/>
  <c r="F16" i="13"/>
  <c r="F15" i="13"/>
  <c r="O5" i="13"/>
  <c r="O4" i="13"/>
  <c r="O3" i="13"/>
  <c r="H135" i="6"/>
  <c r="I135" i="6"/>
  <c r="N107" i="20"/>
  <c r="S102" i="20"/>
  <c r="S101" i="20"/>
  <c r="S100" i="20"/>
  <c r="H100" i="20"/>
  <c r="S99" i="20"/>
  <c r="S98" i="20"/>
  <c r="S97" i="20"/>
  <c r="S96" i="20"/>
  <c r="H96" i="20"/>
  <c r="S95" i="20"/>
  <c r="S94" i="20"/>
  <c r="S93" i="20"/>
  <c r="J93" i="20"/>
  <c r="H93" i="20"/>
  <c r="S92" i="20"/>
  <c r="S91" i="20"/>
  <c r="S90" i="20"/>
  <c r="S89" i="20"/>
  <c r="S88" i="20"/>
  <c r="S87" i="20"/>
  <c r="S86" i="20"/>
  <c r="S85" i="20"/>
  <c r="S84" i="20"/>
  <c r="L21" i="11"/>
  <c r="L27" i="11" s="1"/>
  <c r="AA11" i="20"/>
  <c r="AB11" i="20" s="1"/>
  <c r="W11" i="20"/>
  <c r="X11" i="20" s="1"/>
  <c r="AA10" i="20"/>
  <c r="AB10" i="20" s="1"/>
  <c r="W10" i="20"/>
  <c r="X10" i="20" s="1"/>
  <c r="AA9" i="20"/>
  <c r="AB9" i="20" s="1"/>
  <c r="W9" i="20"/>
  <c r="X9" i="20" s="1"/>
  <c r="AA8" i="20"/>
  <c r="AB8" i="20" s="1"/>
  <c r="W8" i="20"/>
  <c r="X8" i="20" s="1"/>
  <c r="Z6" i="20"/>
  <c r="J6" i="20"/>
  <c r="Y5" i="20"/>
  <c r="U5" i="20"/>
  <c r="W5" i="20" s="1"/>
  <c r="P2" i="20"/>
  <c r="K166" i="11"/>
  <c r="K165" i="11"/>
  <c r="K164" i="11"/>
  <c r="K163" i="11"/>
  <c r="K162" i="11"/>
  <c r="K133" i="11"/>
  <c r="F133" i="11"/>
  <c r="K132" i="11"/>
  <c r="F132" i="11"/>
  <c r="K131" i="11"/>
  <c r="F131" i="11"/>
  <c r="K130" i="11"/>
  <c r="F130" i="11"/>
  <c r="K129" i="11"/>
  <c r="F129" i="11"/>
  <c r="F119" i="11"/>
  <c r="F118" i="11"/>
  <c r="F117" i="11"/>
  <c r="F116" i="11"/>
  <c r="F115" i="11"/>
  <c r="F108" i="11"/>
  <c r="F107" i="11"/>
  <c r="F106" i="11"/>
  <c r="F105" i="11"/>
  <c r="F104" i="11"/>
  <c r="F93" i="11"/>
  <c r="F89" i="11"/>
  <c r="G57" i="11"/>
  <c r="G55" i="11"/>
  <c r="G49" i="11"/>
  <c r="G45" i="11"/>
  <c r="L38" i="11"/>
  <c r="L37" i="11"/>
  <c r="L36" i="11"/>
  <c r="L35" i="11"/>
  <c r="L34" i="11"/>
  <c r="K21" i="11"/>
  <c r="F19" i="11"/>
  <c r="F18" i="11"/>
  <c r="F17" i="11"/>
  <c r="F16" i="11"/>
  <c r="F15" i="11"/>
  <c r="O5" i="11"/>
  <c r="O4" i="11"/>
  <c r="O3" i="11"/>
  <c r="O139" i="10"/>
  <c r="G121" i="10"/>
  <c r="F100" i="10" s="1"/>
  <c r="J116" i="10"/>
  <c r="J57" i="14" s="1"/>
  <c r="M114" i="10"/>
  <c r="M55" i="14" s="1"/>
  <c r="I114" i="10"/>
  <c r="L112" i="10"/>
  <c r="K112" i="10"/>
  <c r="L53" i="14" s="1"/>
  <c r="O96" i="10"/>
  <c r="F66" i="10"/>
  <c r="F45" i="10"/>
  <c r="O41" i="10"/>
  <c r="G24" i="10"/>
  <c r="F13" i="10" s="1"/>
  <c r="O20" i="10"/>
  <c r="H21" i="10" s="1"/>
  <c r="G21" i="10" s="1"/>
  <c r="N31" i="10" s="1"/>
  <c r="H20" i="10"/>
  <c r="G20" i="10" s="1"/>
  <c r="N29" i="10" s="1"/>
  <c r="O5" i="10"/>
  <c r="O4" i="10"/>
  <c r="O3" i="10"/>
  <c r="K422" i="9"/>
  <c r="F422" i="9"/>
  <c r="K421" i="9"/>
  <c r="F421" i="9"/>
  <c r="K420" i="9"/>
  <c r="F420" i="9"/>
  <c r="K419" i="9"/>
  <c r="F419" i="9"/>
  <c r="K418" i="9"/>
  <c r="F418" i="9"/>
  <c r="E418" i="9"/>
  <c r="K412" i="9"/>
  <c r="F412" i="9"/>
  <c r="K411" i="9"/>
  <c r="F411" i="9"/>
  <c r="K410" i="9"/>
  <c r="F410" i="9"/>
  <c r="K409" i="9"/>
  <c r="F409" i="9"/>
  <c r="K408" i="9"/>
  <c r="F408" i="9"/>
  <c r="K402" i="9"/>
  <c r="F402" i="9"/>
  <c r="K401" i="9"/>
  <c r="F401" i="9"/>
  <c r="K400" i="9"/>
  <c r="F400" i="9"/>
  <c r="K399" i="9"/>
  <c r="F399" i="9"/>
  <c r="K398" i="9"/>
  <c r="F398" i="9"/>
  <c r="M390" i="9"/>
  <c r="F390" i="9"/>
  <c r="M389" i="9"/>
  <c r="F389" i="9"/>
  <c r="M388" i="9"/>
  <c r="F388" i="9"/>
  <c r="M387" i="9"/>
  <c r="F387" i="9"/>
  <c r="M386" i="9"/>
  <c r="F386" i="9"/>
  <c r="K378" i="9"/>
  <c r="F378" i="9"/>
  <c r="K377" i="9"/>
  <c r="F377" i="9"/>
  <c r="K376" i="9"/>
  <c r="F376" i="9"/>
  <c r="K375" i="9"/>
  <c r="F375" i="9"/>
  <c r="K374" i="9"/>
  <c r="F374" i="9"/>
  <c r="K367" i="9"/>
  <c r="F367" i="9"/>
  <c r="K366" i="9"/>
  <c r="F366" i="9"/>
  <c r="K365" i="9"/>
  <c r="F365" i="9"/>
  <c r="K364" i="9"/>
  <c r="F364" i="9"/>
  <c r="K363" i="9"/>
  <c r="F363" i="9"/>
  <c r="G356" i="9"/>
  <c r="G349" i="9" s="1"/>
  <c r="F341" i="9" s="1"/>
  <c r="F336" i="9"/>
  <c r="F335" i="9"/>
  <c r="F334" i="9"/>
  <c r="F333" i="9"/>
  <c r="F332" i="9"/>
  <c r="M327" i="9"/>
  <c r="O327" i="9" s="1"/>
  <c r="I327" i="9"/>
  <c r="K327" i="9" s="1"/>
  <c r="I308" i="9"/>
  <c r="K308" i="9" s="1"/>
  <c r="G288" i="9"/>
  <c r="K288" i="9" s="1"/>
  <c r="F268" i="9"/>
  <c r="F267" i="9"/>
  <c r="F266" i="9"/>
  <c r="F265" i="9"/>
  <c r="F264" i="9"/>
  <c r="K258" i="9"/>
  <c r="F258" i="9"/>
  <c r="K257" i="9"/>
  <c r="F257" i="9"/>
  <c r="K256" i="9"/>
  <c r="F256" i="9"/>
  <c r="K255" i="9"/>
  <c r="F255" i="9"/>
  <c r="K254" i="9"/>
  <c r="F254" i="9"/>
  <c r="K246" i="9"/>
  <c r="F246" i="9"/>
  <c r="K245" i="9"/>
  <c r="F245" i="9"/>
  <c r="K244" i="9"/>
  <c r="F244" i="9"/>
  <c r="K243" i="9"/>
  <c r="F243" i="9"/>
  <c r="K242" i="9"/>
  <c r="F242" i="9"/>
  <c r="K235" i="9"/>
  <c r="F235" i="9"/>
  <c r="K234" i="9"/>
  <c r="F234" i="9"/>
  <c r="K233" i="9"/>
  <c r="F233" i="9"/>
  <c r="K232" i="9"/>
  <c r="F232" i="9"/>
  <c r="K231" i="9"/>
  <c r="F231" i="9"/>
  <c r="K224" i="9"/>
  <c r="F224" i="9"/>
  <c r="K223" i="9"/>
  <c r="F223" i="9"/>
  <c r="K222" i="9"/>
  <c r="F222" i="9"/>
  <c r="K221" i="9"/>
  <c r="F221" i="9"/>
  <c r="K220" i="9"/>
  <c r="F220" i="9"/>
  <c r="K213" i="9"/>
  <c r="F213" i="9"/>
  <c r="K212" i="9"/>
  <c r="F212" i="9"/>
  <c r="K211" i="9"/>
  <c r="F211" i="9"/>
  <c r="K210" i="9"/>
  <c r="F210" i="9"/>
  <c r="K209" i="9"/>
  <c r="F209" i="9"/>
  <c r="O202" i="9"/>
  <c r="K202" i="9"/>
  <c r="G202" i="9"/>
  <c r="G192" i="9" s="1"/>
  <c r="F184" i="9" s="1"/>
  <c r="G172" i="9"/>
  <c r="G160" i="9" s="1"/>
  <c r="G154" i="9"/>
  <c r="O128" i="9"/>
  <c r="G128" i="9"/>
  <c r="G121" i="9" s="1"/>
  <c r="O119" i="9"/>
  <c r="G119" i="9"/>
  <c r="G111" i="9" s="1"/>
  <c r="G108" i="9"/>
  <c r="G94" i="9" s="1"/>
  <c r="F86" i="9" s="1"/>
  <c r="L81" i="9"/>
  <c r="L76" i="9" s="1"/>
  <c r="K68" i="9" s="1"/>
  <c r="K73" i="9" s="1"/>
  <c r="G81" i="9"/>
  <c r="G76" i="9" s="1"/>
  <c r="F68" i="9" s="1"/>
  <c r="F63" i="9"/>
  <c r="F62" i="9"/>
  <c r="F61" i="9"/>
  <c r="F60" i="9"/>
  <c r="F59" i="9"/>
  <c r="M53" i="9"/>
  <c r="F53" i="9"/>
  <c r="M52" i="9"/>
  <c r="F52" i="9"/>
  <c r="M51" i="9"/>
  <c r="F51" i="9"/>
  <c r="M50" i="9"/>
  <c r="F50" i="9"/>
  <c r="M49" i="9"/>
  <c r="F49" i="9"/>
  <c r="F42" i="9"/>
  <c r="F41" i="9"/>
  <c r="F40" i="9"/>
  <c r="F39" i="9"/>
  <c r="F38" i="9"/>
  <c r="K31" i="9"/>
  <c r="F31" i="9"/>
  <c r="K30" i="9"/>
  <c r="F30" i="9"/>
  <c r="K29" i="9"/>
  <c r="F29" i="9"/>
  <c r="K28" i="9"/>
  <c r="F28" i="9"/>
  <c r="K27" i="9"/>
  <c r="F27" i="9"/>
  <c r="K20" i="9"/>
  <c r="F20" i="9"/>
  <c r="K19" i="9"/>
  <c r="F19" i="9"/>
  <c r="K18" i="9"/>
  <c r="F18" i="9"/>
  <c r="K17" i="9"/>
  <c r="F17" i="9"/>
  <c r="K16" i="9"/>
  <c r="F16" i="9"/>
  <c r="O6" i="9"/>
  <c r="O5" i="9"/>
  <c r="O4" i="9"/>
  <c r="O3" i="9"/>
  <c r="K475" i="8"/>
  <c r="F475" i="8"/>
  <c r="K474" i="8"/>
  <c r="F474" i="8"/>
  <c r="K473" i="8"/>
  <c r="F473" i="8"/>
  <c r="K472" i="8"/>
  <c r="F472" i="8"/>
  <c r="K471" i="8"/>
  <c r="F471" i="8"/>
  <c r="K464" i="8"/>
  <c r="F464" i="8"/>
  <c r="K463" i="8"/>
  <c r="F463" i="8"/>
  <c r="K462" i="8"/>
  <c r="F462" i="8"/>
  <c r="K461" i="8"/>
  <c r="F461" i="8"/>
  <c r="K460" i="8"/>
  <c r="F460" i="8"/>
  <c r="K455" i="8"/>
  <c r="F455" i="8"/>
  <c r="K454" i="8"/>
  <c r="F454" i="8"/>
  <c r="K453" i="8"/>
  <c r="F453" i="8"/>
  <c r="K452" i="8"/>
  <c r="F452" i="8"/>
  <c r="K451" i="8"/>
  <c r="F451" i="8"/>
  <c r="K444" i="8"/>
  <c r="F444" i="8"/>
  <c r="K443" i="8"/>
  <c r="F443" i="8"/>
  <c r="K442" i="8"/>
  <c r="F442" i="8"/>
  <c r="K441" i="8"/>
  <c r="F441" i="8"/>
  <c r="K440" i="8"/>
  <c r="F440" i="8"/>
  <c r="K434" i="8"/>
  <c r="F434" i="8"/>
  <c r="K433" i="8"/>
  <c r="F433" i="8"/>
  <c r="K432" i="8"/>
  <c r="F432" i="8"/>
  <c r="K431" i="8"/>
  <c r="F431" i="8"/>
  <c r="K430" i="8"/>
  <c r="F430" i="8"/>
  <c r="K423" i="8"/>
  <c r="F423" i="8"/>
  <c r="K422" i="8"/>
  <c r="F422" i="8"/>
  <c r="K421" i="8"/>
  <c r="F421" i="8"/>
  <c r="K420" i="8"/>
  <c r="F420" i="8"/>
  <c r="K419" i="8"/>
  <c r="F419" i="8"/>
  <c r="K414" i="8"/>
  <c r="F414" i="8"/>
  <c r="K413" i="8"/>
  <c r="F413" i="8"/>
  <c r="K412" i="8"/>
  <c r="F412" i="8"/>
  <c r="K411" i="8"/>
  <c r="F411" i="8"/>
  <c r="K410" i="8"/>
  <c r="F410" i="8"/>
  <c r="K405" i="8"/>
  <c r="F405" i="8"/>
  <c r="K404" i="8"/>
  <c r="F404" i="8"/>
  <c r="K403" i="8"/>
  <c r="F403" i="8"/>
  <c r="K402" i="8"/>
  <c r="F402" i="8"/>
  <c r="K401" i="8"/>
  <c r="F401" i="8"/>
  <c r="K395" i="8"/>
  <c r="F395" i="8"/>
  <c r="K394" i="8"/>
  <c r="F394" i="8"/>
  <c r="K393" i="8"/>
  <c r="F393" i="8"/>
  <c r="K392" i="8"/>
  <c r="F392" i="8"/>
  <c r="K391" i="8"/>
  <c r="F391" i="8"/>
  <c r="K366" i="8"/>
  <c r="F366" i="8"/>
  <c r="K365" i="8"/>
  <c r="F365" i="8"/>
  <c r="K364" i="8"/>
  <c r="F364" i="8"/>
  <c r="K363" i="8"/>
  <c r="F363" i="8"/>
  <c r="K362" i="8"/>
  <c r="F362" i="8"/>
  <c r="M357" i="8"/>
  <c r="F357" i="8"/>
  <c r="M356" i="8"/>
  <c r="F356" i="8"/>
  <c r="M355" i="8"/>
  <c r="F355" i="8"/>
  <c r="M354" i="8"/>
  <c r="F354" i="8"/>
  <c r="M353" i="8"/>
  <c r="F353" i="8"/>
  <c r="F342" i="8"/>
  <c r="F341" i="8"/>
  <c r="F340" i="8"/>
  <c r="F339" i="8"/>
  <c r="F338" i="8"/>
  <c r="K332" i="8"/>
  <c r="F332" i="8"/>
  <c r="K331" i="8"/>
  <c r="F331" i="8"/>
  <c r="K330" i="8"/>
  <c r="F330" i="8"/>
  <c r="K329" i="8"/>
  <c r="F329" i="8"/>
  <c r="K328" i="8"/>
  <c r="F328" i="8"/>
  <c r="K323" i="8"/>
  <c r="K322" i="8"/>
  <c r="K321" i="8"/>
  <c r="K320" i="8"/>
  <c r="K319" i="8"/>
  <c r="K312" i="8"/>
  <c r="F312" i="8"/>
  <c r="K311" i="8"/>
  <c r="F311" i="8"/>
  <c r="K310" i="8"/>
  <c r="F310" i="8"/>
  <c r="K309" i="8"/>
  <c r="F309" i="8"/>
  <c r="K308" i="8"/>
  <c r="F308" i="8"/>
  <c r="F302" i="8"/>
  <c r="F301" i="8"/>
  <c r="F300" i="8"/>
  <c r="F299" i="8"/>
  <c r="F298" i="8"/>
  <c r="K291" i="8"/>
  <c r="F291" i="8"/>
  <c r="K290" i="8"/>
  <c r="F290" i="8"/>
  <c r="K289" i="8"/>
  <c r="F289" i="8"/>
  <c r="K288" i="8"/>
  <c r="F288" i="8"/>
  <c r="K287" i="8"/>
  <c r="F287" i="8"/>
  <c r="K279" i="8"/>
  <c r="F279" i="8"/>
  <c r="K278" i="8"/>
  <c r="F278" i="8"/>
  <c r="K277" i="8"/>
  <c r="F277" i="8"/>
  <c r="K276" i="8"/>
  <c r="F276" i="8"/>
  <c r="K275" i="8"/>
  <c r="F275" i="8"/>
  <c r="K235" i="8"/>
  <c r="F235" i="8"/>
  <c r="K234" i="8"/>
  <c r="F234" i="8"/>
  <c r="K233" i="8"/>
  <c r="F233" i="8"/>
  <c r="K232" i="8"/>
  <c r="F232" i="8"/>
  <c r="K231" i="8"/>
  <c r="F231" i="8"/>
  <c r="F226" i="8"/>
  <c r="F225" i="8"/>
  <c r="F224" i="8"/>
  <c r="F223" i="8"/>
  <c r="F222" i="8"/>
  <c r="K217" i="8"/>
  <c r="F217" i="8"/>
  <c r="K216" i="8"/>
  <c r="F216" i="8"/>
  <c r="K215" i="8"/>
  <c r="F215" i="8"/>
  <c r="K214" i="8"/>
  <c r="F214" i="8"/>
  <c r="K213" i="8"/>
  <c r="F213" i="8"/>
  <c r="F208" i="8"/>
  <c r="F207" i="8"/>
  <c r="F206" i="8"/>
  <c r="F205" i="8"/>
  <c r="F204" i="8"/>
  <c r="F176" i="8"/>
  <c r="F175" i="8"/>
  <c r="F174" i="8"/>
  <c r="F173" i="8"/>
  <c r="F172" i="8"/>
  <c r="K148" i="8"/>
  <c r="F148" i="8"/>
  <c r="K147" i="8"/>
  <c r="F147" i="8"/>
  <c r="K146" i="8"/>
  <c r="F146" i="8"/>
  <c r="K145" i="8"/>
  <c r="F145" i="8"/>
  <c r="K144" i="8"/>
  <c r="F144" i="8"/>
  <c r="G70" i="8"/>
  <c r="G63" i="8" s="1"/>
  <c r="G60" i="8"/>
  <c r="F60" i="8"/>
  <c r="L19" i="8"/>
  <c r="F19" i="8"/>
  <c r="L18" i="8"/>
  <c r="F18" i="8"/>
  <c r="L17" i="8"/>
  <c r="F17" i="8"/>
  <c r="L16" i="8"/>
  <c r="F16" i="8"/>
  <c r="L15" i="8"/>
  <c r="F15" i="8"/>
  <c r="O9" i="8"/>
  <c r="O6" i="8"/>
  <c r="O5" i="8"/>
  <c r="O4" i="8"/>
  <c r="O3" i="8"/>
  <c r="N1" i="8"/>
  <c r="O578" i="5"/>
  <c r="L578" i="5"/>
  <c r="N557" i="5"/>
  <c r="P552" i="5"/>
  <c r="L552" i="5"/>
  <c r="P551" i="5"/>
  <c r="L551" i="5"/>
  <c r="P550" i="5"/>
  <c r="L550" i="5"/>
  <c r="K537" i="5"/>
  <c r="S536" i="5"/>
  <c r="O536" i="5"/>
  <c r="K536" i="5"/>
  <c r="K530" i="5"/>
  <c r="T510" i="5"/>
  <c r="R510" i="5"/>
  <c r="P510" i="5"/>
  <c r="T506" i="5"/>
  <c r="Q506" i="5"/>
  <c r="T505" i="5"/>
  <c r="Q505" i="5"/>
  <c r="O504" i="5"/>
  <c r="K504" i="5"/>
  <c r="J500" i="5"/>
  <c r="K485" i="5"/>
  <c r="K484" i="5"/>
  <c r="K483" i="5"/>
  <c r="K469" i="5"/>
  <c r="K466" i="5"/>
  <c r="K465" i="5"/>
  <c r="K464" i="5"/>
  <c r="L452" i="5"/>
  <c r="K450" i="5"/>
  <c r="K447" i="5"/>
  <c r="S446" i="5"/>
  <c r="Q446" i="5"/>
  <c r="N446" i="5"/>
  <c r="K446" i="5"/>
  <c r="L437" i="5"/>
  <c r="S407" i="5"/>
  <c r="Q407" i="5"/>
  <c r="O407" i="5"/>
  <c r="L407" i="5"/>
  <c r="S406" i="5"/>
  <c r="Q406" i="5"/>
  <c r="O406" i="5"/>
  <c r="M406" i="5"/>
  <c r="O405" i="5"/>
  <c r="L405" i="5"/>
  <c r="K405" i="5"/>
  <c r="J386" i="5"/>
  <c r="I386" i="5"/>
  <c r="G386" i="5"/>
  <c r="J383" i="5"/>
  <c r="I383" i="5"/>
  <c r="G383" i="5"/>
  <c r="O374" i="5"/>
  <c r="N374" i="5"/>
  <c r="L374" i="5"/>
  <c r="K374" i="5"/>
  <c r="J374" i="5"/>
  <c r="I374" i="5"/>
  <c r="G374" i="5"/>
  <c r="N373" i="5"/>
  <c r="M373" i="5"/>
  <c r="L373" i="5"/>
  <c r="K373" i="5"/>
  <c r="J373" i="5"/>
  <c r="I373" i="5"/>
  <c r="G373" i="5"/>
  <c r="R369" i="5"/>
  <c r="Q369" i="5"/>
  <c r="P369" i="5"/>
  <c r="O369" i="5"/>
  <c r="N369" i="5"/>
  <c r="M369" i="5"/>
  <c r="L369" i="5"/>
  <c r="K369" i="5"/>
  <c r="J369" i="5"/>
  <c r="I369" i="5"/>
  <c r="G369" i="5"/>
  <c r="B358" i="5"/>
  <c r="B546" i="5" s="1"/>
  <c r="B357" i="5"/>
  <c r="B545" i="5" s="1"/>
  <c r="B356" i="5"/>
  <c r="B544" i="5" s="1"/>
  <c r="B355" i="5"/>
  <c r="B543" i="5" s="1"/>
  <c r="B354" i="5"/>
  <c r="B542" i="5" s="1"/>
  <c r="B353" i="5"/>
  <c r="B541" i="5" s="1"/>
  <c r="B352" i="5"/>
  <c r="B540" i="5" s="1"/>
  <c r="L350" i="5"/>
  <c r="K350" i="5"/>
  <c r="J350" i="5"/>
  <c r="I350" i="5"/>
  <c r="M347" i="5"/>
  <c r="L347" i="5"/>
  <c r="K347" i="5"/>
  <c r="J347" i="5"/>
  <c r="I347" i="5"/>
  <c r="K345" i="5"/>
  <c r="J345" i="5"/>
  <c r="I345" i="5"/>
  <c r="P343" i="5"/>
  <c r="O343" i="5"/>
  <c r="M343" i="5"/>
  <c r="L343" i="5"/>
  <c r="K343" i="5"/>
  <c r="J343" i="5"/>
  <c r="U315" i="5"/>
  <c r="T315" i="5"/>
  <c r="S315" i="5"/>
  <c r="R315" i="5"/>
  <c r="Q315" i="5"/>
  <c r="P315" i="5"/>
  <c r="O315" i="5"/>
  <c r="N315" i="5"/>
  <c r="M315" i="5"/>
  <c r="L315" i="5"/>
  <c r="K315" i="5"/>
  <c r="J315" i="5"/>
  <c r="I315" i="5"/>
  <c r="Q310" i="5"/>
  <c r="P310" i="5"/>
  <c r="O310" i="5"/>
  <c r="N310" i="5"/>
  <c r="M310" i="5"/>
  <c r="L310" i="5"/>
  <c r="K310" i="5"/>
  <c r="J310" i="5"/>
  <c r="I310" i="5"/>
  <c r="G310" i="5"/>
  <c r="P309" i="5"/>
  <c r="O309" i="5"/>
  <c r="N309" i="5"/>
  <c r="M309" i="5"/>
  <c r="L309" i="5"/>
  <c r="K309" i="5"/>
  <c r="J309" i="5"/>
  <c r="I309" i="5"/>
  <c r="N307" i="5"/>
  <c r="M307" i="5"/>
  <c r="L307" i="5"/>
  <c r="K307" i="5"/>
  <c r="J307" i="5"/>
  <c r="I307" i="5"/>
  <c r="B306" i="5"/>
  <c r="B496" i="5" s="1"/>
  <c r="B305" i="5"/>
  <c r="B495" i="5" s="1"/>
  <c r="S304" i="5"/>
  <c r="R304" i="5"/>
  <c r="Q304" i="5"/>
  <c r="P304" i="5"/>
  <c r="O304" i="5"/>
  <c r="N304" i="5"/>
  <c r="M304" i="5"/>
  <c r="L304" i="5"/>
  <c r="K304" i="5"/>
  <c r="J304" i="5"/>
  <c r="I304" i="5"/>
  <c r="G304" i="5"/>
  <c r="N289" i="5"/>
  <c r="M289" i="5"/>
  <c r="L289" i="5"/>
  <c r="K289" i="5"/>
  <c r="J289" i="5"/>
  <c r="I289" i="5"/>
  <c r="N287" i="5"/>
  <c r="M287" i="5"/>
  <c r="L287" i="5"/>
  <c r="K287" i="5"/>
  <c r="J287" i="5"/>
  <c r="I287" i="5"/>
  <c r="O286" i="5"/>
  <c r="N286" i="5"/>
  <c r="M286" i="5"/>
  <c r="L286" i="5"/>
  <c r="K286" i="5"/>
  <c r="J286" i="5"/>
  <c r="I286" i="5"/>
  <c r="M285" i="5"/>
  <c r="L285" i="5"/>
  <c r="K285" i="5"/>
  <c r="J285" i="5"/>
  <c r="I285" i="5"/>
  <c r="Q268" i="5"/>
  <c r="P268" i="5"/>
  <c r="O268" i="5"/>
  <c r="N268" i="5"/>
  <c r="M268" i="5"/>
  <c r="L268" i="5"/>
  <c r="K268" i="5"/>
  <c r="J268" i="5"/>
  <c r="I268" i="5"/>
  <c r="G268" i="5"/>
  <c r="U267" i="5"/>
  <c r="T267" i="5"/>
  <c r="S267" i="5"/>
  <c r="R267" i="5"/>
  <c r="Q267" i="5"/>
  <c r="P267" i="5"/>
  <c r="O267" i="5"/>
  <c r="N267" i="5"/>
  <c r="M267" i="5"/>
  <c r="L267" i="5"/>
  <c r="K267" i="5"/>
  <c r="J267" i="5"/>
  <c r="I267" i="5"/>
  <c r="U266" i="5"/>
  <c r="T266" i="5"/>
  <c r="S266" i="5"/>
  <c r="R266" i="5"/>
  <c r="Q266" i="5"/>
  <c r="P266" i="5"/>
  <c r="O266" i="5"/>
  <c r="N266" i="5"/>
  <c r="M266" i="5"/>
  <c r="L266" i="5"/>
  <c r="K266" i="5"/>
  <c r="J266" i="5"/>
  <c r="I266" i="5"/>
  <c r="B264" i="5"/>
  <c r="B454" i="5" s="1"/>
  <c r="P263" i="5"/>
  <c r="O263" i="5"/>
  <c r="N263" i="5"/>
  <c r="M263" i="5"/>
  <c r="L263" i="5"/>
  <c r="K263" i="5"/>
  <c r="J263" i="5"/>
  <c r="I263" i="5"/>
  <c r="B261" i="5"/>
  <c r="B451" i="5" s="1"/>
  <c r="B234" i="5"/>
  <c r="B424" i="5" s="1"/>
  <c r="W196" i="5"/>
  <c r="K196" i="18" s="1"/>
  <c r="I196" i="5"/>
  <c r="I195" i="5"/>
  <c r="W193" i="5"/>
  <c r="K193" i="18" s="1"/>
  <c r="I193" i="5"/>
  <c r="I192" i="5"/>
  <c r="W191" i="5"/>
  <c r="K191" i="18" s="1"/>
  <c r="I191" i="5"/>
  <c r="W189" i="5"/>
  <c r="K189" i="18" s="1"/>
  <c r="I189" i="5"/>
  <c r="W188" i="5"/>
  <c r="K188" i="18" s="1"/>
  <c r="I188" i="5"/>
  <c r="W187" i="5"/>
  <c r="K187" i="18" s="1"/>
  <c r="I187" i="5"/>
  <c r="AH183" i="5"/>
  <c r="I183" i="5"/>
  <c r="I182" i="5"/>
  <c r="W181" i="5"/>
  <c r="K181" i="18" s="1"/>
  <c r="I181" i="5"/>
  <c r="W180" i="5"/>
  <c r="K180" i="18" s="1"/>
  <c r="I180" i="5"/>
  <c r="I178" i="5"/>
  <c r="W177" i="5"/>
  <c r="K177" i="18" s="1"/>
  <c r="I177" i="5"/>
  <c r="I175" i="5"/>
  <c r="T174" i="5"/>
  <c r="S174" i="5"/>
  <c r="Q174" i="5"/>
  <c r="W173" i="5"/>
  <c r="K173" i="18" s="1"/>
  <c r="I173" i="5"/>
  <c r="W172" i="5"/>
  <c r="K172" i="18" s="1"/>
  <c r="I172" i="5"/>
  <c r="W171" i="5"/>
  <c r="K171" i="18" s="1"/>
  <c r="I171" i="5"/>
  <c r="I169" i="5"/>
  <c r="W164" i="5"/>
  <c r="K164" i="18" s="1"/>
  <c r="W163" i="5"/>
  <c r="K163" i="18" s="1"/>
  <c r="W162" i="5"/>
  <c r="K162" i="18" s="1"/>
  <c r="W161" i="5"/>
  <c r="K161" i="18" s="1"/>
  <c r="I159" i="5"/>
  <c r="W158" i="5"/>
  <c r="K158" i="18" s="1"/>
  <c r="I158" i="5"/>
  <c r="W157" i="5"/>
  <c r="K157" i="18" s="1"/>
  <c r="I157" i="5"/>
  <c r="W156" i="5"/>
  <c r="K156" i="18" s="1"/>
  <c r="I156" i="5"/>
  <c r="W155" i="5"/>
  <c r="K155" i="18" s="1"/>
  <c r="I155" i="5"/>
  <c r="I154" i="5"/>
  <c r="W152" i="5"/>
  <c r="K152" i="18" s="1"/>
  <c r="I152" i="5"/>
  <c r="W151" i="5"/>
  <c r="K151" i="18" s="1"/>
  <c r="I151" i="5"/>
  <c r="W149" i="5"/>
  <c r="K149" i="18" s="1"/>
  <c r="I149" i="5"/>
  <c r="T147" i="5"/>
  <c r="S147" i="5"/>
  <c r="Q147" i="5"/>
  <c r="W146" i="5"/>
  <c r="K146" i="18" s="1"/>
  <c r="I146" i="5"/>
  <c r="W145" i="5"/>
  <c r="K145" i="18" s="1"/>
  <c r="I145" i="5"/>
  <c r="W141" i="5"/>
  <c r="K141" i="18" s="1"/>
  <c r="I141" i="5"/>
  <c r="W140" i="5"/>
  <c r="K140" i="18" s="1"/>
  <c r="I140" i="5"/>
  <c r="AC137" i="5"/>
  <c r="T137" i="5" s="1"/>
  <c r="AA137" i="5"/>
  <c r="R137" i="5" s="1"/>
  <c r="S137" i="5"/>
  <c r="Q137" i="5"/>
  <c r="S136" i="5"/>
  <c r="Q136" i="5"/>
  <c r="S135" i="5"/>
  <c r="Q135" i="5"/>
  <c r="W134" i="5"/>
  <c r="K134" i="18" s="1"/>
  <c r="S134" i="5"/>
  <c r="Q134" i="5"/>
  <c r="S133" i="5"/>
  <c r="Q133" i="5"/>
  <c r="W132" i="5"/>
  <c r="K132" i="18" s="1"/>
  <c r="S132" i="5"/>
  <c r="Q132" i="5"/>
  <c r="AC131" i="5"/>
  <c r="AC130" i="5"/>
  <c r="I129" i="5"/>
  <c r="I124" i="5"/>
  <c r="I123" i="5"/>
  <c r="T122" i="5"/>
  <c r="S122" i="5"/>
  <c r="Q122" i="5"/>
  <c r="AA121" i="5"/>
  <c r="R121" i="5" s="1"/>
  <c r="T121" i="5"/>
  <c r="AH120" i="5"/>
  <c r="AC120" i="5"/>
  <c r="T120" i="5" s="1"/>
  <c r="AA120" i="5"/>
  <c r="R120" i="5" s="1"/>
  <c r="S120" i="5"/>
  <c r="Q120" i="5"/>
  <c r="I119" i="5"/>
  <c r="I118" i="5"/>
  <c r="I116" i="5"/>
  <c r="I113" i="5"/>
  <c r="T112" i="5"/>
  <c r="S112" i="5"/>
  <c r="Q112" i="5"/>
  <c r="W111" i="5"/>
  <c r="K111" i="18" s="1"/>
  <c r="I111" i="5"/>
  <c r="W110" i="5"/>
  <c r="K110" i="18" s="1"/>
  <c r="I110" i="5"/>
  <c r="W109" i="5"/>
  <c r="K109" i="18" s="1"/>
  <c r="I109" i="5"/>
  <c r="W108" i="5"/>
  <c r="K108" i="18" s="1"/>
  <c r="I108" i="5"/>
  <c r="W107" i="5"/>
  <c r="K107" i="18" s="1"/>
  <c r="I107" i="5"/>
  <c r="W106" i="5"/>
  <c r="K106" i="18" s="1"/>
  <c r="I106" i="5"/>
  <c r="X104" i="5"/>
  <c r="L104" i="18" s="1"/>
  <c r="W104" i="5"/>
  <c r="K104" i="18" s="1"/>
  <c r="I104" i="5"/>
  <c r="X103" i="5"/>
  <c r="L103" i="18" s="1"/>
  <c r="W103" i="5"/>
  <c r="K103" i="18" s="1"/>
  <c r="I103" i="5"/>
  <c r="X102" i="5"/>
  <c r="L102" i="18" s="1"/>
  <c r="W102" i="5"/>
  <c r="K102" i="18" s="1"/>
  <c r="I102" i="5"/>
  <c r="AH99" i="5"/>
  <c r="AC99" i="5"/>
  <c r="T99" i="5" s="1"/>
  <c r="AA99" i="5"/>
  <c r="R99" i="5" s="1"/>
  <c r="S99" i="5"/>
  <c r="Q99" i="5"/>
  <c r="I98" i="5"/>
  <c r="W97" i="5"/>
  <c r="K97" i="18" s="1"/>
  <c r="I97" i="5"/>
  <c r="I96" i="5"/>
  <c r="I95" i="5"/>
  <c r="I94" i="5"/>
  <c r="W92" i="5"/>
  <c r="K92" i="18" s="1"/>
  <c r="W91" i="5"/>
  <c r="K91" i="18" s="1"/>
  <c r="W90" i="5"/>
  <c r="K90" i="18" s="1"/>
  <c r="W88" i="5"/>
  <c r="I88" i="5"/>
  <c r="W87" i="5"/>
  <c r="I87" i="5"/>
  <c r="W86" i="5"/>
  <c r="K86" i="18" s="1"/>
  <c r="I86" i="5"/>
  <c r="W85" i="5"/>
  <c r="K85" i="18" s="1"/>
  <c r="I85" i="5"/>
  <c r="W84" i="5"/>
  <c r="K84" i="18" s="1"/>
  <c r="I84" i="5"/>
  <c r="W83" i="5"/>
  <c r="K83" i="18" s="1"/>
  <c r="I83" i="5"/>
  <c r="W81" i="5"/>
  <c r="K81" i="18" s="1"/>
  <c r="I81" i="5"/>
  <c r="W80" i="5"/>
  <c r="K80" i="18" s="1"/>
  <c r="I80" i="5"/>
  <c r="I77" i="5"/>
  <c r="I76" i="5"/>
  <c r="I75" i="5"/>
  <c r="I72" i="5"/>
  <c r="W71" i="5"/>
  <c r="K71" i="18" s="1"/>
  <c r="I71" i="5"/>
  <c r="X69" i="5"/>
  <c r="L69" i="18" s="1"/>
  <c r="W69" i="5"/>
  <c r="K69" i="18" s="1"/>
  <c r="I69" i="5"/>
  <c r="W67" i="5"/>
  <c r="K67" i="18" s="1"/>
  <c r="I67" i="5"/>
  <c r="X66" i="5"/>
  <c r="L66" i="18" s="1"/>
  <c r="W66" i="5"/>
  <c r="K66" i="18" s="1"/>
  <c r="I66" i="5"/>
  <c r="X65" i="5"/>
  <c r="L65" i="18" s="1"/>
  <c r="W65" i="5"/>
  <c r="K65" i="18" s="1"/>
  <c r="I65" i="5"/>
  <c r="T62" i="5"/>
  <c r="S62" i="5"/>
  <c r="Q62" i="5"/>
  <c r="W61" i="5"/>
  <c r="K61" i="18" s="1"/>
  <c r="I61" i="5"/>
  <c r="W60" i="5"/>
  <c r="K60" i="18" s="1"/>
  <c r="I60" i="5"/>
  <c r="X58" i="5"/>
  <c r="L58" i="18" s="1"/>
  <c r="W58" i="5"/>
  <c r="K58" i="18" s="1"/>
  <c r="S58" i="5"/>
  <c r="Q58" i="5"/>
  <c r="X57" i="5"/>
  <c r="L57" i="18" s="1"/>
  <c r="W57" i="5"/>
  <c r="K57" i="18" s="1"/>
  <c r="I57" i="5"/>
  <c r="X56" i="5"/>
  <c r="L56" i="18" s="1"/>
  <c r="W56" i="5"/>
  <c r="K56" i="18" s="1"/>
  <c r="I56" i="5"/>
  <c r="X55" i="5"/>
  <c r="L55" i="18" s="1"/>
  <c r="W55" i="5"/>
  <c r="K55" i="18" s="1"/>
  <c r="I55" i="5"/>
  <c r="X53" i="5"/>
  <c r="L53" i="18" s="1"/>
  <c r="W53" i="5"/>
  <c r="K53" i="18" s="1"/>
  <c r="S53" i="5"/>
  <c r="Q53" i="5"/>
  <c r="X52" i="5"/>
  <c r="L52" i="18" s="1"/>
  <c r="W52" i="5"/>
  <c r="K52" i="18" s="1"/>
  <c r="S52" i="5"/>
  <c r="Q52" i="5"/>
  <c r="X51" i="5"/>
  <c r="L51" i="18" s="1"/>
  <c r="W51" i="5"/>
  <c r="K51" i="18" s="1"/>
  <c r="X50" i="5"/>
  <c r="L50" i="18" s="1"/>
  <c r="W50" i="5"/>
  <c r="K50" i="18" s="1"/>
  <c r="X47" i="5"/>
  <c r="L47" i="18" s="1"/>
  <c r="W47" i="5"/>
  <c r="K47" i="18" s="1"/>
  <c r="X44" i="5"/>
  <c r="L44" i="18" s="1"/>
  <c r="W44" i="5"/>
  <c r="K44" i="18" s="1"/>
  <c r="I44" i="5"/>
  <c r="W43" i="5"/>
  <c r="K43" i="18" s="1"/>
  <c r="X42" i="5"/>
  <c r="L42" i="18" s="1"/>
  <c r="W42" i="5"/>
  <c r="K42" i="18" s="1"/>
  <c r="I42" i="5"/>
  <c r="X41" i="5"/>
  <c r="L41" i="18" s="1"/>
  <c r="W41" i="5"/>
  <c r="K41" i="18" s="1"/>
  <c r="S41" i="5"/>
  <c r="Q41" i="5"/>
  <c r="X39" i="5"/>
  <c r="L39" i="18" s="1"/>
  <c r="W39" i="5"/>
  <c r="K39" i="18" s="1"/>
  <c r="I39" i="5"/>
  <c r="X38" i="5"/>
  <c r="L38" i="18" s="1"/>
  <c r="I38" i="5"/>
  <c r="X37" i="5"/>
  <c r="L37" i="18" s="1"/>
  <c r="W37" i="5"/>
  <c r="K37" i="18" s="1"/>
  <c r="I37" i="5"/>
  <c r="W34" i="5"/>
  <c r="K34" i="18" s="1"/>
  <c r="W33" i="5"/>
  <c r="K33" i="18" s="1"/>
  <c r="X31" i="5"/>
  <c r="L31" i="18" s="1"/>
  <c r="W31" i="5"/>
  <c r="K31" i="18" s="1"/>
  <c r="I31" i="5"/>
  <c r="X30" i="5"/>
  <c r="L30" i="18" s="1"/>
  <c r="W30" i="5"/>
  <c r="K30" i="18" s="1"/>
  <c r="I30" i="5"/>
  <c r="W29" i="5"/>
  <c r="K29" i="18" s="1"/>
  <c r="W28" i="5"/>
  <c r="K28" i="18" s="1"/>
  <c r="X27" i="5"/>
  <c r="L27" i="18" s="1"/>
  <c r="X26" i="5"/>
  <c r="L26" i="18" s="1"/>
  <c r="W26" i="5"/>
  <c r="K26" i="18" s="1"/>
  <c r="W25" i="5"/>
  <c r="K25" i="18" s="1"/>
  <c r="I25" i="5"/>
  <c r="X24" i="5"/>
  <c r="L24" i="18" s="1"/>
  <c r="W24" i="5"/>
  <c r="K24" i="18" s="1"/>
  <c r="I24" i="5"/>
  <c r="W23" i="5"/>
  <c r="K23" i="18" s="1"/>
  <c r="X22" i="5"/>
  <c r="L22" i="18" s="1"/>
  <c r="W22" i="5"/>
  <c r="K22" i="18" s="1"/>
  <c r="I22" i="5"/>
  <c r="X19" i="5"/>
  <c r="L19" i="18" s="1"/>
  <c r="W19" i="5"/>
  <c r="K19" i="18" s="1"/>
  <c r="I19" i="5"/>
  <c r="X18" i="5"/>
  <c r="L18" i="18" s="1"/>
  <c r="W18" i="5"/>
  <c r="K18" i="18" s="1"/>
  <c r="I18" i="5"/>
  <c r="X17" i="5"/>
  <c r="L17" i="18" s="1"/>
  <c r="W17" i="5"/>
  <c r="K17" i="18" s="1"/>
  <c r="I17" i="5"/>
  <c r="X16" i="5"/>
  <c r="L16" i="18" s="1"/>
  <c r="W16" i="5"/>
  <c r="K16" i="18" s="1"/>
  <c r="I16" i="5"/>
  <c r="X15" i="5"/>
  <c r="L15" i="18" s="1"/>
  <c r="W15" i="5"/>
  <c r="K15" i="18" s="1"/>
  <c r="I15" i="5"/>
  <c r="S13" i="5"/>
  <c r="Q13" i="5"/>
  <c r="S12" i="5"/>
  <c r="Q12" i="5"/>
  <c r="X11" i="5"/>
  <c r="L11" i="18" s="1"/>
  <c r="W11" i="5"/>
  <c r="K11" i="18" s="1"/>
  <c r="I11" i="5"/>
  <c r="T9" i="5"/>
  <c r="AH8" i="5"/>
  <c r="AF8" i="5"/>
  <c r="E5" i="5"/>
  <c r="Z3" i="5"/>
  <c r="R3" i="5"/>
  <c r="B3" i="5"/>
  <c r="U198" i="5" s="1"/>
  <c r="EU194" i="22"/>
  <c r="ET194" i="22"/>
  <c r="ES194" i="22"/>
  <c r="ER194" i="22"/>
  <c r="EQ194" i="22"/>
  <c r="EP194" i="22"/>
  <c r="EO194" i="22"/>
  <c r="EN194" i="22"/>
  <c r="EM194" i="22"/>
  <c r="EL194" i="22"/>
  <c r="EK194" i="22"/>
  <c r="EJ194" i="22"/>
  <c r="EI194" i="22"/>
  <c r="AK194" i="22"/>
  <c r="AJ194" i="22"/>
  <c r="AI194" i="22"/>
  <c r="AH194" i="22"/>
  <c r="AG194" i="22"/>
  <c r="AF194" i="22"/>
  <c r="AE194" i="22"/>
  <c r="AD194" i="22"/>
  <c r="AC194" i="22"/>
  <c r="AB194" i="22"/>
  <c r="AA194" i="22"/>
  <c r="Z194" i="22"/>
  <c r="Y194" i="22"/>
  <c r="L194" i="22"/>
  <c r="K194" i="22"/>
  <c r="EU193" i="22"/>
  <c r="ET193" i="22"/>
  <c r="ES193" i="22"/>
  <c r="ER193" i="22"/>
  <c r="EQ193" i="22"/>
  <c r="EP193" i="22"/>
  <c r="EO193" i="22"/>
  <c r="EN193" i="22"/>
  <c r="EM193" i="22"/>
  <c r="EL193" i="22"/>
  <c r="EK193" i="22"/>
  <c r="EJ193" i="22"/>
  <c r="EI193" i="22"/>
  <c r="AK193" i="22"/>
  <c r="AJ193" i="22"/>
  <c r="AI193" i="22"/>
  <c r="AH193" i="22"/>
  <c r="AG193" i="22"/>
  <c r="AF193" i="22"/>
  <c r="AE193" i="22"/>
  <c r="AD193" i="22"/>
  <c r="AC193" i="22"/>
  <c r="AB193" i="22"/>
  <c r="AA193" i="22"/>
  <c r="Z193" i="22"/>
  <c r="Y193" i="22"/>
  <c r="L193" i="22"/>
  <c r="K193" i="22"/>
  <c r="EU192" i="22"/>
  <c r="ET192" i="22"/>
  <c r="ES192" i="22"/>
  <c r="ER192" i="22"/>
  <c r="EQ192" i="22"/>
  <c r="EP192" i="22"/>
  <c r="EO192" i="22"/>
  <c r="EN192" i="22"/>
  <c r="EM192" i="22"/>
  <c r="EL192" i="22"/>
  <c r="EK192" i="22"/>
  <c r="EJ192" i="22"/>
  <c r="EI192" i="22"/>
  <c r="AK192" i="22"/>
  <c r="AJ192" i="22"/>
  <c r="AI192" i="22"/>
  <c r="AH192" i="22"/>
  <c r="AG192" i="22"/>
  <c r="AF192" i="22"/>
  <c r="AE192" i="22"/>
  <c r="AD192" i="22"/>
  <c r="AC192" i="22"/>
  <c r="AB192" i="22"/>
  <c r="AA192" i="22"/>
  <c r="Z192" i="22"/>
  <c r="Y192" i="22"/>
  <c r="L192" i="22"/>
  <c r="K192" i="22"/>
  <c r="EU191" i="22"/>
  <c r="ET191" i="22"/>
  <c r="ES191" i="22"/>
  <c r="ER191" i="22"/>
  <c r="EQ191" i="22"/>
  <c r="EP191" i="22"/>
  <c r="EO191" i="22"/>
  <c r="EN191" i="22"/>
  <c r="EM191" i="22"/>
  <c r="EL191" i="22"/>
  <c r="EK191" i="22"/>
  <c r="EJ191" i="22"/>
  <c r="EI191" i="22"/>
  <c r="AK191" i="22"/>
  <c r="AJ191" i="22"/>
  <c r="AI191" i="22"/>
  <c r="AH191" i="22"/>
  <c r="AG191" i="22"/>
  <c r="AF191" i="22"/>
  <c r="AE191" i="22"/>
  <c r="AD191" i="22"/>
  <c r="AC191" i="22"/>
  <c r="AB191" i="22"/>
  <c r="AA191" i="22"/>
  <c r="Z191" i="22"/>
  <c r="Y191" i="22"/>
  <c r="L191" i="22"/>
  <c r="K191" i="22"/>
  <c r="EZ190" i="22"/>
  <c r="EU190" i="22"/>
  <c r="ET190" i="22"/>
  <c r="ES190" i="22"/>
  <c r="ER190" i="22"/>
  <c r="EQ190" i="22"/>
  <c r="EP190" i="22"/>
  <c r="EO190" i="22"/>
  <c r="EN190" i="22"/>
  <c r="EM190" i="22"/>
  <c r="EL190" i="22"/>
  <c r="EK190" i="22"/>
  <c r="EJ190" i="22"/>
  <c r="EI190" i="22"/>
  <c r="AK190" i="22"/>
  <c r="AJ190" i="22"/>
  <c r="AI190" i="22"/>
  <c r="AH190" i="22"/>
  <c r="AG190" i="22"/>
  <c r="AF190" i="22"/>
  <c r="AE190" i="22"/>
  <c r="AD190" i="22"/>
  <c r="AC190" i="22"/>
  <c r="AB190" i="22"/>
  <c r="AA190" i="22"/>
  <c r="Z190" i="22"/>
  <c r="Y190" i="22"/>
  <c r="L190" i="22"/>
  <c r="K190" i="22"/>
  <c r="EU189" i="22"/>
  <c r="ET189" i="22"/>
  <c r="ES189" i="22"/>
  <c r="ER189" i="22"/>
  <c r="EQ189" i="22"/>
  <c r="EP189" i="22"/>
  <c r="EO189" i="22"/>
  <c r="EN189" i="22"/>
  <c r="EM189" i="22"/>
  <c r="EL189" i="22"/>
  <c r="EK189" i="22"/>
  <c r="EJ189" i="22"/>
  <c r="EI189" i="22"/>
  <c r="AK189" i="22"/>
  <c r="AJ189" i="22"/>
  <c r="AI189" i="22"/>
  <c r="AH189" i="22"/>
  <c r="AG189" i="22"/>
  <c r="AF189" i="22"/>
  <c r="AE189" i="22"/>
  <c r="AD189" i="22"/>
  <c r="AC189" i="22"/>
  <c r="AB189" i="22"/>
  <c r="AA189" i="22"/>
  <c r="Z189" i="22"/>
  <c r="Y189" i="22"/>
  <c r="L189" i="22"/>
  <c r="K189" i="22"/>
  <c r="EU188" i="22"/>
  <c r="ET188" i="22"/>
  <c r="ES188" i="22"/>
  <c r="ER188" i="22"/>
  <c r="EQ188" i="22"/>
  <c r="EP188" i="22"/>
  <c r="EO188" i="22"/>
  <c r="EN188" i="22"/>
  <c r="EM188" i="22"/>
  <c r="EL188" i="22"/>
  <c r="EK188" i="22"/>
  <c r="EJ188" i="22"/>
  <c r="EI188" i="22"/>
  <c r="AK188" i="22"/>
  <c r="AJ188" i="22"/>
  <c r="AI188" i="22"/>
  <c r="AH188" i="22"/>
  <c r="AG188" i="22"/>
  <c r="AF188" i="22"/>
  <c r="AE188" i="22"/>
  <c r="AD188" i="22"/>
  <c r="AC188" i="22"/>
  <c r="AB188" i="22"/>
  <c r="AA188" i="22"/>
  <c r="Z188" i="22"/>
  <c r="Y188" i="22"/>
  <c r="L188" i="22"/>
  <c r="K188" i="22"/>
  <c r="EU187" i="22"/>
  <c r="ET187" i="22"/>
  <c r="ES187" i="22"/>
  <c r="ER187" i="22"/>
  <c r="EQ187" i="22"/>
  <c r="EP187" i="22"/>
  <c r="EO187" i="22"/>
  <c r="EN187" i="22"/>
  <c r="EM187" i="22"/>
  <c r="EL187" i="22"/>
  <c r="EK187" i="22"/>
  <c r="EJ187" i="22"/>
  <c r="EI187" i="22"/>
  <c r="AK187" i="22"/>
  <c r="AJ187" i="22"/>
  <c r="AI187" i="22"/>
  <c r="AH187" i="22"/>
  <c r="AG187" i="22"/>
  <c r="AF187" i="22"/>
  <c r="AE187" i="22"/>
  <c r="AD187" i="22"/>
  <c r="AC187" i="22"/>
  <c r="AB187" i="22"/>
  <c r="AA187" i="22"/>
  <c r="Z187" i="22"/>
  <c r="Y187" i="22"/>
  <c r="L187" i="22"/>
  <c r="K187" i="22"/>
  <c r="EU186" i="22"/>
  <c r="ET186" i="22"/>
  <c r="ES186" i="22"/>
  <c r="ER186" i="22"/>
  <c r="EQ186" i="22"/>
  <c r="EP186" i="22"/>
  <c r="EO186" i="22"/>
  <c r="EN186" i="22"/>
  <c r="EM186" i="22"/>
  <c r="EL186" i="22"/>
  <c r="EK186" i="22"/>
  <c r="EJ186" i="22"/>
  <c r="EI186" i="22"/>
  <c r="AK186" i="22"/>
  <c r="AJ186" i="22"/>
  <c r="AI186" i="22"/>
  <c r="AH186" i="22"/>
  <c r="AG186" i="22"/>
  <c r="AF186" i="22"/>
  <c r="AE186" i="22"/>
  <c r="AD186" i="22"/>
  <c r="AC186" i="22"/>
  <c r="AB186" i="22"/>
  <c r="AA186" i="22"/>
  <c r="Z186" i="22"/>
  <c r="Y186" i="22"/>
  <c r="L186" i="22"/>
  <c r="K186" i="22"/>
  <c r="EU185" i="22"/>
  <c r="ET185" i="22"/>
  <c r="ES185" i="22"/>
  <c r="ER185" i="22"/>
  <c r="EQ185" i="22"/>
  <c r="EP185" i="22"/>
  <c r="EO185" i="22"/>
  <c r="EN185" i="22"/>
  <c r="EM185" i="22"/>
  <c r="EL185" i="22"/>
  <c r="EK185" i="22"/>
  <c r="EJ185" i="22"/>
  <c r="EI185" i="22"/>
  <c r="AK185" i="22"/>
  <c r="AJ185" i="22"/>
  <c r="AI185" i="22"/>
  <c r="AH185" i="22"/>
  <c r="AG185" i="22"/>
  <c r="AF185" i="22"/>
  <c r="AE185" i="22"/>
  <c r="AD185" i="22"/>
  <c r="AC185" i="22"/>
  <c r="AB185" i="22"/>
  <c r="AA185" i="22"/>
  <c r="Z185" i="22"/>
  <c r="Y185" i="22"/>
  <c r="L185" i="22"/>
  <c r="K185" i="22"/>
  <c r="EU184" i="22"/>
  <c r="ET184" i="22"/>
  <c r="ES184" i="22"/>
  <c r="ER184" i="22"/>
  <c r="EQ184" i="22"/>
  <c r="EP184" i="22"/>
  <c r="EO184" i="22"/>
  <c r="EN184" i="22"/>
  <c r="EM184" i="22"/>
  <c r="EL184" i="22"/>
  <c r="EK184" i="22"/>
  <c r="EJ184" i="22"/>
  <c r="EI184" i="22"/>
  <c r="AK184" i="22"/>
  <c r="AJ184" i="22"/>
  <c r="AI184" i="22"/>
  <c r="AH184" i="22"/>
  <c r="AG184" i="22"/>
  <c r="AF184" i="22"/>
  <c r="AE184" i="22"/>
  <c r="AD184" i="22"/>
  <c r="AC184" i="22"/>
  <c r="AB184" i="22"/>
  <c r="AA184" i="22"/>
  <c r="Z184" i="22"/>
  <c r="Y184" i="22"/>
  <c r="L184" i="22"/>
  <c r="K184" i="22"/>
  <c r="EU183" i="22"/>
  <c r="ET183" i="22"/>
  <c r="ES183" i="22"/>
  <c r="DZ183" i="22"/>
  <c r="ER183" i="22" s="1"/>
  <c r="DY183" i="22"/>
  <c r="EQ183" i="22" s="1"/>
  <c r="DX183" i="22"/>
  <c r="EP183" i="22" s="1"/>
  <c r="DW183" i="22"/>
  <c r="EO183" i="22" s="1"/>
  <c r="DV183" i="22"/>
  <c r="EN183" i="22" s="1"/>
  <c r="DU183" i="22"/>
  <c r="EM183" i="22" s="1"/>
  <c r="DT183" i="22"/>
  <c r="EL183" i="22" s="1"/>
  <c r="DS183" i="22"/>
  <c r="EK183" i="22" s="1"/>
  <c r="DR183" i="22"/>
  <c r="EJ183" i="22" s="1"/>
  <c r="DQ183" i="22"/>
  <c r="EI183" i="22" s="1"/>
  <c r="DI183" i="22"/>
  <c r="DH183" i="22"/>
  <c r="DG183" i="22"/>
  <c r="DF183" i="22"/>
  <c r="DE183" i="22"/>
  <c r="DD183" i="22"/>
  <c r="DC183" i="22"/>
  <c r="DB183" i="22"/>
  <c r="DA183" i="22"/>
  <c r="CZ183" i="22"/>
  <c r="AK183" i="22"/>
  <c r="AJ183" i="22"/>
  <c r="AI183" i="22"/>
  <c r="AH183" i="22"/>
  <c r="AG183" i="22"/>
  <c r="AF183" i="22"/>
  <c r="AE183" i="22"/>
  <c r="AD183" i="22"/>
  <c r="AC183" i="22"/>
  <c r="AB183" i="22"/>
  <c r="AA183" i="22"/>
  <c r="Z183" i="22"/>
  <c r="Y183" i="22"/>
  <c r="L183" i="22"/>
  <c r="K183" i="22"/>
  <c r="AK182" i="22"/>
  <c r="AJ182" i="22"/>
  <c r="AI182" i="22"/>
  <c r="AH182" i="22"/>
  <c r="AG182" i="22"/>
  <c r="AF182" i="22"/>
  <c r="AE182" i="22"/>
  <c r="AD182" i="22"/>
  <c r="AC182" i="22"/>
  <c r="AB182" i="22"/>
  <c r="AA182" i="22"/>
  <c r="Z182" i="22"/>
  <c r="Y182" i="22"/>
  <c r="L182" i="22"/>
  <c r="K182" i="22"/>
  <c r="EU181" i="22"/>
  <c r="ET181" i="22"/>
  <c r="ES181" i="22"/>
  <c r="ER181" i="22"/>
  <c r="EQ181" i="22"/>
  <c r="EP181" i="22"/>
  <c r="EO181" i="22"/>
  <c r="EN181" i="22"/>
  <c r="EM181" i="22"/>
  <c r="EL181" i="22"/>
  <c r="EK181" i="22"/>
  <c r="EJ181" i="22"/>
  <c r="EI181" i="22"/>
  <c r="AK181" i="22"/>
  <c r="AJ181" i="22"/>
  <c r="AI181" i="22"/>
  <c r="AH181" i="22"/>
  <c r="AG181" i="22"/>
  <c r="AF181" i="22"/>
  <c r="AE181" i="22"/>
  <c r="AD181" i="22"/>
  <c r="AC181" i="22"/>
  <c r="AB181" i="22"/>
  <c r="AA181" i="22"/>
  <c r="Z181" i="22"/>
  <c r="Y181" i="22"/>
  <c r="L181" i="22"/>
  <c r="K181" i="22"/>
  <c r="EU180" i="22"/>
  <c r="ET180" i="22"/>
  <c r="ES180" i="22"/>
  <c r="ER180" i="22"/>
  <c r="EQ180" i="22"/>
  <c r="EP180" i="22"/>
  <c r="EO180" i="22"/>
  <c r="EN180" i="22"/>
  <c r="EM180" i="22"/>
  <c r="EL180" i="22"/>
  <c r="EK180" i="22"/>
  <c r="EJ180" i="22"/>
  <c r="EI180" i="22"/>
  <c r="AK180" i="22"/>
  <c r="AJ180" i="22"/>
  <c r="AI180" i="22"/>
  <c r="AH180" i="22"/>
  <c r="AG180" i="22"/>
  <c r="AF180" i="22"/>
  <c r="AE180" i="22"/>
  <c r="AD180" i="22"/>
  <c r="AC180" i="22"/>
  <c r="AB180" i="22"/>
  <c r="AA180" i="22"/>
  <c r="Z180" i="22"/>
  <c r="Y180" i="22"/>
  <c r="L180" i="22"/>
  <c r="K180" i="22"/>
  <c r="EU179" i="22"/>
  <c r="ET179" i="22"/>
  <c r="ES179" i="22"/>
  <c r="ER179" i="22"/>
  <c r="EQ179" i="22"/>
  <c r="EP179" i="22"/>
  <c r="EO179" i="22"/>
  <c r="EN179" i="22"/>
  <c r="EM179" i="22"/>
  <c r="EL179" i="22"/>
  <c r="EK179" i="22"/>
  <c r="EJ179" i="22"/>
  <c r="EI179" i="22"/>
  <c r="AK179" i="22"/>
  <c r="AJ179" i="22"/>
  <c r="AI179" i="22"/>
  <c r="AH179" i="22"/>
  <c r="AG179" i="22"/>
  <c r="AF179" i="22"/>
  <c r="AE179" i="22"/>
  <c r="AD179" i="22"/>
  <c r="AC179" i="22"/>
  <c r="AB179" i="22"/>
  <c r="AA179" i="22"/>
  <c r="Z179" i="22"/>
  <c r="Y179" i="22"/>
  <c r="L179" i="22"/>
  <c r="K179" i="22"/>
  <c r="EU178" i="22"/>
  <c r="ET178" i="22"/>
  <c r="ES178" i="22"/>
  <c r="ER178" i="22"/>
  <c r="EQ178" i="22"/>
  <c r="EP178" i="22"/>
  <c r="EO178" i="22"/>
  <c r="EN178" i="22"/>
  <c r="EM178" i="22"/>
  <c r="EL178" i="22"/>
  <c r="EK178" i="22"/>
  <c r="EJ178" i="22"/>
  <c r="EI178" i="22"/>
  <c r="AK178" i="22"/>
  <c r="AJ178" i="22"/>
  <c r="AI178" i="22"/>
  <c r="AH178" i="22"/>
  <c r="AG178" i="22"/>
  <c r="AF178" i="22"/>
  <c r="AE178" i="22"/>
  <c r="AD178" i="22"/>
  <c r="AC178" i="22"/>
  <c r="AB178" i="22"/>
  <c r="AA178" i="22"/>
  <c r="Z178" i="22"/>
  <c r="Y178" i="22"/>
  <c r="L178" i="22"/>
  <c r="K178" i="22"/>
  <c r="EU177" i="22"/>
  <c r="ET177" i="22"/>
  <c r="ES177" i="22"/>
  <c r="ER177" i="22"/>
  <c r="EQ177" i="22"/>
  <c r="EP177" i="22"/>
  <c r="EO177" i="22"/>
  <c r="EN177" i="22"/>
  <c r="EM177" i="22"/>
  <c r="EL177" i="22"/>
  <c r="EK177" i="22"/>
  <c r="EJ177" i="22"/>
  <c r="EI177" i="22"/>
  <c r="AK177" i="22"/>
  <c r="AJ177" i="22"/>
  <c r="AI177" i="22"/>
  <c r="AH177" i="22"/>
  <c r="AG177" i="22"/>
  <c r="AF177" i="22"/>
  <c r="AE177" i="22"/>
  <c r="AD177" i="22"/>
  <c r="AC177" i="22"/>
  <c r="AB177" i="22"/>
  <c r="AA177" i="22"/>
  <c r="Z177" i="22"/>
  <c r="Y177" i="22"/>
  <c r="L177" i="22"/>
  <c r="K177" i="22"/>
  <c r="EU176" i="22"/>
  <c r="ET176" i="22"/>
  <c r="ES176" i="22"/>
  <c r="ER176" i="22"/>
  <c r="EQ176" i="22"/>
  <c r="EP176" i="22"/>
  <c r="EO176" i="22"/>
  <c r="EN176" i="22"/>
  <c r="EM176" i="22"/>
  <c r="EL176" i="22"/>
  <c r="EK176" i="22"/>
  <c r="EJ176" i="22"/>
  <c r="EI176" i="22"/>
  <c r="AK176" i="22"/>
  <c r="AJ176" i="22"/>
  <c r="AI176" i="22"/>
  <c r="AH176" i="22"/>
  <c r="AG176" i="22"/>
  <c r="AF176" i="22"/>
  <c r="AE176" i="22"/>
  <c r="AD176" i="22"/>
  <c r="AC176" i="22"/>
  <c r="AB176" i="22"/>
  <c r="AA176" i="22"/>
  <c r="Z176" i="22"/>
  <c r="Y176" i="22"/>
  <c r="L176" i="22"/>
  <c r="K176" i="22"/>
  <c r="EU175" i="22"/>
  <c r="ET175" i="22"/>
  <c r="ES175" i="22"/>
  <c r="ER175" i="22"/>
  <c r="EQ175" i="22"/>
  <c r="EP175" i="22"/>
  <c r="EO175" i="22"/>
  <c r="EN175" i="22"/>
  <c r="EM175" i="22"/>
  <c r="EL175" i="22"/>
  <c r="EK175" i="22"/>
  <c r="EJ175" i="22"/>
  <c r="EI175" i="22"/>
  <c r="AK175" i="22"/>
  <c r="AJ175" i="22"/>
  <c r="AI175" i="22"/>
  <c r="AH175" i="22"/>
  <c r="AG175" i="22"/>
  <c r="AF175" i="22"/>
  <c r="AE175" i="22"/>
  <c r="AD175" i="22"/>
  <c r="AC175" i="22"/>
  <c r="AB175" i="22"/>
  <c r="AA175" i="22"/>
  <c r="Z175" i="22"/>
  <c r="Y175" i="22"/>
  <c r="L175" i="22"/>
  <c r="K175" i="22"/>
  <c r="EU174" i="22"/>
  <c r="ET174" i="22"/>
  <c r="ES174" i="22"/>
  <c r="DZ174" i="22"/>
  <c r="ER174" i="22" s="1"/>
  <c r="DY174" i="22"/>
  <c r="EQ174" i="22" s="1"/>
  <c r="DX174" i="22"/>
  <c r="EP174" i="22" s="1"/>
  <c r="DW174" i="22"/>
  <c r="EO174" i="22" s="1"/>
  <c r="DV174" i="22"/>
  <c r="EN174" i="22" s="1"/>
  <c r="DU174" i="22"/>
  <c r="EM174" i="22" s="1"/>
  <c r="DT174" i="22"/>
  <c r="EL174" i="22" s="1"/>
  <c r="DS174" i="22"/>
  <c r="EK174" i="22" s="1"/>
  <c r="DR174" i="22"/>
  <c r="EJ174" i="22" s="1"/>
  <c r="DQ174" i="22"/>
  <c r="EI174" i="22" s="1"/>
  <c r="DI174" i="22"/>
  <c r="DH174" i="22"/>
  <c r="DG174" i="22"/>
  <c r="DF174" i="22"/>
  <c r="DE174" i="22"/>
  <c r="DD174" i="22"/>
  <c r="DC174" i="22"/>
  <c r="DB174" i="22"/>
  <c r="DA174" i="22"/>
  <c r="CZ174" i="22"/>
  <c r="AK174" i="22"/>
  <c r="AJ174" i="22"/>
  <c r="AI174" i="22"/>
  <c r="AH174" i="22"/>
  <c r="AG174" i="22"/>
  <c r="AF174" i="22"/>
  <c r="AE174" i="22"/>
  <c r="AD174" i="22"/>
  <c r="AC174" i="22"/>
  <c r="AB174" i="22"/>
  <c r="AA174" i="22"/>
  <c r="Z174" i="22"/>
  <c r="Y174" i="22"/>
  <c r="L174" i="22"/>
  <c r="K174" i="22"/>
  <c r="EU173" i="22"/>
  <c r="ET173" i="22"/>
  <c r="ES173" i="22"/>
  <c r="EP173" i="22"/>
  <c r="DZ173" i="22"/>
  <c r="ER173" i="22" s="1"/>
  <c r="DY173" i="22"/>
  <c r="EQ173" i="22" s="1"/>
  <c r="DX173" i="22"/>
  <c r="DW173" i="22"/>
  <c r="EO173" i="22" s="1"/>
  <c r="DV173" i="22"/>
  <c r="EN173" i="22" s="1"/>
  <c r="DU173" i="22"/>
  <c r="EM173" i="22" s="1"/>
  <c r="DT173" i="22"/>
  <c r="EL173" i="22" s="1"/>
  <c r="DS173" i="22"/>
  <c r="EK173" i="22" s="1"/>
  <c r="DR173" i="22"/>
  <c r="EJ173" i="22" s="1"/>
  <c r="DQ173" i="22"/>
  <c r="EI173" i="22" s="1"/>
  <c r="DI173" i="22"/>
  <c r="DH173" i="22"/>
  <c r="DG173" i="22"/>
  <c r="DF173" i="22"/>
  <c r="DE173" i="22"/>
  <c r="DD173" i="22"/>
  <c r="DC173" i="22"/>
  <c r="DB173" i="22"/>
  <c r="DA173" i="22"/>
  <c r="CZ173" i="22"/>
  <c r="AK173" i="22"/>
  <c r="AJ173" i="22"/>
  <c r="AI173" i="22"/>
  <c r="AH173" i="22"/>
  <c r="AG173" i="22"/>
  <c r="AF173" i="22"/>
  <c r="AE173" i="22"/>
  <c r="AD173" i="22"/>
  <c r="AC173" i="22"/>
  <c r="AB173" i="22"/>
  <c r="AA173" i="22"/>
  <c r="Z173" i="22"/>
  <c r="Y173" i="22"/>
  <c r="L173" i="22"/>
  <c r="K173" i="22"/>
  <c r="EU172" i="22"/>
  <c r="ET172" i="22"/>
  <c r="ES172" i="22"/>
  <c r="ER172" i="22"/>
  <c r="EQ172" i="22"/>
  <c r="EP172" i="22"/>
  <c r="EO172" i="22"/>
  <c r="EN172" i="22"/>
  <c r="EM172" i="22"/>
  <c r="EL172" i="22"/>
  <c r="EK172" i="22"/>
  <c r="EJ172" i="22"/>
  <c r="EI172" i="22"/>
  <c r="L172" i="22"/>
  <c r="K172" i="22"/>
  <c r="EU171" i="22"/>
  <c r="ET171" i="22"/>
  <c r="ES171" i="22"/>
  <c r="ER171" i="22"/>
  <c r="EQ171" i="22"/>
  <c r="EP171" i="22"/>
  <c r="EO171" i="22"/>
  <c r="EN171" i="22"/>
  <c r="EM171" i="22"/>
  <c r="EL171" i="22"/>
  <c r="EK171" i="22"/>
  <c r="EJ171" i="22"/>
  <c r="EI171" i="22"/>
  <c r="AK171" i="22"/>
  <c r="AJ171" i="22"/>
  <c r="AI171" i="22"/>
  <c r="AH171" i="22"/>
  <c r="AG171" i="22"/>
  <c r="AF171" i="22"/>
  <c r="AE171" i="22"/>
  <c r="AD171" i="22"/>
  <c r="AC171" i="22"/>
  <c r="AB171" i="22"/>
  <c r="AA171" i="22"/>
  <c r="Z171" i="22"/>
  <c r="Y171" i="22"/>
  <c r="L171" i="22"/>
  <c r="K171" i="22"/>
  <c r="EU170" i="22"/>
  <c r="ET170" i="22"/>
  <c r="ES170" i="22"/>
  <c r="ER170" i="22"/>
  <c r="EQ170" i="22"/>
  <c r="EP170" i="22"/>
  <c r="EO170" i="22"/>
  <c r="EN170" i="22"/>
  <c r="EM170" i="22"/>
  <c r="EL170" i="22"/>
  <c r="EK170" i="22"/>
  <c r="EJ170" i="22"/>
  <c r="EI170" i="22"/>
  <c r="AK170" i="22"/>
  <c r="AJ170" i="22"/>
  <c r="AI170" i="22"/>
  <c r="AH170" i="22"/>
  <c r="AG170" i="22"/>
  <c r="AF170" i="22"/>
  <c r="AE170" i="22"/>
  <c r="AD170" i="22"/>
  <c r="AC170" i="22"/>
  <c r="AB170" i="22"/>
  <c r="AA170" i="22"/>
  <c r="Z170" i="22"/>
  <c r="Y170" i="22"/>
  <c r="L170" i="22"/>
  <c r="K170" i="22"/>
  <c r="EU169" i="22"/>
  <c r="ET169" i="22"/>
  <c r="ES169" i="22"/>
  <c r="ER169" i="22"/>
  <c r="EQ169" i="22"/>
  <c r="EP169" i="22"/>
  <c r="EO169" i="22"/>
  <c r="EN169" i="22"/>
  <c r="EM169" i="22"/>
  <c r="EL169" i="22"/>
  <c r="EK169" i="22"/>
  <c r="EJ169" i="22"/>
  <c r="EI169" i="22"/>
  <c r="AK169" i="22"/>
  <c r="AJ169" i="22"/>
  <c r="AI169" i="22"/>
  <c r="AH169" i="22"/>
  <c r="AG169" i="22"/>
  <c r="AF169" i="22"/>
  <c r="AE169" i="22"/>
  <c r="AD169" i="22"/>
  <c r="AC169" i="22"/>
  <c r="AB169" i="22"/>
  <c r="AA169" i="22"/>
  <c r="Z169" i="22"/>
  <c r="Y169" i="22"/>
  <c r="L169" i="22"/>
  <c r="K169" i="22"/>
  <c r="EU168" i="22"/>
  <c r="ET168" i="22"/>
  <c r="ES168" i="22"/>
  <c r="ER168" i="22"/>
  <c r="EQ168" i="22"/>
  <c r="EP168" i="22"/>
  <c r="EO168" i="22"/>
  <c r="EN168" i="22"/>
  <c r="EM168" i="22"/>
  <c r="EL168" i="22"/>
  <c r="EK168" i="22"/>
  <c r="EJ168" i="22"/>
  <c r="EI168" i="22"/>
  <c r="AK168" i="22"/>
  <c r="AJ168" i="22"/>
  <c r="AI168" i="22"/>
  <c r="AH168" i="22"/>
  <c r="AG168" i="22"/>
  <c r="AF168" i="22"/>
  <c r="AE168" i="22"/>
  <c r="AD168" i="22"/>
  <c r="AC168" i="22"/>
  <c r="AB168" i="22"/>
  <c r="AA168" i="22"/>
  <c r="Z168" i="22"/>
  <c r="Y168" i="22"/>
  <c r="L168" i="22"/>
  <c r="K168" i="22"/>
  <c r="EU167" i="22"/>
  <c r="ET167" i="22"/>
  <c r="ES167" i="22"/>
  <c r="ER167" i="22"/>
  <c r="EQ167" i="22"/>
  <c r="EP167" i="22"/>
  <c r="EO167" i="22"/>
  <c r="EN167" i="22"/>
  <c r="EM167" i="22"/>
  <c r="EL167" i="22"/>
  <c r="EK167" i="22"/>
  <c r="EJ167" i="22"/>
  <c r="EI167" i="22"/>
  <c r="AK167" i="22"/>
  <c r="AJ167" i="22"/>
  <c r="AI167" i="22"/>
  <c r="AH167" i="22"/>
  <c r="AG167" i="22"/>
  <c r="AF167" i="22"/>
  <c r="AE167" i="22"/>
  <c r="AD167" i="22"/>
  <c r="AC167" i="22"/>
  <c r="AB167" i="22"/>
  <c r="AA167" i="22"/>
  <c r="Z167" i="22"/>
  <c r="Y167" i="22"/>
  <c r="L167" i="22"/>
  <c r="K167" i="22"/>
  <c r="EZ166" i="22"/>
  <c r="EU166" i="22"/>
  <c r="ET166" i="22"/>
  <c r="ES166" i="22"/>
  <c r="AK166" i="22"/>
  <c r="AJ166" i="22"/>
  <c r="AI166" i="22"/>
  <c r="AH166" i="22"/>
  <c r="AG166" i="22"/>
  <c r="AF166" i="22"/>
  <c r="AE166" i="22"/>
  <c r="AD166" i="22"/>
  <c r="AC166" i="22"/>
  <c r="AB166" i="22"/>
  <c r="AA166" i="22"/>
  <c r="Z166" i="22"/>
  <c r="Y166" i="22"/>
  <c r="L166" i="22"/>
  <c r="K166" i="22"/>
  <c r="EZ165" i="22"/>
  <c r="EU165" i="22"/>
  <c r="ET165" i="22"/>
  <c r="ES165" i="22"/>
  <c r="AK165" i="22"/>
  <c r="AJ165" i="22"/>
  <c r="AI165" i="22"/>
  <c r="AH165" i="22"/>
  <c r="AG165" i="22"/>
  <c r="AF165" i="22"/>
  <c r="AE165" i="22"/>
  <c r="AD165" i="22"/>
  <c r="AC165" i="22"/>
  <c r="AB165" i="22"/>
  <c r="AA165" i="22"/>
  <c r="Z165" i="22"/>
  <c r="Y165" i="22"/>
  <c r="L165" i="22"/>
  <c r="K165" i="22"/>
  <c r="EZ164" i="22"/>
  <c r="EU164" i="22"/>
  <c r="ET164" i="22"/>
  <c r="ES164" i="22"/>
  <c r="AK164" i="22"/>
  <c r="AJ164" i="22"/>
  <c r="AI164" i="22"/>
  <c r="AH164" i="22"/>
  <c r="AG164" i="22"/>
  <c r="AF164" i="22"/>
  <c r="AE164" i="22"/>
  <c r="AD164" i="22"/>
  <c r="AC164" i="22"/>
  <c r="AB164" i="22"/>
  <c r="AA164" i="22"/>
  <c r="Z164" i="22"/>
  <c r="Y164" i="22"/>
  <c r="L164" i="22"/>
  <c r="K164" i="22"/>
  <c r="EZ163" i="22"/>
  <c r="EU163" i="22"/>
  <c r="ET163" i="22"/>
  <c r="ES163" i="22"/>
  <c r="AK163" i="22"/>
  <c r="AJ163" i="22"/>
  <c r="AI163" i="22"/>
  <c r="AH163" i="22"/>
  <c r="AG163" i="22"/>
  <c r="AF163" i="22"/>
  <c r="AE163" i="22"/>
  <c r="AD163" i="22"/>
  <c r="AC163" i="22"/>
  <c r="AB163" i="22"/>
  <c r="AA163" i="22"/>
  <c r="Z163" i="22"/>
  <c r="Y163" i="22"/>
  <c r="L163" i="22"/>
  <c r="K163" i="22"/>
  <c r="EZ162" i="22"/>
  <c r="EU162" i="22"/>
  <c r="ET162" i="22"/>
  <c r="ES162" i="22"/>
  <c r="AK162" i="22"/>
  <c r="AJ162" i="22"/>
  <c r="AI162" i="22"/>
  <c r="AH162" i="22"/>
  <c r="AG162" i="22"/>
  <c r="AF162" i="22"/>
  <c r="AE162" i="22"/>
  <c r="AD162" i="22"/>
  <c r="AC162" i="22"/>
  <c r="AB162" i="22"/>
  <c r="AA162" i="22"/>
  <c r="Z162" i="22"/>
  <c r="Y162" i="22"/>
  <c r="L162" i="22"/>
  <c r="K162" i="22"/>
  <c r="EZ161" i="22"/>
  <c r="EU161" i="22"/>
  <c r="ET161" i="22"/>
  <c r="ES161" i="22"/>
  <c r="AK161" i="22"/>
  <c r="AJ161" i="22"/>
  <c r="AI161" i="22"/>
  <c r="AH161" i="22"/>
  <c r="AG161" i="22"/>
  <c r="AF161" i="22"/>
  <c r="AE161" i="22"/>
  <c r="AD161" i="22"/>
  <c r="AC161" i="22"/>
  <c r="AB161" i="22"/>
  <c r="AA161" i="22"/>
  <c r="Z161" i="22"/>
  <c r="Y161" i="22"/>
  <c r="L161" i="22"/>
  <c r="K161" i="22"/>
  <c r="EZ160" i="22"/>
  <c r="EU160" i="22"/>
  <c r="ET160" i="22"/>
  <c r="ES160" i="22"/>
  <c r="AK160" i="22"/>
  <c r="AJ160" i="22"/>
  <c r="AI160" i="22"/>
  <c r="AH160" i="22"/>
  <c r="AG160" i="22"/>
  <c r="AF160" i="22"/>
  <c r="AE160" i="22"/>
  <c r="AD160" i="22"/>
  <c r="AC160" i="22"/>
  <c r="AB160" i="22"/>
  <c r="AA160" i="22"/>
  <c r="Z160" i="22"/>
  <c r="Y160" i="22"/>
  <c r="L160" i="22"/>
  <c r="K160" i="22"/>
  <c r="EZ159" i="22"/>
  <c r="EU159" i="22"/>
  <c r="ET159" i="22"/>
  <c r="ES159" i="22"/>
  <c r="AK159" i="22"/>
  <c r="AJ159" i="22"/>
  <c r="AI159" i="22"/>
  <c r="AH159" i="22"/>
  <c r="AG159" i="22"/>
  <c r="AF159" i="22"/>
  <c r="AE159" i="22"/>
  <c r="AD159" i="22"/>
  <c r="AC159" i="22"/>
  <c r="AB159" i="22"/>
  <c r="AA159" i="22"/>
  <c r="Z159" i="22"/>
  <c r="Y159" i="22"/>
  <c r="L159" i="22"/>
  <c r="K159" i="22"/>
  <c r="EZ158" i="22"/>
  <c r="EU158" i="22"/>
  <c r="ET158" i="22"/>
  <c r="ES158" i="22"/>
  <c r="AK158" i="22"/>
  <c r="AJ158" i="22"/>
  <c r="AI158" i="22"/>
  <c r="AH158" i="22"/>
  <c r="AG158" i="22"/>
  <c r="AF158" i="22"/>
  <c r="AE158" i="22"/>
  <c r="AD158" i="22"/>
  <c r="AC158" i="22"/>
  <c r="AB158" i="22"/>
  <c r="AA158" i="22"/>
  <c r="Z158" i="22"/>
  <c r="Y158" i="22"/>
  <c r="L158" i="22"/>
  <c r="K158" i="22"/>
  <c r="EU157" i="22"/>
  <c r="ET157" i="22"/>
  <c r="ES157" i="22"/>
  <c r="AK157" i="22"/>
  <c r="AJ157" i="22"/>
  <c r="AI157" i="22"/>
  <c r="AH157" i="22"/>
  <c r="AG157" i="22"/>
  <c r="AF157" i="22"/>
  <c r="AE157" i="22"/>
  <c r="AD157" i="22"/>
  <c r="AC157" i="22"/>
  <c r="AB157" i="22"/>
  <c r="AA157" i="22"/>
  <c r="Z157" i="22"/>
  <c r="Y157" i="22"/>
  <c r="L157" i="22"/>
  <c r="K157" i="22"/>
  <c r="EU156" i="22"/>
  <c r="ET156" i="22"/>
  <c r="ES156" i="22"/>
  <c r="AK156" i="22"/>
  <c r="AJ156" i="22"/>
  <c r="AI156" i="22"/>
  <c r="AH156" i="22"/>
  <c r="AG156" i="22"/>
  <c r="AF156" i="22"/>
  <c r="AE156" i="22"/>
  <c r="AD156" i="22"/>
  <c r="AC156" i="22"/>
  <c r="AB156" i="22"/>
  <c r="AA156" i="22"/>
  <c r="Z156" i="22"/>
  <c r="Y156" i="22"/>
  <c r="L156" i="22"/>
  <c r="K156" i="22"/>
  <c r="EZ155" i="22"/>
  <c r="EU155" i="22"/>
  <c r="ET155" i="22"/>
  <c r="ES155" i="22"/>
  <c r="AK155" i="22"/>
  <c r="AJ155" i="22"/>
  <c r="AI155" i="22"/>
  <c r="AH155" i="22"/>
  <c r="AG155" i="22"/>
  <c r="AF155" i="22"/>
  <c r="AE155" i="22"/>
  <c r="AD155" i="22"/>
  <c r="AC155" i="22"/>
  <c r="AB155" i="22"/>
  <c r="AA155" i="22"/>
  <c r="Z155" i="22"/>
  <c r="Y155" i="22"/>
  <c r="L155" i="22"/>
  <c r="K155" i="22"/>
  <c r="EU154" i="22"/>
  <c r="ET154" i="22"/>
  <c r="ES154" i="22"/>
  <c r="AK154" i="22"/>
  <c r="AJ154" i="22"/>
  <c r="AI154" i="22"/>
  <c r="AH154" i="22"/>
  <c r="AG154" i="22"/>
  <c r="AF154" i="22"/>
  <c r="AE154" i="22"/>
  <c r="AD154" i="22"/>
  <c r="AC154" i="22"/>
  <c r="AB154" i="22"/>
  <c r="AA154" i="22"/>
  <c r="Z154" i="22"/>
  <c r="Y154" i="22"/>
  <c r="L154" i="22"/>
  <c r="K154" i="22"/>
  <c r="EU153" i="22"/>
  <c r="ET153" i="22"/>
  <c r="ES153" i="22"/>
  <c r="AK153" i="22"/>
  <c r="AJ153" i="22"/>
  <c r="AI153" i="22"/>
  <c r="AH153" i="22"/>
  <c r="AG153" i="22"/>
  <c r="AF153" i="22"/>
  <c r="AE153" i="22"/>
  <c r="AD153" i="22"/>
  <c r="AC153" i="22"/>
  <c r="AB153" i="22"/>
  <c r="AA153" i="22"/>
  <c r="Z153" i="22"/>
  <c r="Y153" i="22"/>
  <c r="L153" i="22"/>
  <c r="K153" i="22"/>
  <c r="EU152" i="22"/>
  <c r="ET152" i="22"/>
  <c r="ES152" i="22"/>
  <c r="AK152" i="22"/>
  <c r="AJ152" i="22"/>
  <c r="AI152" i="22"/>
  <c r="AH152" i="22"/>
  <c r="AG152" i="22"/>
  <c r="AF152" i="22"/>
  <c r="AE152" i="22"/>
  <c r="AD152" i="22"/>
  <c r="AC152" i="22"/>
  <c r="AB152" i="22"/>
  <c r="AA152" i="22"/>
  <c r="Z152" i="22"/>
  <c r="Y152" i="22"/>
  <c r="L152" i="22"/>
  <c r="K152" i="22"/>
  <c r="EU151" i="22"/>
  <c r="ET151" i="22"/>
  <c r="ES151" i="22"/>
  <c r="AK151" i="22"/>
  <c r="AJ151" i="22"/>
  <c r="AI151" i="22"/>
  <c r="AH151" i="22"/>
  <c r="AG151" i="22"/>
  <c r="AF151" i="22"/>
  <c r="AE151" i="22"/>
  <c r="AD151" i="22"/>
  <c r="AC151" i="22"/>
  <c r="AB151" i="22"/>
  <c r="AA151" i="22"/>
  <c r="Z151" i="22"/>
  <c r="Y151" i="22"/>
  <c r="L151" i="22"/>
  <c r="K151" i="22"/>
  <c r="EZ150" i="22"/>
  <c r="EU150" i="22"/>
  <c r="ET150" i="22"/>
  <c r="ES150" i="22"/>
  <c r="ER150" i="22"/>
  <c r="EQ150" i="22"/>
  <c r="EP150" i="22"/>
  <c r="EO150" i="22"/>
  <c r="EN150" i="22"/>
  <c r="EM150" i="22"/>
  <c r="EL150" i="22"/>
  <c r="EK150" i="22"/>
  <c r="EJ150" i="22"/>
  <c r="EI150" i="22"/>
  <c r="AK150" i="22"/>
  <c r="AJ150" i="22"/>
  <c r="AI150" i="22"/>
  <c r="AH150" i="22"/>
  <c r="AG150" i="22"/>
  <c r="AF150" i="22"/>
  <c r="AE150" i="22"/>
  <c r="AD150" i="22"/>
  <c r="AC150" i="22"/>
  <c r="AB150" i="22"/>
  <c r="AA150" i="22"/>
  <c r="Z150" i="22"/>
  <c r="Y150" i="22"/>
  <c r="L150" i="22"/>
  <c r="K150" i="22"/>
  <c r="EZ149" i="22"/>
  <c r="EU149" i="22"/>
  <c r="ET149" i="22"/>
  <c r="ES149" i="22"/>
  <c r="ER149" i="22"/>
  <c r="EQ149" i="22"/>
  <c r="EP149" i="22"/>
  <c r="EO149" i="22"/>
  <c r="EN149" i="22"/>
  <c r="EM149" i="22"/>
  <c r="EL149" i="22"/>
  <c r="EK149" i="22"/>
  <c r="EJ149" i="22"/>
  <c r="EI149" i="22"/>
  <c r="AK149" i="22"/>
  <c r="AJ149" i="22"/>
  <c r="AI149" i="22"/>
  <c r="AH149" i="22"/>
  <c r="AG149" i="22"/>
  <c r="AF149" i="22"/>
  <c r="AE149" i="22"/>
  <c r="AD149" i="22"/>
  <c r="AC149" i="22"/>
  <c r="AB149" i="22"/>
  <c r="AA149" i="22"/>
  <c r="Z149" i="22"/>
  <c r="Y149" i="22"/>
  <c r="L149" i="22"/>
  <c r="K149" i="22"/>
  <c r="EZ148" i="22"/>
  <c r="EU148" i="22"/>
  <c r="ET148" i="22"/>
  <c r="ES148" i="22"/>
  <c r="ER148" i="22"/>
  <c r="EQ148" i="22"/>
  <c r="EP148" i="22"/>
  <c r="EO148" i="22"/>
  <c r="EN148" i="22"/>
  <c r="EM148" i="22"/>
  <c r="EL148" i="22"/>
  <c r="EK148" i="22"/>
  <c r="EJ148" i="22"/>
  <c r="EI148" i="22"/>
  <c r="AK148" i="22"/>
  <c r="AJ148" i="22"/>
  <c r="AI148" i="22"/>
  <c r="AH148" i="22"/>
  <c r="AG148" i="22"/>
  <c r="AF148" i="22"/>
  <c r="AE148" i="22"/>
  <c r="AD148" i="22"/>
  <c r="AC148" i="22"/>
  <c r="AB148" i="22"/>
  <c r="AA148" i="22"/>
  <c r="Z148" i="22"/>
  <c r="Y148" i="22"/>
  <c r="L148" i="22"/>
  <c r="K148" i="22"/>
  <c r="EZ147" i="22"/>
  <c r="EU147" i="22"/>
  <c r="ET147" i="22"/>
  <c r="ES147" i="22"/>
  <c r="ER147" i="22"/>
  <c r="EQ147" i="22"/>
  <c r="EP147" i="22"/>
  <c r="EO147" i="22"/>
  <c r="EN147" i="22"/>
  <c r="EM147" i="22"/>
  <c r="EL147" i="22"/>
  <c r="EK147" i="22"/>
  <c r="EJ147" i="22"/>
  <c r="EI147" i="22"/>
  <c r="AK147" i="22"/>
  <c r="AJ147" i="22"/>
  <c r="AI147" i="22"/>
  <c r="AH147" i="22"/>
  <c r="AG147" i="22"/>
  <c r="AF147" i="22"/>
  <c r="AE147" i="22"/>
  <c r="AD147" i="22"/>
  <c r="AC147" i="22"/>
  <c r="AB147" i="22"/>
  <c r="AA147" i="22"/>
  <c r="Z147" i="22"/>
  <c r="Y147" i="22"/>
  <c r="L147" i="22"/>
  <c r="K147" i="22"/>
  <c r="EU146" i="22"/>
  <c r="ET146" i="22"/>
  <c r="ES146" i="22"/>
  <c r="AK146" i="22"/>
  <c r="AJ146" i="22"/>
  <c r="AI146" i="22"/>
  <c r="AH146" i="22"/>
  <c r="AG146" i="22"/>
  <c r="AF146" i="22"/>
  <c r="AE146" i="22"/>
  <c r="AD146" i="22"/>
  <c r="AC146" i="22"/>
  <c r="AB146" i="22"/>
  <c r="AA146" i="22"/>
  <c r="Z146" i="22"/>
  <c r="Y146" i="22"/>
  <c r="L146" i="22"/>
  <c r="K146" i="22"/>
  <c r="EU145" i="22"/>
  <c r="ET145" i="22"/>
  <c r="ES145" i="22"/>
  <c r="L145" i="22"/>
  <c r="K145" i="22"/>
  <c r="EZ144" i="22"/>
  <c r="EU144" i="22"/>
  <c r="ET144" i="22"/>
  <c r="ES144" i="22"/>
  <c r="ER144" i="22"/>
  <c r="EQ144" i="22"/>
  <c r="EP144" i="22"/>
  <c r="EO144" i="22"/>
  <c r="EN144" i="22"/>
  <c r="EM144" i="22"/>
  <c r="EL144" i="22"/>
  <c r="EK144" i="22"/>
  <c r="EJ144" i="22"/>
  <c r="EI144" i="22"/>
  <c r="AK144" i="22"/>
  <c r="AJ144" i="22"/>
  <c r="AI144" i="22"/>
  <c r="AH144" i="22"/>
  <c r="AG144" i="22"/>
  <c r="AF144" i="22"/>
  <c r="AE144" i="22"/>
  <c r="AD144" i="22"/>
  <c r="AC144" i="22"/>
  <c r="AB144" i="22"/>
  <c r="AA144" i="22"/>
  <c r="Z144" i="22"/>
  <c r="Y144" i="22"/>
  <c r="L144" i="22"/>
  <c r="K144" i="22"/>
  <c r="EZ143" i="22"/>
  <c r="EU143" i="22"/>
  <c r="ET143" i="22"/>
  <c r="ES143" i="22"/>
  <c r="ER143" i="22"/>
  <c r="EQ143" i="22"/>
  <c r="EP143" i="22"/>
  <c r="EO143" i="22"/>
  <c r="EN143" i="22"/>
  <c r="EM143" i="22"/>
  <c r="EL143" i="22"/>
  <c r="EK143" i="22"/>
  <c r="EJ143" i="22"/>
  <c r="EI143" i="22"/>
  <c r="AK143" i="22"/>
  <c r="AJ143" i="22"/>
  <c r="AI143" i="22"/>
  <c r="AH143" i="22"/>
  <c r="AG143" i="22"/>
  <c r="AF143" i="22"/>
  <c r="AE143" i="22"/>
  <c r="AD143" i="22"/>
  <c r="AC143" i="22"/>
  <c r="AB143" i="22"/>
  <c r="AA143" i="22"/>
  <c r="Z143" i="22"/>
  <c r="Y143" i="22"/>
  <c r="L143" i="22"/>
  <c r="K143" i="22"/>
  <c r="EZ142" i="22"/>
  <c r="EU142" i="22"/>
  <c r="ET142" i="22"/>
  <c r="ES142" i="22"/>
  <c r="ER142" i="22"/>
  <c r="EQ142" i="22"/>
  <c r="EP142" i="22"/>
  <c r="EO142" i="22"/>
  <c r="EN142" i="22"/>
  <c r="EM142" i="22"/>
  <c r="EL142" i="22"/>
  <c r="EK142" i="22"/>
  <c r="EJ142" i="22"/>
  <c r="EI142" i="22"/>
  <c r="AK142" i="22"/>
  <c r="AJ142" i="22"/>
  <c r="AI142" i="22"/>
  <c r="AH142" i="22"/>
  <c r="AG142" i="22"/>
  <c r="AF142" i="22"/>
  <c r="AE142" i="22"/>
  <c r="AD142" i="22"/>
  <c r="AC142" i="22"/>
  <c r="AB142" i="22"/>
  <c r="AA142" i="22"/>
  <c r="Z142" i="22"/>
  <c r="Y142" i="22"/>
  <c r="L142" i="22"/>
  <c r="K142" i="22"/>
  <c r="EZ141" i="22"/>
  <c r="EU141" i="22"/>
  <c r="ET141" i="22"/>
  <c r="ES141" i="22"/>
  <c r="ER141" i="22"/>
  <c r="EQ141" i="22"/>
  <c r="EP141" i="22"/>
  <c r="EO141" i="22"/>
  <c r="EN141" i="22"/>
  <c r="EM141" i="22"/>
  <c r="EL141" i="22"/>
  <c r="EK141" i="22"/>
  <c r="EJ141" i="22"/>
  <c r="EI141" i="22"/>
  <c r="AK141" i="22"/>
  <c r="AJ141" i="22"/>
  <c r="AI141" i="22"/>
  <c r="AH141" i="22"/>
  <c r="AG141" i="22"/>
  <c r="AF141" i="22"/>
  <c r="AE141" i="22"/>
  <c r="AD141" i="22"/>
  <c r="AC141" i="22"/>
  <c r="AB141" i="22"/>
  <c r="AA141" i="22"/>
  <c r="Z141" i="22"/>
  <c r="Y141" i="22"/>
  <c r="L141" i="22"/>
  <c r="K141" i="22"/>
  <c r="EZ140" i="22"/>
  <c r="EU140" i="22"/>
  <c r="ET140" i="22"/>
  <c r="ES140" i="22"/>
  <c r="ER140" i="22"/>
  <c r="EQ140" i="22"/>
  <c r="EP140" i="22"/>
  <c r="EO140" i="22"/>
  <c r="EN140" i="22"/>
  <c r="EM140" i="22"/>
  <c r="EL140" i="22"/>
  <c r="EK140" i="22"/>
  <c r="EJ140" i="22"/>
  <c r="EI140" i="22"/>
  <c r="AK140" i="22"/>
  <c r="AJ140" i="22"/>
  <c r="AI140" i="22"/>
  <c r="AH140" i="22"/>
  <c r="AG140" i="22"/>
  <c r="AF140" i="22"/>
  <c r="AE140" i="22"/>
  <c r="AD140" i="22"/>
  <c r="AC140" i="22"/>
  <c r="AB140" i="22"/>
  <c r="AA140" i="22"/>
  <c r="Z140" i="22"/>
  <c r="Y140" i="22"/>
  <c r="L140" i="22"/>
  <c r="K140" i="22"/>
  <c r="EZ139" i="22"/>
  <c r="EU139" i="22"/>
  <c r="ET139" i="22"/>
  <c r="ES139" i="22"/>
  <c r="ER139" i="22"/>
  <c r="EQ139" i="22"/>
  <c r="EP139" i="22"/>
  <c r="EO139" i="22"/>
  <c r="EN139" i="22"/>
  <c r="EM139" i="22"/>
  <c r="EL139" i="22"/>
  <c r="EK139" i="22"/>
  <c r="EJ139" i="22"/>
  <c r="EI139" i="22"/>
  <c r="EE139" i="22"/>
  <c r="AK139" i="22"/>
  <c r="AJ139" i="22"/>
  <c r="AI139" i="22"/>
  <c r="AH139" i="22"/>
  <c r="AG139" i="22"/>
  <c r="AF139" i="22"/>
  <c r="AE139" i="22"/>
  <c r="AD139" i="22"/>
  <c r="AC139" i="22"/>
  <c r="AB139" i="22"/>
  <c r="AA139" i="22"/>
  <c r="Z139" i="22"/>
  <c r="Y139" i="22"/>
  <c r="L139" i="22"/>
  <c r="K139" i="22"/>
  <c r="EZ138" i="22"/>
  <c r="EU138" i="22"/>
  <c r="ET138" i="22"/>
  <c r="ES138" i="22"/>
  <c r="ER138" i="22"/>
  <c r="EQ138" i="22"/>
  <c r="EP138" i="22"/>
  <c r="EO138" i="22"/>
  <c r="EN138" i="22"/>
  <c r="EM138" i="22"/>
  <c r="EL138" i="22"/>
  <c r="EK138" i="22"/>
  <c r="EJ138" i="22"/>
  <c r="EI138" i="22"/>
  <c r="EE138" i="22"/>
  <c r="AK138" i="22"/>
  <c r="AJ138" i="22"/>
  <c r="AI138" i="22"/>
  <c r="AH138" i="22"/>
  <c r="AG138" i="22"/>
  <c r="AF138" i="22"/>
  <c r="AE138" i="22"/>
  <c r="AD138" i="22"/>
  <c r="AC138" i="22"/>
  <c r="AB138" i="22"/>
  <c r="AA138" i="22"/>
  <c r="Z138" i="22"/>
  <c r="Y138" i="22"/>
  <c r="L138" i="22"/>
  <c r="K138" i="22"/>
  <c r="EZ137" i="22"/>
  <c r="EU137" i="22"/>
  <c r="ET137" i="22"/>
  <c r="ES137" i="22"/>
  <c r="ER137" i="22"/>
  <c r="EQ137" i="22"/>
  <c r="EP137" i="22"/>
  <c r="EO137" i="22"/>
  <c r="EN137" i="22"/>
  <c r="EM137" i="22"/>
  <c r="EL137" i="22"/>
  <c r="EK137" i="22"/>
  <c r="EJ137" i="22"/>
  <c r="EI137" i="22"/>
  <c r="EE137" i="22"/>
  <c r="AK137" i="22"/>
  <c r="AJ137" i="22"/>
  <c r="AI137" i="22"/>
  <c r="AH137" i="22"/>
  <c r="AG137" i="22"/>
  <c r="AF137" i="22"/>
  <c r="AE137" i="22"/>
  <c r="AD137" i="22"/>
  <c r="AC137" i="22"/>
  <c r="AB137" i="22"/>
  <c r="AA137" i="22"/>
  <c r="Z137" i="22"/>
  <c r="Y137" i="22"/>
  <c r="L137" i="22"/>
  <c r="K137" i="22"/>
  <c r="EZ136" i="22"/>
  <c r="EU136" i="22"/>
  <c r="ET136" i="22"/>
  <c r="ES136" i="22"/>
  <c r="ER136" i="22"/>
  <c r="EQ136" i="22"/>
  <c r="EP136" i="22"/>
  <c r="EO136" i="22"/>
  <c r="EN136" i="22"/>
  <c r="EM136" i="22"/>
  <c r="EL136" i="22"/>
  <c r="EK136" i="22"/>
  <c r="EJ136" i="22"/>
  <c r="EI136" i="22"/>
  <c r="EE136" i="22"/>
  <c r="AK136" i="22"/>
  <c r="AJ136" i="22"/>
  <c r="AI136" i="22"/>
  <c r="AH136" i="22"/>
  <c r="AG136" i="22"/>
  <c r="AF136" i="22"/>
  <c r="AE136" i="22"/>
  <c r="AD136" i="22"/>
  <c r="AC136" i="22"/>
  <c r="AB136" i="22"/>
  <c r="AA136" i="22"/>
  <c r="Z136" i="22"/>
  <c r="Y136" i="22"/>
  <c r="L136" i="22"/>
  <c r="K136" i="22"/>
  <c r="EZ135" i="22"/>
  <c r="EU135" i="22"/>
  <c r="ET135" i="22"/>
  <c r="ES135" i="22"/>
  <c r="ER135" i="22"/>
  <c r="EQ135" i="22"/>
  <c r="EP135" i="22"/>
  <c r="EO135" i="22"/>
  <c r="EN135" i="22"/>
  <c r="EM135" i="22"/>
  <c r="EL135" i="22"/>
  <c r="EK135" i="22"/>
  <c r="EJ135" i="22"/>
  <c r="EI135" i="22"/>
  <c r="EE135" i="22"/>
  <c r="AK135" i="22"/>
  <c r="AJ135" i="22"/>
  <c r="AI135" i="22"/>
  <c r="AH135" i="22"/>
  <c r="AG135" i="22"/>
  <c r="AF135" i="22"/>
  <c r="AE135" i="22"/>
  <c r="AD135" i="22"/>
  <c r="AC135" i="22"/>
  <c r="AB135" i="22"/>
  <c r="AA135" i="22"/>
  <c r="Z135" i="22"/>
  <c r="Y135" i="22"/>
  <c r="L135" i="22"/>
  <c r="K135" i="22"/>
  <c r="EZ134" i="22"/>
  <c r="EU134" i="22"/>
  <c r="ET134" i="22"/>
  <c r="ES134" i="22"/>
  <c r="ER134" i="22"/>
  <c r="EQ134" i="22"/>
  <c r="EP134" i="22"/>
  <c r="EO134" i="22"/>
  <c r="EN134" i="22"/>
  <c r="EM134" i="22"/>
  <c r="EL134" i="22"/>
  <c r="EK134" i="22"/>
  <c r="EJ134" i="22"/>
  <c r="EI134" i="22"/>
  <c r="EE134" i="22"/>
  <c r="AK134" i="22"/>
  <c r="AJ134" i="22"/>
  <c r="AI134" i="22"/>
  <c r="AH134" i="22"/>
  <c r="AG134" i="22"/>
  <c r="AF134" i="22"/>
  <c r="AE134" i="22"/>
  <c r="AD134" i="22"/>
  <c r="AC134" i="22"/>
  <c r="AB134" i="22"/>
  <c r="AA134" i="22"/>
  <c r="Z134" i="22"/>
  <c r="Y134" i="22"/>
  <c r="L134" i="22"/>
  <c r="K134" i="22"/>
  <c r="EZ133" i="22"/>
  <c r="EU133" i="22"/>
  <c r="ET133" i="22"/>
  <c r="ES133" i="22"/>
  <c r="ER133" i="22"/>
  <c r="EQ133" i="22"/>
  <c r="EP133" i="22"/>
  <c r="EO133" i="22"/>
  <c r="EN133" i="22"/>
  <c r="EM133" i="22"/>
  <c r="EL133" i="22"/>
  <c r="EK133" i="22"/>
  <c r="EJ133" i="22"/>
  <c r="EI133" i="22"/>
  <c r="EE133" i="22"/>
  <c r="AK133" i="22"/>
  <c r="AJ133" i="22"/>
  <c r="AI133" i="22"/>
  <c r="AH133" i="22"/>
  <c r="AG133" i="22"/>
  <c r="AF133" i="22"/>
  <c r="AE133" i="22"/>
  <c r="AD133" i="22"/>
  <c r="AC133" i="22"/>
  <c r="AB133" i="22"/>
  <c r="AA133" i="22"/>
  <c r="Z133" i="22"/>
  <c r="Y133" i="22"/>
  <c r="L133" i="22"/>
  <c r="K133" i="22"/>
  <c r="EZ132" i="22"/>
  <c r="EU132" i="22"/>
  <c r="ET132" i="22"/>
  <c r="ES132" i="22"/>
  <c r="ER132" i="22"/>
  <c r="EQ132" i="22"/>
  <c r="EP132" i="22"/>
  <c r="EO132" i="22"/>
  <c r="EN132" i="22"/>
  <c r="EM132" i="22"/>
  <c r="EL132" i="22"/>
  <c r="EK132" i="22"/>
  <c r="EJ132" i="22"/>
  <c r="EI132" i="22"/>
  <c r="EE132" i="22"/>
  <c r="AK132" i="22"/>
  <c r="AJ132" i="22"/>
  <c r="AI132" i="22"/>
  <c r="AH132" i="22"/>
  <c r="AG132" i="22"/>
  <c r="AF132" i="22"/>
  <c r="AE132" i="22"/>
  <c r="AD132" i="22"/>
  <c r="AC132" i="22"/>
  <c r="AB132" i="22"/>
  <c r="AA132" i="22"/>
  <c r="Z132" i="22"/>
  <c r="Y132" i="22"/>
  <c r="L132" i="22"/>
  <c r="K132" i="22"/>
  <c r="EZ131" i="22"/>
  <c r="EU131" i="22"/>
  <c r="ET131" i="22"/>
  <c r="ES131" i="22"/>
  <c r="ER131" i="22"/>
  <c r="EQ131" i="22"/>
  <c r="EP131" i="22"/>
  <c r="EO131" i="22"/>
  <c r="EN131" i="22"/>
  <c r="EM131" i="22"/>
  <c r="EL131" i="22"/>
  <c r="EK131" i="22"/>
  <c r="EJ131" i="22"/>
  <c r="EI131" i="22"/>
  <c r="AK131" i="22"/>
  <c r="AJ131" i="22"/>
  <c r="AI131" i="22"/>
  <c r="AH131" i="22"/>
  <c r="AG131" i="22"/>
  <c r="AF131" i="22"/>
  <c r="AE131" i="22"/>
  <c r="AD131" i="22"/>
  <c r="AC131" i="22"/>
  <c r="AB131" i="22"/>
  <c r="AA131" i="22"/>
  <c r="Z131" i="22"/>
  <c r="Y131" i="22"/>
  <c r="L131" i="22"/>
  <c r="K131" i="22"/>
  <c r="EZ130" i="22"/>
  <c r="EU130" i="22"/>
  <c r="ET130" i="22"/>
  <c r="ES130" i="22"/>
  <c r="ER130" i="22"/>
  <c r="EQ130" i="22"/>
  <c r="EP130" i="22"/>
  <c r="EO130" i="22"/>
  <c r="EN130" i="22"/>
  <c r="EM130" i="22"/>
  <c r="EL130" i="22"/>
  <c r="EK130" i="22"/>
  <c r="EJ130" i="22"/>
  <c r="EI130" i="22"/>
  <c r="AK130" i="22"/>
  <c r="AJ130" i="22"/>
  <c r="AI130" i="22"/>
  <c r="AH130" i="22"/>
  <c r="AG130" i="22"/>
  <c r="AF130" i="22"/>
  <c r="AE130" i="22"/>
  <c r="AD130" i="22"/>
  <c r="AC130" i="22"/>
  <c r="AB130" i="22"/>
  <c r="AA130" i="22"/>
  <c r="Z130" i="22"/>
  <c r="Y130" i="22"/>
  <c r="L130" i="22"/>
  <c r="K130" i="22"/>
  <c r="EZ129" i="22"/>
  <c r="EU129" i="22"/>
  <c r="ET129" i="22"/>
  <c r="ES129" i="22"/>
  <c r="ER129" i="22"/>
  <c r="EQ129" i="22"/>
  <c r="EP129" i="22"/>
  <c r="EO129" i="22"/>
  <c r="EN129" i="22"/>
  <c r="EM129" i="22"/>
  <c r="EL129" i="22"/>
  <c r="EK129" i="22"/>
  <c r="EJ129" i="22"/>
  <c r="EI129" i="22"/>
  <c r="AK129" i="22"/>
  <c r="AJ129" i="22"/>
  <c r="AI129" i="22"/>
  <c r="AH129" i="22"/>
  <c r="AG129" i="22"/>
  <c r="AF129" i="22"/>
  <c r="AE129" i="22"/>
  <c r="AD129" i="22"/>
  <c r="AC129" i="22"/>
  <c r="AB129" i="22"/>
  <c r="AA129" i="22"/>
  <c r="Z129" i="22"/>
  <c r="Y129" i="22"/>
  <c r="L129" i="22"/>
  <c r="K129" i="22"/>
  <c r="EZ128" i="22"/>
  <c r="EU128" i="22"/>
  <c r="ET128" i="22"/>
  <c r="ES128" i="22"/>
  <c r="ER128" i="22"/>
  <c r="EQ128" i="22"/>
  <c r="EP128" i="22"/>
  <c r="EO128" i="22"/>
  <c r="EN128" i="22"/>
  <c r="EM128" i="22"/>
  <c r="EL128" i="22"/>
  <c r="EK128" i="22"/>
  <c r="EJ128" i="22"/>
  <c r="EI128" i="22"/>
  <c r="AK128" i="22"/>
  <c r="AJ128" i="22"/>
  <c r="AI128" i="22"/>
  <c r="AH128" i="22"/>
  <c r="AG128" i="22"/>
  <c r="AF128" i="22"/>
  <c r="AE128" i="22"/>
  <c r="AD128" i="22"/>
  <c r="AC128" i="22"/>
  <c r="AB128" i="22"/>
  <c r="AA128" i="22"/>
  <c r="Z128" i="22"/>
  <c r="Y128" i="22"/>
  <c r="L128" i="22"/>
  <c r="K128" i="22"/>
  <c r="EZ127" i="22"/>
  <c r="EU127" i="22"/>
  <c r="ET127" i="22"/>
  <c r="ES127" i="22"/>
  <c r="ER127" i="22"/>
  <c r="EQ127" i="22"/>
  <c r="EP127" i="22"/>
  <c r="EO127" i="22"/>
  <c r="EN127" i="22"/>
  <c r="EM127" i="22"/>
  <c r="EL127" i="22"/>
  <c r="EK127" i="22"/>
  <c r="EJ127" i="22"/>
  <c r="EI127" i="22"/>
  <c r="AK127" i="22"/>
  <c r="AJ127" i="22"/>
  <c r="AI127" i="22"/>
  <c r="AH127" i="22"/>
  <c r="AG127" i="22"/>
  <c r="AF127" i="22"/>
  <c r="AE127" i="22"/>
  <c r="AD127" i="22"/>
  <c r="AC127" i="22"/>
  <c r="AB127" i="22"/>
  <c r="AA127" i="22"/>
  <c r="Z127" i="22"/>
  <c r="Y127" i="22"/>
  <c r="L127" i="22"/>
  <c r="K127" i="22"/>
  <c r="EZ126" i="22"/>
  <c r="EU126" i="22"/>
  <c r="ET126" i="22"/>
  <c r="ES126" i="22"/>
  <c r="ER126" i="22"/>
  <c r="EQ126" i="22"/>
  <c r="EP126" i="22"/>
  <c r="EO126" i="22"/>
  <c r="EN126" i="22"/>
  <c r="EM126" i="22"/>
  <c r="EL126" i="22"/>
  <c r="EK126" i="22"/>
  <c r="EJ126" i="22"/>
  <c r="EI126" i="22"/>
  <c r="AK126" i="22"/>
  <c r="AJ126" i="22"/>
  <c r="AI126" i="22"/>
  <c r="AH126" i="22"/>
  <c r="AG126" i="22"/>
  <c r="AF126" i="22"/>
  <c r="AE126" i="22"/>
  <c r="AD126" i="22"/>
  <c r="AC126" i="22"/>
  <c r="AB126" i="22"/>
  <c r="AA126" i="22"/>
  <c r="Z126" i="22"/>
  <c r="Y126" i="22"/>
  <c r="L126" i="22"/>
  <c r="K126" i="22"/>
  <c r="EZ125" i="22"/>
  <c r="EU125" i="22"/>
  <c r="ET125" i="22"/>
  <c r="ES125" i="22"/>
  <c r="ER125" i="22"/>
  <c r="EQ125" i="22"/>
  <c r="EP125" i="22"/>
  <c r="EO125" i="22"/>
  <c r="EN125" i="22"/>
  <c r="EM125" i="22"/>
  <c r="EL125" i="22"/>
  <c r="EK125" i="22"/>
  <c r="EJ125" i="22"/>
  <c r="EI125" i="22"/>
  <c r="AK125" i="22"/>
  <c r="AJ125" i="22"/>
  <c r="AI125" i="22"/>
  <c r="AH125" i="22"/>
  <c r="AG125" i="22"/>
  <c r="AF125" i="22"/>
  <c r="AE125" i="22"/>
  <c r="AD125" i="22"/>
  <c r="AC125" i="22"/>
  <c r="AB125" i="22"/>
  <c r="AA125" i="22"/>
  <c r="Z125" i="22"/>
  <c r="Y125" i="22"/>
  <c r="L125" i="22"/>
  <c r="K125" i="22"/>
  <c r="EZ124" i="22"/>
  <c r="EU124" i="22"/>
  <c r="ET124" i="22"/>
  <c r="ES124" i="22"/>
  <c r="ER124" i="22"/>
  <c r="EQ124" i="22"/>
  <c r="EP124" i="22"/>
  <c r="EO124" i="22"/>
  <c r="EN124" i="22"/>
  <c r="EM124" i="22"/>
  <c r="EL124" i="22"/>
  <c r="EK124" i="22"/>
  <c r="EJ124" i="22"/>
  <c r="EI124" i="22"/>
  <c r="AK124" i="22"/>
  <c r="AJ124" i="22"/>
  <c r="AI124" i="22"/>
  <c r="AH124" i="22"/>
  <c r="AG124" i="22"/>
  <c r="AF124" i="22"/>
  <c r="AE124" i="22"/>
  <c r="AD124" i="22"/>
  <c r="AC124" i="22"/>
  <c r="AB124" i="22"/>
  <c r="AA124" i="22"/>
  <c r="Z124" i="22"/>
  <c r="Y124" i="22"/>
  <c r="L124" i="22"/>
  <c r="K124" i="22"/>
  <c r="EZ123" i="22"/>
  <c r="EU123" i="22"/>
  <c r="ET123" i="22"/>
  <c r="ES123" i="22"/>
  <c r="ER123" i="22"/>
  <c r="EQ123" i="22"/>
  <c r="EP123" i="22"/>
  <c r="EO123" i="22"/>
  <c r="EN123" i="22"/>
  <c r="EM123" i="22"/>
  <c r="EL123" i="22"/>
  <c r="EK123" i="22"/>
  <c r="EJ123" i="22"/>
  <c r="EI123" i="22"/>
  <c r="AK123" i="22"/>
  <c r="AJ123" i="22"/>
  <c r="AI123" i="22"/>
  <c r="AH123" i="22"/>
  <c r="AG123" i="22"/>
  <c r="AF123" i="22"/>
  <c r="AE123" i="22"/>
  <c r="AD123" i="22"/>
  <c r="AC123" i="22"/>
  <c r="AB123" i="22"/>
  <c r="AA123" i="22"/>
  <c r="Z123" i="22"/>
  <c r="Y123" i="22"/>
  <c r="L123" i="22"/>
  <c r="K123" i="22"/>
  <c r="EU122" i="22"/>
  <c r="ET122" i="22"/>
  <c r="ES122" i="22"/>
  <c r="L122" i="22"/>
  <c r="K122" i="22"/>
  <c r="EZ121" i="22"/>
  <c r="EU121" i="22"/>
  <c r="ET121" i="22"/>
  <c r="ES121" i="22"/>
  <c r="ER121" i="22"/>
  <c r="EQ121" i="22"/>
  <c r="EP121" i="22"/>
  <c r="EO121" i="22"/>
  <c r="EN121" i="22"/>
  <c r="EM121" i="22"/>
  <c r="EL121" i="22"/>
  <c r="EK121" i="22"/>
  <c r="EJ121" i="22"/>
  <c r="EI121" i="22"/>
  <c r="AK121" i="22"/>
  <c r="AJ121" i="22"/>
  <c r="AI121" i="22"/>
  <c r="AH121" i="22"/>
  <c r="AG121" i="22"/>
  <c r="AF121" i="22"/>
  <c r="AE121" i="22"/>
  <c r="AD121" i="22"/>
  <c r="AC121" i="22"/>
  <c r="AB121" i="22"/>
  <c r="AA121" i="22"/>
  <c r="Z121" i="22"/>
  <c r="Y121" i="22"/>
  <c r="L121" i="22"/>
  <c r="K121" i="22"/>
  <c r="EZ120" i="22"/>
  <c r="EU120" i="22"/>
  <c r="ET120" i="22"/>
  <c r="ES120" i="22"/>
  <c r="ER120" i="22"/>
  <c r="EQ120" i="22"/>
  <c r="EP120" i="22"/>
  <c r="EO120" i="22"/>
  <c r="EN120" i="22"/>
  <c r="EM120" i="22"/>
  <c r="EL120" i="22"/>
  <c r="EK120" i="22"/>
  <c r="EJ120" i="22"/>
  <c r="EI120" i="22"/>
  <c r="AK120" i="22"/>
  <c r="AJ120" i="22"/>
  <c r="AI120" i="22"/>
  <c r="AH120" i="22"/>
  <c r="AG120" i="22"/>
  <c r="AF120" i="22"/>
  <c r="AE120" i="22"/>
  <c r="AD120" i="22"/>
  <c r="AC120" i="22"/>
  <c r="AB120" i="22"/>
  <c r="AA120" i="22"/>
  <c r="Z120" i="22"/>
  <c r="Y120" i="22"/>
  <c r="H120" i="22"/>
  <c r="EU119" i="22"/>
  <c r="ET119" i="22"/>
  <c r="ES119" i="22"/>
  <c r="ER119" i="22"/>
  <c r="EQ119" i="22"/>
  <c r="EP119" i="22"/>
  <c r="EO119" i="22"/>
  <c r="EN119" i="22"/>
  <c r="EM119" i="22"/>
  <c r="EL119" i="22"/>
  <c r="EK119" i="22"/>
  <c r="EJ119" i="22"/>
  <c r="EI119" i="22"/>
  <c r="AK119" i="22"/>
  <c r="AJ119" i="22"/>
  <c r="AI119" i="22"/>
  <c r="AH119" i="22"/>
  <c r="AG119" i="22"/>
  <c r="AF119" i="22"/>
  <c r="AE119" i="22"/>
  <c r="AD119" i="22"/>
  <c r="AC119" i="22"/>
  <c r="AB119" i="22"/>
  <c r="AA119" i="22"/>
  <c r="Z119" i="22"/>
  <c r="Y119" i="22"/>
  <c r="L119" i="22"/>
  <c r="K119" i="22"/>
  <c r="EU118" i="22"/>
  <c r="ET118" i="22"/>
  <c r="ES118" i="22"/>
  <c r="ER118" i="22"/>
  <c r="EQ118" i="22"/>
  <c r="EP118" i="22"/>
  <c r="EO118" i="22"/>
  <c r="EN118" i="22"/>
  <c r="EM118" i="22"/>
  <c r="EL118" i="22"/>
  <c r="EK118" i="22"/>
  <c r="EJ118" i="22"/>
  <c r="EI118" i="22"/>
  <c r="AK118" i="22"/>
  <c r="AJ118" i="22"/>
  <c r="AI118" i="22"/>
  <c r="AH118" i="22"/>
  <c r="AG118" i="22"/>
  <c r="AF118" i="22"/>
  <c r="AE118" i="22"/>
  <c r="AD118" i="22"/>
  <c r="AC118" i="22"/>
  <c r="AB118" i="22"/>
  <c r="AA118" i="22"/>
  <c r="Z118" i="22"/>
  <c r="Y118" i="22"/>
  <c r="L118" i="22"/>
  <c r="K118" i="22"/>
  <c r="EU117" i="22"/>
  <c r="ET117" i="22"/>
  <c r="ES117" i="22"/>
  <c r="ER117" i="22"/>
  <c r="EQ117" i="22"/>
  <c r="EP117" i="22"/>
  <c r="EO117" i="22"/>
  <c r="EN117" i="22"/>
  <c r="EM117" i="22"/>
  <c r="EL117" i="22"/>
  <c r="EK117" i="22"/>
  <c r="EJ117" i="22"/>
  <c r="EI117" i="22"/>
  <c r="AK117" i="22"/>
  <c r="AJ117" i="22"/>
  <c r="AI117" i="22"/>
  <c r="AH117" i="22"/>
  <c r="AG117" i="22"/>
  <c r="AF117" i="22"/>
  <c r="AE117" i="22"/>
  <c r="AD117" i="22"/>
  <c r="AC117" i="22"/>
  <c r="AB117" i="22"/>
  <c r="AA117" i="22"/>
  <c r="Z117" i="22"/>
  <c r="Y117" i="22"/>
  <c r="L117" i="22"/>
  <c r="K117" i="22"/>
  <c r="EU116" i="22"/>
  <c r="ET116" i="22"/>
  <c r="ES116" i="22"/>
  <c r="ER116" i="22"/>
  <c r="EQ116" i="22"/>
  <c r="EP116" i="22"/>
  <c r="EO116" i="22"/>
  <c r="EN116" i="22"/>
  <c r="EM116" i="22"/>
  <c r="EL116" i="22"/>
  <c r="EK116" i="22"/>
  <c r="EJ116" i="22"/>
  <c r="EI116" i="22"/>
  <c r="AK116" i="22"/>
  <c r="AJ116" i="22"/>
  <c r="AI116" i="22"/>
  <c r="AH116" i="22"/>
  <c r="AG116" i="22"/>
  <c r="AF116" i="22"/>
  <c r="AE116" i="22"/>
  <c r="AD116" i="22"/>
  <c r="AC116" i="22"/>
  <c r="AB116" i="22"/>
  <c r="AA116" i="22"/>
  <c r="Z116" i="22"/>
  <c r="Y116" i="22"/>
  <c r="L116" i="22"/>
  <c r="K116" i="22"/>
  <c r="AK115" i="22"/>
  <c r="AJ115" i="22"/>
  <c r="AI115" i="22"/>
  <c r="AH115" i="22"/>
  <c r="AG115" i="22"/>
  <c r="AF115" i="22"/>
  <c r="AE115" i="22"/>
  <c r="AD115" i="22"/>
  <c r="AC115" i="22"/>
  <c r="AB115" i="22"/>
  <c r="AA115" i="22"/>
  <c r="Z115" i="22"/>
  <c r="Y115" i="22"/>
  <c r="L115" i="22"/>
  <c r="K115" i="22"/>
  <c r="AK114" i="22"/>
  <c r="AJ114" i="22"/>
  <c r="AI114" i="22"/>
  <c r="AH114" i="22"/>
  <c r="AG114" i="22"/>
  <c r="AF114" i="22"/>
  <c r="AE114" i="22"/>
  <c r="AD114" i="22"/>
  <c r="AC114" i="22"/>
  <c r="AB114" i="22"/>
  <c r="AA114" i="22"/>
  <c r="Z114" i="22"/>
  <c r="Y114" i="22"/>
  <c r="L114" i="22"/>
  <c r="K114" i="22"/>
  <c r="EU113" i="22"/>
  <c r="ET113" i="22"/>
  <c r="ES113" i="22"/>
  <c r="ER113" i="22"/>
  <c r="EQ113" i="22"/>
  <c r="EP113" i="22"/>
  <c r="EO113" i="22"/>
  <c r="EN113" i="22"/>
  <c r="EM113" i="22"/>
  <c r="EL113" i="22"/>
  <c r="EK113" i="22"/>
  <c r="EJ113" i="22"/>
  <c r="EI113" i="22"/>
  <c r="AK113" i="22"/>
  <c r="AJ113" i="22"/>
  <c r="AI113" i="22"/>
  <c r="AH113" i="22"/>
  <c r="AG113" i="22"/>
  <c r="AF113" i="22"/>
  <c r="AE113" i="22"/>
  <c r="AD113" i="22"/>
  <c r="AC113" i="22"/>
  <c r="AB113" i="22"/>
  <c r="AA113" i="22"/>
  <c r="Z113" i="22"/>
  <c r="Y113" i="22"/>
  <c r="L113" i="22"/>
  <c r="K113" i="22"/>
  <c r="EU112" i="22"/>
  <c r="ET112" i="22"/>
  <c r="ES112" i="22"/>
  <c r="L112" i="22"/>
  <c r="K112" i="22"/>
  <c r="EZ111" i="22"/>
  <c r="AK111" i="22"/>
  <c r="AJ111" i="22"/>
  <c r="AI111" i="22"/>
  <c r="AH111" i="22"/>
  <c r="AG111" i="22"/>
  <c r="AF111" i="22"/>
  <c r="AE111" i="22"/>
  <c r="AD111" i="22"/>
  <c r="AC111" i="22"/>
  <c r="AB111" i="22"/>
  <c r="AA111" i="22"/>
  <c r="Z111" i="22"/>
  <c r="Y111" i="22"/>
  <c r="L111" i="22"/>
  <c r="K111" i="22"/>
  <c r="EZ110" i="22"/>
  <c r="AK110" i="22"/>
  <c r="AJ110" i="22"/>
  <c r="AI110" i="22"/>
  <c r="AH110" i="22"/>
  <c r="AG110" i="22"/>
  <c r="AF110" i="22"/>
  <c r="AE110" i="22"/>
  <c r="AD110" i="22"/>
  <c r="AC110" i="22"/>
  <c r="AB110" i="22"/>
  <c r="AA110" i="22"/>
  <c r="Z110" i="22"/>
  <c r="Y110" i="22"/>
  <c r="L110" i="22"/>
  <c r="K110" i="22"/>
  <c r="EZ109" i="22"/>
  <c r="AK109" i="22"/>
  <c r="AJ109" i="22"/>
  <c r="AI109" i="22"/>
  <c r="AH109" i="22"/>
  <c r="AG109" i="22"/>
  <c r="AF109" i="22"/>
  <c r="AE109" i="22"/>
  <c r="AD109" i="22"/>
  <c r="AC109" i="22"/>
  <c r="AB109" i="22"/>
  <c r="AA109" i="22"/>
  <c r="Z109" i="22"/>
  <c r="Y109" i="22"/>
  <c r="L109" i="22"/>
  <c r="K109" i="22"/>
  <c r="EZ108" i="22"/>
  <c r="AK108" i="22"/>
  <c r="AJ108" i="22"/>
  <c r="AI108" i="22"/>
  <c r="AH108" i="22"/>
  <c r="AG108" i="22"/>
  <c r="AF108" i="22"/>
  <c r="AE108" i="22"/>
  <c r="AD108" i="22"/>
  <c r="AC108" i="22"/>
  <c r="AB108" i="22"/>
  <c r="AA108" i="22"/>
  <c r="Z108" i="22"/>
  <c r="Y108" i="22"/>
  <c r="L108" i="22"/>
  <c r="K108" i="22"/>
  <c r="AK107" i="22"/>
  <c r="AJ107" i="22"/>
  <c r="AI107" i="22"/>
  <c r="AH107" i="22"/>
  <c r="AG107" i="22"/>
  <c r="AF107" i="22"/>
  <c r="AE107" i="22"/>
  <c r="AD107" i="22"/>
  <c r="AC107" i="22"/>
  <c r="AB107" i="22"/>
  <c r="AA107" i="22"/>
  <c r="Z107" i="22"/>
  <c r="Y107" i="22"/>
  <c r="L107" i="22"/>
  <c r="K107" i="22"/>
  <c r="AK106" i="22"/>
  <c r="AJ106" i="22"/>
  <c r="AI106" i="22"/>
  <c r="AH106" i="22"/>
  <c r="AG106" i="22"/>
  <c r="AF106" i="22"/>
  <c r="AE106" i="22"/>
  <c r="AD106" i="22"/>
  <c r="AC106" i="22"/>
  <c r="AB106" i="22"/>
  <c r="AA106" i="22"/>
  <c r="Z106" i="22"/>
  <c r="Y106" i="22"/>
  <c r="L106" i="22"/>
  <c r="K106" i="22"/>
  <c r="EZ105" i="22"/>
  <c r="AK105" i="22"/>
  <c r="AJ105" i="22"/>
  <c r="AI105" i="22"/>
  <c r="AH105" i="22"/>
  <c r="AG105" i="22"/>
  <c r="AF105" i="22"/>
  <c r="AE105" i="22"/>
  <c r="AD105" i="22"/>
  <c r="AC105" i="22"/>
  <c r="AB105" i="22"/>
  <c r="AA105" i="22"/>
  <c r="Z105" i="22"/>
  <c r="Y105" i="22"/>
  <c r="L105" i="22"/>
  <c r="K105" i="22"/>
  <c r="EZ104" i="22"/>
  <c r="AK104" i="22"/>
  <c r="AJ104" i="22"/>
  <c r="AI104" i="22"/>
  <c r="AH104" i="22"/>
  <c r="AG104" i="22"/>
  <c r="AF104" i="22"/>
  <c r="AE104" i="22"/>
  <c r="AD104" i="22"/>
  <c r="AC104" i="22"/>
  <c r="AB104" i="22"/>
  <c r="AA104" i="22"/>
  <c r="Z104" i="22"/>
  <c r="Y104" i="22"/>
  <c r="L104" i="22"/>
  <c r="K104" i="22"/>
  <c r="AK103" i="22"/>
  <c r="AJ103" i="22"/>
  <c r="AI103" i="22"/>
  <c r="AH103" i="22"/>
  <c r="AG103" i="22"/>
  <c r="AF103" i="22"/>
  <c r="AE103" i="22"/>
  <c r="AD103" i="22"/>
  <c r="AC103" i="22"/>
  <c r="AB103" i="22"/>
  <c r="AA103" i="22"/>
  <c r="Z103" i="22"/>
  <c r="Y103" i="22"/>
  <c r="L103" i="22"/>
  <c r="K103" i="22"/>
  <c r="AK102" i="22"/>
  <c r="AJ102" i="22"/>
  <c r="AI102" i="22"/>
  <c r="AH102" i="22"/>
  <c r="AG102" i="22"/>
  <c r="AF102" i="22"/>
  <c r="AE102" i="22"/>
  <c r="AD102" i="22"/>
  <c r="AC102" i="22"/>
  <c r="AB102" i="22"/>
  <c r="AA102" i="22"/>
  <c r="Z102" i="22"/>
  <c r="Y102" i="22"/>
  <c r="L102" i="22"/>
  <c r="K102" i="22"/>
  <c r="EZ101" i="22"/>
  <c r="AK101" i="22"/>
  <c r="AJ101" i="22"/>
  <c r="AI101" i="22"/>
  <c r="AH101" i="22"/>
  <c r="AG101" i="22"/>
  <c r="AF101" i="22"/>
  <c r="AE101" i="22"/>
  <c r="AD101" i="22"/>
  <c r="AC101" i="22"/>
  <c r="AB101" i="22"/>
  <c r="AA101" i="22"/>
  <c r="Z101" i="22"/>
  <c r="Y101" i="22"/>
  <c r="L101" i="22"/>
  <c r="K101" i="22"/>
  <c r="EU100" i="22"/>
  <c r="ET100" i="22"/>
  <c r="ES100" i="22"/>
  <c r="AK100" i="22"/>
  <c r="AJ100" i="22"/>
  <c r="AI100" i="22"/>
  <c r="AH100" i="22"/>
  <c r="AG100" i="22"/>
  <c r="AF100" i="22"/>
  <c r="AE100" i="22"/>
  <c r="AD100" i="22"/>
  <c r="AC100" i="22"/>
  <c r="AB100" i="22"/>
  <c r="AA100" i="22"/>
  <c r="Z100" i="22"/>
  <c r="Y100" i="22"/>
  <c r="L100" i="22"/>
  <c r="K100" i="22"/>
  <c r="EZ99" i="22"/>
  <c r="EU99" i="22"/>
  <c r="ET99" i="22"/>
  <c r="ES99" i="22"/>
  <c r="ER99" i="22"/>
  <c r="EQ99" i="22"/>
  <c r="EP99" i="22"/>
  <c r="EO99" i="22"/>
  <c r="EN99" i="22"/>
  <c r="EM99" i="22"/>
  <c r="EL99" i="22"/>
  <c r="EK99" i="22"/>
  <c r="EJ99" i="22"/>
  <c r="EI99" i="22"/>
  <c r="AK99" i="22"/>
  <c r="AJ99" i="22"/>
  <c r="AI99" i="22"/>
  <c r="AH99" i="22"/>
  <c r="AG99" i="22"/>
  <c r="AF99" i="22"/>
  <c r="AE99" i="22"/>
  <c r="AD99" i="22"/>
  <c r="AC99" i="22"/>
  <c r="AB99" i="22"/>
  <c r="AA99" i="22"/>
  <c r="Z99" i="22"/>
  <c r="Y99" i="22"/>
  <c r="H99" i="22"/>
  <c r="EU98" i="22"/>
  <c r="ET98" i="22"/>
  <c r="ES98" i="22"/>
  <c r="AK98" i="22"/>
  <c r="AJ98" i="22"/>
  <c r="AI98" i="22"/>
  <c r="AH98" i="22"/>
  <c r="AG98" i="22"/>
  <c r="AF98" i="22"/>
  <c r="AE98" i="22"/>
  <c r="AD98" i="22"/>
  <c r="AC98" i="22"/>
  <c r="AB98" i="22"/>
  <c r="AA98" i="22"/>
  <c r="Z98" i="22"/>
  <c r="Y98" i="22"/>
  <c r="L98" i="22"/>
  <c r="K98" i="22"/>
  <c r="EU97" i="22"/>
  <c r="ET97" i="22"/>
  <c r="ES97" i="22"/>
  <c r="AK97" i="22"/>
  <c r="AJ97" i="22"/>
  <c r="AI97" i="22"/>
  <c r="AH97" i="22"/>
  <c r="AG97" i="22"/>
  <c r="AF97" i="22"/>
  <c r="AE97" i="22"/>
  <c r="AD97" i="22"/>
  <c r="AC97" i="22"/>
  <c r="AB97" i="22"/>
  <c r="AA97" i="22"/>
  <c r="Z97" i="22"/>
  <c r="Y97" i="22"/>
  <c r="L97" i="22"/>
  <c r="K97" i="22"/>
  <c r="EU96" i="22"/>
  <c r="ET96" i="22"/>
  <c r="ES96" i="22"/>
  <c r="AK96" i="22"/>
  <c r="AJ96" i="22"/>
  <c r="AI96" i="22"/>
  <c r="AH96" i="22"/>
  <c r="AG96" i="22"/>
  <c r="AF96" i="22"/>
  <c r="AE96" i="22"/>
  <c r="AD96" i="22"/>
  <c r="AC96" i="22"/>
  <c r="AB96" i="22"/>
  <c r="AA96" i="22"/>
  <c r="Z96" i="22"/>
  <c r="Y96" i="22"/>
  <c r="L96" i="22"/>
  <c r="K96" i="22"/>
  <c r="EU95" i="22"/>
  <c r="ET95" i="22"/>
  <c r="ES95" i="22"/>
  <c r="AK95" i="22"/>
  <c r="AJ95" i="22"/>
  <c r="AI95" i="22"/>
  <c r="AH95" i="22"/>
  <c r="AG95" i="22"/>
  <c r="AF95" i="22"/>
  <c r="AE95" i="22"/>
  <c r="AD95" i="22"/>
  <c r="AC95" i="22"/>
  <c r="AB95" i="22"/>
  <c r="AA95" i="22"/>
  <c r="Z95" i="22"/>
  <c r="Y95" i="22"/>
  <c r="L95" i="22"/>
  <c r="K95" i="22"/>
  <c r="EU94" i="22"/>
  <c r="ET94" i="22"/>
  <c r="ES94" i="22"/>
  <c r="AK94" i="22"/>
  <c r="AJ94" i="22"/>
  <c r="AI94" i="22"/>
  <c r="AH94" i="22"/>
  <c r="AG94" i="22"/>
  <c r="AF94" i="22"/>
  <c r="AE94" i="22"/>
  <c r="AD94" i="22"/>
  <c r="AC94" i="22"/>
  <c r="AB94" i="22"/>
  <c r="AA94" i="22"/>
  <c r="Z94" i="22"/>
  <c r="Y94" i="22"/>
  <c r="L94" i="22"/>
  <c r="K94" i="22"/>
  <c r="EU93" i="22"/>
  <c r="ET93" i="22"/>
  <c r="ES93" i="22"/>
  <c r="AK93" i="22"/>
  <c r="AJ93" i="22"/>
  <c r="AI93" i="22"/>
  <c r="AH93" i="22"/>
  <c r="AG93" i="22"/>
  <c r="AF93" i="22"/>
  <c r="AE93" i="22"/>
  <c r="AD93" i="22"/>
  <c r="AC93" i="22"/>
  <c r="AB93" i="22"/>
  <c r="AA93" i="22"/>
  <c r="Z93" i="22"/>
  <c r="Y93" i="22"/>
  <c r="L93" i="22"/>
  <c r="K93" i="22"/>
  <c r="EZ92" i="22"/>
  <c r="EU92" i="22"/>
  <c r="ET92" i="22"/>
  <c r="ES92" i="22"/>
  <c r="ER92" i="22"/>
  <c r="EQ92" i="22"/>
  <c r="EP92" i="22"/>
  <c r="EO92" i="22"/>
  <c r="EN92" i="22"/>
  <c r="EM92" i="22"/>
  <c r="EL92" i="22"/>
  <c r="EK92" i="22"/>
  <c r="EJ92" i="22"/>
  <c r="EI92" i="22"/>
  <c r="AK92" i="22"/>
  <c r="AJ92" i="22"/>
  <c r="AI92" i="22"/>
  <c r="AH92" i="22"/>
  <c r="AG92" i="22"/>
  <c r="AF92" i="22"/>
  <c r="AE92" i="22"/>
  <c r="AD92" i="22"/>
  <c r="AC92" i="22"/>
  <c r="AB92" i="22"/>
  <c r="AA92" i="22"/>
  <c r="Z92" i="22"/>
  <c r="Y92" i="22"/>
  <c r="L92" i="22"/>
  <c r="K92" i="22"/>
  <c r="EZ91" i="22"/>
  <c r="EU91" i="22"/>
  <c r="ET91" i="22"/>
  <c r="ES91" i="22"/>
  <c r="ER91" i="22"/>
  <c r="EQ91" i="22"/>
  <c r="EP91" i="22"/>
  <c r="EO91" i="22"/>
  <c r="EN91" i="22"/>
  <c r="EM91" i="22"/>
  <c r="EL91" i="22"/>
  <c r="EK91" i="22"/>
  <c r="EJ91" i="22"/>
  <c r="EI91" i="22"/>
  <c r="AK91" i="22"/>
  <c r="AJ91" i="22"/>
  <c r="AI91" i="22"/>
  <c r="AH91" i="22"/>
  <c r="AG91" i="22"/>
  <c r="AF91" i="22"/>
  <c r="AE91" i="22"/>
  <c r="AD91" i="22"/>
  <c r="AC91" i="22"/>
  <c r="AB91" i="22"/>
  <c r="AA91" i="22"/>
  <c r="Z91" i="22"/>
  <c r="Y91" i="22"/>
  <c r="L91" i="22"/>
  <c r="K91" i="22"/>
  <c r="EZ90" i="22"/>
  <c r="EU90" i="22"/>
  <c r="ET90" i="22"/>
  <c r="ES90" i="22"/>
  <c r="ER90" i="22"/>
  <c r="EQ90" i="22"/>
  <c r="EP90" i="22"/>
  <c r="EO90" i="22"/>
  <c r="EN90" i="22"/>
  <c r="EM90" i="22"/>
  <c r="EL90" i="22"/>
  <c r="EK90" i="22"/>
  <c r="EJ90" i="22"/>
  <c r="EI90" i="22"/>
  <c r="AK90" i="22"/>
  <c r="AJ90" i="22"/>
  <c r="AI90" i="22"/>
  <c r="AH90" i="22"/>
  <c r="AG90" i="22"/>
  <c r="AF90" i="22"/>
  <c r="AE90" i="22"/>
  <c r="AD90" i="22"/>
  <c r="AC90" i="22"/>
  <c r="AB90" i="22"/>
  <c r="AA90" i="22"/>
  <c r="Z90" i="22"/>
  <c r="Y90" i="22"/>
  <c r="L90" i="22"/>
  <c r="K90" i="22"/>
  <c r="EZ89" i="22"/>
  <c r="EU89" i="22"/>
  <c r="ET89" i="22"/>
  <c r="ES89" i="22"/>
  <c r="ER89" i="22"/>
  <c r="EQ89" i="22"/>
  <c r="EP89" i="22"/>
  <c r="EO89" i="22"/>
  <c r="EN89" i="22"/>
  <c r="EM89" i="22"/>
  <c r="EL89" i="22"/>
  <c r="EK89" i="22"/>
  <c r="EJ89" i="22"/>
  <c r="EI89" i="22"/>
  <c r="AK89" i="22"/>
  <c r="AJ89" i="22"/>
  <c r="AI89" i="22"/>
  <c r="AH89" i="22"/>
  <c r="AG89" i="22"/>
  <c r="AF89" i="22"/>
  <c r="AE89" i="22"/>
  <c r="AD89" i="22"/>
  <c r="AC89" i="22"/>
  <c r="AB89" i="22"/>
  <c r="AA89" i="22"/>
  <c r="Z89" i="22"/>
  <c r="Y89" i="22"/>
  <c r="L89" i="22"/>
  <c r="K89" i="22"/>
  <c r="EU88" i="22"/>
  <c r="ET88" i="22"/>
  <c r="AK88" i="22"/>
  <c r="AJ88" i="22"/>
  <c r="AI88" i="22"/>
  <c r="AH88" i="22"/>
  <c r="AG88" i="22"/>
  <c r="AF88" i="22"/>
  <c r="AE88" i="22"/>
  <c r="AD88" i="22"/>
  <c r="AC88" i="22"/>
  <c r="AB88" i="22"/>
  <c r="AA88" i="22"/>
  <c r="Z88" i="22"/>
  <c r="Y88" i="22"/>
  <c r="L88" i="22"/>
  <c r="K88" i="22"/>
  <c r="EU87" i="22"/>
  <c r="ET87" i="22"/>
  <c r="AK87" i="22"/>
  <c r="AJ87" i="22"/>
  <c r="AI87" i="22"/>
  <c r="AH87" i="22"/>
  <c r="AG87" i="22"/>
  <c r="AF87" i="22"/>
  <c r="AE87" i="22"/>
  <c r="AD87" i="22"/>
  <c r="AC87" i="22"/>
  <c r="AB87" i="22"/>
  <c r="AA87" i="22"/>
  <c r="Z87" i="22"/>
  <c r="Y87" i="22"/>
  <c r="L87" i="22"/>
  <c r="K87" i="22"/>
  <c r="EU86" i="22"/>
  <c r="ET86" i="22"/>
  <c r="AK86" i="22"/>
  <c r="AJ86" i="22"/>
  <c r="AI86" i="22"/>
  <c r="AH86" i="22"/>
  <c r="AG86" i="22"/>
  <c r="AF86" i="22"/>
  <c r="AE86" i="22"/>
  <c r="AD86" i="22"/>
  <c r="AC86" i="22"/>
  <c r="AB86" i="22"/>
  <c r="AA86" i="22"/>
  <c r="Z86" i="22"/>
  <c r="Y86" i="22"/>
  <c r="L86" i="22"/>
  <c r="K86" i="22"/>
  <c r="EU85" i="22"/>
  <c r="ET85" i="22"/>
  <c r="AK85" i="22"/>
  <c r="AJ85" i="22"/>
  <c r="AI85" i="22"/>
  <c r="AH85" i="22"/>
  <c r="AG85" i="22"/>
  <c r="AF85" i="22"/>
  <c r="AE85" i="22"/>
  <c r="AD85" i="22"/>
  <c r="AC85" i="22"/>
  <c r="AB85" i="22"/>
  <c r="AA85" i="22"/>
  <c r="Z85" i="22"/>
  <c r="Y85" i="22"/>
  <c r="L85" i="22"/>
  <c r="K85" i="22"/>
  <c r="EU84" i="22"/>
  <c r="ET84" i="22"/>
  <c r="AK84" i="22"/>
  <c r="AJ84" i="22"/>
  <c r="AI84" i="22"/>
  <c r="AH84" i="22"/>
  <c r="AG84" i="22"/>
  <c r="AF84" i="22"/>
  <c r="AE84" i="22"/>
  <c r="AD84" i="22"/>
  <c r="AC84" i="22"/>
  <c r="AB84" i="22"/>
  <c r="AA84" i="22"/>
  <c r="Z84" i="22"/>
  <c r="Y84" i="22"/>
  <c r="L84" i="22"/>
  <c r="K84" i="22"/>
  <c r="EU83" i="22"/>
  <c r="ET83" i="22"/>
  <c r="AK83" i="22"/>
  <c r="AJ83" i="22"/>
  <c r="AI83" i="22"/>
  <c r="AH83" i="22"/>
  <c r="AG83" i="22"/>
  <c r="AF83" i="22"/>
  <c r="AE83" i="22"/>
  <c r="AD83" i="22"/>
  <c r="AC83" i="22"/>
  <c r="AB83" i="22"/>
  <c r="AA83" i="22"/>
  <c r="Z83" i="22"/>
  <c r="Y83" i="22"/>
  <c r="L83" i="22"/>
  <c r="K83" i="22"/>
  <c r="EU82" i="22"/>
  <c r="ET82" i="22"/>
  <c r="ES82" i="22"/>
  <c r="AK82" i="22"/>
  <c r="AJ82" i="22"/>
  <c r="AI82" i="22"/>
  <c r="AH82" i="22"/>
  <c r="AG82" i="22"/>
  <c r="AF82" i="22"/>
  <c r="AE82" i="22"/>
  <c r="AD82" i="22"/>
  <c r="AC82" i="22"/>
  <c r="AB82" i="22"/>
  <c r="AA82" i="22"/>
  <c r="Z82" i="22"/>
  <c r="Y82" i="22"/>
  <c r="L82" i="22"/>
  <c r="K82" i="22"/>
  <c r="EZ81" i="22"/>
  <c r="EU81" i="22"/>
  <c r="ET81" i="22"/>
  <c r="ES81" i="22"/>
  <c r="AK81" i="22"/>
  <c r="AJ81" i="22"/>
  <c r="AI81" i="22"/>
  <c r="AH81" i="22"/>
  <c r="AG81" i="22"/>
  <c r="AF81" i="22"/>
  <c r="AE81" i="22"/>
  <c r="AD81" i="22"/>
  <c r="AC81" i="22"/>
  <c r="AB81" i="22"/>
  <c r="AA81" i="22"/>
  <c r="Z81" i="22"/>
  <c r="Y81" i="22"/>
  <c r="L81" i="22"/>
  <c r="K81" i="22"/>
  <c r="EZ80" i="22"/>
  <c r="EU80" i="22"/>
  <c r="ET80" i="22"/>
  <c r="ES80" i="22"/>
  <c r="AK80" i="22"/>
  <c r="AJ80" i="22"/>
  <c r="AI80" i="22"/>
  <c r="AH80" i="22"/>
  <c r="AG80" i="22"/>
  <c r="AF80" i="22"/>
  <c r="AE80" i="22"/>
  <c r="AD80" i="22"/>
  <c r="AC80" i="22"/>
  <c r="AB80" i="22"/>
  <c r="AA80" i="22"/>
  <c r="Z80" i="22"/>
  <c r="Y80" i="22"/>
  <c r="L80" i="22"/>
  <c r="K80" i="22"/>
  <c r="EU79" i="22"/>
  <c r="ET79" i="22"/>
  <c r="ES79" i="22"/>
  <c r="AK79" i="22"/>
  <c r="AJ79" i="22"/>
  <c r="AI79" i="22"/>
  <c r="AH79" i="22"/>
  <c r="AG79" i="22"/>
  <c r="AF79" i="22"/>
  <c r="AE79" i="22"/>
  <c r="AD79" i="22"/>
  <c r="AC79" i="22"/>
  <c r="AB79" i="22"/>
  <c r="AA79" i="22"/>
  <c r="Z79" i="22"/>
  <c r="Y79" i="22"/>
  <c r="L79" i="22"/>
  <c r="K79" i="22"/>
  <c r="EU78" i="22"/>
  <c r="ET78" i="22"/>
  <c r="ES78" i="22"/>
  <c r="AK78" i="22"/>
  <c r="AJ78" i="22"/>
  <c r="AI78" i="22"/>
  <c r="AH78" i="22"/>
  <c r="AG78" i="22"/>
  <c r="AF78" i="22"/>
  <c r="AE78" i="22"/>
  <c r="AD78" i="22"/>
  <c r="AC78" i="22"/>
  <c r="AB78" i="22"/>
  <c r="AA78" i="22"/>
  <c r="Z78" i="22"/>
  <c r="Y78" i="22"/>
  <c r="L78" i="22"/>
  <c r="K78" i="22"/>
  <c r="EZ77" i="22"/>
  <c r="EU77" i="22"/>
  <c r="ET77" i="22"/>
  <c r="ES77" i="22"/>
  <c r="ER77" i="22"/>
  <c r="EQ77" i="22"/>
  <c r="EP77" i="22"/>
  <c r="EO77" i="22"/>
  <c r="EN77" i="22"/>
  <c r="EM77" i="22"/>
  <c r="EL77" i="22"/>
  <c r="EK77" i="22"/>
  <c r="EJ77" i="22"/>
  <c r="EI77" i="22"/>
  <c r="AK77" i="22"/>
  <c r="AJ77" i="22"/>
  <c r="AI77" i="22"/>
  <c r="AH77" i="22"/>
  <c r="AG77" i="22"/>
  <c r="AF77" i="22"/>
  <c r="AE77" i="22"/>
  <c r="AD77" i="22"/>
  <c r="AC77" i="22"/>
  <c r="AB77" i="22"/>
  <c r="AA77" i="22"/>
  <c r="Z77" i="22"/>
  <c r="Y77" i="22"/>
  <c r="L77" i="22"/>
  <c r="K77" i="22"/>
  <c r="EU76" i="22"/>
  <c r="ET76" i="22"/>
  <c r="ES76" i="22"/>
  <c r="ER76" i="22"/>
  <c r="EQ76" i="22"/>
  <c r="EP76" i="22"/>
  <c r="EO76" i="22"/>
  <c r="EN76" i="22"/>
  <c r="EM76" i="22"/>
  <c r="EL76" i="22"/>
  <c r="EK76" i="22"/>
  <c r="EJ76" i="22"/>
  <c r="EI76" i="22"/>
  <c r="AK76" i="22"/>
  <c r="AJ76" i="22"/>
  <c r="AI76" i="22"/>
  <c r="AH76" i="22"/>
  <c r="AG76" i="22"/>
  <c r="AF76" i="22"/>
  <c r="AE76" i="22"/>
  <c r="AD76" i="22"/>
  <c r="AC76" i="22"/>
  <c r="AB76" i="22"/>
  <c r="AA76" i="22"/>
  <c r="Z76" i="22"/>
  <c r="Y76" i="22"/>
  <c r="L76" i="22"/>
  <c r="K76" i="22"/>
  <c r="EU75" i="22"/>
  <c r="ET75" i="22"/>
  <c r="ES75" i="22"/>
  <c r="ER75" i="22"/>
  <c r="EQ75" i="22"/>
  <c r="EP75" i="22"/>
  <c r="EO75" i="22"/>
  <c r="EN75" i="22"/>
  <c r="EM75" i="22"/>
  <c r="EL75" i="22"/>
  <c r="EK75" i="22"/>
  <c r="EJ75" i="22"/>
  <c r="EI75" i="22"/>
  <c r="AK75" i="22"/>
  <c r="AJ75" i="22"/>
  <c r="AI75" i="22"/>
  <c r="AH75" i="22"/>
  <c r="AG75" i="22"/>
  <c r="AF75" i="22"/>
  <c r="AE75" i="22"/>
  <c r="AD75" i="22"/>
  <c r="AC75" i="22"/>
  <c r="AB75" i="22"/>
  <c r="AA75" i="22"/>
  <c r="Z75" i="22"/>
  <c r="Y75" i="22"/>
  <c r="L75" i="22"/>
  <c r="K75" i="22"/>
  <c r="EU74" i="22"/>
  <c r="ET74" i="22"/>
  <c r="ES74" i="22"/>
  <c r="ER74" i="22"/>
  <c r="EQ74" i="22"/>
  <c r="EP74" i="22"/>
  <c r="EO74" i="22"/>
  <c r="EN74" i="22"/>
  <c r="EM74" i="22"/>
  <c r="EL74" i="22"/>
  <c r="EK74" i="22"/>
  <c r="EJ74" i="22"/>
  <c r="EI74" i="22"/>
  <c r="AK74" i="22"/>
  <c r="AJ74" i="22"/>
  <c r="AI74" i="22"/>
  <c r="AH74" i="22"/>
  <c r="AG74" i="22"/>
  <c r="AF74" i="22"/>
  <c r="AE74" i="22"/>
  <c r="AD74" i="22"/>
  <c r="AC74" i="22"/>
  <c r="AB74" i="22"/>
  <c r="AA74" i="22"/>
  <c r="Z74" i="22"/>
  <c r="Y74" i="22"/>
  <c r="L74" i="22"/>
  <c r="K74" i="22"/>
  <c r="AK73" i="22"/>
  <c r="AJ73" i="22"/>
  <c r="AI73" i="22"/>
  <c r="AH73" i="22"/>
  <c r="AG73" i="22"/>
  <c r="AF73" i="22"/>
  <c r="AE73" i="22"/>
  <c r="AD73" i="22"/>
  <c r="AC73" i="22"/>
  <c r="AB73" i="22"/>
  <c r="AA73" i="22"/>
  <c r="Z73" i="22"/>
  <c r="Y73" i="22"/>
  <c r="L73" i="22"/>
  <c r="K73" i="22"/>
  <c r="EU72" i="22"/>
  <c r="ET72" i="22"/>
  <c r="ES72" i="22"/>
  <c r="ER72" i="22"/>
  <c r="EQ72" i="22"/>
  <c r="EP72" i="22"/>
  <c r="EO72" i="22"/>
  <c r="EN72" i="22"/>
  <c r="EM72" i="22"/>
  <c r="EL72" i="22"/>
  <c r="EK72" i="22"/>
  <c r="EJ72" i="22"/>
  <c r="EI72" i="22"/>
  <c r="AK72" i="22"/>
  <c r="AJ72" i="22"/>
  <c r="AI72" i="22"/>
  <c r="AH72" i="22"/>
  <c r="AG72" i="22"/>
  <c r="AF72" i="22"/>
  <c r="AE72" i="22"/>
  <c r="AD72" i="22"/>
  <c r="AC72" i="22"/>
  <c r="AB72" i="22"/>
  <c r="AA72" i="22"/>
  <c r="Z72" i="22"/>
  <c r="Y72" i="22"/>
  <c r="L72" i="22"/>
  <c r="K72" i="22"/>
  <c r="EU71" i="22"/>
  <c r="ET71" i="22"/>
  <c r="ES71" i="22"/>
  <c r="ER71" i="22"/>
  <c r="EQ71" i="22"/>
  <c r="EP71" i="22"/>
  <c r="EO71" i="22"/>
  <c r="EN71" i="22"/>
  <c r="EM71" i="22"/>
  <c r="EL71" i="22"/>
  <c r="EK71" i="22"/>
  <c r="EJ71" i="22"/>
  <c r="EI71" i="22"/>
  <c r="AK71" i="22"/>
  <c r="AJ71" i="22"/>
  <c r="AI71" i="22"/>
  <c r="AH71" i="22"/>
  <c r="AG71" i="22"/>
  <c r="AF71" i="22"/>
  <c r="AE71" i="22"/>
  <c r="AD71" i="22"/>
  <c r="AC71" i="22"/>
  <c r="AB71" i="22"/>
  <c r="AA71" i="22"/>
  <c r="Z71" i="22"/>
  <c r="Y71" i="22"/>
  <c r="L71" i="22"/>
  <c r="K71" i="22"/>
  <c r="AK70" i="22"/>
  <c r="AJ70" i="22"/>
  <c r="AI70" i="22"/>
  <c r="AH70" i="22"/>
  <c r="AG70" i="22"/>
  <c r="AF70" i="22"/>
  <c r="AE70" i="22"/>
  <c r="AD70" i="22"/>
  <c r="AC70" i="22"/>
  <c r="AB70" i="22"/>
  <c r="AA70" i="22"/>
  <c r="Z70" i="22"/>
  <c r="Y70" i="22"/>
  <c r="L70" i="22"/>
  <c r="K70" i="22"/>
  <c r="EU69" i="22"/>
  <c r="ET69" i="22"/>
  <c r="ES69" i="22"/>
  <c r="ER69" i="22"/>
  <c r="EQ69" i="22"/>
  <c r="EP69" i="22"/>
  <c r="EO69" i="22"/>
  <c r="EN69" i="22"/>
  <c r="EM69" i="22"/>
  <c r="EL69" i="22"/>
  <c r="EK69" i="22"/>
  <c r="EJ69" i="22"/>
  <c r="EI69" i="22"/>
  <c r="AK69" i="22"/>
  <c r="AJ69" i="22"/>
  <c r="AI69" i="22"/>
  <c r="AH69" i="22"/>
  <c r="AG69" i="22"/>
  <c r="AF69" i="22"/>
  <c r="AE69" i="22"/>
  <c r="AD69" i="22"/>
  <c r="AC69" i="22"/>
  <c r="AB69" i="22"/>
  <c r="AA69" i="22"/>
  <c r="Z69" i="22"/>
  <c r="Y69" i="22"/>
  <c r="L69" i="22"/>
  <c r="K69" i="22"/>
  <c r="EU68" i="22"/>
  <c r="ET68" i="22"/>
  <c r="ES68" i="22"/>
  <c r="ER68" i="22"/>
  <c r="EQ68" i="22"/>
  <c r="EP68" i="22"/>
  <c r="EO68" i="22"/>
  <c r="EN68" i="22"/>
  <c r="EM68" i="22"/>
  <c r="EL68" i="22"/>
  <c r="EK68" i="22"/>
  <c r="EJ68" i="22"/>
  <c r="EI68" i="22"/>
  <c r="AK68" i="22"/>
  <c r="AJ68" i="22"/>
  <c r="AI68" i="22"/>
  <c r="AH68" i="22"/>
  <c r="AG68" i="22"/>
  <c r="AF68" i="22"/>
  <c r="AE68" i="22"/>
  <c r="AD68" i="22"/>
  <c r="AC68" i="22"/>
  <c r="AB68" i="22"/>
  <c r="AA68" i="22"/>
  <c r="Z68" i="22"/>
  <c r="Y68" i="22"/>
  <c r="L68" i="22"/>
  <c r="K68" i="22"/>
  <c r="EZ67" i="22"/>
  <c r="EU67" i="22"/>
  <c r="ET67" i="22"/>
  <c r="ES67" i="22"/>
  <c r="ER67" i="22"/>
  <c r="EQ67" i="22"/>
  <c r="EP67" i="22"/>
  <c r="EO67" i="22"/>
  <c r="EN67" i="22"/>
  <c r="EM67" i="22"/>
  <c r="EL67" i="22"/>
  <c r="EK67" i="22"/>
  <c r="EJ67" i="22"/>
  <c r="EI67" i="22"/>
  <c r="AK67" i="22"/>
  <c r="AJ67" i="22"/>
  <c r="AI67" i="22"/>
  <c r="AH67" i="22"/>
  <c r="AG67" i="22"/>
  <c r="AF67" i="22"/>
  <c r="AE67" i="22"/>
  <c r="AD67" i="22"/>
  <c r="AC67" i="22"/>
  <c r="AB67" i="22"/>
  <c r="AA67" i="22"/>
  <c r="Z67" i="22"/>
  <c r="Y67" i="22"/>
  <c r="L67" i="22"/>
  <c r="K67" i="22"/>
  <c r="EZ66" i="22"/>
  <c r="EU66" i="22"/>
  <c r="ET66" i="22"/>
  <c r="ES66" i="22"/>
  <c r="ER66" i="22"/>
  <c r="EQ66" i="22"/>
  <c r="EP66" i="22"/>
  <c r="EO66" i="22"/>
  <c r="EN66" i="22"/>
  <c r="EM66" i="22"/>
  <c r="EL66" i="22"/>
  <c r="EK66" i="22"/>
  <c r="EJ66" i="22"/>
  <c r="EI66" i="22"/>
  <c r="AK66" i="22"/>
  <c r="AJ66" i="22"/>
  <c r="AI66" i="22"/>
  <c r="AH66" i="22"/>
  <c r="AG66" i="22"/>
  <c r="AF66" i="22"/>
  <c r="AE66" i="22"/>
  <c r="AD66" i="22"/>
  <c r="AC66" i="22"/>
  <c r="AB66" i="22"/>
  <c r="AA66" i="22"/>
  <c r="Z66" i="22"/>
  <c r="Y66" i="22"/>
  <c r="L66" i="22"/>
  <c r="K66" i="22"/>
  <c r="EZ65" i="22"/>
  <c r="EU65" i="22"/>
  <c r="ET65" i="22"/>
  <c r="ES65" i="22"/>
  <c r="ER65" i="22"/>
  <c r="EQ65" i="22"/>
  <c r="EP65" i="22"/>
  <c r="EO65" i="22"/>
  <c r="EN65" i="22"/>
  <c r="EM65" i="22"/>
  <c r="EL65" i="22"/>
  <c r="EK65" i="22"/>
  <c r="EJ65" i="22"/>
  <c r="EI65" i="22"/>
  <c r="AK65" i="22"/>
  <c r="AJ65" i="22"/>
  <c r="AI65" i="22"/>
  <c r="AH65" i="22"/>
  <c r="AG65" i="22"/>
  <c r="AF65" i="22"/>
  <c r="AE65" i="22"/>
  <c r="AD65" i="22"/>
  <c r="AC65" i="22"/>
  <c r="AB65" i="22"/>
  <c r="AA65" i="22"/>
  <c r="Z65" i="22"/>
  <c r="Y65" i="22"/>
  <c r="L65" i="22"/>
  <c r="K65" i="22"/>
  <c r="EZ64" i="22"/>
  <c r="EU64" i="22"/>
  <c r="ET64" i="22"/>
  <c r="ES64" i="22"/>
  <c r="ER64" i="22"/>
  <c r="EQ64" i="22"/>
  <c r="EP64" i="22"/>
  <c r="EO64" i="22"/>
  <c r="EN64" i="22"/>
  <c r="EM64" i="22"/>
  <c r="EL64" i="22"/>
  <c r="EK64" i="22"/>
  <c r="EJ64" i="22"/>
  <c r="EI64" i="22"/>
  <c r="AK64" i="22"/>
  <c r="AJ64" i="22"/>
  <c r="AI64" i="22"/>
  <c r="AH64" i="22"/>
  <c r="AG64" i="22"/>
  <c r="AF64" i="22"/>
  <c r="AE64" i="22"/>
  <c r="AD64" i="22"/>
  <c r="AC64" i="22"/>
  <c r="AB64" i="22"/>
  <c r="AA64" i="22"/>
  <c r="Z64" i="22"/>
  <c r="Y64" i="22"/>
  <c r="L64" i="22"/>
  <c r="K64" i="22"/>
  <c r="EU63" i="22"/>
  <c r="ET63" i="22"/>
  <c r="ES63" i="22"/>
  <c r="AK63" i="22"/>
  <c r="AJ63" i="22"/>
  <c r="AI63" i="22"/>
  <c r="AH63" i="22"/>
  <c r="AG63" i="22"/>
  <c r="AF63" i="22"/>
  <c r="AE63" i="22"/>
  <c r="AD63" i="22"/>
  <c r="AC63" i="22"/>
  <c r="AB63" i="22"/>
  <c r="AA63" i="22"/>
  <c r="Z63" i="22"/>
  <c r="Y63" i="22"/>
  <c r="L63" i="22"/>
  <c r="K63" i="22" s="1"/>
  <c r="EU62" i="22"/>
  <c r="ET62" i="22"/>
  <c r="ES62" i="22"/>
  <c r="L62" i="22"/>
  <c r="K62" i="22"/>
  <c r="EZ61" i="22"/>
  <c r="EU61" i="22"/>
  <c r="ET61" i="22"/>
  <c r="ES61" i="22"/>
  <c r="ER61" i="22"/>
  <c r="EQ61" i="22"/>
  <c r="EP61" i="22"/>
  <c r="EO61" i="22"/>
  <c r="EN61" i="22"/>
  <c r="EM61" i="22"/>
  <c r="EL61" i="22"/>
  <c r="EK61" i="22"/>
  <c r="EJ61" i="22"/>
  <c r="EI61" i="22"/>
  <c r="AK61" i="22"/>
  <c r="AJ61" i="22"/>
  <c r="AI61" i="22"/>
  <c r="AH61" i="22"/>
  <c r="AG61" i="22"/>
  <c r="AF61" i="22"/>
  <c r="AE61" i="22"/>
  <c r="AD61" i="22"/>
  <c r="AC61" i="22"/>
  <c r="AB61" i="22"/>
  <c r="AA61" i="22"/>
  <c r="Z61" i="22"/>
  <c r="Y61" i="22"/>
  <c r="L61" i="22"/>
  <c r="K61" i="22"/>
  <c r="EZ60" i="22"/>
  <c r="EU60" i="22"/>
  <c r="ET60" i="22"/>
  <c r="ES60" i="22"/>
  <c r="ER60" i="22"/>
  <c r="EQ60" i="22"/>
  <c r="EP60" i="22"/>
  <c r="EO60" i="22"/>
  <c r="EN60" i="22"/>
  <c r="EM60" i="22"/>
  <c r="EL60" i="22"/>
  <c r="EK60" i="22"/>
  <c r="EJ60" i="22"/>
  <c r="EI60" i="22"/>
  <c r="AK60" i="22"/>
  <c r="AJ60" i="22"/>
  <c r="AI60" i="22"/>
  <c r="AH60" i="22"/>
  <c r="AG60" i="22"/>
  <c r="AF60" i="22"/>
  <c r="AE60" i="22"/>
  <c r="AD60" i="22"/>
  <c r="AC60" i="22"/>
  <c r="AB60" i="22"/>
  <c r="AA60" i="22"/>
  <c r="Z60" i="22"/>
  <c r="Y60" i="22"/>
  <c r="L60" i="22"/>
  <c r="K60" i="22"/>
  <c r="EZ59" i="22"/>
  <c r="EU59" i="22"/>
  <c r="ET59" i="22"/>
  <c r="ES59" i="22"/>
  <c r="ER59" i="22"/>
  <c r="EQ59" i="22"/>
  <c r="EP59" i="22"/>
  <c r="EO59" i="22"/>
  <c r="EN59" i="22"/>
  <c r="EM59" i="22"/>
  <c r="EL59" i="22"/>
  <c r="EK59" i="22"/>
  <c r="EJ59" i="22"/>
  <c r="EI59" i="22"/>
  <c r="AK59" i="22"/>
  <c r="AJ59" i="22"/>
  <c r="AI59" i="22"/>
  <c r="AH59" i="22"/>
  <c r="AG59" i="22"/>
  <c r="AF59" i="22"/>
  <c r="AE59" i="22"/>
  <c r="AD59" i="22"/>
  <c r="AC59" i="22"/>
  <c r="AB59" i="22"/>
  <c r="AA59" i="22"/>
  <c r="Z59" i="22"/>
  <c r="Y59" i="22"/>
  <c r="L59" i="22"/>
  <c r="K59" i="22"/>
  <c r="AK58" i="22"/>
  <c r="AJ58" i="22"/>
  <c r="AI58" i="22"/>
  <c r="AH58" i="22"/>
  <c r="AG58" i="22"/>
  <c r="AF58" i="22"/>
  <c r="AE58" i="22"/>
  <c r="AD58" i="22"/>
  <c r="AC58" i="22"/>
  <c r="AB58" i="22"/>
  <c r="AA58" i="22"/>
  <c r="Z58" i="22"/>
  <c r="Y58" i="22"/>
  <c r="L58" i="22"/>
  <c r="K58" i="22"/>
  <c r="ER57" i="22"/>
  <c r="EC57" i="22"/>
  <c r="EU57" i="22" s="1"/>
  <c r="EB57" i="22"/>
  <c r="ET57" i="22" s="1"/>
  <c r="EA57" i="22"/>
  <c r="ES57" i="22" s="1"/>
  <c r="DY57" i="22"/>
  <c r="EQ57" i="22" s="1"/>
  <c r="DX57" i="22"/>
  <c r="EP57" i="22" s="1"/>
  <c r="DW57" i="22"/>
  <c r="EO57" i="22" s="1"/>
  <c r="DV57" i="22"/>
  <c r="EN57" i="22" s="1"/>
  <c r="DU57" i="22"/>
  <c r="EM57" i="22" s="1"/>
  <c r="DT57" i="22"/>
  <c r="EL57" i="22" s="1"/>
  <c r="DS57" i="22"/>
  <c r="EK57" i="22" s="1"/>
  <c r="DR57" i="22"/>
  <c r="EJ57" i="22" s="1"/>
  <c r="DQ57" i="22"/>
  <c r="EI57" i="22" s="1"/>
  <c r="AK57" i="22"/>
  <c r="AJ57" i="22"/>
  <c r="AI57" i="22"/>
  <c r="AH57" i="22"/>
  <c r="AG57" i="22"/>
  <c r="AF57" i="22"/>
  <c r="AE57" i="22"/>
  <c r="AD57" i="22"/>
  <c r="AC57" i="22"/>
  <c r="AB57" i="22"/>
  <c r="AA57" i="22"/>
  <c r="Z57" i="22"/>
  <c r="Y57" i="22"/>
  <c r="L57" i="22"/>
  <c r="K57" i="22"/>
  <c r="ER56" i="22"/>
  <c r="EQ56" i="22"/>
  <c r="EP56" i="22"/>
  <c r="EL56" i="22"/>
  <c r="EK56" i="22"/>
  <c r="EC56" i="22"/>
  <c r="EU56" i="22" s="1"/>
  <c r="EB56" i="22"/>
  <c r="ET56" i="22" s="1"/>
  <c r="EA56" i="22"/>
  <c r="ES56" i="22" s="1"/>
  <c r="DW56" i="22"/>
  <c r="EO56" i="22" s="1"/>
  <c r="DV56" i="22"/>
  <c r="EN56" i="22" s="1"/>
  <c r="DU56" i="22"/>
  <c r="EM56" i="22" s="1"/>
  <c r="DR56" i="22"/>
  <c r="EJ56" i="22" s="1"/>
  <c r="DQ56" i="22"/>
  <c r="EI56" i="22" s="1"/>
  <c r="AK56" i="22"/>
  <c r="AJ56" i="22"/>
  <c r="AI56" i="22"/>
  <c r="AH56" i="22"/>
  <c r="AG56" i="22"/>
  <c r="AF56" i="22"/>
  <c r="AE56" i="22"/>
  <c r="AD56" i="22"/>
  <c r="AC56" i="22"/>
  <c r="AB56" i="22"/>
  <c r="AA56" i="22"/>
  <c r="Z56" i="22"/>
  <c r="Y56" i="22"/>
  <c r="L56" i="22"/>
  <c r="K56" i="22"/>
  <c r="ER55" i="22"/>
  <c r="EC55" i="22"/>
  <c r="EU55" i="22" s="1"/>
  <c r="EB55" i="22"/>
  <c r="ET55" i="22" s="1"/>
  <c r="EA55" i="22"/>
  <c r="ES55" i="22" s="1"/>
  <c r="DY55" i="22"/>
  <c r="EQ55" i="22" s="1"/>
  <c r="DX55" i="22"/>
  <c r="EP55" i="22" s="1"/>
  <c r="DW55" i="22"/>
  <c r="EO55" i="22" s="1"/>
  <c r="DV55" i="22"/>
  <c r="EN55" i="22" s="1"/>
  <c r="DU55" i="22"/>
  <c r="EM55" i="22" s="1"/>
  <c r="DT55" i="22"/>
  <c r="EL55" i="22" s="1"/>
  <c r="DS55" i="22"/>
  <c r="EK55" i="22" s="1"/>
  <c r="DR55" i="22"/>
  <c r="EJ55" i="22" s="1"/>
  <c r="DQ55" i="22"/>
  <c r="EZ55" i="22" s="1"/>
  <c r="AK55" i="22"/>
  <c r="AJ55" i="22"/>
  <c r="AI55" i="22"/>
  <c r="AH55" i="22"/>
  <c r="AG55" i="22"/>
  <c r="AF55" i="22"/>
  <c r="AE55" i="22"/>
  <c r="AD55" i="22"/>
  <c r="AC55" i="22"/>
  <c r="AB55" i="22"/>
  <c r="AA55" i="22"/>
  <c r="Z55" i="22"/>
  <c r="Y55" i="22"/>
  <c r="L55" i="22"/>
  <c r="K55" i="22"/>
  <c r="EZ54" i="22"/>
  <c r="EU54" i="22"/>
  <c r="ET54" i="22"/>
  <c r="ES54" i="22"/>
  <c r="ER54" i="22"/>
  <c r="EQ54" i="22"/>
  <c r="EP54" i="22"/>
  <c r="EO54" i="22"/>
  <c r="EN54" i="22"/>
  <c r="EM54" i="22"/>
  <c r="EL54" i="22"/>
  <c r="EK54" i="22"/>
  <c r="EJ54" i="22"/>
  <c r="EI54" i="22"/>
  <c r="AK54" i="22"/>
  <c r="AJ54" i="22"/>
  <c r="AI54" i="22"/>
  <c r="AH54" i="22"/>
  <c r="AG54" i="22"/>
  <c r="AF54" i="22"/>
  <c r="AE54" i="22"/>
  <c r="AD54" i="22"/>
  <c r="AC54" i="22"/>
  <c r="AB54" i="22"/>
  <c r="AA54" i="22"/>
  <c r="Z54" i="22"/>
  <c r="Y54" i="22"/>
  <c r="L54" i="22"/>
  <c r="K54" i="22"/>
  <c r="EZ53" i="22"/>
  <c r="EU53" i="22"/>
  <c r="ET53" i="22"/>
  <c r="ES53" i="22"/>
  <c r="ER53" i="22"/>
  <c r="EQ53" i="22"/>
  <c r="EP53" i="22"/>
  <c r="EO53" i="22"/>
  <c r="EN53" i="22"/>
  <c r="EM53" i="22"/>
  <c r="EL53" i="22"/>
  <c r="EK53" i="22"/>
  <c r="EJ53" i="22"/>
  <c r="EI53" i="22"/>
  <c r="AK53" i="22"/>
  <c r="AJ53" i="22"/>
  <c r="AI53" i="22"/>
  <c r="AH53" i="22"/>
  <c r="AG53" i="22"/>
  <c r="AF53" i="22"/>
  <c r="AE53" i="22"/>
  <c r="AD53" i="22"/>
  <c r="AC53" i="22"/>
  <c r="AB53" i="22"/>
  <c r="AA53" i="22"/>
  <c r="Z53" i="22"/>
  <c r="Y53" i="22"/>
  <c r="L53" i="22"/>
  <c r="K53" i="22"/>
  <c r="EZ52" i="22"/>
  <c r="EU52" i="22"/>
  <c r="ET52" i="22"/>
  <c r="ES52" i="22"/>
  <c r="ER52" i="22"/>
  <c r="EQ52" i="22"/>
  <c r="EP52" i="22"/>
  <c r="EO52" i="22"/>
  <c r="EN52" i="22"/>
  <c r="EM52" i="22"/>
  <c r="EL52" i="22"/>
  <c r="EK52" i="22"/>
  <c r="EJ52" i="22"/>
  <c r="EI52" i="22"/>
  <c r="AK52" i="22"/>
  <c r="AJ52" i="22"/>
  <c r="AI52" i="22"/>
  <c r="AH52" i="22"/>
  <c r="AG52" i="22"/>
  <c r="AF52" i="22"/>
  <c r="AE52" i="22"/>
  <c r="AD52" i="22"/>
  <c r="AC52" i="22"/>
  <c r="AB52" i="22"/>
  <c r="AA52" i="22"/>
  <c r="Z52" i="22"/>
  <c r="Y52" i="22"/>
  <c r="L52" i="22"/>
  <c r="K52" i="22"/>
  <c r="AK51" i="22"/>
  <c r="AJ51" i="22"/>
  <c r="AI51" i="22"/>
  <c r="AH51" i="22"/>
  <c r="AG51" i="22"/>
  <c r="AF51" i="22"/>
  <c r="AE51" i="22"/>
  <c r="AD51" i="22"/>
  <c r="AC51" i="22"/>
  <c r="AB51" i="22"/>
  <c r="AA51" i="22"/>
  <c r="Z51" i="22"/>
  <c r="Y51" i="22"/>
  <c r="L51" i="22"/>
  <c r="K51" i="22"/>
  <c r="EZ50" i="22"/>
  <c r="EU50" i="22"/>
  <c r="ET50" i="22"/>
  <c r="ES50" i="22"/>
  <c r="ER50" i="22"/>
  <c r="EQ50" i="22"/>
  <c r="EP50" i="22"/>
  <c r="EO50" i="22"/>
  <c r="EN50" i="22"/>
  <c r="EM50" i="22"/>
  <c r="EL50" i="22"/>
  <c r="EK50" i="22"/>
  <c r="EJ50" i="22"/>
  <c r="EI50" i="22"/>
  <c r="AK50" i="22"/>
  <c r="AJ50" i="22"/>
  <c r="AI50" i="22"/>
  <c r="AH50" i="22"/>
  <c r="AG50" i="22"/>
  <c r="AF50" i="22"/>
  <c r="AE50" i="22"/>
  <c r="AD50" i="22"/>
  <c r="AC50" i="22"/>
  <c r="AB50" i="22"/>
  <c r="AA50" i="22"/>
  <c r="Z50" i="22"/>
  <c r="Y50" i="22"/>
  <c r="L50" i="22"/>
  <c r="K50" i="22"/>
  <c r="EZ49" i="22"/>
  <c r="EU49" i="22"/>
  <c r="ET49" i="22"/>
  <c r="ES49" i="22"/>
  <c r="ER49" i="22"/>
  <c r="EQ49" i="22"/>
  <c r="EP49" i="22"/>
  <c r="EO49" i="22"/>
  <c r="EN49" i="22"/>
  <c r="EM49" i="22"/>
  <c r="EL49" i="22"/>
  <c r="EK49" i="22"/>
  <c r="EJ49" i="22"/>
  <c r="EI49" i="22"/>
  <c r="AK49" i="22"/>
  <c r="AJ49" i="22"/>
  <c r="AI49" i="22"/>
  <c r="AH49" i="22"/>
  <c r="AG49" i="22"/>
  <c r="AF49" i="22"/>
  <c r="AE49" i="22"/>
  <c r="AD49" i="22"/>
  <c r="AC49" i="22"/>
  <c r="AB49" i="22"/>
  <c r="AA49" i="22"/>
  <c r="Z49" i="22"/>
  <c r="Y49" i="22"/>
  <c r="L49" i="22"/>
  <c r="K49" i="22"/>
  <c r="EZ48" i="22"/>
  <c r="EU48" i="22"/>
  <c r="ET48" i="22"/>
  <c r="ES48" i="22"/>
  <c r="ER48" i="22"/>
  <c r="EQ48" i="22"/>
  <c r="EP48" i="22"/>
  <c r="EO48" i="22"/>
  <c r="EN48" i="22"/>
  <c r="EM48" i="22"/>
  <c r="EL48" i="22"/>
  <c r="EK48" i="22"/>
  <c r="EJ48" i="22"/>
  <c r="EI48" i="22"/>
  <c r="AK48" i="22"/>
  <c r="AJ48" i="22"/>
  <c r="AI48" i="22"/>
  <c r="AH48" i="22"/>
  <c r="AG48" i="22"/>
  <c r="AF48" i="22"/>
  <c r="AE48" i="22"/>
  <c r="AD48" i="22"/>
  <c r="AC48" i="22"/>
  <c r="AB48" i="22"/>
  <c r="AA48" i="22"/>
  <c r="Z48" i="22"/>
  <c r="Y48" i="22"/>
  <c r="L48" i="22"/>
  <c r="K48" i="22" s="1"/>
  <c r="EZ47" i="22"/>
  <c r="EU47" i="22"/>
  <c r="ET47" i="22"/>
  <c r="ES47" i="22"/>
  <c r="ER47" i="22"/>
  <c r="EQ47" i="22"/>
  <c r="EP47" i="22"/>
  <c r="EO47" i="22"/>
  <c r="EN47" i="22"/>
  <c r="EM47" i="22"/>
  <c r="EL47" i="22"/>
  <c r="EK47" i="22"/>
  <c r="EJ47" i="22"/>
  <c r="EI47" i="22"/>
  <c r="AK47" i="22"/>
  <c r="AJ47" i="22"/>
  <c r="AI47" i="22"/>
  <c r="AH47" i="22"/>
  <c r="AG47" i="22"/>
  <c r="AF47" i="22"/>
  <c r="AE47" i="22"/>
  <c r="AD47" i="22"/>
  <c r="AC47" i="22"/>
  <c r="AB47" i="22"/>
  <c r="AA47" i="22"/>
  <c r="Z47" i="22"/>
  <c r="Y47" i="22"/>
  <c r="L47" i="22"/>
  <c r="K47" i="22"/>
  <c r="EZ46" i="22"/>
  <c r="EU46" i="22"/>
  <c r="ET46" i="22"/>
  <c r="ES46" i="22"/>
  <c r="ER46" i="22"/>
  <c r="EQ46" i="22"/>
  <c r="EP46" i="22"/>
  <c r="EO46" i="22"/>
  <c r="EN46" i="22"/>
  <c r="EM46" i="22"/>
  <c r="EL46" i="22"/>
  <c r="EK46" i="22"/>
  <c r="EJ46" i="22"/>
  <c r="EI46" i="22"/>
  <c r="AK46" i="22"/>
  <c r="AJ46" i="22"/>
  <c r="AI46" i="22"/>
  <c r="AH46" i="22"/>
  <c r="AG46" i="22"/>
  <c r="AF46" i="22"/>
  <c r="AE46" i="22"/>
  <c r="AD46" i="22"/>
  <c r="AC46" i="22"/>
  <c r="AB46" i="22"/>
  <c r="AA46" i="22"/>
  <c r="Z46" i="22"/>
  <c r="Y46" i="22"/>
  <c r="L46" i="22"/>
  <c r="K46" i="22"/>
  <c r="EZ45" i="22"/>
  <c r="EU45" i="22"/>
  <c r="ET45" i="22"/>
  <c r="ES45" i="22"/>
  <c r="ER45" i="22"/>
  <c r="EQ45" i="22"/>
  <c r="EP45" i="22"/>
  <c r="EO45" i="22"/>
  <c r="EN45" i="22"/>
  <c r="EM45" i="22"/>
  <c r="EL45" i="22"/>
  <c r="EK45" i="22"/>
  <c r="EJ45" i="22"/>
  <c r="EI45" i="22"/>
  <c r="AK45" i="22"/>
  <c r="AJ45" i="22"/>
  <c r="AI45" i="22"/>
  <c r="AH45" i="22"/>
  <c r="AG45" i="22"/>
  <c r="AF45" i="22"/>
  <c r="AE45" i="22"/>
  <c r="AD45" i="22"/>
  <c r="AC45" i="22"/>
  <c r="AB45" i="22"/>
  <c r="AA45" i="22"/>
  <c r="Z45" i="22"/>
  <c r="Y45" i="22"/>
  <c r="L45" i="22"/>
  <c r="K45" i="22"/>
  <c r="EZ44" i="22"/>
  <c r="EU44" i="22"/>
  <c r="ET44" i="22"/>
  <c r="ES44" i="22"/>
  <c r="ER44" i="22"/>
  <c r="EQ44" i="22"/>
  <c r="EP44" i="22"/>
  <c r="EO44" i="22"/>
  <c r="EN44" i="22"/>
  <c r="EM44" i="22"/>
  <c r="EL44" i="22"/>
  <c r="EK44" i="22"/>
  <c r="EJ44" i="22"/>
  <c r="EI44" i="22"/>
  <c r="AK44" i="22"/>
  <c r="AJ44" i="22"/>
  <c r="AI44" i="22"/>
  <c r="AH44" i="22"/>
  <c r="AG44" i="22"/>
  <c r="AF44" i="22"/>
  <c r="AE44" i="22"/>
  <c r="AD44" i="22"/>
  <c r="AC44" i="22"/>
  <c r="AB44" i="22"/>
  <c r="AA44" i="22"/>
  <c r="Z44" i="22"/>
  <c r="Y44" i="22"/>
  <c r="L44" i="22"/>
  <c r="K44" i="22"/>
  <c r="AK43" i="22"/>
  <c r="AJ43" i="22"/>
  <c r="AI43" i="22"/>
  <c r="AH43" i="22"/>
  <c r="AG43" i="22"/>
  <c r="AF43" i="22"/>
  <c r="AE43" i="22"/>
  <c r="AD43" i="22"/>
  <c r="AC43" i="22"/>
  <c r="AB43" i="22"/>
  <c r="AA43" i="22"/>
  <c r="Z43" i="22"/>
  <c r="Y43" i="22"/>
  <c r="L43" i="22"/>
  <c r="K43" i="22"/>
  <c r="EU42" i="22"/>
  <c r="ET42" i="22"/>
  <c r="ES42" i="22"/>
  <c r="ER42" i="22"/>
  <c r="EQ42" i="22"/>
  <c r="EP42" i="22"/>
  <c r="EO42" i="22"/>
  <c r="EN42" i="22"/>
  <c r="EM42" i="22"/>
  <c r="EL42" i="22"/>
  <c r="EK42" i="22"/>
  <c r="EJ42" i="22"/>
  <c r="EI42" i="22"/>
  <c r="AK42" i="22"/>
  <c r="AJ42" i="22"/>
  <c r="AI42" i="22"/>
  <c r="AH42" i="22"/>
  <c r="AG42" i="22"/>
  <c r="AF42" i="22"/>
  <c r="AE42" i="22"/>
  <c r="AD42" i="22"/>
  <c r="AC42" i="22"/>
  <c r="AB42" i="22"/>
  <c r="AA42" i="22"/>
  <c r="Z42" i="22"/>
  <c r="Y42" i="22"/>
  <c r="L42" i="22"/>
  <c r="K42" i="22"/>
  <c r="EU41" i="22"/>
  <c r="ET41" i="22"/>
  <c r="ES41" i="22"/>
  <c r="ER41" i="22"/>
  <c r="EQ41" i="22"/>
  <c r="EP41" i="22"/>
  <c r="EO41" i="22"/>
  <c r="EN41" i="22"/>
  <c r="EM41" i="22"/>
  <c r="EL41" i="22"/>
  <c r="EK41" i="22"/>
  <c r="EJ41" i="22"/>
  <c r="EI41" i="22"/>
  <c r="AK41" i="22"/>
  <c r="AJ41" i="22"/>
  <c r="AI41" i="22"/>
  <c r="AH41" i="22"/>
  <c r="AG41" i="22"/>
  <c r="AF41" i="22"/>
  <c r="AE41" i="22"/>
  <c r="AD41" i="22"/>
  <c r="AC41" i="22"/>
  <c r="AB41" i="22"/>
  <c r="AA41" i="22"/>
  <c r="Z41" i="22"/>
  <c r="Y41" i="22"/>
  <c r="L41" i="22"/>
  <c r="K41" i="22"/>
  <c r="EZ40" i="22"/>
  <c r="EU40" i="22"/>
  <c r="ET40" i="22"/>
  <c r="ES40" i="22"/>
  <c r="ER40" i="22"/>
  <c r="EQ40" i="22"/>
  <c r="EP40" i="22"/>
  <c r="EO40" i="22"/>
  <c r="EN40" i="22"/>
  <c r="EM40" i="22"/>
  <c r="EL40" i="22"/>
  <c r="EK40" i="22"/>
  <c r="EJ40" i="22"/>
  <c r="EI40" i="22"/>
  <c r="AK40" i="22"/>
  <c r="AJ40" i="22"/>
  <c r="AI40" i="22"/>
  <c r="AH40" i="22"/>
  <c r="AG40" i="22"/>
  <c r="AF40" i="22"/>
  <c r="AE40" i="22"/>
  <c r="AD40" i="22"/>
  <c r="AC40" i="22"/>
  <c r="AB40" i="22"/>
  <c r="AA40" i="22"/>
  <c r="Z40" i="22"/>
  <c r="Y40" i="22"/>
  <c r="L40" i="22"/>
  <c r="K40" i="22"/>
  <c r="EZ39" i="22"/>
  <c r="EU39" i="22"/>
  <c r="ET39" i="22"/>
  <c r="ES39" i="22"/>
  <c r="ER39" i="22"/>
  <c r="EQ39" i="22"/>
  <c r="EP39" i="22"/>
  <c r="EO39" i="22"/>
  <c r="EN39" i="22"/>
  <c r="EM39" i="22"/>
  <c r="EL39" i="22"/>
  <c r="EK39" i="22"/>
  <c r="EJ39" i="22"/>
  <c r="EI39" i="22"/>
  <c r="AK39" i="22"/>
  <c r="AJ39" i="22"/>
  <c r="AI39" i="22"/>
  <c r="AH39" i="22"/>
  <c r="AG39" i="22"/>
  <c r="AF39" i="22"/>
  <c r="AE39" i="22"/>
  <c r="AD39" i="22"/>
  <c r="AC39" i="22"/>
  <c r="AB39" i="22"/>
  <c r="AA39" i="22"/>
  <c r="Z39" i="22"/>
  <c r="Y39" i="22"/>
  <c r="L39" i="22"/>
  <c r="K39" i="22"/>
  <c r="EZ38" i="22"/>
  <c r="EU38" i="22"/>
  <c r="ET38" i="22"/>
  <c r="ES38" i="22"/>
  <c r="ER38" i="22"/>
  <c r="EQ38" i="22"/>
  <c r="EP38" i="22"/>
  <c r="EO38" i="22"/>
  <c r="EN38" i="22"/>
  <c r="EM38" i="22"/>
  <c r="EL38" i="22"/>
  <c r="EK38" i="22"/>
  <c r="EJ38" i="22"/>
  <c r="EI38" i="22"/>
  <c r="AK38" i="22"/>
  <c r="AJ38" i="22"/>
  <c r="AI38" i="22"/>
  <c r="AH38" i="22"/>
  <c r="AG38" i="22"/>
  <c r="AF38" i="22"/>
  <c r="AE38" i="22"/>
  <c r="AD38" i="22"/>
  <c r="AC38" i="22"/>
  <c r="AB38" i="22"/>
  <c r="AA38" i="22"/>
  <c r="Z38" i="22"/>
  <c r="Y38" i="22"/>
  <c r="L38" i="22"/>
  <c r="K38" i="22"/>
  <c r="EZ37" i="22"/>
  <c r="EU37" i="22"/>
  <c r="ET37" i="22"/>
  <c r="ES37" i="22"/>
  <c r="ER37" i="22"/>
  <c r="EQ37" i="22"/>
  <c r="EP37" i="22"/>
  <c r="EO37" i="22"/>
  <c r="EN37" i="22"/>
  <c r="EM37" i="22"/>
  <c r="EL37" i="22"/>
  <c r="EK37" i="22"/>
  <c r="EJ37" i="22"/>
  <c r="EI37" i="22"/>
  <c r="AK37" i="22"/>
  <c r="AJ37" i="22"/>
  <c r="AI37" i="22"/>
  <c r="AH37" i="22"/>
  <c r="AG37" i="22"/>
  <c r="AF37" i="22"/>
  <c r="AE37" i="22"/>
  <c r="AD37" i="22"/>
  <c r="AC37" i="22"/>
  <c r="AB37" i="22"/>
  <c r="AA37" i="22"/>
  <c r="Z37" i="22"/>
  <c r="Y37" i="22"/>
  <c r="L37" i="22"/>
  <c r="K37" i="22"/>
  <c r="EZ36" i="22"/>
  <c r="EU36" i="22"/>
  <c r="ET36" i="22"/>
  <c r="ES36" i="22"/>
  <c r="ER36" i="22"/>
  <c r="EQ36" i="22"/>
  <c r="EP36" i="22"/>
  <c r="EO36" i="22"/>
  <c r="EN36" i="22"/>
  <c r="EM36" i="22"/>
  <c r="EL36" i="22"/>
  <c r="EK36" i="22"/>
  <c r="EJ36" i="22"/>
  <c r="EI36" i="22"/>
  <c r="AK36" i="22"/>
  <c r="AJ36" i="22"/>
  <c r="AI36" i="22"/>
  <c r="AH36" i="22"/>
  <c r="AG36" i="22"/>
  <c r="AF36" i="22"/>
  <c r="AE36" i="22"/>
  <c r="AD36" i="22"/>
  <c r="AC36" i="22"/>
  <c r="AB36" i="22"/>
  <c r="AA36" i="22"/>
  <c r="Z36" i="22"/>
  <c r="Y36" i="22"/>
  <c r="L36" i="22"/>
  <c r="K36" i="22"/>
  <c r="EZ35" i="22"/>
  <c r="EU35" i="22"/>
  <c r="ET35" i="22"/>
  <c r="ES35" i="22"/>
  <c r="ER35" i="22"/>
  <c r="EQ35" i="22"/>
  <c r="EP35" i="22"/>
  <c r="EO35" i="22"/>
  <c r="EN35" i="22"/>
  <c r="EM35" i="22"/>
  <c r="EL35" i="22"/>
  <c r="EK35" i="22"/>
  <c r="EJ35" i="22"/>
  <c r="EI35" i="22"/>
  <c r="AK35" i="22"/>
  <c r="AJ35" i="22"/>
  <c r="AI35" i="22"/>
  <c r="AH35" i="22"/>
  <c r="AG35" i="22"/>
  <c r="AF35" i="22"/>
  <c r="AE35" i="22"/>
  <c r="AD35" i="22"/>
  <c r="AC35" i="22"/>
  <c r="AB35" i="22"/>
  <c r="AA35" i="22"/>
  <c r="Z35" i="22"/>
  <c r="Y35" i="22"/>
  <c r="L35" i="22"/>
  <c r="K35" i="22" s="1"/>
  <c r="EZ34" i="22"/>
  <c r="AK34" i="22"/>
  <c r="AJ34" i="22"/>
  <c r="AI34" i="22"/>
  <c r="AH34" i="22"/>
  <c r="AG34" i="22"/>
  <c r="AF34" i="22"/>
  <c r="AE34" i="22"/>
  <c r="AD34" i="22"/>
  <c r="AC34" i="22"/>
  <c r="AB34" i="22"/>
  <c r="AA34" i="22"/>
  <c r="Z34" i="22"/>
  <c r="Y34" i="22"/>
  <c r="L34" i="22"/>
  <c r="K34" i="22"/>
  <c r="EZ33" i="22"/>
  <c r="AK33" i="22"/>
  <c r="AJ33" i="22"/>
  <c r="AI33" i="22"/>
  <c r="AH33" i="22"/>
  <c r="AG33" i="22"/>
  <c r="AF33" i="22"/>
  <c r="AE33" i="22"/>
  <c r="AD33" i="22"/>
  <c r="AC33" i="22"/>
  <c r="AB33" i="22"/>
  <c r="AA33" i="22"/>
  <c r="Z33" i="22"/>
  <c r="Y33" i="22"/>
  <c r="L33" i="22"/>
  <c r="K33" i="22"/>
  <c r="EZ32" i="22"/>
  <c r="AK32" i="22"/>
  <c r="AJ32" i="22"/>
  <c r="AI32" i="22"/>
  <c r="AH32" i="22"/>
  <c r="AG32" i="22"/>
  <c r="AF32" i="22"/>
  <c r="AE32" i="22"/>
  <c r="AD32" i="22"/>
  <c r="AC32" i="22"/>
  <c r="AB32" i="22"/>
  <c r="AA32" i="22"/>
  <c r="Z32" i="22"/>
  <c r="Y32" i="22"/>
  <c r="L32" i="22"/>
  <c r="K32" i="22"/>
  <c r="EZ31" i="22"/>
  <c r="EU31" i="22"/>
  <c r="ET31" i="22"/>
  <c r="ES31" i="22"/>
  <c r="ER31" i="22"/>
  <c r="EQ31" i="22"/>
  <c r="EP31" i="22"/>
  <c r="EO31" i="22"/>
  <c r="EN31" i="22"/>
  <c r="EM31" i="22"/>
  <c r="EL31" i="22"/>
  <c r="EK31" i="22"/>
  <c r="EJ31" i="22"/>
  <c r="EI31" i="22"/>
  <c r="AK31" i="22"/>
  <c r="AJ31" i="22"/>
  <c r="AI31" i="22"/>
  <c r="AH31" i="22"/>
  <c r="AG31" i="22"/>
  <c r="AF31" i="22"/>
  <c r="AE31" i="22"/>
  <c r="AD31" i="22"/>
  <c r="AC31" i="22"/>
  <c r="AB31" i="22"/>
  <c r="AA31" i="22"/>
  <c r="Z31" i="22"/>
  <c r="Y31" i="22"/>
  <c r="L31" i="22"/>
  <c r="K31" i="22"/>
  <c r="EZ30" i="22"/>
  <c r="EU30" i="22"/>
  <c r="ET30" i="22"/>
  <c r="ES30" i="22"/>
  <c r="ER30" i="22"/>
  <c r="EQ30" i="22"/>
  <c r="EP30" i="22"/>
  <c r="EO30" i="22"/>
  <c r="EN30" i="22"/>
  <c r="EM30" i="22"/>
  <c r="EL30" i="22"/>
  <c r="EK30" i="22"/>
  <c r="EJ30" i="22"/>
  <c r="EI30" i="22"/>
  <c r="AK30" i="22"/>
  <c r="AJ30" i="22"/>
  <c r="AI30" i="22"/>
  <c r="AH30" i="22"/>
  <c r="AG30" i="22"/>
  <c r="AF30" i="22"/>
  <c r="AE30" i="22"/>
  <c r="AD30" i="22"/>
  <c r="AC30" i="22"/>
  <c r="AB30" i="22"/>
  <c r="AA30" i="22"/>
  <c r="Z30" i="22"/>
  <c r="Y30" i="22"/>
  <c r="L30" i="22"/>
  <c r="K30" i="22"/>
  <c r="EZ29" i="22"/>
  <c r="EU29" i="22"/>
  <c r="ET29" i="22"/>
  <c r="ES29" i="22"/>
  <c r="ER29" i="22"/>
  <c r="EQ29" i="22"/>
  <c r="EP29" i="22"/>
  <c r="EO29" i="22"/>
  <c r="EN29" i="22"/>
  <c r="EM29" i="22"/>
  <c r="EL29" i="22"/>
  <c r="EK29" i="22"/>
  <c r="EJ29" i="22"/>
  <c r="EI29" i="22"/>
  <c r="AK29" i="22"/>
  <c r="AJ29" i="22"/>
  <c r="AI29" i="22"/>
  <c r="AH29" i="22"/>
  <c r="AG29" i="22"/>
  <c r="AF29" i="22"/>
  <c r="AE29" i="22"/>
  <c r="AD29" i="22"/>
  <c r="AC29" i="22"/>
  <c r="AB29" i="22"/>
  <c r="AA29" i="22"/>
  <c r="Z29" i="22"/>
  <c r="Y29" i="22"/>
  <c r="L29" i="22"/>
  <c r="K29" i="22"/>
  <c r="EZ28" i="22"/>
  <c r="EU28" i="22"/>
  <c r="ET28" i="22"/>
  <c r="ES28" i="22"/>
  <c r="ER28" i="22"/>
  <c r="EQ28" i="22"/>
  <c r="EP28" i="22"/>
  <c r="EO28" i="22"/>
  <c r="EN28" i="22"/>
  <c r="EM28" i="22"/>
  <c r="EL28" i="22"/>
  <c r="EK28" i="22"/>
  <c r="EJ28" i="22"/>
  <c r="EI28" i="22"/>
  <c r="AK28" i="22"/>
  <c r="AJ28" i="22"/>
  <c r="AI28" i="22"/>
  <c r="AH28" i="22"/>
  <c r="AG28" i="22"/>
  <c r="AF28" i="22"/>
  <c r="AE28" i="22"/>
  <c r="AD28" i="22"/>
  <c r="AC28" i="22"/>
  <c r="AB28" i="22"/>
  <c r="AA28" i="22"/>
  <c r="Z28" i="22"/>
  <c r="Y28" i="22"/>
  <c r="L28" i="22"/>
  <c r="K28" i="22"/>
  <c r="EZ27" i="22"/>
  <c r="EU27" i="22"/>
  <c r="ET27" i="22"/>
  <c r="ES27" i="22"/>
  <c r="ER27" i="22"/>
  <c r="EQ27" i="22"/>
  <c r="EP27" i="22"/>
  <c r="EO27" i="22"/>
  <c r="EN27" i="22"/>
  <c r="EM27" i="22"/>
  <c r="EL27" i="22"/>
  <c r="EK27" i="22"/>
  <c r="EJ27" i="22"/>
  <c r="EI27" i="22"/>
  <c r="AK27" i="22"/>
  <c r="AJ27" i="22"/>
  <c r="AI27" i="22"/>
  <c r="AH27" i="22"/>
  <c r="AG27" i="22"/>
  <c r="AF27" i="22"/>
  <c r="AE27" i="22"/>
  <c r="AD27" i="22"/>
  <c r="AC27" i="22"/>
  <c r="AB27" i="22"/>
  <c r="AA27" i="22"/>
  <c r="Z27" i="22"/>
  <c r="Y27" i="22"/>
  <c r="L27" i="22"/>
  <c r="K27" i="22"/>
  <c r="EZ26" i="22"/>
  <c r="EU26" i="22"/>
  <c r="ET26" i="22"/>
  <c r="ES26" i="22"/>
  <c r="ER26" i="22"/>
  <c r="EQ26" i="22"/>
  <c r="EP26" i="22"/>
  <c r="EO26" i="22"/>
  <c r="EN26" i="22"/>
  <c r="EM26" i="22"/>
  <c r="EL26" i="22"/>
  <c r="EK26" i="22"/>
  <c r="EJ26" i="22"/>
  <c r="EI26" i="22"/>
  <c r="AK26" i="22"/>
  <c r="AJ26" i="22"/>
  <c r="AI26" i="22"/>
  <c r="AH26" i="22"/>
  <c r="AG26" i="22"/>
  <c r="AF26" i="22"/>
  <c r="AE26" i="22"/>
  <c r="AD26" i="22"/>
  <c r="AC26" i="22"/>
  <c r="AB26" i="22"/>
  <c r="AA26" i="22"/>
  <c r="Z26" i="22"/>
  <c r="Y26" i="22"/>
  <c r="L26" i="22"/>
  <c r="K26" i="22"/>
  <c r="EU25" i="22"/>
  <c r="ET25" i="22"/>
  <c r="ES25" i="22"/>
  <c r="ER25" i="22"/>
  <c r="EO25" i="22"/>
  <c r="EJ25" i="22"/>
  <c r="DY25" i="22"/>
  <c r="EQ25" i="22" s="1"/>
  <c r="DX25" i="22"/>
  <c r="EP25" i="22" s="1"/>
  <c r="DV25" i="22"/>
  <c r="EN25" i="22" s="1"/>
  <c r="DU25" i="22"/>
  <c r="EM25" i="22" s="1"/>
  <c r="DT25" i="22"/>
  <c r="EL25" i="22" s="1"/>
  <c r="DS25" i="22"/>
  <c r="EK25" i="22" s="1"/>
  <c r="DQ25" i="22"/>
  <c r="EZ25" i="22" s="1"/>
  <c r="AK25" i="22"/>
  <c r="AJ25" i="22"/>
  <c r="AI25" i="22"/>
  <c r="AH25" i="22"/>
  <c r="AG25" i="22"/>
  <c r="AF25" i="22"/>
  <c r="AE25" i="22"/>
  <c r="AD25" i="22"/>
  <c r="AC25" i="22"/>
  <c r="AB25" i="22"/>
  <c r="AA25" i="22"/>
  <c r="Z25" i="22"/>
  <c r="Y25" i="22"/>
  <c r="L25" i="22"/>
  <c r="K25" i="22"/>
  <c r="EC24" i="22"/>
  <c r="EU24" i="22" s="1"/>
  <c r="EB24" i="22"/>
  <c r="ET24" i="22" s="1"/>
  <c r="EA24" i="22"/>
  <c r="ES24" i="22" s="1"/>
  <c r="DZ24" i="22"/>
  <c r="ER24" i="22" s="1"/>
  <c r="DY24" i="22"/>
  <c r="EQ24" i="22" s="1"/>
  <c r="DX24" i="22"/>
  <c r="EP24" i="22" s="1"/>
  <c r="DW24" i="22"/>
  <c r="EO24" i="22" s="1"/>
  <c r="DV24" i="22"/>
  <c r="EN24" i="22" s="1"/>
  <c r="DU24" i="22"/>
  <c r="EM24" i="22" s="1"/>
  <c r="DT24" i="22"/>
  <c r="EL24" i="22" s="1"/>
  <c r="DS24" i="22"/>
  <c r="EK24" i="22" s="1"/>
  <c r="DR24" i="22"/>
  <c r="EJ24" i="22" s="1"/>
  <c r="DQ24" i="22"/>
  <c r="EI24" i="22" s="1"/>
  <c r="AK24" i="22"/>
  <c r="AJ24" i="22"/>
  <c r="AI24" i="22"/>
  <c r="AH24" i="22"/>
  <c r="AG24" i="22"/>
  <c r="AF24" i="22"/>
  <c r="AE24" i="22"/>
  <c r="AD24" i="22"/>
  <c r="AC24" i="22"/>
  <c r="AB24" i="22"/>
  <c r="AA24" i="22"/>
  <c r="Z24" i="22"/>
  <c r="Y24" i="22"/>
  <c r="L24" i="22"/>
  <c r="K24" i="22"/>
  <c r="EZ23" i="22"/>
  <c r="EU23" i="22"/>
  <c r="ET23" i="22"/>
  <c r="ES23" i="22"/>
  <c r="ER23" i="22"/>
  <c r="EQ23" i="22"/>
  <c r="EP23" i="22"/>
  <c r="EO23" i="22"/>
  <c r="EN23" i="22"/>
  <c r="EM23" i="22"/>
  <c r="EL23" i="22"/>
  <c r="EK23" i="22"/>
  <c r="EJ23" i="22"/>
  <c r="EI23" i="22"/>
  <c r="AK23" i="22"/>
  <c r="AJ23" i="22"/>
  <c r="AI23" i="22"/>
  <c r="AH23" i="22"/>
  <c r="AG23" i="22"/>
  <c r="AF23" i="22"/>
  <c r="AE23" i="22"/>
  <c r="AD23" i="22"/>
  <c r="AC23" i="22"/>
  <c r="AB23" i="22"/>
  <c r="AA23" i="22"/>
  <c r="Z23" i="22"/>
  <c r="Y23" i="22"/>
  <c r="L23" i="22"/>
  <c r="K23" i="22"/>
  <c r="EC22" i="22"/>
  <c r="EU22" i="22" s="1"/>
  <c r="EB22" i="22"/>
  <c r="ET22" i="22" s="1"/>
  <c r="EA22" i="22"/>
  <c r="ES22" i="22" s="1"/>
  <c r="DZ22" i="22"/>
  <c r="ER22" i="22" s="1"/>
  <c r="DY22" i="22"/>
  <c r="EQ22" i="22" s="1"/>
  <c r="DX22" i="22"/>
  <c r="EP22" i="22" s="1"/>
  <c r="DW22" i="22"/>
  <c r="EO22" i="22" s="1"/>
  <c r="DV22" i="22"/>
  <c r="EN22" i="22" s="1"/>
  <c r="DU22" i="22"/>
  <c r="EM22" i="22" s="1"/>
  <c r="DT22" i="22"/>
  <c r="EL22" i="22" s="1"/>
  <c r="DS22" i="22"/>
  <c r="EK22" i="22" s="1"/>
  <c r="DR22" i="22"/>
  <c r="EJ22" i="22" s="1"/>
  <c r="DQ22" i="22"/>
  <c r="EI22" i="22" s="1"/>
  <c r="AK22" i="22"/>
  <c r="AJ22" i="22"/>
  <c r="AI22" i="22"/>
  <c r="AH22" i="22"/>
  <c r="AG22" i="22"/>
  <c r="AF22" i="22"/>
  <c r="AE22" i="22"/>
  <c r="AD22" i="22"/>
  <c r="AC22" i="22"/>
  <c r="AB22" i="22"/>
  <c r="AA22" i="22"/>
  <c r="Z22" i="22"/>
  <c r="Y22" i="22"/>
  <c r="L22" i="22"/>
  <c r="K22" i="22"/>
  <c r="EZ21" i="22"/>
  <c r="EU21" i="22"/>
  <c r="ET21" i="22"/>
  <c r="ES21" i="22"/>
  <c r="ER21" i="22"/>
  <c r="EQ21" i="22"/>
  <c r="EP21" i="22"/>
  <c r="EO21" i="22"/>
  <c r="EN21" i="22"/>
  <c r="EM21" i="22"/>
  <c r="EL21" i="22"/>
  <c r="EK21" i="22"/>
  <c r="EJ21" i="22"/>
  <c r="EI21" i="22"/>
  <c r="AK21" i="22"/>
  <c r="AJ21" i="22"/>
  <c r="AI21" i="22"/>
  <c r="AH21" i="22"/>
  <c r="AG21" i="22"/>
  <c r="AF21" i="22"/>
  <c r="AE21" i="22"/>
  <c r="AD21" i="22"/>
  <c r="AC21" i="22"/>
  <c r="AB21" i="22"/>
  <c r="AA21" i="22"/>
  <c r="Z21" i="22"/>
  <c r="Y21" i="22"/>
  <c r="L21" i="22"/>
  <c r="K21" i="22"/>
  <c r="EZ20" i="22"/>
  <c r="EU20" i="22"/>
  <c r="ET20" i="22"/>
  <c r="ES20" i="22"/>
  <c r="ER20" i="22"/>
  <c r="EQ20" i="22"/>
  <c r="EP20" i="22"/>
  <c r="EO20" i="22"/>
  <c r="EN20" i="22"/>
  <c r="EM20" i="22"/>
  <c r="EL20" i="22"/>
  <c r="EK20" i="22"/>
  <c r="EJ20" i="22"/>
  <c r="EI20" i="22"/>
  <c r="AK20" i="22"/>
  <c r="AJ20" i="22"/>
  <c r="AI20" i="22"/>
  <c r="AH20" i="22"/>
  <c r="AG20" i="22"/>
  <c r="AF20" i="22"/>
  <c r="AE20" i="22"/>
  <c r="AD20" i="22"/>
  <c r="AC20" i="22"/>
  <c r="AB20" i="22"/>
  <c r="AA20" i="22"/>
  <c r="Z20" i="22"/>
  <c r="Y20" i="22"/>
  <c r="L20" i="22"/>
  <c r="K20" i="22" s="1"/>
  <c r="EU19" i="22"/>
  <c r="ER19" i="22"/>
  <c r="AK19" i="22"/>
  <c r="AJ19" i="22"/>
  <c r="AI19" i="22"/>
  <c r="AH19" i="22"/>
  <c r="AG19" i="22"/>
  <c r="AF19" i="22"/>
  <c r="AE19" i="22"/>
  <c r="AD19" i="22"/>
  <c r="AC19" i="22"/>
  <c r="AB19" i="22"/>
  <c r="AA19" i="22"/>
  <c r="Z19" i="22"/>
  <c r="Y19" i="22"/>
  <c r="L19" i="22"/>
  <c r="K19" i="22"/>
  <c r="EU18" i="22"/>
  <c r="ET18" i="22"/>
  <c r="ES18" i="22"/>
  <c r="ER18" i="22"/>
  <c r="EQ18" i="22"/>
  <c r="EP18" i="22"/>
  <c r="EO18" i="22"/>
  <c r="EN18" i="22"/>
  <c r="EM18" i="22"/>
  <c r="EL18" i="22"/>
  <c r="EK18" i="22"/>
  <c r="EJ18" i="22"/>
  <c r="EI18" i="22"/>
  <c r="AK18" i="22"/>
  <c r="AJ18" i="22"/>
  <c r="AI18" i="22"/>
  <c r="AH18" i="22"/>
  <c r="AG18" i="22"/>
  <c r="AF18" i="22"/>
  <c r="AE18" i="22"/>
  <c r="AD18" i="22"/>
  <c r="AC18" i="22"/>
  <c r="AB18" i="22"/>
  <c r="AA18" i="22"/>
  <c r="Z18" i="22"/>
  <c r="Y18" i="22"/>
  <c r="L18" i="22"/>
  <c r="K18" i="22"/>
  <c r="EU17" i="22"/>
  <c r="ET17" i="22"/>
  <c r="ES17" i="22"/>
  <c r="ER17" i="22"/>
  <c r="EQ17" i="22"/>
  <c r="EP17" i="22"/>
  <c r="EO17" i="22"/>
  <c r="EN17" i="22"/>
  <c r="EM17" i="22"/>
  <c r="EL17" i="22"/>
  <c r="EK17" i="22"/>
  <c r="EJ17" i="22"/>
  <c r="EI17" i="22"/>
  <c r="AK17" i="22"/>
  <c r="AJ17" i="22"/>
  <c r="AI17" i="22"/>
  <c r="AH17" i="22"/>
  <c r="AG17" i="22"/>
  <c r="AF17" i="22"/>
  <c r="AE17" i="22"/>
  <c r="AD17" i="22"/>
  <c r="AC17" i="22"/>
  <c r="AB17" i="22"/>
  <c r="AA17" i="22"/>
  <c r="Z17" i="22"/>
  <c r="Y17" i="22"/>
  <c r="L17" i="22"/>
  <c r="K17" i="22"/>
  <c r="EU16" i="22"/>
  <c r="ET16" i="22"/>
  <c r="ES16" i="22"/>
  <c r="ER16" i="22"/>
  <c r="EQ16" i="22"/>
  <c r="EP16" i="22"/>
  <c r="EO16" i="22"/>
  <c r="EN16" i="22"/>
  <c r="EM16" i="22"/>
  <c r="EL16" i="22"/>
  <c r="EK16" i="22"/>
  <c r="EJ16" i="22"/>
  <c r="EI16" i="22"/>
  <c r="AK16" i="22"/>
  <c r="AJ16" i="22"/>
  <c r="AI16" i="22"/>
  <c r="AH16" i="22"/>
  <c r="AG16" i="22"/>
  <c r="AF16" i="22"/>
  <c r="AE16" i="22"/>
  <c r="AD16" i="22"/>
  <c r="AC16" i="22"/>
  <c r="AB16" i="22"/>
  <c r="AA16" i="22"/>
  <c r="Z16" i="22"/>
  <c r="Y16" i="22"/>
  <c r="L16" i="22"/>
  <c r="K16" i="22"/>
  <c r="EU15" i="22"/>
  <c r="ET15" i="22"/>
  <c r="ES15" i="22"/>
  <c r="ER15" i="22"/>
  <c r="EQ15" i="22"/>
  <c r="EP15" i="22"/>
  <c r="EO15" i="22"/>
  <c r="EN15" i="22"/>
  <c r="EM15" i="22"/>
  <c r="EL15" i="22"/>
  <c r="EK15" i="22"/>
  <c r="EJ15" i="22"/>
  <c r="EI15" i="22"/>
  <c r="AK15" i="22"/>
  <c r="AJ15" i="22"/>
  <c r="AI15" i="22"/>
  <c r="AH15" i="22"/>
  <c r="AG15" i="22"/>
  <c r="AF15" i="22"/>
  <c r="AE15" i="22"/>
  <c r="AD15" i="22"/>
  <c r="AC15" i="22"/>
  <c r="AB15" i="22"/>
  <c r="AA15" i="22"/>
  <c r="Z15" i="22"/>
  <c r="Y15" i="22"/>
  <c r="L15" i="22"/>
  <c r="K15" i="22"/>
  <c r="AK14" i="22"/>
  <c r="AJ14" i="22"/>
  <c r="AI14" i="22"/>
  <c r="AH14" i="22"/>
  <c r="AG14" i="22"/>
  <c r="AF14" i="22"/>
  <c r="AE14" i="22"/>
  <c r="AD14" i="22"/>
  <c r="AC14" i="22"/>
  <c r="AB14" i="22"/>
  <c r="AA14" i="22"/>
  <c r="Z14" i="22"/>
  <c r="Y14" i="22"/>
  <c r="L14" i="22"/>
  <c r="K14" i="22"/>
  <c r="EZ13" i="22"/>
  <c r="AK13" i="22"/>
  <c r="AJ13" i="22"/>
  <c r="AI13" i="22"/>
  <c r="AH13" i="22"/>
  <c r="AG13" i="22"/>
  <c r="AF13" i="22"/>
  <c r="AE13" i="22"/>
  <c r="AD13" i="22"/>
  <c r="AC13" i="22"/>
  <c r="AB13" i="22"/>
  <c r="AA13" i="22"/>
  <c r="Z13" i="22"/>
  <c r="Y13" i="22"/>
  <c r="L13" i="22"/>
  <c r="K13" i="22"/>
  <c r="EZ12" i="22"/>
  <c r="AK12" i="22"/>
  <c r="AJ12" i="22"/>
  <c r="AI12" i="22"/>
  <c r="AH12" i="22"/>
  <c r="AG12" i="22"/>
  <c r="AF12" i="22"/>
  <c r="AE12" i="22"/>
  <c r="AD12" i="22"/>
  <c r="AC12" i="22"/>
  <c r="AB12" i="22"/>
  <c r="AA12" i="22"/>
  <c r="Z12" i="22"/>
  <c r="Y12" i="22"/>
  <c r="L12" i="22"/>
  <c r="K12" i="22"/>
  <c r="AK11" i="22"/>
  <c r="AJ11" i="22"/>
  <c r="AI11" i="22"/>
  <c r="AH11" i="22"/>
  <c r="AG11" i="22"/>
  <c r="AF11" i="22"/>
  <c r="AE11" i="22"/>
  <c r="AD11" i="22"/>
  <c r="AC11" i="22"/>
  <c r="AB11" i="22"/>
  <c r="AA11" i="22"/>
  <c r="Z11" i="22"/>
  <c r="Y11" i="22"/>
  <c r="L11" i="22"/>
  <c r="K11" i="22"/>
  <c r="EZ10" i="22"/>
  <c r="EU10" i="22"/>
  <c r="ET10" i="22"/>
  <c r="ES10" i="22"/>
  <c r="ER10" i="22"/>
  <c r="EQ10" i="22"/>
  <c r="EP10" i="22"/>
  <c r="EO10" i="22"/>
  <c r="EN10" i="22"/>
  <c r="EM10" i="22"/>
  <c r="EL10" i="22"/>
  <c r="EK10" i="22"/>
  <c r="EJ10" i="22"/>
  <c r="EI10" i="22"/>
  <c r="AK10" i="22"/>
  <c r="AJ10" i="22"/>
  <c r="AI10" i="22"/>
  <c r="AH10" i="22"/>
  <c r="AG10" i="22"/>
  <c r="AF10" i="22"/>
  <c r="AE10" i="22"/>
  <c r="AD10" i="22"/>
  <c r="AC10" i="22"/>
  <c r="AB10" i="22"/>
  <c r="AA10" i="22"/>
  <c r="Z10" i="22"/>
  <c r="Y10" i="22"/>
  <c r="L10" i="22"/>
  <c r="K10" i="22" s="1"/>
  <c r="EU9" i="22"/>
  <c r="ET9" i="22"/>
  <c r="ES9" i="22"/>
  <c r="L9" i="22"/>
  <c r="K9" i="22"/>
  <c r="EZ8" i="22"/>
  <c r="CC8" i="22"/>
  <c r="CB8" i="22"/>
  <c r="BZ8" i="22"/>
  <c r="BL8" i="22" s="1"/>
  <c r="BY8" i="22"/>
  <c r="BK8" i="22" s="1"/>
  <c r="AY6" i="22"/>
  <c r="AX6" i="22"/>
  <c r="AW6" i="22"/>
  <c r="AI6" i="22" s="1"/>
  <c r="AV6" i="22"/>
  <c r="AU6" i="22"/>
  <c r="AU9" i="22" s="1"/>
  <c r="AT6" i="22"/>
  <c r="AT9" i="22" s="1"/>
  <c r="AS6" i="22"/>
  <c r="AR6" i="22"/>
  <c r="AD6" i="22" s="1"/>
  <c r="AQ6" i="22"/>
  <c r="AQ9" i="22" s="1"/>
  <c r="AP6" i="22"/>
  <c r="AP9" i="22" s="1"/>
  <c r="AO6" i="22"/>
  <c r="AN6" i="22"/>
  <c r="AN9" i="22" s="1"/>
  <c r="AM6" i="22"/>
  <c r="AM9" i="22" s="1"/>
  <c r="AK6" i="22"/>
  <c r="AH6" i="22"/>
  <c r="AE6" i="22"/>
  <c r="AC6" i="22"/>
  <c r="AA6" i="22"/>
  <c r="Z6" i="22"/>
  <c r="AW5" i="22"/>
  <c r="AM5" i="22"/>
  <c r="BO3" i="22"/>
  <c r="BS14" i="22" s="1"/>
  <c r="BE14" i="22" s="1"/>
  <c r="P3" i="22"/>
  <c r="J14" i="3"/>
  <c r="J13" i="3"/>
  <c r="J12" i="3"/>
  <c r="J11" i="3"/>
  <c r="J10" i="3"/>
  <c r="J9" i="3"/>
  <c r="J8" i="3"/>
  <c r="Q7" i="3"/>
  <c r="C5" i="3" s="1"/>
  <c r="J95" i="15" s="1"/>
  <c r="J7" i="3"/>
  <c r="J6" i="3"/>
  <c r="J5" i="3"/>
  <c r="D11" i="7"/>
  <c r="L66" i="4" s="1"/>
  <c r="D10" i="7"/>
  <c r="L70" i="4" s="1"/>
  <c r="D9" i="7"/>
  <c r="D8" i="7"/>
  <c r="B70" i="4" s="1"/>
  <c r="D7" i="7"/>
  <c r="L68" i="4" s="1"/>
  <c r="D6" i="7"/>
  <c r="H68" i="4" s="1"/>
  <c r="D5" i="7"/>
  <c r="B68" i="4" s="1"/>
  <c r="F1" i="7"/>
  <c r="AB186" i="23"/>
  <c r="AB145" i="23"/>
  <c r="AB144" i="23"/>
  <c r="AB134" i="23"/>
  <c r="AF133" i="23"/>
  <c r="AG133" i="23" s="1"/>
  <c r="AD122" i="23"/>
  <c r="AF122" i="23" s="1"/>
  <c r="AG122" i="23" s="1"/>
  <c r="AB121" i="23"/>
  <c r="AF110" i="23"/>
  <c r="AG110" i="23" s="1"/>
  <c r="AF87" i="23"/>
  <c r="AG87" i="23" s="1"/>
  <c r="X4" i="23"/>
  <c r="W4" i="23"/>
  <c r="V4" i="23"/>
  <c r="T4" i="23"/>
  <c r="S4" i="23"/>
  <c r="R4" i="23"/>
  <c r="Q4" i="23"/>
  <c r="K1" i="23"/>
  <c r="L53" i="4"/>
  <c r="H53" i="4"/>
  <c r="C53" i="4"/>
  <c r="AA43" i="4"/>
  <c r="AA42" i="4"/>
  <c r="L42" i="4"/>
  <c r="H42" i="4"/>
  <c r="AA41" i="4"/>
  <c r="U36" i="4"/>
  <c r="Z34" i="4"/>
  <c r="Z33" i="4"/>
  <c r="U29" i="4"/>
  <c r="U34" i="4" s="1"/>
  <c r="AL24" i="4"/>
  <c r="J17" i="4"/>
  <c r="J16" i="4"/>
  <c r="E16" i="4"/>
  <c r="J15" i="4"/>
  <c r="E15" i="4"/>
  <c r="D14" i="4"/>
  <c r="J13" i="4"/>
  <c r="F13" i="4"/>
  <c r="D13" i="4"/>
  <c r="J11" i="4"/>
  <c r="D11" i="4"/>
  <c r="J10" i="4"/>
  <c r="D10" i="4"/>
  <c r="J9" i="4"/>
  <c r="D9" i="4"/>
  <c r="J8" i="4"/>
  <c r="D8" i="4"/>
  <c r="N5" i="4"/>
  <c r="L70" i="24"/>
  <c r="L69" i="24"/>
  <c r="H69" i="24"/>
  <c r="B69" i="24"/>
  <c r="L68" i="24"/>
  <c r="H68" i="24"/>
  <c r="L67" i="24"/>
  <c r="H67" i="24"/>
  <c r="B67" i="24"/>
  <c r="L66" i="24"/>
  <c r="B66" i="24"/>
  <c r="L53" i="24"/>
  <c r="H53" i="24"/>
  <c r="C53" i="24"/>
  <c r="AA43" i="24"/>
  <c r="AA42" i="24"/>
  <c r="L42" i="24"/>
  <c r="H42" i="24"/>
  <c r="AA41" i="24"/>
  <c r="H37" i="24"/>
  <c r="Z34" i="24"/>
  <c r="Z33" i="24"/>
  <c r="U29" i="24"/>
  <c r="U34" i="24" s="1"/>
  <c r="J17" i="24"/>
  <c r="J16" i="24"/>
  <c r="E16" i="24"/>
  <c r="J15" i="24"/>
  <c r="E15" i="24"/>
  <c r="D14" i="24"/>
  <c r="J13" i="24"/>
  <c r="F13" i="24"/>
  <c r="K11" i="24"/>
  <c r="J11" i="24"/>
  <c r="D11" i="24"/>
  <c r="J10" i="24"/>
  <c r="D10" i="24"/>
  <c r="J9" i="24"/>
  <c r="D9" i="24"/>
  <c r="J8" i="24"/>
  <c r="D8" i="24"/>
  <c r="N5" i="24"/>
  <c r="R68" i="2"/>
  <c r="R67" i="2"/>
  <c r="L67" i="2"/>
  <c r="K63" i="8" s="1"/>
  <c r="R65" i="2"/>
  <c r="H102" i="20" s="1"/>
  <c r="J65" i="2"/>
  <c r="R64" i="2"/>
  <c r="J64" i="2"/>
  <c r="R63" i="2"/>
  <c r="G139" i="15" s="1"/>
  <c r="H139" i="15" s="1"/>
  <c r="J100" i="20" s="1"/>
  <c r="J63" i="2"/>
  <c r="R62" i="2"/>
  <c r="R61" i="2"/>
  <c r="R60" i="2"/>
  <c r="G136" i="15" s="1"/>
  <c r="H136" i="15" s="1"/>
  <c r="J97" i="20" s="1"/>
  <c r="U4" i="23"/>
  <c r="J59" i="2"/>
  <c r="R58" i="2"/>
  <c r="R57" i="2"/>
  <c r="G133" i="15" s="1"/>
  <c r="H133" i="15" s="1"/>
  <c r="J94" i="20" s="1"/>
  <c r="R55" i="2"/>
  <c r="G131" i="15" s="1"/>
  <c r="H131" i="15" s="1"/>
  <c r="J92" i="20" s="1"/>
  <c r="J55" i="2"/>
  <c r="R54" i="2"/>
  <c r="R53" i="2"/>
  <c r="R52" i="2"/>
  <c r="R51" i="2"/>
  <c r="R50" i="2"/>
  <c r="J50" i="2"/>
  <c r="R49" i="2"/>
  <c r="G125" i="15" s="1"/>
  <c r="H125" i="15" s="1"/>
  <c r="J86" i="20" s="1"/>
  <c r="R48" i="2"/>
  <c r="R47" i="2"/>
  <c r="J47" i="2"/>
  <c r="I152" i="15"/>
  <c r="J3" i="2"/>
  <c r="H70" i="24" l="1"/>
  <c r="H70" i="4"/>
  <c r="M166" i="8"/>
  <c r="M167" i="8"/>
  <c r="M163" i="8"/>
  <c r="M164" i="8"/>
  <c r="M165" i="8"/>
  <c r="W159" i="5"/>
  <c r="K159" i="18" s="1"/>
  <c r="K110" i="10"/>
  <c r="O111" i="10"/>
  <c r="B68" i="24"/>
  <c r="K87" i="18"/>
  <c r="K88" i="18"/>
  <c r="T130" i="5"/>
  <c r="AB130" i="5"/>
  <c r="S130" i="5" s="1"/>
  <c r="T131" i="5"/>
  <c r="AB131" i="5"/>
  <c r="S131" i="5" s="1"/>
  <c r="Z208" i="23"/>
  <c r="Z209" i="23"/>
  <c r="Z205" i="23"/>
  <c r="Z198" i="23"/>
  <c r="Z99" i="23"/>
  <c r="AI99" i="23" s="1"/>
  <c r="Z91" i="23"/>
  <c r="AI91" i="23" s="1"/>
  <c r="Z154" i="23"/>
  <c r="AI154" i="23" s="1"/>
  <c r="Z114" i="23"/>
  <c r="AI114" i="23" s="1"/>
  <c r="Z195" i="23"/>
  <c r="AI195" i="23" s="1"/>
  <c r="Z186" i="23"/>
  <c r="AI186" i="23" s="1"/>
  <c r="Z24" i="23"/>
  <c r="Z46" i="23"/>
  <c r="AI46" i="23" s="1"/>
  <c r="Z22" i="23"/>
  <c r="AI22" i="23" s="1"/>
  <c r="Z100" i="23"/>
  <c r="AI100" i="23" s="1"/>
  <c r="Z147" i="23"/>
  <c r="AI147" i="23" s="1"/>
  <c r="Z122" i="23"/>
  <c r="AI122" i="23" s="1"/>
  <c r="G197" i="13"/>
  <c r="F189" i="13" s="1"/>
  <c r="N51" i="14"/>
  <c r="M51" i="14"/>
  <c r="G360" i="5"/>
  <c r="K557" i="5"/>
  <c r="G266" i="5"/>
  <c r="G140" i="9"/>
  <c r="F132" i="9" s="1"/>
  <c r="G350" i="5"/>
  <c r="H287" i="5"/>
  <c r="G287" i="5"/>
  <c r="H263" i="5"/>
  <c r="M288" i="9"/>
  <c r="M308" i="9"/>
  <c r="O308" i="9" s="1"/>
  <c r="G286" i="5"/>
  <c r="H28" i="4"/>
  <c r="H37" i="4"/>
  <c r="N109" i="10"/>
  <c r="I111" i="10"/>
  <c r="H111" i="10" s="1"/>
  <c r="N130" i="10" s="1"/>
  <c r="F140" i="6"/>
  <c r="F141" i="6"/>
  <c r="P54" i="18"/>
  <c r="B54" i="18" s="1"/>
  <c r="B245" i="5" s="1"/>
  <c r="B435" i="5" s="1"/>
  <c r="W142" i="18"/>
  <c r="AE142" i="18"/>
  <c r="W143" i="18"/>
  <c r="AE143" i="18"/>
  <c r="AD142" i="18"/>
  <c r="P142" i="18"/>
  <c r="B142" i="18" s="1"/>
  <c r="B333" i="5" s="1"/>
  <c r="X142" i="18"/>
  <c r="P143" i="18"/>
  <c r="B143" i="18" s="1"/>
  <c r="B334" i="5" s="1"/>
  <c r="X143" i="18"/>
  <c r="Q142" i="18"/>
  <c r="Y142" i="18"/>
  <c r="Q143" i="18"/>
  <c r="Y143" i="18"/>
  <c r="R142" i="18"/>
  <c r="C142" i="18" s="1"/>
  <c r="Z142" i="18"/>
  <c r="R143" i="18"/>
  <c r="C143" i="18" s="1"/>
  <c r="Z143" i="18"/>
  <c r="S142" i="18"/>
  <c r="AA142" i="18"/>
  <c r="S143" i="18"/>
  <c r="AA143" i="18"/>
  <c r="T142" i="18"/>
  <c r="AB142" i="18"/>
  <c r="T143" i="18"/>
  <c r="AB143" i="18"/>
  <c r="V142" i="18"/>
  <c r="U142" i="18"/>
  <c r="AC142" i="18"/>
  <c r="U143" i="18"/>
  <c r="AC143" i="18"/>
  <c r="V143" i="18"/>
  <c r="AD143" i="18"/>
  <c r="J51" i="14"/>
  <c r="L51" i="14"/>
  <c r="O53" i="14"/>
  <c r="J15" i="3"/>
  <c r="D17" i="3" s="1"/>
  <c r="Y18" i="20"/>
  <c r="N3" i="23"/>
  <c r="F192" i="11"/>
  <c r="F191" i="11"/>
  <c r="F175" i="11"/>
  <c r="F189" i="11"/>
  <c r="F173" i="11"/>
  <c r="F188" i="11"/>
  <c r="F172" i="11"/>
  <c r="F176" i="11"/>
  <c r="F190" i="11"/>
  <c r="F174" i="11"/>
  <c r="U7" i="6"/>
  <c r="I51" i="6"/>
  <c r="H38" i="6"/>
  <c r="O14" i="6"/>
  <c r="O11" i="6"/>
  <c r="O12" i="6"/>
  <c r="I155" i="15"/>
  <c r="I171" i="15"/>
  <c r="I164" i="15"/>
  <c r="I175" i="15"/>
  <c r="I172" i="15"/>
  <c r="I159" i="15"/>
  <c r="I156" i="15"/>
  <c r="I167" i="15"/>
  <c r="I163" i="15"/>
  <c r="I162" i="15"/>
  <c r="I158" i="15"/>
  <c r="I161" i="15"/>
  <c r="I166" i="15"/>
  <c r="I153" i="15"/>
  <c r="I176" i="15"/>
  <c r="I168" i="15"/>
  <c r="I173" i="15"/>
  <c r="I160" i="15"/>
  <c r="I157" i="15"/>
  <c r="I169" i="15"/>
  <c r="I154" i="15"/>
  <c r="I170" i="15"/>
  <c r="I165" i="15"/>
  <c r="I174" i="15"/>
  <c r="I178" i="15"/>
  <c r="F223" i="14"/>
  <c r="W192" i="5"/>
  <c r="K192" i="18" s="1"/>
  <c r="G263" i="5"/>
  <c r="X9" i="18"/>
  <c r="AD14" i="18"/>
  <c r="G267" i="5"/>
  <c r="G285" i="5"/>
  <c r="G345" i="5"/>
  <c r="AD15" i="18"/>
  <c r="K494" i="5"/>
  <c r="AG6" i="22"/>
  <c r="K383" i="8"/>
  <c r="J110" i="10"/>
  <c r="V11" i="18"/>
  <c r="AB10" i="18"/>
  <c r="V12" i="18"/>
  <c r="B70" i="24"/>
  <c r="Y6" i="22"/>
  <c r="M110" i="10"/>
  <c r="M109" i="10" s="1"/>
  <c r="I109" i="10" s="1"/>
  <c r="U17" i="18"/>
  <c r="Q13" i="18"/>
  <c r="Y16" i="18"/>
  <c r="G58" i="11"/>
  <c r="G315" i="5" s="1"/>
  <c r="N64" i="2"/>
  <c r="F32" i="6" s="1"/>
  <c r="N65" i="2"/>
  <c r="O65" i="2" s="1"/>
  <c r="N63" i="2"/>
  <c r="O63" i="2" s="1"/>
  <c r="Y4" i="23"/>
  <c r="Z210" i="23" s="1"/>
  <c r="L25" i="11"/>
  <c r="L23" i="11"/>
  <c r="F152" i="13"/>
  <c r="W165" i="5"/>
  <c r="K165" i="18" s="1"/>
  <c r="F344" i="9"/>
  <c r="F345" i="9"/>
  <c r="W98" i="5"/>
  <c r="K98" i="18" s="1"/>
  <c r="G289" i="5"/>
  <c r="O288" i="9"/>
  <c r="AC9" i="18"/>
  <c r="Z11" i="18"/>
  <c r="U13" i="18"/>
  <c r="R15" i="18"/>
  <c r="C15" i="18" s="1"/>
  <c r="O58" i="14"/>
  <c r="T578" i="5" s="1"/>
  <c r="AD11" i="18"/>
  <c r="Y13" i="18"/>
  <c r="V15" i="18"/>
  <c r="Q16" i="18"/>
  <c r="DA22" i="18"/>
  <c r="R12" i="18"/>
  <c r="C12" i="18" s="1"/>
  <c r="AC13" i="18"/>
  <c r="Z15" i="18"/>
  <c r="U16" i="18"/>
  <c r="Q17" i="18"/>
  <c r="AB5" i="20"/>
  <c r="EZ22" i="22"/>
  <c r="EI25" i="22"/>
  <c r="EZ56" i="22"/>
  <c r="I52" i="14"/>
  <c r="H52" i="14" s="1"/>
  <c r="N73" i="14" s="1"/>
  <c r="P10" i="18"/>
  <c r="B10" i="18" s="1"/>
  <c r="B201" i="5" s="1"/>
  <c r="B391" i="5" s="1"/>
  <c r="Z12" i="18"/>
  <c r="R14" i="18"/>
  <c r="C14" i="18" s="1"/>
  <c r="AC16" i="18"/>
  <c r="Y17" i="18"/>
  <c r="P18" i="18"/>
  <c r="B18" i="18" s="1"/>
  <c r="B209" i="5" s="1"/>
  <c r="B399" i="5" s="1"/>
  <c r="EZ24" i="22"/>
  <c r="J112" i="10"/>
  <c r="I112" i="10" s="1"/>
  <c r="H112" i="10" s="1"/>
  <c r="N134" i="10" s="1"/>
  <c r="P9" i="18"/>
  <c r="B9" i="18" s="1"/>
  <c r="B200" i="5" s="1"/>
  <c r="B390" i="5" s="1"/>
  <c r="T10" i="18"/>
  <c r="AD12" i="18"/>
  <c r="V14" i="18"/>
  <c r="AC17" i="18"/>
  <c r="X72" i="5"/>
  <c r="L72" i="18" s="1"/>
  <c r="T9" i="18"/>
  <c r="X10" i="18"/>
  <c r="R11" i="18"/>
  <c r="C11" i="18" s="1"/>
  <c r="Z14" i="18"/>
  <c r="L64" i="2"/>
  <c r="G140" i="15"/>
  <c r="H140" i="15" s="1"/>
  <c r="J101" i="20" s="1"/>
  <c r="H101" i="20"/>
  <c r="W29" i="24"/>
  <c r="W29" i="4"/>
  <c r="R3" i="18"/>
  <c r="AA3" i="5"/>
  <c r="G129" i="15"/>
  <c r="H129" i="15" s="1"/>
  <c r="J90" i="20" s="1"/>
  <c r="H90" i="20"/>
  <c r="X29" i="24"/>
  <c r="U32" i="24"/>
  <c r="U33" i="24"/>
  <c r="X29" i="4"/>
  <c r="U32" i="4"/>
  <c r="U33" i="4"/>
  <c r="AM172" i="22"/>
  <c r="Y172" i="22" s="1"/>
  <c r="AM145" i="22"/>
  <c r="Y145" i="22" s="1"/>
  <c r="AM122" i="22"/>
  <c r="Y122" i="22" s="1"/>
  <c r="AM112" i="22"/>
  <c r="Y112" i="22" s="1"/>
  <c r="AM62" i="22"/>
  <c r="Y62" i="22" s="1"/>
  <c r="AQ172" i="22"/>
  <c r="AC172" i="22" s="1"/>
  <c r="AQ145" i="22"/>
  <c r="AC145" i="22" s="1"/>
  <c r="AQ122" i="22"/>
  <c r="AC122" i="22" s="1"/>
  <c r="AQ112" i="22"/>
  <c r="AC112" i="22" s="1"/>
  <c r="AQ62" i="22"/>
  <c r="AC62" i="22" s="1"/>
  <c r="AU172" i="22"/>
  <c r="AG172" i="22" s="1"/>
  <c r="AU145" i="22"/>
  <c r="AG145" i="22" s="1"/>
  <c r="AU122" i="22"/>
  <c r="AG122" i="22" s="1"/>
  <c r="AU112" i="22"/>
  <c r="AG112" i="22" s="1"/>
  <c r="AU62" i="22"/>
  <c r="AG62" i="22" s="1"/>
  <c r="AY172" i="22"/>
  <c r="AK172" i="22" s="1"/>
  <c r="AY145" i="22"/>
  <c r="AK145" i="22" s="1"/>
  <c r="AY122" i="22"/>
  <c r="AK122" i="22" s="1"/>
  <c r="AY112" i="22"/>
  <c r="AK112" i="22" s="1"/>
  <c r="AY62" i="22"/>
  <c r="AK62" i="22" s="1"/>
  <c r="AY9" i="22"/>
  <c r="BO9" i="22"/>
  <c r="B9" i="22" s="1"/>
  <c r="BT9" i="22"/>
  <c r="BF9" i="22" s="1"/>
  <c r="BY9" i="22"/>
  <c r="BK9" i="22" s="1"/>
  <c r="BQ10" i="22"/>
  <c r="C10" i="22" s="1"/>
  <c r="BV10" i="22"/>
  <c r="BH10" i="22" s="1"/>
  <c r="CA10" i="22"/>
  <c r="BM10" i="22" s="1"/>
  <c r="BR11" i="22"/>
  <c r="BD11" i="22" s="1"/>
  <c r="BX11" i="22"/>
  <c r="BJ11" i="22" s="1"/>
  <c r="CC11" i="22"/>
  <c r="BQ12" i="22"/>
  <c r="C12" i="22" s="1"/>
  <c r="BY12" i="22"/>
  <c r="BK12" i="22" s="1"/>
  <c r="BU13" i="22"/>
  <c r="BG13" i="22" s="1"/>
  <c r="CC13" i="22"/>
  <c r="BO14" i="22"/>
  <c r="B14" i="22" s="1"/>
  <c r="G123" i="15"/>
  <c r="H123" i="15" s="1"/>
  <c r="J84" i="20" s="1"/>
  <c r="H84" i="20"/>
  <c r="G126" i="15"/>
  <c r="H126" i="15" s="1"/>
  <c r="J87" i="20" s="1"/>
  <c r="H87" i="20"/>
  <c r="G130" i="15"/>
  <c r="H130" i="15" s="1"/>
  <c r="J91" i="20" s="1"/>
  <c r="H91" i="20"/>
  <c r="G134" i="15"/>
  <c r="H134" i="15" s="1"/>
  <c r="J95" i="20" s="1"/>
  <c r="H95" i="20"/>
  <c r="G137" i="15"/>
  <c r="H137" i="15" s="1"/>
  <c r="J98" i="20" s="1"/>
  <c r="H98" i="20"/>
  <c r="Y29" i="24"/>
  <c r="Y29" i="4"/>
  <c r="AN172" i="22"/>
  <c r="Z172" i="22" s="1"/>
  <c r="AN145" i="22"/>
  <c r="Z145" i="22" s="1"/>
  <c r="AN122" i="22"/>
  <c r="Z122" i="22" s="1"/>
  <c r="AN112" i="22"/>
  <c r="Z112" i="22" s="1"/>
  <c r="AN62" i="22"/>
  <c r="Z62" i="22" s="1"/>
  <c r="AR172" i="22"/>
  <c r="AD172" i="22" s="1"/>
  <c r="AR145" i="22"/>
  <c r="AD145" i="22" s="1"/>
  <c r="AR122" i="22"/>
  <c r="AD122" i="22" s="1"/>
  <c r="AR112" i="22"/>
  <c r="AD112" i="22" s="1"/>
  <c r="AR62" i="22"/>
  <c r="AD62" i="22" s="1"/>
  <c r="AV172" i="22"/>
  <c r="AH172" i="22" s="1"/>
  <c r="AV145" i="22"/>
  <c r="AH145" i="22" s="1"/>
  <c r="AV122" i="22"/>
  <c r="AH122" i="22" s="1"/>
  <c r="AV112" i="22"/>
  <c r="AH112" i="22" s="1"/>
  <c r="AV62" i="22"/>
  <c r="AH62" i="22" s="1"/>
  <c r="BP9" i="22"/>
  <c r="BU9" i="22"/>
  <c r="BG9" i="22" s="1"/>
  <c r="CA9" i="22"/>
  <c r="BM9" i="22" s="1"/>
  <c r="BR10" i="22"/>
  <c r="BD10" i="22" s="1"/>
  <c r="BW10" i="22"/>
  <c r="BI10" i="22" s="1"/>
  <c r="CC10" i="22"/>
  <c r="BT11" i="22"/>
  <c r="BF11" i="22" s="1"/>
  <c r="BY11" i="22"/>
  <c r="BK11" i="22" s="1"/>
  <c r="CD11" i="22"/>
  <c r="BS12" i="22"/>
  <c r="BE12" i="22" s="1"/>
  <c r="CA12" i="22"/>
  <c r="BM12" i="22" s="1"/>
  <c r="BO13" i="22"/>
  <c r="B13" i="22" s="1"/>
  <c r="BW13" i="22"/>
  <c r="BI13" i="22" s="1"/>
  <c r="G138" i="15"/>
  <c r="H138" i="15" s="1"/>
  <c r="J99" i="20" s="1"/>
  <c r="H99" i="20"/>
  <c r="V29" i="24"/>
  <c r="U31" i="24"/>
  <c r="V29" i="4"/>
  <c r="U31" i="4"/>
  <c r="CD194" i="22"/>
  <c r="BZ194" i="22"/>
  <c r="BL194" i="22" s="1"/>
  <c r="BV194" i="22"/>
  <c r="BH194" i="22" s="1"/>
  <c r="BR194" i="22"/>
  <c r="BD194" i="22" s="1"/>
  <c r="CD193" i="22"/>
  <c r="BZ193" i="22"/>
  <c r="BL193" i="22" s="1"/>
  <c r="BV193" i="22"/>
  <c r="BH193" i="22" s="1"/>
  <c r="BR193" i="22"/>
  <c r="BD193" i="22" s="1"/>
  <c r="CD192" i="22"/>
  <c r="BZ192" i="22"/>
  <c r="BL192" i="22" s="1"/>
  <c r="BV192" i="22"/>
  <c r="BH192" i="22" s="1"/>
  <c r="BR192" i="22"/>
  <c r="BD192" i="22" s="1"/>
  <c r="CD191" i="22"/>
  <c r="BZ191" i="22"/>
  <c r="BL191" i="22" s="1"/>
  <c r="BV191" i="22"/>
  <c r="BH191" i="22" s="1"/>
  <c r="BR191" i="22"/>
  <c r="BD191" i="22" s="1"/>
  <c r="CA190" i="22"/>
  <c r="BM190" i="22" s="1"/>
  <c r="BW190" i="22"/>
  <c r="BI190" i="22" s="1"/>
  <c r="BS190" i="22"/>
  <c r="BE190" i="22" s="1"/>
  <c r="BO190" i="22"/>
  <c r="B190" i="22" s="1"/>
  <c r="CA189" i="22"/>
  <c r="BM189" i="22" s="1"/>
  <c r="BW189" i="22"/>
  <c r="BI189" i="22" s="1"/>
  <c r="BS189" i="22"/>
  <c r="BE189" i="22" s="1"/>
  <c r="BO189" i="22"/>
  <c r="B189" i="22" s="1"/>
  <c r="CA188" i="22"/>
  <c r="BM188" i="22" s="1"/>
  <c r="BW188" i="22"/>
  <c r="BI188" i="22" s="1"/>
  <c r="BS188" i="22"/>
  <c r="BE188" i="22" s="1"/>
  <c r="BO188" i="22"/>
  <c r="B188" i="22" s="1"/>
  <c r="CA187" i="22"/>
  <c r="BM187" i="22" s="1"/>
  <c r="BW187" i="22"/>
  <c r="BI187" i="22" s="1"/>
  <c r="BS187" i="22"/>
  <c r="BE187" i="22" s="1"/>
  <c r="BO187" i="22"/>
  <c r="B187" i="22" s="1"/>
  <c r="CA186" i="22"/>
  <c r="BM186" i="22" s="1"/>
  <c r="BW186" i="22"/>
  <c r="BI186" i="22" s="1"/>
  <c r="BS186" i="22"/>
  <c r="BE186" i="22" s="1"/>
  <c r="BO186" i="22"/>
  <c r="B186" i="22" s="1"/>
  <c r="CA185" i="22"/>
  <c r="BM185" i="22" s="1"/>
  <c r="BW185" i="22"/>
  <c r="BI185" i="22" s="1"/>
  <c r="BS185" i="22"/>
  <c r="BE185" i="22" s="1"/>
  <c r="BO185" i="22"/>
  <c r="B185" i="22" s="1"/>
  <c r="CA184" i="22"/>
  <c r="BM184" i="22" s="1"/>
  <c r="BW184" i="22"/>
  <c r="BI184" i="22" s="1"/>
  <c r="BS184" i="22"/>
  <c r="BE184" i="22" s="1"/>
  <c r="BO184" i="22"/>
  <c r="B184" i="22" s="1"/>
  <c r="CA183" i="22"/>
  <c r="BM183" i="22" s="1"/>
  <c r="BW183" i="22"/>
  <c r="BI183" i="22" s="1"/>
  <c r="BS183" i="22"/>
  <c r="BE183" i="22" s="1"/>
  <c r="BO183" i="22"/>
  <c r="B183" i="22" s="1"/>
  <c r="CD182" i="22"/>
  <c r="BZ182" i="22"/>
  <c r="BL182" i="22" s="1"/>
  <c r="BV182" i="22"/>
  <c r="BH182" i="22" s="1"/>
  <c r="BR182" i="22"/>
  <c r="BD182" i="22" s="1"/>
  <c r="CD181" i="22"/>
  <c r="BZ181" i="22"/>
  <c r="BL181" i="22" s="1"/>
  <c r="BV181" i="22"/>
  <c r="BH181" i="22" s="1"/>
  <c r="BR181" i="22"/>
  <c r="BD181" i="22" s="1"/>
  <c r="CD180" i="22"/>
  <c r="BZ180" i="22"/>
  <c r="BL180" i="22" s="1"/>
  <c r="BV180" i="22"/>
  <c r="BH180" i="22" s="1"/>
  <c r="BR180" i="22"/>
  <c r="BD180" i="22" s="1"/>
  <c r="CD179" i="22"/>
  <c r="BZ179" i="22"/>
  <c r="BL179" i="22" s="1"/>
  <c r="BV179" i="22"/>
  <c r="BH179" i="22" s="1"/>
  <c r="BR179" i="22"/>
  <c r="BD179" i="22" s="1"/>
  <c r="CD178" i="22"/>
  <c r="BZ178" i="22"/>
  <c r="BL178" i="22" s="1"/>
  <c r="BV178" i="22"/>
  <c r="BH178" i="22" s="1"/>
  <c r="BR178" i="22"/>
  <c r="BD178" i="22" s="1"/>
  <c r="CD177" i="22"/>
  <c r="BZ177" i="22"/>
  <c r="BL177" i="22" s="1"/>
  <c r="BV177" i="22"/>
  <c r="BH177" i="22" s="1"/>
  <c r="BR177" i="22"/>
  <c r="BD177" i="22" s="1"/>
  <c r="CD176" i="22"/>
  <c r="BZ176" i="22"/>
  <c r="BL176" i="22" s="1"/>
  <c r="BV176" i="22"/>
  <c r="BH176" i="22" s="1"/>
  <c r="BR176" i="22"/>
  <c r="BD176" i="22" s="1"/>
  <c r="CD175" i="22"/>
  <c r="BZ175" i="22"/>
  <c r="BL175" i="22" s="1"/>
  <c r="BV175" i="22"/>
  <c r="BH175" i="22" s="1"/>
  <c r="BR175" i="22"/>
  <c r="BD175" i="22" s="1"/>
  <c r="CD174" i="22"/>
  <c r="BZ174" i="22"/>
  <c r="BL174" i="22" s="1"/>
  <c r="BV174" i="22"/>
  <c r="BH174" i="22" s="1"/>
  <c r="BR174" i="22"/>
  <c r="BD174" i="22" s="1"/>
  <c r="CD173" i="22"/>
  <c r="BZ173" i="22"/>
  <c r="BL173" i="22" s="1"/>
  <c r="BV173" i="22"/>
  <c r="BH173" i="22" s="1"/>
  <c r="BR173" i="22"/>
  <c r="BD173" i="22" s="1"/>
  <c r="CD172" i="22"/>
  <c r="BZ172" i="22"/>
  <c r="BL172" i="22" s="1"/>
  <c r="BV172" i="22"/>
  <c r="BH172" i="22" s="1"/>
  <c r="BR172" i="22"/>
  <c r="BD172" i="22" s="1"/>
  <c r="CA171" i="22"/>
  <c r="BM171" i="22" s="1"/>
  <c r="BW171" i="22"/>
  <c r="BI171" i="22" s="1"/>
  <c r="BS171" i="22"/>
  <c r="BE171" i="22" s="1"/>
  <c r="BO171" i="22"/>
  <c r="B171" i="22" s="1"/>
  <c r="CA170" i="22"/>
  <c r="BM170" i="22" s="1"/>
  <c r="BW170" i="22"/>
  <c r="BI170" i="22" s="1"/>
  <c r="BS170" i="22"/>
  <c r="BE170" i="22" s="1"/>
  <c r="BO170" i="22"/>
  <c r="B170" i="22" s="1"/>
  <c r="CA169" i="22"/>
  <c r="BM169" i="22" s="1"/>
  <c r="BW169" i="22"/>
  <c r="BI169" i="22" s="1"/>
  <c r="BS169" i="22"/>
  <c r="BE169" i="22" s="1"/>
  <c r="BO169" i="22"/>
  <c r="B169" i="22" s="1"/>
  <c r="CA168" i="22"/>
  <c r="BM168" i="22" s="1"/>
  <c r="BW168" i="22"/>
  <c r="BI168" i="22" s="1"/>
  <c r="BS168" i="22"/>
  <c r="BE168" i="22" s="1"/>
  <c r="BO168" i="22"/>
  <c r="B168" i="22" s="1"/>
  <c r="CA167" i="22"/>
  <c r="BM167" i="22" s="1"/>
  <c r="BW167" i="22"/>
  <c r="BI167" i="22" s="1"/>
  <c r="BS167" i="22"/>
  <c r="BE167" i="22" s="1"/>
  <c r="BO167" i="22"/>
  <c r="B167" i="22" s="1"/>
  <c r="CD166" i="22"/>
  <c r="BZ166" i="22"/>
  <c r="BL166" i="22" s="1"/>
  <c r="BV166" i="22"/>
  <c r="BH166" i="22" s="1"/>
  <c r="BR166" i="22"/>
  <c r="BD166" i="22" s="1"/>
  <c r="CC165" i="22"/>
  <c r="BY165" i="22"/>
  <c r="BK165" i="22" s="1"/>
  <c r="BU165" i="22"/>
  <c r="BG165" i="22" s="1"/>
  <c r="BQ165" i="22"/>
  <c r="C165" i="22" s="1"/>
  <c r="CA164" i="22"/>
  <c r="BM164" i="22" s="1"/>
  <c r="BW164" i="22"/>
  <c r="BI164" i="22" s="1"/>
  <c r="BS164" i="22"/>
  <c r="BE164" i="22" s="1"/>
  <c r="BO164" i="22"/>
  <c r="CC163" i="22"/>
  <c r="BY163" i="22"/>
  <c r="BK163" i="22" s="1"/>
  <c r="BU163" i="22"/>
  <c r="BG163" i="22" s="1"/>
  <c r="BQ163" i="22"/>
  <c r="C163" i="22" s="1"/>
  <c r="CA162" i="22"/>
  <c r="BM162" i="22" s="1"/>
  <c r="BW162" i="22"/>
  <c r="BI162" i="22" s="1"/>
  <c r="BS162" i="22"/>
  <c r="BE162" i="22" s="1"/>
  <c r="BO162" i="22"/>
  <c r="CC161" i="22"/>
  <c r="BY161" i="22"/>
  <c r="BK161" i="22" s="1"/>
  <c r="BU161" i="22"/>
  <c r="BG161" i="22" s="1"/>
  <c r="BQ161" i="22"/>
  <c r="C161" i="22" s="1"/>
  <c r="CA160" i="22"/>
  <c r="BM160" i="22" s="1"/>
  <c r="BW160" i="22"/>
  <c r="BI160" i="22" s="1"/>
  <c r="BS160" i="22"/>
  <c r="BE160" i="22" s="1"/>
  <c r="BO160" i="22"/>
  <c r="CC159" i="22"/>
  <c r="BY159" i="22"/>
  <c r="BK159" i="22" s="1"/>
  <c r="BU159" i="22"/>
  <c r="BG159" i="22" s="1"/>
  <c r="BQ159" i="22"/>
  <c r="C159" i="22" s="1"/>
  <c r="CA158" i="22"/>
  <c r="BM158" i="22" s="1"/>
  <c r="BW158" i="22"/>
  <c r="BI158" i="22" s="1"/>
  <c r="BS158" i="22"/>
  <c r="BE158" i="22" s="1"/>
  <c r="BO158" i="22"/>
  <c r="B158" i="22" s="1"/>
  <c r="CC157" i="22"/>
  <c r="BY157" i="22"/>
  <c r="BK157" i="22" s="1"/>
  <c r="BU157" i="22"/>
  <c r="BG157" i="22" s="1"/>
  <c r="BQ157" i="22"/>
  <c r="C157" i="22" s="1"/>
  <c r="CA156" i="22"/>
  <c r="BM156" i="22" s="1"/>
  <c r="BW156" i="22"/>
  <c r="BI156" i="22" s="1"/>
  <c r="BS156" i="22"/>
  <c r="BE156" i="22" s="1"/>
  <c r="BO156" i="22"/>
  <c r="B156" i="22" s="1"/>
  <c r="CD155" i="22"/>
  <c r="BZ155" i="22"/>
  <c r="BL155" i="22" s="1"/>
  <c r="BV155" i="22"/>
  <c r="BH155" i="22" s="1"/>
  <c r="BR155" i="22"/>
  <c r="BD155" i="22" s="1"/>
  <c r="CC194" i="22"/>
  <c r="BY194" i="22"/>
  <c r="BK194" i="22" s="1"/>
  <c r="BU194" i="22"/>
  <c r="BG194" i="22" s="1"/>
  <c r="BQ194" i="22"/>
  <c r="C194" i="22" s="1"/>
  <c r="CC193" i="22"/>
  <c r="BY193" i="22"/>
  <c r="BK193" i="22" s="1"/>
  <c r="BU193" i="22"/>
  <c r="BG193" i="22" s="1"/>
  <c r="BQ193" i="22"/>
  <c r="C193" i="22" s="1"/>
  <c r="CC192" i="22"/>
  <c r="BY192" i="22"/>
  <c r="BK192" i="22" s="1"/>
  <c r="BU192" i="22"/>
  <c r="BG192" i="22" s="1"/>
  <c r="BQ192" i="22"/>
  <c r="C192" i="22" s="1"/>
  <c r="CC191" i="22"/>
  <c r="BY191" i="22"/>
  <c r="BK191" i="22" s="1"/>
  <c r="BU191" i="22"/>
  <c r="BG191" i="22" s="1"/>
  <c r="BQ191" i="22"/>
  <c r="C191" i="22" s="1"/>
  <c r="CD190" i="22"/>
  <c r="BZ190" i="22"/>
  <c r="BL190" i="22" s="1"/>
  <c r="BV190" i="22"/>
  <c r="BH190" i="22" s="1"/>
  <c r="BR190" i="22"/>
  <c r="BD190" i="22" s="1"/>
  <c r="CD189" i="22"/>
  <c r="BZ189" i="22"/>
  <c r="BL189" i="22" s="1"/>
  <c r="BV189" i="22"/>
  <c r="BH189" i="22" s="1"/>
  <c r="BR189" i="22"/>
  <c r="BD189" i="22" s="1"/>
  <c r="CD188" i="22"/>
  <c r="BZ188" i="22"/>
  <c r="BL188" i="22" s="1"/>
  <c r="BV188" i="22"/>
  <c r="BH188" i="22" s="1"/>
  <c r="BR188" i="22"/>
  <c r="BD188" i="22" s="1"/>
  <c r="CD187" i="22"/>
  <c r="BZ187" i="22"/>
  <c r="BL187" i="22" s="1"/>
  <c r="BV187" i="22"/>
  <c r="BH187" i="22" s="1"/>
  <c r="BR187" i="22"/>
  <c r="BD187" i="22" s="1"/>
  <c r="CD186" i="22"/>
  <c r="BZ186" i="22"/>
  <c r="BL186" i="22" s="1"/>
  <c r="BV186" i="22"/>
  <c r="BH186" i="22" s="1"/>
  <c r="BR186" i="22"/>
  <c r="BD186" i="22" s="1"/>
  <c r="CD185" i="22"/>
  <c r="BZ185" i="22"/>
  <c r="BL185" i="22" s="1"/>
  <c r="BV185" i="22"/>
  <c r="BH185" i="22" s="1"/>
  <c r="BR185" i="22"/>
  <c r="BD185" i="22" s="1"/>
  <c r="CD184" i="22"/>
  <c r="BZ184" i="22"/>
  <c r="BL184" i="22" s="1"/>
  <c r="BV184" i="22"/>
  <c r="BH184" i="22" s="1"/>
  <c r="BR184" i="22"/>
  <c r="BD184" i="22" s="1"/>
  <c r="CD183" i="22"/>
  <c r="BZ183" i="22"/>
  <c r="BL183" i="22" s="1"/>
  <c r="BV183" i="22"/>
  <c r="BH183" i="22" s="1"/>
  <c r="BR183" i="22"/>
  <c r="BD183" i="22" s="1"/>
  <c r="CC182" i="22"/>
  <c r="BY182" i="22"/>
  <c r="BK182" i="22" s="1"/>
  <c r="BU182" i="22"/>
  <c r="BG182" i="22" s="1"/>
  <c r="BQ182" i="22"/>
  <c r="C182" i="22" s="1"/>
  <c r="CC181" i="22"/>
  <c r="BY181" i="22"/>
  <c r="BK181" i="22" s="1"/>
  <c r="BU181" i="22"/>
  <c r="BG181" i="22" s="1"/>
  <c r="BQ181" i="22"/>
  <c r="C181" i="22" s="1"/>
  <c r="CC180" i="22"/>
  <c r="BY180" i="22"/>
  <c r="BK180" i="22" s="1"/>
  <c r="BU180" i="22"/>
  <c r="BG180" i="22" s="1"/>
  <c r="BQ180" i="22"/>
  <c r="C180" i="22" s="1"/>
  <c r="CC179" i="22"/>
  <c r="BY179" i="22"/>
  <c r="BK179" i="22" s="1"/>
  <c r="BU179" i="22"/>
  <c r="BG179" i="22" s="1"/>
  <c r="BQ179" i="22"/>
  <c r="C179" i="22" s="1"/>
  <c r="CC178" i="22"/>
  <c r="BY178" i="22"/>
  <c r="BK178" i="22" s="1"/>
  <c r="BU178" i="22"/>
  <c r="BG178" i="22" s="1"/>
  <c r="BQ178" i="22"/>
  <c r="C178" i="22" s="1"/>
  <c r="CC177" i="22"/>
  <c r="BY177" i="22"/>
  <c r="BK177" i="22" s="1"/>
  <c r="BU177" i="22"/>
  <c r="BG177" i="22" s="1"/>
  <c r="BQ177" i="22"/>
  <c r="C177" i="22" s="1"/>
  <c r="CC176" i="22"/>
  <c r="BY176" i="22"/>
  <c r="BK176" i="22" s="1"/>
  <c r="BU176" i="22"/>
  <c r="BG176" i="22" s="1"/>
  <c r="BQ176" i="22"/>
  <c r="C176" i="22" s="1"/>
  <c r="CC175" i="22"/>
  <c r="BY175" i="22"/>
  <c r="BK175" i="22" s="1"/>
  <c r="BU175" i="22"/>
  <c r="BG175" i="22" s="1"/>
  <c r="BQ175" i="22"/>
  <c r="C175" i="22" s="1"/>
  <c r="CC174" i="22"/>
  <c r="BY174" i="22"/>
  <c r="BK174" i="22" s="1"/>
  <c r="BU174" i="22"/>
  <c r="BG174" i="22" s="1"/>
  <c r="BQ174" i="22"/>
  <c r="C174" i="22" s="1"/>
  <c r="CC173" i="22"/>
  <c r="BY173" i="22"/>
  <c r="BK173" i="22" s="1"/>
  <c r="BU173" i="22"/>
  <c r="BG173" i="22" s="1"/>
  <c r="BQ173" i="22"/>
  <c r="C173" i="22" s="1"/>
  <c r="CC172" i="22"/>
  <c r="BY172" i="22"/>
  <c r="BK172" i="22" s="1"/>
  <c r="BU172" i="22"/>
  <c r="BG172" i="22" s="1"/>
  <c r="BQ172" i="22"/>
  <c r="C172" i="22" s="1"/>
  <c r="CD171" i="22"/>
  <c r="BZ171" i="22"/>
  <c r="BL171" i="22" s="1"/>
  <c r="BV171" i="22"/>
  <c r="BH171" i="22" s="1"/>
  <c r="BR171" i="22"/>
  <c r="BD171" i="22" s="1"/>
  <c r="CD170" i="22"/>
  <c r="BZ170" i="22"/>
  <c r="BL170" i="22" s="1"/>
  <c r="BV170" i="22"/>
  <c r="BH170" i="22" s="1"/>
  <c r="BR170" i="22"/>
  <c r="BD170" i="22" s="1"/>
  <c r="CD169" i="22"/>
  <c r="BZ169" i="22"/>
  <c r="BL169" i="22" s="1"/>
  <c r="BV169" i="22"/>
  <c r="BH169" i="22" s="1"/>
  <c r="BR169" i="22"/>
  <c r="BD169" i="22" s="1"/>
  <c r="CD168" i="22"/>
  <c r="BZ168" i="22"/>
  <c r="BL168" i="22" s="1"/>
  <c r="BV168" i="22"/>
  <c r="BH168" i="22" s="1"/>
  <c r="BR168" i="22"/>
  <c r="BD168" i="22" s="1"/>
  <c r="CD167" i="22"/>
  <c r="BZ167" i="22"/>
  <c r="BL167" i="22" s="1"/>
  <c r="BV167" i="22"/>
  <c r="BH167" i="22" s="1"/>
  <c r="BR167" i="22"/>
  <c r="BD167" i="22" s="1"/>
  <c r="CC166" i="22"/>
  <c r="BY166" i="22"/>
  <c r="BK166" i="22" s="1"/>
  <c r="BU166" i="22"/>
  <c r="BG166" i="22" s="1"/>
  <c r="BQ166" i="22"/>
  <c r="C166" i="22" s="1"/>
  <c r="CB165" i="22"/>
  <c r="BX165" i="22"/>
  <c r="BJ165" i="22" s="1"/>
  <c r="BT165" i="22"/>
  <c r="BF165" i="22" s="1"/>
  <c r="BP165" i="22"/>
  <c r="CD164" i="22"/>
  <c r="BZ164" i="22"/>
  <c r="BL164" i="22" s="1"/>
  <c r="BV164" i="22"/>
  <c r="BH164" i="22" s="1"/>
  <c r="BR164" i="22"/>
  <c r="BD164" i="22" s="1"/>
  <c r="CB163" i="22"/>
  <c r="BX163" i="22"/>
  <c r="BJ163" i="22" s="1"/>
  <c r="BT163" i="22"/>
  <c r="BF163" i="22" s="1"/>
  <c r="BP163" i="22"/>
  <c r="CD162" i="22"/>
  <c r="BZ162" i="22"/>
  <c r="BL162" i="22" s="1"/>
  <c r="BV162" i="22"/>
  <c r="BH162" i="22" s="1"/>
  <c r="BR162" i="22"/>
  <c r="BD162" i="22" s="1"/>
  <c r="CB161" i="22"/>
  <c r="BX161" i="22"/>
  <c r="BJ161" i="22" s="1"/>
  <c r="BT161" i="22"/>
  <c r="BF161" i="22" s="1"/>
  <c r="BP161" i="22"/>
  <c r="CD160" i="22"/>
  <c r="BZ160" i="22"/>
  <c r="BL160" i="22" s="1"/>
  <c r="BV160" i="22"/>
  <c r="BH160" i="22" s="1"/>
  <c r="BR160" i="22"/>
  <c r="BD160" i="22" s="1"/>
  <c r="CB159" i="22"/>
  <c r="BX159" i="22"/>
  <c r="BJ159" i="22" s="1"/>
  <c r="BT159" i="22"/>
  <c r="BF159" i="22" s="1"/>
  <c r="BP159" i="22"/>
  <c r="CD158" i="22"/>
  <c r="BZ158" i="22"/>
  <c r="BL158" i="22" s="1"/>
  <c r="BV158" i="22"/>
  <c r="BH158" i="22" s="1"/>
  <c r="BR158" i="22"/>
  <c r="BD158" i="22" s="1"/>
  <c r="CB157" i="22"/>
  <c r="BX157" i="22"/>
  <c r="BJ157" i="22" s="1"/>
  <c r="BT157" i="22"/>
  <c r="BF157" i="22" s="1"/>
  <c r="BP157" i="22"/>
  <c r="CD156" i="22"/>
  <c r="BZ156" i="22"/>
  <c r="BL156" i="22" s="1"/>
  <c r="BV156" i="22"/>
  <c r="BH156" i="22" s="1"/>
  <c r="BR156" i="22"/>
  <c r="BD156" i="22" s="1"/>
  <c r="CC155" i="22"/>
  <c r="BY155" i="22"/>
  <c r="BK155" i="22" s="1"/>
  <c r="BU155" i="22"/>
  <c r="BG155" i="22" s="1"/>
  <c r="BQ155" i="22"/>
  <c r="C155" i="22" s="1"/>
  <c r="CA154" i="22"/>
  <c r="BM154" i="22" s="1"/>
  <c r="BW154" i="22"/>
  <c r="BI154" i="22" s="1"/>
  <c r="BS154" i="22"/>
  <c r="BE154" i="22" s="1"/>
  <c r="BO154" i="22"/>
  <c r="B154" i="22" s="1"/>
  <c r="CC153" i="22"/>
  <c r="BY153" i="22"/>
  <c r="BK153" i="22" s="1"/>
  <c r="BU153" i="22"/>
  <c r="BG153" i="22" s="1"/>
  <c r="BQ153" i="22"/>
  <c r="C153" i="22" s="1"/>
  <c r="CA152" i="22"/>
  <c r="BM152" i="22" s="1"/>
  <c r="BW152" i="22"/>
  <c r="BI152" i="22" s="1"/>
  <c r="BS152" i="22"/>
  <c r="BE152" i="22" s="1"/>
  <c r="BO152" i="22"/>
  <c r="B152" i="22" s="1"/>
  <c r="CC151" i="22"/>
  <c r="BY151" i="22"/>
  <c r="BK151" i="22" s="1"/>
  <c r="CB194" i="22"/>
  <c r="BX194" i="22"/>
  <c r="BJ194" i="22" s="1"/>
  <c r="BT194" i="22"/>
  <c r="BF194" i="22" s="1"/>
  <c r="BP194" i="22"/>
  <c r="CB193" i="22"/>
  <c r="BX193" i="22"/>
  <c r="BJ193" i="22" s="1"/>
  <c r="BT193" i="22"/>
  <c r="BF193" i="22" s="1"/>
  <c r="BP193" i="22"/>
  <c r="CB192" i="22"/>
  <c r="BX192" i="22"/>
  <c r="BJ192" i="22" s="1"/>
  <c r="BT192" i="22"/>
  <c r="BF192" i="22" s="1"/>
  <c r="BP192" i="22"/>
  <c r="CB191" i="22"/>
  <c r="BX191" i="22"/>
  <c r="BJ191" i="22" s="1"/>
  <c r="BT191" i="22"/>
  <c r="BF191" i="22" s="1"/>
  <c r="BP191" i="22"/>
  <c r="CC190" i="22"/>
  <c r="BY190" i="22"/>
  <c r="BK190" i="22" s="1"/>
  <c r="BU190" i="22"/>
  <c r="BG190" i="22" s="1"/>
  <c r="BQ190" i="22"/>
  <c r="C190" i="22" s="1"/>
  <c r="CC189" i="22"/>
  <c r="BY189" i="22"/>
  <c r="BK189" i="22" s="1"/>
  <c r="BU189" i="22"/>
  <c r="BG189" i="22" s="1"/>
  <c r="BQ189" i="22"/>
  <c r="C189" i="22" s="1"/>
  <c r="CC188" i="22"/>
  <c r="BY188" i="22"/>
  <c r="BK188" i="22" s="1"/>
  <c r="BU188" i="22"/>
  <c r="BG188" i="22" s="1"/>
  <c r="BQ188" i="22"/>
  <c r="C188" i="22" s="1"/>
  <c r="CC187" i="22"/>
  <c r="BY187" i="22"/>
  <c r="BK187" i="22" s="1"/>
  <c r="BU187" i="22"/>
  <c r="BG187" i="22" s="1"/>
  <c r="BQ187" i="22"/>
  <c r="C187" i="22" s="1"/>
  <c r="CC186" i="22"/>
  <c r="BY186" i="22"/>
  <c r="BK186" i="22" s="1"/>
  <c r="BU186" i="22"/>
  <c r="BG186" i="22" s="1"/>
  <c r="BQ186" i="22"/>
  <c r="C186" i="22" s="1"/>
  <c r="CC185" i="22"/>
  <c r="BY185" i="22"/>
  <c r="BK185" i="22" s="1"/>
  <c r="BU185" i="22"/>
  <c r="BG185" i="22" s="1"/>
  <c r="BQ185" i="22"/>
  <c r="C185" i="22" s="1"/>
  <c r="CC184" i="22"/>
  <c r="BY184" i="22"/>
  <c r="BK184" i="22" s="1"/>
  <c r="BU184" i="22"/>
  <c r="BG184" i="22" s="1"/>
  <c r="BQ184" i="22"/>
  <c r="C184" i="22" s="1"/>
  <c r="CC183" i="22"/>
  <c r="BY183" i="22"/>
  <c r="BK183" i="22" s="1"/>
  <c r="BU183" i="22"/>
  <c r="BG183" i="22" s="1"/>
  <c r="BQ183" i="22"/>
  <c r="C183" i="22" s="1"/>
  <c r="CB182" i="22"/>
  <c r="BX182" i="22"/>
  <c r="BJ182" i="22" s="1"/>
  <c r="BT182" i="22"/>
  <c r="BF182" i="22" s="1"/>
  <c r="BP182" i="22"/>
  <c r="CB181" i="22"/>
  <c r="BX181" i="22"/>
  <c r="BJ181" i="22" s="1"/>
  <c r="BT181" i="22"/>
  <c r="BF181" i="22" s="1"/>
  <c r="BP181" i="22"/>
  <c r="CB180" i="22"/>
  <c r="BX180" i="22"/>
  <c r="BJ180" i="22" s="1"/>
  <c r="BT180" i="22"/>
  <c r="BF180" i="22" s="1"/>
  <c r="BP180" i="22"/>
  <c r="CB179" i="22"/>
  <c r="BX179" i="22"/>
  <c r="BJ179" i="22" s="1"/>
  <c r="BT179" i="22"/>
  <c r="BF179" i="22" s="1"/>
  <c r="BP179" i="22"/>
  <c r="CB178" i="22"/>
  <c r="BX178" i="22"/>
  <c r="BJ178" i="22" s="1"/>
  <c r="BT178" i="22"/>
  <c r="BF178" i="22" s="1"/>
  <c r="BP178" i="22"/>
  <c r="CB177" i="22"/>
  <c r="BX177" i="22"/>
  <c r="BJ177" i="22" s="1"/>
  <c r="BT177" i="22"/>
  <c r="BF177" i="22" s="1"/>
  <c r="BP177" i="22"/>
  <c r="CB176" i="22"/>
  <c r="BX176" i="22"/>
  <c r="BJ176" i="22" s="1"/>
  <c r="BT176" i="22"/>
  <c r="BF176" i="22" s="1"/>
  <c r="BP176" i="22"/>
  <c r="CB175" i="22"/>
  <c r="BX175" i="22"/>
  <c r="BJ175" i="22" s="1"/>
  <c r="BT175" i="22"/>
  <c r="BF175" i="22" s="1"/>
  <c r="BP175" i="22"/>
  <c r="CB174" i="22"/>
  <c r="BX174" i="22"/>
  <c r="BJ174" i="22" s="1"/>
  <c r="BT174" i="22"/>
  <c r="BF174" i="22" s="1"/>
  <c r="BP174" i="22"/>
  <c r="CB173" i="22"/>
  <c r="BX173" i="22"/>
  <c r="BJ173" i="22" s="1"/>
  <c r="BT173" i="22"/>
  <c r="BF173" i="22" s="1"/>
  <c r="BP173" i="22"/>
  <c r="CB172" i="22"/>
  <c r="BX172" i="22"/>
  <c r="BJ172" i="22" s="1"/>
  <c r="BT172" i="22"/>
  <c r="BF172" i="22" s="1"/>
  <c r="BP172" i="22"/>
  <c r="CC171" i="22"/>
  <c r="BY171" i="22"/>
  <c r="BK171" i="22" s="1"/>
  <c r="BU171" i="22"/>
  <c r="BG171" i="22" s="1"/>
  <c r="BQ171" i="22"/>
  <c r="C171" i="22" s="1"/>
  <c r="CC170" i="22"/>
  <c r="BY170" i="22"/>
  <c r="BK170" i="22" s="1"/>
  <c r="BU170" i="22"/>
  <c r="BG170" i="22" s="1"/>
  <c r="BQ170" i="22"/>
  <c r="C170" i="22" s="1"/>
  <c r="CC169" i="22"/>
  <c r="BY169" i="22"/>
  <c r="BK169" i="22" s="1"/>
  <c r="BU169" i="22"/>
  <c r="BG169" i="22" s="1"/>
  <c r="BQ169" i="22"/>
  <c r="C169" i="22" s="1"/>
  <c r="CC168" i="22"/>
  <c r="BY168" i="22"/>
  <c r="BK168" i="22" s="1"/>
  <c r="BU168" i="22"/>
  <c r="BG168" i="22" s="1"/>
  <c r="BQ168" i="22"/>
  <c r="C168" i="22" s="1"/>
  <c r="CC167" i="22"/>
  <c r="BY167" i="22"/>
  <c r="BK167" i="22" s="1"/>
  <c r="BU167" i="22"/>
  <c r="BG167" i="22" s="1"/>
  <c r="BQ167" i="22"/>
  <c r="C167" i="22" s="1"/>
  <c r="CB166" i="22"/>
  <c r="BX166" i="22"/>
  <c r="BJ166" i="22" s="1"/>
  <c r="BT166" i="22"/>
  <c r="BF166" i="22" s="1"/>
  <c r="BP166" i="22"/>
  <c r="CA165" i="22"/>
  <c r="BM165" i="22" s="1"/>
  <c r="BW165" i="22"/>
  <c r="BI165" i="22" s="1"/>
  <c r="BS165" i="22"/>
  <c r="BE165" i="22" s="1"/>
  <c r="BO165" i="22"/>
  <c r="CC164" i="22"/>
  <c r="BY164" i="22"/>
  <c r="BK164" i="22" s="1"/>
  <c r="BU164" i="22"/>
  <c r="BG164" i="22" s="1"/>
  <c r="BQ164" i="22"/>
  <c r="C164" i="22" s="1"/>
  <c r="CA163" i="22"/>
  <c r="BM163" i="22" s="1"/>
  <c r="BW163" i="22"/>
  <c r="BI163" i="22" s="1"/>
  <c r="BS163" i="22"/>
  <c r="BE163" i="22" s="1"/>
  <c r="BO163" i="22"/>
  <c r="CC162" i="22"/>
  <c r="BY162" i="22"/>
  <c r="BK162" i="22" s="1"/>
  <c r="BU162" i="22"/>
  <c r="BG162" i="22" s="1"/>
  <c r="BQ162" i="22"/>
  <c r="C162" i="22" s="1"/>
  <c r="CA161" i="22"/>
  <c r="BM161" i="22" s="1"/>
  <c r="BW161" i="22"/>
  <c r="BI161" i="22" s="1"/>
  <c r="BS161" i="22"/>
  <c r="BE161" i="22" s="1"/>
  <c r="BO161" i="22"/>
  <c r="CC160" i="22"/>
  <c r="BY160" i="22"/>
  <c r="BK160" i="22" s="1"/>
  <c r="BU160" i="22"/>
  <c r="BG160" i="22" s="1"/>
  <c r="BQ160" i="22"/>
  <c r="C160" i="22" s="1"/>
  <c r="CA159" i="22"/>
  <c r="BM159" i="22" s="1"/>
  <c r="BW159" i="22"/>
  <c r="BI159" i="22" s="1"/>
  <c r="BS159" i="22"/>
  <c r="BE159" i="22" s="1"/>
  <c r="BO159" i="22"/>
  <c r="CC158" i="22"/>
  <c r="BY158" i="22"/>
  <c r="BK158" i="22" s="1"/>
  <c r="BU158" i="22"/>
  <c r="BG158" i="22" s="1"/>
  <c r="BQ158" i="22"/>
  <c r="C158" i="22" s="1"/>
  <c r="CA157" i="22"/>
  <c r="BM157" i="22" s="1"/>
  <c r="BW157" i="22"/>
  <c r="BI157" i="22" s="1"/>
  <c r="BS157" i="22"/>
  <c r="BE157" i="22" s="1"/>
  <c r="BO157" i="22"/>
  <c r="B157" i="22" s="1"/>
  <c r="CC156" i="22"/>
  <c r="BY156" i="22"/>
  <c r="BK156" i="22" s="1"/>
  <c r="BU156" i="22"/>
  <c r="BG156" i="22" s="1"/>
  <c r="BQ156" i="22"/>
  <c r="C156" i="22" s="1"/>
  <c r="CB155" i="22"/>
  <c r="BX155" i="22"/>
  <c r="BJ155" i="22" s="1"/>
  <c r="BT155" i="22"/>
  <c r="BF155" i="22" s="1"/>
  <c r="BP155" i="22"/>
  <c r="CD154" i="22"/>
  <c r="BZ154" i="22"/>
  <c r="BL154" i="22" s="1"/>
  <c r="BV154" i="22"/>
  <c r="BH154" i="22" s="1"/>
  <c r="BR154" i="22"/>
  <c r="BD154" i="22" s="1"/>
  <c r="CB153" i="22"/>
  <c r="BX153" i="22"/>
  <c r="BJ153" i="22" s="1"/>
  <c r="BT153" i="22"/>
  <c r="BF153" i="22" s="1"/>
  <c r="BP153" i="22"/>
  <c r="CD152" i="22"/>
  <c r="BZ152" i="22"/>
  <c r="BL152" i="22" s="1"/>
  <c r="BV152" i="22"/>
  <c r="BH152" i="22" s="1"/>
  <c r="BR152" i="22"/>
  <c r="BD152" i="22" s="1"/>
  <c r="CB151" i="22"/>
  <c r="BX151" i="22"/>
  <c r="BJ151" i="22" s="1"/>
  <c r="BT151" i="22"/>
  <c r="BF151" i="22" s="1"/>
  <c r="BP151" i="22"/>
  <c r="CA194" i="22"/>
  <c r="BM194" i="22" s="1"/>
  <c r="BW194" i="22"/>
  <c r="BI194" i="22" s="1"/>
  <c r="BS194" i="22"/>
  <c r="BE194" i="22" s="1"/>
  <c r="BO194" i="22"/>
  <c r="B194" i="22" s="1"/>
  <c r="CA193" i="22"/>
  <c r="BM193" i="22" s="1"/>
  <c r="BW193" i="22"/>
  <c r="BI193" i="22" s="1"/>
  <c r="BS193" i="22"/>
  <c r="BE193" i="22" s="1"/>
  <c r="BO193" i="22"/>
  <c r="B193" i="22" s="1"/>
  <c r="CA192" i="22"/>
  <c r="BM192" i="22" s="1"/>
  <c r="BW192" i="22"/>
  <c r="BI192" i="22" s="1"/>
  <c r="BS192" i="22"/>
  <c r="BE192" i="22" s="1"/>
  <c r="BO192" i="22"/>
  <c r="B192" i="22" s="1"/>
  <c r="CA191" i="22"/>
  <c r="BM191" i="22" s="1"/>
  <c r="BW191" i="22"/>
  <c r="BI191" i="22" s="1"/>
  <c r="BS191" i="22"/>
  <c r="BE191" i="22" s="1"/>
  <c r="BO191" i="22"/>
  <c r="B191" i="22" s="1"/>
  <c r="CB190" i="22"/>
  <c r="BX190" i="22"/>
  <c r="BJ190" i="22" s="1"/>
  <c r="BT190" i="22"/>
  <c r="BF190" i="22" s="1"/>
  <c r="BP190" i="22"/>
  <c r="CB189" i="22"/>
  <c r="BX189" i="22"/>
  <c r="BJ189" i="22" s="1"/>
  <c r="BT189" i="22"/>
  <c r="BF189" i="22" s="1"/>
  <c r="BP189" i="22"/>
  <c r="CB188" i="22"/>
  <c r="BX188" i="22"/>
  <c r="BJ188" i="22" s="1"/>
  <c r="BT188" i="22"/>
  <c r="BF188" i="22" s="1"/>
  <c r="BP188" i="22"/>
  <c r="CB187" i="22"/>
  <c r="BX187" i="22"/>
  <c r="BJ187" i="22" s="1"/>
  <c r="BT187" i="22"/>
  <c r="BF187" i="22" s="1"/>
  <c r="BP187" i="22"/>
  <c r="CB186" i="22"/>
  <c r="BX186" i="22"/>
  <c r="BJ186" i="22" s="1"/>
  <c r="BT186" i="22"/>
  <c r="BF186" i="22" s="1"/>
  <c r="BP186" i="22"/>
  <c r="CB185" i="22"/>
  <c r="BX185" i="22"/>
  <c r="BJ185" i="22" s="1"/>
  <c r="BT185" i="22"/>
  <c r="BF185" i="22" s="1"/>
  <c r="BP185" i="22"/>
  <c r="CB184" i="22"/>
  <c r="BX184" i="22"/>
  <c r="BJ184" i="22" s="1"/>
  <c r="BT184" i="22"/>
  <c r="BF184" i="22" s="1"/>
  <c r="BP184" i="22"/>
  <c r="CB183" i="22"/>
  <c r="BX183" i="22"/>
  <c r="BJ183" i="22" s="1"/>
  <c r="BT183" i="22"/>
  <c r="BF183" i="22" s="1"/>
  <c r="BP183" i="22"/>
  <c r="CA182" i="22"/>
  <c r="BM182" i="22" s="1"/>
  <c r="BW182" i="22"/>
  <c r="BI182" i="22" s="1"/>
  <c r="BS182" i="22"/>
  <c r="BE182" i="22" s="1"/>
  <c r="BO182" i="22"/>
  <c r="B182" i="22" s="1"/>
  <c r="CA181" i="22"/>
  <c r="BM181" i="22" s="1"/>
  <c r="BW181" i="22"/>
  <c r="BI181" i="22" s="1"/>
  <c r="BS181" i="22"/>
  <c r="BE181" i="22" s="1"/>
  <c r="BO181" i="22"/>
  <c r="B181" i="22" s="1"/>
  <c r="CA180" i="22"/>
  <c r="BM180" i="22" s="1"/>
  <c r="BW180" i="22"/>
  <c r="BI180" i="22" s="1"/>
  <c r="BS180" i="22"/>
  <c r="BE180" i="22" s="1"/>
  <c r="BO180" i="22"/>
  <c r="B180" i="22" s="1"/>
  <c r="CA179" i="22"/>
  <c r="BM179" i="22" s="1"/>
  <c r="BW179" i="22"/>
  <c r="BI179" i="22" s="1"/>
  <c r="BS179" i="22"/>
  <c r="BE179" i="22" s="1"/>
  <c r="BO179" i="22"/>
  <c r="B179" i="22" s="1"/>
  <c r="CA178" i="22"/>
  <c r="BM178" i="22" s="1"/>
  <c r="BW178" i="22"/>
  <c r="BI178" i="22" s="1"/>
  <c r="BS178" i="22"/>
  <c r="BE178" i="22" s="1"/>
  <c r="BO178" i="22"/>
  <c r="B178" i="22" s="1"/>
  <c r="CA177" i="22"/>
  <c r="BM177" i="22" s="1"/>
  <c r="BW177" i="22"/>
  <c r="BI177" i="22" s="1"/>
  <c r="BS177" i="22"/>
  <c r="BE177" i="22" s="1"/>
  <c r="BO177" i="22"/>
  <c r="B177" i="22" s="1"/>
  <c r="CA176" i="22"/>
  <c r="BM176" i="22" s="1"/>
  <c r="BW176" i="22"/>
  <c r="BI176" i="22" s="1"/>
  <c r="BS176" i="22"/>
  <c r="BE176" i="22" s="1"/>
  <c r="BO176" i="22"/>
  <c r="B176" i="22" s="1"/>
  <c r="CA175" i="22"/>
  <c r="BM175" i="22" s="1"/>
  <c r="BW175" i="22"/>
  <c r="BI175" i="22" s="1"/>
  <c r="BS175" i="22"/>
  <c r="BE175" i="22" s="1"/>
  <c r="BO175" i="22"/>
  <c r="B175" i="22" s="1"/>
  <c r="CA174" i="22"/>
  <c r="BM174" i="22" s="1"/>
  <c r="BW174" i="22"/>
  <c r="BI174" i="22" s="1"/>
  <c r="BS174" i="22"/>
  <c r="BE174" i="22" s="1"/>
  <c r="BO174" i="22"/>
  <c r="B174" i="22" s="1"/>
  <c r="CA173" i="22"/>
  <c r="BM173" i="22" s="1"/>
  <c r="BW173" i="22"/>
  <c r="BI173" i="22" s="1"/>
  <c r="BS173" i="22"/>
  <c r="BE173" i="22" s="1"/>
  <c r="BO173" i="22"/>
  <c r="B173" i="22" s="1"/>
  <c r="CA172" i="22"/>
  <c r="BM172" i="22" s="1"/>
  <c r="BW172" i="22"/>
  <c r="BI172" i="22" s="1"/>
  <c r="BS172" i="22"/>
  <c r="BE172" i="22" s="1"/>
  <c r="BO172" i="22"/>
  <c r="B172" i="22" s="1"/>
  <c r="CB171" i="22"/>
  <c r="BX171" i="22"/>
  <c r="BJ171" i="22" s="1"/>
  <c r="BT171" i="22"/>
  <c r="BF171" i="22" s="1"/>
  <c r="BP171" i="22"/>
  <c r="CB170" i="22"/>
  <c r="BX170" i="22"/>
  <c r="BJ170" i="22" s="1"/>
  <c r="BT170" i="22"/>
  <c r="BF170" i="22" s="1"/>
  <c r="BP170" i="22"/>
  <c r="CB169" i="22"/>
  <c r="BX169" i="22"/>
  <c r="BJ169" i="22" s="1"/>
  <c r="BT169" i="22"/>
  <c r="BF169" i="22" s="1"/>
  <c r="BP169" i="22"/>
  <c r="CB168" i="22"/>
  <c r="BX168" i="22"/>
  <c r="BJ168" i="22" s="1"/>
  <c r="BT168" i="22"/>
  <c r="BF168" i="22" s="1"/>
  <c r="BP168" i="22"/>
  <c r="CB167" i="22"/>
  <c r="BX167" i="22"/>
  <c r="BJ167" i="22" s="1"/>
  <c r="BT167" i="22"/>
  <c r="BF167" i="22" s="1"/>
  <c r="BP167" i="22"/>
  <c r="CA166" i="22"/>
  <c r="BM166" i="22" s="1"/>
  <c r="BW166" i="22"/>
  <c r="BI166" i="22" s="1"/>
  <c r="BS166" i="22"/>
  <c r="BE166" i="22" s="1"/>
  <c r="BO166" i="22"/>
  <c r="B166" i="22" s="1"/>
  <c r="CD165" i="22"/>
  <c r="BZ165" i="22"/>
  <c r="BL165" i="22" s="1"/>
  <c r="BV165" i="22"/>
  <c r="BH165" i="22" s="1"/>
  <c r="BR165" i="22"/>
  <c r="BD165" i="22" s="1"/>
  <c r="CB164" i="22"/>
  <c r="BX164" i="22"/>
  <c r="BJ164" i="22" s="1"/>
  <c r="BT164" i="22"/>
  <c r="BF164" i="22" s="1"/>
  <c r="BP164" i="22"/>
  <c r="CD163" i="22"/>
  <c r="BZ163" i="22"/>
  <c r="BL163" i="22" s="1"/>
  <c r="BV163" i="22"/>
  <c r="BH163" i="22" s="1"/>
  <c r="BR163" i="22"/>
  <c r="BD163" i="22" s="1"/>
  <c r="CB162" i="22"/>
  <c r="BX162" i="22"/>
  <c r="BJ162" i="22" s="1"/>
  <c r="BT162" i="22"/>
  <c r="BF162" i="22" s="1"/>
  <c r="BP162" i="22"/>
  <c r="CD161" i="22"/>
  <c r="BZ161" i="22"/>
  <c r="BL161" i="22" s="1"/>
  <c r="BV161" i="22"/>
  <c r="BH161" i="22" s="1"/>
  <c r="BR161" i="22"/>
  <c r="BD161" i="22" s="1"/>
  <c r="CB160" i="22"/>
  <c r="BX160" i="22"/>
  <c r="BJ160" i="22" s="1"/>
  <c r="BT160" i="22"/>
  <c r="BF160" i="22" s="1"/>
  <c r="BP160" i="22"/>
  <c r="CD159" i="22"/>
  <c r="BZ159" i="22"/>
  <c r="BL159" i="22" s="1"/>
  <c r="BV159" i="22"/>
  <c r="BH159" i="22" s="1"/>
  <c r="BR159" i="22"/>
  <c r="BD159" i="22" s="1"/>
  <c r="CB158" i="22"/>
  <c r="BX158" i="22"/>
  <c r="BJ158" i="22" s="1"/>
  <c r="BT158" i="22"/>
  <c r="BF158" i="22" s="1"/>
  <c r="BP158" i="22"/>
  <c r="CD157" i="22"/>
  <c r="BZ157" i="22"/>
  <c r="BL157" i="22" s="1"/>
  <c r="BV157" i="22"/>
  <c r="BH157" i="22" s="1"/>
  <c r="BR157" i="22"/>
  <c r="BD157" i="22" s="1"/>
  <c r="CB156" i="22"/>
  <c r="BX156" i="22"/>
  <c r="BJ156" i="22" s="1"/>
  <c r="BT156" i="22"/>
  <c r="BF156" i="22" s="1"/>
  <c r="BP156" i="22"/>
  <c r="CA155" i="22"/>
  <c r="BM155" i="22" s="1"/>
  <c r="BW155" i="22"/>
  <c r="BI155" i="22" s="1"/>
  <c r="BS155" i="22"/>
  <c r="BE155" i="22" s="1"/>
  <c r="BO155" i="22"/>
  <c r="B155" i="22" s="1"/>
  <c r="CC154" i="22"/>
  <c r="BY154" i="22"/>
  <c r="BK154" i="22" s="1"/>
  <c r="BU154" i="22"/>
  <c r="BG154" i="22" s="1"/>
  <c r="BQ154" i="22"/>
  <c r="C154" i="22" s="1"/>
  <c r="CA153" i="22"/>
  <c r="BM153" i="22" s="1"/>
  <c r="BW153" i="22"/>
  <c r="BI153" i="22" s="1"/>
  <c r="BS153" i="22"/>
  <c r="BE153" i="22" s="1"/>
  <c r="BO153" i="22"/>
  <c r="B153" i="22" s="1"/>
  <c r="CC152" i="22"/>
  <c r="BY152" i="22"/>
  <c r="BK152" i="22" s="1"/>
  <c r="BU152" i="22"/>
  <c r="BG152" i="22" s="1"/>
  <c r="BQ152" i="22"/>
  <c r="C152" i="22" s="1"/>
  <c r="CA151" i="22"/>
  <c r="BM151" i="22" s="1"/>
  <c r="BW151" i="22"/>
  <c r="BI151" i="22" s="1"/>
  <c r="BS151" i="22"/>
  <c r="BE151" i="22" s="1"/>
  <c r="BO151" i="22"/>
  <c r="B151" i="22" s="1"/>
  <c r="CB150" i="22"/>
  <c r="BX150" i="22"/>
  <c r="BJ150" i="22" s="1"/>
  <c r="BT150" i="22"/>
  <c r="BF150" i="22" s="1"/>
  <c r="BP150" i="22"/>
  <c r="CC149" i="22"/>
  <c r="BY149" i="22"/>
  <c r="BK149" i="22" s="1"/>
  <c r="BU149" i="22"/>
  <c r="BG149" i="22" s="1"/>
  <c r="BQ149" i="22"/>
  <c r="C149" i="22" s="1"/>
  <c r="CD148" i="22"/>
  <c r="BZ148" i="22"/>
  <c r="BL148" i="22" s="1"/>
  <c r="BV148" i="22"/>
  <c r="BH148" i="22" s="1"/>
  <c r="BR148" i="22"/>
  <c r="BD148" i="22" s="1"/>
  <c r="CA147" i="22"/>
  <c r="BM147" i="22" s="1"/>
  <c r="BW147" i="22"/>
  <c r="BI147" i="22" s="1"/>
  <c r="BS147" i="22"/>
  <c r="BE147" i="22" s="1"/>
  <c r="BO147" i="22"/>
  <c r="B147" i="22" s="1"/>
  <c r="CC146" i="22"/>
  <c r="BY146" i="22"/>
  <c r="BK146" i="22" s="1"/>
  <c r="BU146" i="22"/>
  <c r="BG146" i="22" s="1"/>
  <c r="BQ146" i="22"/>
  <c r="C146" i="22" s="1"/>
  <c r="CA145" i="22"/>
  <c r="BM145" i="22" s="1"/>
  <c r="BW145" i="22"/>
  <c r="BI145" i="22" s="1"/>
  <c r="BS145" i="22"/>
  <c r="BE145" i="22" s="1"/>
  <c r="BO145" i="22"/>
  <c r="B145" i="22" s="1"/>
  <c r="CC144" i="22"/>
  <c r="BY144" i="22"/>
  <c r="BK144" i="22" s="1"/>
  <c r="BU144" i="22"/>
  <c r="BG144" i="22" s="1"/>
  <c r="BQ144" i="22"/>
  <c r="C144" i="22" s="1"/>
  <c r="CD143" i="22"/>
  <c r="BZ143" i="22"/>
  <c r="BL143" i="22" s="1"/>
  <c r="BV143" i="22"/>
  <c r="BH143" i="22" s="1"/>
  <c r="BR143" i="22"/>
  <c r="BD143" i="22" s="1"/>
  <c r="CA142" i="22"/>
  <c r="BM142" i="22" s="1"/>
  <c r="BW142" i="22"/>
  <c r="BI142" i="22" s="1"/>
  <c r="BS142" i="22"/>
  <c r="BE142" i="22" s="1"/>
  <c r="BO142" i="22"/>
  <c r="B142" i="22" s="1"/>
  <c r="CB141" i="22"/>
  <c r="BX141" i="22"/>
  <c r="BJ141" i="22" s="1"/>
  <c r="BT141" i="22"/>
  <c r="BF141" i="22" s="1"/>
  <c r="BP141" i="22"/>
  <c r="CC140" i="22"/>
  <c r="BY140" i="22"/>
  <c r="BK140" i="22" s="1"/>
  <c r="BU140" i="22"/>
  <c r="BG140" i="22" s="1"/>
  <c r="BQ140" i="22"/>
  <c r="C140" i="22" s="1"/>
  <c r="CA139" i="22"/>
  <c r="BM139" i="22" s="1"/>
  <c r="BW139" i="22"/>
  <c r="BI139" i="22" s="1"/>
  <c r="BS139" i="22"/>
  <c r="BE139" i="22" s="1"/>
  <c r="BO139" i="22"/>
  <c r="B139" i="22" s="1"/>
  <c r="BT154" i="22"/>
  <c r="BF154" i="22" s="1"/>
  <c r="BZ153" i="22"/>
  <c r="BL153" i="22" s="1"/>
  <c r="CB152" i="22"/>
  <c r="BU151" i="22"/>
  <c r="BG151" i="22" s="1"/>
  <c r="BZ150" i="22"/>
  <c r="BL150" i="22" s="1"/>
  <c r="BU150" i="22"/>
  <c r="BG150" i="22" s="1"/>
  <c r="BO150" i="22"/>
  <c r="B150" i="22" s="1"/>
  <c r="CB149" i="22"/>
  <c r="BW149" i="22"/>
  <c r="BI149" i="22" s="1"/>
  <c r="BR149" i="22"/>
  <c r="BD149" i="22" s="1"/>
  <c r="CC148" i="22"/>
  <c r="BX148" i="22"/>
  <c r="BJ148" i="22" s="1"/>
  <c r="BS148" i="22"/>
  <c r="BE148" i="22" s="1"/>
  <c r="CB147" i="22"/>
  <c r="BV147" i="22"/>
  <c r="BH147" i="22" s="1"/>
  <c r="BQ147" i="22"/>
  <c r="C147" i="22" s="1"/>
  <c r="CA146" i="22"/>
  <c r="BM146" i="22" s="1"/>
  <c r="BV146" i="22"/>
  <c r="BH146" i="22" s="1"/>
  <c r="BP146" i="22"/>
  <c r="CD145" i="22"/>
  <c r="BY145" i="22"/>
  <c r="BK145" i="22" s="1"/>
  <c r="BT145" i="22"/>
  <c r="BF145" i="22" s="1"/>
  <c r="CD144" i="22"/>
  <c r="BX144" i="22"/>
  <c r="BJ144" i="22" s="1"/>
  <c r="BS144" i="22"/>
  <c r="BE144" i="22" s="1"/>
  <c r="BY143" i="22"/>
  <c r="BK143" i="22" s="1"/>
  <c r="BT143" i="22"/>
  <c r="BF143" i="22" s="1"/>
  <c r="BO143" i="22"/>
  <c r="B143" i="22" s="1"/>
  <c r="CC142" i="22"/>
  <c r="BX142" i="22"/>
  <c r="BJ142" i="22" s="1"/>
  <c r="BR142" i="22"/>
  <c r="BD142" i="22" s="1"/>
  <c r="CA141" i="22"/>
  <c r="BM141" i="22" s="1"/>
  <c r="BV141" i="22"/>
  <c r="BH141" i="22" s="1"/>
  <c r="BQ141" i="22"/>
  <c r="C141" i="22" s="1"/>
  <c r="CD140" i="22"/>
  <c r="BX140" i="22"/>
  <c r="BJ140" i="22" s="1"/>
  <c r="BS140" i="22"/>
  <c r="BE140" i="22" s="1"/>
  <c r="CB139" i="22"/>
  <c r="BV139" i="22"/>
  <c r="BH139" i="22" s="1"/>
  <c r="BQ139" i="22"/>
  <c r="C139" i="22" s="1"/>
  <c r="CB138" i="22"/>
  <c r="BX138" i="22"/>
  <c r="BJ138" i="22" s="1"/>
  <c r="BT138" i="22"/>
  <c r="BF138" i="22" s="1"/>
  <c r="BP138" i="22"/>
  <c r="CD137" i="22"/>
  <c r="BZ137" i="22"/>
  <c r="BL137" i="22" s="1"/>
  <c r="BV137" i="22"/>
  <c r="BH137" i="22" s="1"/>
  <c r="BR137" i="22"/>
  <c r="BD137" i="22" s="1"/>
  <c r="CB136" i="22"/>
  <c r="BX136" i="22"/>
  <c r="BJ136" i="22" s="1"/>
  <c r="BT136" i="22"/>
  <c r="BF136" i="22" s="1"/>
  <c r="BP136" i="22"/>
  <c r="CD135" i="22"/>
  <c r="BZ135" i="22"/>
  <c r="BL135" i="22" s="1"/>
  <c r="BV135" i="22"/>
  <c r="BH135" i="22" s="1"/>
  <c r="BR135" i="22"/>
  <c r="BD135" i="22" s="1"/>
  <c r="CB134" i="22"/>
  <c r="BX134" i="22"/>
  <c r="BJ134" i="22" s="1"/>
  <c r="BT134" i="22"/>
  <c r="BF134" i="22" s="1"/>
  <c r="BP134" i="22"/>
  <c r="CD133" i="22"/>
  <c r="BZ133" i="22"/>
  <c r="BL133" i="22" s="1"/>
  <c r="BV133" i="22"/>
  <c r="BH133" i="22" s="1"/>
  <c r="BR133" i="22"/>
  <c r="BD133" i="22" s="1"/>
  <c r="CB132" i="22"/>
  <c r="BX132" i="22"/>
  <c r="BJ132" i="22" s="1"/>
  <c r="BT132" i="22"/>
  <c r="BF132" i="22" s="1"/>
  <c r="BP132" i="22"/>
  <c r="CC131" i="22"/>
  <c r="BY131" i="22"/>
  <c r="BK131" i="22" s="1"/>
  <c r="BU131" i="22"/>
  <c r="BG131" i="22" s="1"/>
  <c r="BQ131" i="22"/>
  <c r="C131" i="22" s="1"/>
  <c r="CD130" i="22"/>
  <c r="BZ130" i="22"/>
  <c r="BL130" i="22" s="1"/>
  <c r="BV130" i="22"/>
  <c r="BH130" i="22" s="1"/>
  <c r="BR130" i="22"/>
  <c r="BD130" i="22" s="1"/>
  <c r="CA129" i="22"/>
  <c r="BM129" i="22" s="1"/>
  <c r="BW129" i="22"/>
  <c r="BI129" i="22" s="1"/>
  <c r="BS129" i="22"/>
  <c r="BE129" i="22" s="1"/>
  <c r="BO129" i="22"/>
  <c r="B129" i="22" s="1"/>
  <c r="CB128" i="22"/>
  <c r="BX128" i="22"/>
  <c r="BJ128" i="22" s="1"/>
  <c r="BT128" i="22"/>
  <c r="BF128" i="22" s="1"/>
  <c r="BP128" i="22"/>
  <c r="CC127" i="22"/>
  <c r="BY127" i="22"/>
  <c r="BK127" i="22" s="1"/>
  <c r="BU127" i="22"/>
  <c r="BG127" i="22" s="1"/>
  <c r="BQ127" i="22"/>
  <c r="C127" i="22" s="1"/>
  <c r="CD126" i="22"/>
  <c r="BZ126" i="22"/>
  <c r="BL126" i="22" s="1"/>
  <c r="BV126" i="22"/>
  <c r="BH126" i="22" s="1"/>
  <c r="BR126" i="22"/>
  <c r="BD126" i="22" s="1"/>
  <c r="CA125" i="22"/>
  <c r="BM125" i="22" s="1"/>
  <c r="BW125" i="22"/>
  <c r="BI125" i="22" s="1"/>
  <c r="BS125" i="22"/>
  <c r="BE125" i="22" s="1"/>
  <c r="BO125" i="22"/>
  <c r="B125" i="22" s="1"/>
  <c r="CB124" i="22"/>
  <c r="BX124" i="22"/>
  <c r="BJ124" i="22" s="1"/>
  <c r="BT124" i="22"/>
  <c r="BF124" i="22" s="1"/>
  <c r="BP124" i="22"/>
  <c r="CC123" i="22"/>
  <c r="BY123" i="22"/>
  <c r="BK123" i="22" s="1"/>
  <c r="BU123" i="22"/>
  <c r="BG123" i="22" s="1"/>
  <c r="BQ123" i="22"/>
  <c r="C123" i="22" s="1"/>
  <c r="CA122" i="22"/>
  <c r="BM122" i="22" s="1"/>
  <c r="BW122" i="22"/>
  <c r="BI122" i="22" s="1"/>
  <c r="BS122" i="22"/>
  <c r="BE122" i="22" s="1"/>
  <c r="BO122" i="22"/>
  <c r="B122" i="22" s="1"/>
  <c r="CC121" i="22"/>
  <c r="BY121" i="22"/>
  <c r="BK121" i="22" s="1"/>
  <c r="BU121" i="22"/>
  <c r="BG121" i="22" s="1"/>
  <c r="BQ121" i="22"/>
  <c r="C121" i="22" s="1"/>
  <c r="CD120" i="22"/>
  <c r="BZ120" i="22"/>
  <c r="BL120" i="22" s="1"/>
  <c r="BV120" i="22"/>
  <c r="BH120" i="22" s="1"/>
  <c r="BR120" i="22"/>
  <c r="BD120" i="22" s="1"/>
  <c r="CC119" i="22"/>
  <c r="BY119" i="22"/>
  <c r="BK119" i="22" s="1"/>
  <c r="BU119" i="22"/>
  <c r="BG119" i="22" s="1"/>
  <c r="BQ119" i="22"/>
  <c r="C119" i="22" s="1"/>
  <c r="CC118" i="22"/>
  <c r="BY118" i="22"/>
  <c r="BK118" i="22" s="1"/>
  <c r="BU118" i="22"/>
  <c r="BG118" i="22" s="1"/>
  <c r="BQ118" i="22"/>
  <c r="C118" i="22" s="1"/>
  <c r="CC117" i="22"/>
  <c r="BY117" i="22"/>
  <c r="BK117" i="22" s="1"/>
  <c r="BU117" i="22"/>
  <c r="BG117" i="22" s="1"/>
  <c r="BQ117" i="22"/>
  <c r="C117" i="22" s="1"/>
  <c r="CC116" i="22"/>
  <c r="BY116" i="22"/>
  <c r="BK116" i="22" s="1"/>
  <c r="BU116" i="22"/>
  <c r="BG116" i="22" s="1"/>
  <c r="BQ116" i="22"/>
  <c r="C116" i="22" s="1"/>
  <c r="CB115" i="22"/>
  <c r="BX115" i="22"/>
  <c r="BJ115" i="22" s="1"/>
  <c r="BT115" i="22"/>
  <c r="BF115" i="22" s="1"/>
  <c r="BP115" i="22"/>
  <c r="CD114" i="22"/>
  <c r="BZ114" i="22"/>
  <c r="BL114" i="22" s="1"/>
  <c r="BV114" i="22"/>
  <c r="BH114" i="22" s="1"/>
  <c r="BR114" i="22"/>
  <c r="BD114" i="22" s="1"/>
  <c r="CC113" i="22"/>
  <c r="BY113" i="22"/>
  <c r="BK113" i="22" s="1"/>
  <c r="BU113" i="22"/>
  <c r="BG113" i="22" s="1"/>
  <c r="BQ113" i="22"/>
  <c r="C113" i="22" s="1"/>
  <c r="CA112" i="22"/>
  <c r="BM112" i="22" s="1"/>
  <c r="BW112" i="22"/>
  <c r="BI112" i="22" s="1"/>
  <c r="BS112" i="22"/>
  <c r="BE112" i="22" s="1"/>
  <c r="BO112" i="22"/>
  <c r="B112" i="22" s="1"/>
  <c r="CB111" i="22"/>
  <c r="BX111" i="22"/>
  <c r="BJ111" i="22" s="1"/>
  <c r="BT111" i="22"/>
  <c r="BF111" i="22" s="1"/>
  <c r="BP111" i="22"/>
  <c r="CB110" i="22"/>
  <c r="BX110" i="22"/>
  <c r="BJ110" i="22" s="1"/>
  <c r="BT110" i="22"/>
  <c r="BF110" i="22" s="1"/>
  <c r="BP110" i="22"/>
  <c r="CB109" i="22"/>
  <c r="BX109" i="22"/>
  <c r="BJ109" i="22" s="1"/>
  <c r="BT109" i="22"/>
  <c r="BF109" i="22" s="1"/>
  <c r="BP109" i="22"/>
  <c r="CB108" i="22"/>
  <c r="BX108" i="22"/>
  <c r="BJ108" i="22" s="1"/>
  <c r="BT108" i="22"/>
  <c r="BF108" i="22" s="1"/>
  <c r="BP108" i="22"/>
  <c r="CA107" i="22"/>
  <c r="BM107" i="22" s="1"/>
  <c r="BW107" i="22"/>
  <c r="BI107" i="22" s="1"/>
  <c r="BS107" i="22"/>
  <c r="BE107" i="22" s="1"/>
  <c r="BO107" i="22"/>
  <c r="B107" i="22" s="1"/>
  <c r="CD106" i="22"/>
  <c r="BZ106" i="22"/>
  <c r="BL106" i="22" s="1"/>
  <c r="BV106" i="22"/>
  <c r="BH106" i="22" s="1"/>
  <c r="BR106" i="22"/>
  <c r="BD106" i="22" s="1"/>
  <c r="CD105" i="22"/>
  <c r="BZ105" i="22"/>
  <c r="BL105" i="22" s="1"/>
  <c r="BV105" i="22"/>
  <c r="BH105" i="22" s="1"/>
  <c r="BR105" i="22"/>
  <c r="BD105" i="22" s="1"/>
  <c r="CD104" i="22"/>
  <c r="BZ104" i="22"/>
  <c r="BL104" i="22" s="1"/>
  <c r="BV104" i="22"/>
  <c r="BH104" i="22" s="1"/>
  <c r="BR104" i="22"/>
  <c r="BD104" i="22" s="1"/>
  <c r="CC103" i="22"/>
  <c r="BP154" i="22"/>
  <c r="BV153" i="22"/>
  <c r="BH153" i="22" s="1"/>
  <c r="BX152" i="22"/>
  <c r="BJ152" i="22" s="1"/>
  <c r="CD151" i="22"/>
  <c r="BR151" i="22"/>
  <c r="BD151" i="22" s="1"/>
  <c r="CD150" i="22"/>
  <c r="BY150" i="22"/>
  <c r="BK150" i="22" s="1"/>
  <c r="BS150" i="22"/>
  <c r="BE150" i="22" s="1"/>
  <c r="CA149" i="22"/>
  <c r="BM149" i="22" s="1"/>
  <c r="BV149" i="22"/>
  <c r="BH149" i="22" s="1"/>
  <c r="BP149" i="22"/>
  <c r="CB148" i="22"/>
  <c r="BW148" i="22"/>
  <c r="BI148" i="22" s="1"/>
  <c r="BQ148" i="22"/>
  <c r="C148" i="22" s="1"/>
  <c r="BZ147" i="22"/>
  <c r="BL147" i="22" s="1"/>
  <c r="BU147" i="22"/>
  <c r="BG147" i="22" s="1"/>
  <c r="BP147" i="22"/>
  <c r="BZ146" i="22"/>
  <c r="BL146" i="22" s="1"/>
  <c r="BT146" i="22"/>
  <c r="BF146" i="22" s="1"/>
  <c r="BO146" i="22"/>
  <c r="B146" i="22" s="1"/>
  <c r="CC145" i="22"/>
  <c r="BX145" i="22"/>
  <c r="BJ145" i="22" s="1"/>
  <c r="BR145" i="22"/>
  <c r="BD145" i="22" s="1"/>
  <c r="CB144" i="22"/>
  <c r="BW144" i="22"/>
  <c r="BI144" i="22" s="1"/>
  <c r="BR144" i="22"/>
  <c r="BD144" i="22" s="1"/>
  <c r="CC143" i="22"/>
  <c r="BX143" i="22"/>
  <c r="BJ143" i="22" s="1"/>
  <c r="BS143" i="22"/>
  <c r="BE143" i="22" s="1"/>
  <c r="CB142" i="22"/>
  <c r="BV142" i="22"/>
  <c r="BH142" i="22" s="1"/>
  <c r="BQ142" i="22"/>
  <c r="C142" i="22" s="1"/>
  <c r="BZ141" i="22"/>
  <c r="BL141" i="22" s="1"/>
  <c r="BU141" i="22"/>
  <c r="BG141" i="22" s="1"/>
  <c r="BO141" i="22"/>
  <c r="B141" i="22" s="1"/>
  <c r="CB140" i="22"/>
  <c r="BW140" i="22"/>
  <c r="BI140" i="22" s="1"/>
  <c r="BR140" i="22"/>
  <c r="BD140" i="22" s="1"/>
  <c r="BZ139" i="22"/>
  <c r="BL139" i="22" s="1"/>
  <c r="BU139" i="22"/>
  <c r="BG139" i="22" s="1"/>
  <c r="BP139" i="22"/>
  <c r="CA138" i="22"/>
  <c r="BM138" i="22" s="1"/>
  <c r="BW138" i="22"/>
  <c r="BI138" i="22" s="1"/>
  <c r="BS138" i="22"/>
  <c r="BE138" i="22" s="1"/>
  <c r="BO138" i="22"/>
  <c r="B138" i="22" s="1"/>
  <c r="CC137" i="22"/>
  <c r="BY137" i="22"/>
  <c r="BK137" i="22" s="1"/>
  <c r="BU137" i="22"/>
  <c r="BG137" i="22" s="1"/>
  <c r="BQ137" i="22"/>
  <c r="C137" i="22" s="1"/>
  <c r="CA136" i="22"/>
  <c r="BM136" i="22" s="1"/>
  <c r="BW136" i="22"/>
  <c r="BI136" i="22" s="1"/>
  <c r="BS136" i="22"/>
  <c r="BE136" i="22" s="1"/>
  <c r="BO136" i="22"/>
  <c r="B136" i="22" s="1"/>
  <c r="CC135" i="22"/>
  <c r="BY135" i="22"/>
  <c r="BK135" i="22" s="1"/>
  <c r="BU135" i="22"/>
  <c r="BG135" i="22" s="1"/>
  <c r="BQ135" i="22"/>
  <c r="C135" i="22" s="1"/>
  <c r="CA134" i="22"/>
  <c r="BM134" i="22" s="1"/>
  <c r="BW134" i="22"/>
  <c r="BI134" i="22" s="1"/>
  <c r="BS134" i="22"/>
  <c r="BE134" i="22" s="1"/>
  <c r="BO134" i="22"/>
  <c r="B134" i="22" s="1"/>
  <c r="CC133" i="22"/>
  <c r="BY133" i="22"/>
  <c r="BK133" i="22" s="1"/>
  <c r="BU133" i="22"/>
  <c r="BG133" i="22" s="1"/>
  <c r="BQ133" i="22"/>
  <c r="C133" i="22" s="1"/>
  <c r="CA132" i="22"/>
  <c r="BM132" i="22" s="1"/>
  <c r="BW132" i="22"/>
  <c r="BI132" i="22" s="1"/>
  <c r="BS132" i="22"/>
  <c r="BE132" i="22" s="1"/>
  <c r="BO132" i="22"/>
  <c r="B132" i="22" s="1"/>
  <c r="CB131" i="22"/>
  <c r="BX131" i="22"/>
  <c r="BJ131" i="22" s="1"/>
  <c r="BT131" i="22"/>
  <c r="BF131" i="22" s="1"/>
  <c r="BP131" i="22"/>
  <c r="CC130" i="22"/>
  <c r="BY130" i="22"/>
  <c r="BK130" i="22" s="1"/>
  <c r="BU130" i="22"/>
  <c r="BG130" i="22" s="1"/>
  <c r="BQ130" i="22"/>
  <c r="C130" i="22" s="1"/>
  <c r="CD129" i="22"/>
  <c r="BZ129" i="22"/>
  <c r="BL129" i="22" s="1"/>
  <c r="BV129" i="22"/>
  <c r="BH129" i="22" s="1"/>
  <c r="BR129" i="22"/>
  <c r="BD129" i="22" s="1"/>
  <c r="CA128" i="22"/>
  <c r="BM128" i="22" s="1"/>
  <c r="BW128" i="22"/>
  <c r="BI128" i="22" s="1"/>
  <c r="BS128" i="22"/>
  <c r="BE128" i="22" s="1"/>
  <c r="BO128" i="22"/>
  <c r="B128" i="22" s="1"/>
  <c r="CB127" i="22"/>
  <c r="BX127" i="22"/>
  <c r="BJ127" i="22" s="1"/>
  <c r="BT127" i="22"/>
  <c r="BF127" i="22" s="1"/>
  <c r="BP127" i="22"/>
  <c r="CC126" i="22"/>
  <c r="BY126" i="22"/>
  <c r="BK126" i="22" s="1"/>
  <c r="BU126" i="22"/>
  <c r="BG126" i="22" s="1"/>
  <c r="BQ126" i="22"/>
  <c r="C126" i="22" s="1"/>
  <c r="CD125" i="22"/>
  <c r="BZ125" i="22"/>
  <c r="BL125" i="22" s="1"/>
  <c r="BV125" i="22"/>
  <c r="BH125" i="22" s="1"/>
  <c r="BR125" i="22"/>
  <c r="BD125" i="22" s="1"/>
  <c r="CA124" i="22"/>
  <c r="BM124" i="22" s="1"/>
  <c r="BW124" i="22"/>
  <c r="BI124" i="22" s="1"/>
  <c r="BS124" i="22"/>
  <c r="BE124" i="22" s="1"/>
  <c r="BO124" i="22"/>
  <c r="B124" i="22" s="1"/>
  <c r="CB123" i="22"/>
  <c r="BX123" i="22"/>
  <c r="BJ123" i="22" s="1"/>
  <c r="BT123" i="22"/>
  <c r="BF123" i="22" s="1"/>
  <c r="BP123" i="22"/>
  <c r="CD122" i="22"/>
  <c r="BZ122" i="22"/>
  <c r="BL122" i="22" s="1"/>
  <c r="BV122" i="22"/>
  <c r="BH122" i="22" s="1"/>
  <c r="BR122" i="22"/>
  <c r="BD122" i="22" s="1"/>
  <c r="CB121" i="22"/>
  <c r="BX121" i="22"/>
  <c r="BJ121" i="22" s="1"/>
  <c r="BT121" i="22"/>
  <c r="BF121" i="22" s="1"/>
  <c r="BP121" i="22"/>
  <c r="CC120" i="22"/>
  <c r="BY120" i="22"/>
  <c r="BK120" i="22" s="1"/>
  <c r="BU120" i="22"/>
  <c r="BG120" i="22" s="1"/>
  <c r="BQ120" i="22"/>
  <c r="C120" i="22" s="1"/>
  <c r="CB119" i="22"/>
  <c r="BX119" i="22"/>
  <c r="BJ119" i="22" s="1"/>
  <c r="BT119" i="22"/>
  <c r="BF119" i="22" s="1"/>
  <c r="BP119" i="22"/>
  <c r="CB118" i="22"/>
  <c r="BX118" i="22"/>
  <c r="BJ118" i="22" s="1"/>
  <c r="BT118" i="22"/>
  <c r="BF118" i="22" s="1"/>
  <c r="BP118" i="22"/>
  <c r="CB117" i="22"/>
  <c r="BX117" i="22"/>
  <c r="BJ117" i="22" s="1"/>
  <c r="BT117" i="22"/>
  <c r="BF117" i="22" s="1"/>
  <c r="BP117" i="22"/>
  <c r="CB116" i="22"/>
  <c r="BX116" i="22"/>
  <c r="BJ116" i="22" s="1"/>
  <c r="BT116" i="22"/>
  <c r="BF116" i="22" s="1"/>
  <c r="BP116" i="22"/>
  <c r="CA115" i="22"/>
  <c r="BM115" i="22" s="1"/>
  <c r="BW115" i="22"/>
  <c r="BI115" i="22" s="1"/>
  <c r="BS115" i="22"/>
  <c r="BE115" i="22" s="1"/>
  <c r="BO115" i="22"/>
  <c r="CC114" i="22"/>
  <c r="BY114" i="22"/>
  <c r="BK114" i="22" s="1"/>
  <c r="BU114" i="22"/>
  <c r="BG114" i="22" s="1"/>
  <c r="BQ114" i="22"/>
  <c r="C114" i="22" s="1"/>
  <c r="CB113" i="22"/>
  <c r="BX113" i="22"/>
  <c r="BJ113" i="22" s="1"/>
  <c r="BT113" i="22"/>
  <c r="BF113" i="22" s="1"/>
  <c r="BP113" i="22"/>
  <c r="CD112" i="22"/>
  <c r="BZ112" i="22"/>
  <c r="BL112" i="22" s="1"/>
  <c r="BV112" i="22"/>
  <c r="BH112" i="22" s="1"/>
  <c r="BR112" i="22"/>
  <c r="BD112" i="22" s="1"/>
  <c r="CA111" i="22"/>
  <c r="BM111" i="22" s="1"/>
  <c r="BW111" i="22"/>
  <c r="BI111" i="22" s="1"/>
  <c r="BS111" i="22"/>
  <c r="BE111" i="22" s="1"/>
  <c r="BO111" i="22"/>
  <c r="B111" i="22" s="1"/>
  <c r="CA110" i="22"/>
  <c r="BM110" i="22" s="1"/>
  <c r="BW110" i="22"/>
  <c r="BI110" i="22" s="1"/>
  <c r="BS110" i="22"/>
  <c r="BE110" i="22" s="1"/>
  <c r="BO110" i="22"/>
  <c r="B110" i="22" s="1"/>
  <c r="CA109" i="22"/>
  <c r="BM109" i="22" s="1"/>
  <c r="BW109" i="22"/>
  <c r="BI109" i="22" s="1"/>
  <c r="BS109" i="22"/>
  <c r="BE109" i="22" s="1"/>
  <c r="BO109" i="22"/>
  <c r="B109" i="22" s="1"/>
  <c r="CA108" i="22"/>
  <c r="BM108" i="22" s="1"/>
  <c r="BW108" i="22"/>
  <c r="BI108" i="22" s="1"/>
  <c r="BS108" i="22"/>
  <c r="BE108" i="22" s="1"/>
  <c r="BO108" i="22"/>
  <c r="B108" i="22" s="1"/>
  <c r="CD107" i="22"/>
  <c r="BZ107" i="22"/>
  <c r="BL107" i="22" s="1"/>
  <c r="BV107" i="22"/>
  <c r="BH107" i="22" s="1"/>
  <c r="BR107" i="22"/>
  <c r="BD107" i="22" s="1"/>
  <c r="CC106" i="22"/>
  <c r="BY106" i="22"/>
  <c r="BK106" i="22" s="1"/>
  <c r="BU106" i="22"/>
  <c r="BG106" i="22" s="1"/>
  <c r="BQ106" i="22"/>
  <c r="C106" i="22" s="1"/>
  <c r="CC105" i="22"/>
  <c r="BY105" i="22"/>
  <c r="BK105" i="22" s="1"/>
  <c r="BU105" i="22"/>
  <c r="BG105" i="22" s="1"/>
  <c r="BQ105" i="22"/>
  <c r="C105" i="22" s="1"/>
  <c r="CC104" i="22"/>
  <c r="BY104" i="22"/>
  <c r="BK104" i="22" s="1"/>
  <c r="BU104" i="22"/>
  <c r="BG104" i="22" s="1"/>
  <c r="BQ104" i="22"/>
  <c r="C104" i="22" s="1"/>
  <c r="CB103" i="22"/>
  <c r="BX103" i="22"/>
  <c r="BJ103" i="22" s="1"/>
  <c r="BT103" i="22"/>
  <c r="BF103" i="22" s="1"/>
  <c r="BP103" i="22"/>
  <c r="CA102" i="22"/>
  <c r="BM102" i="22" s="1"/>
  <c r="BW102" i="22"/>
  <c r="BI102" i="22" s="1"/>
  <c r="CB154" i="22"/>
  <c r="BR153" i="22"/>
  <c r="BD153" i="22" s="1"/>
  <c r="BT152" i="22"/>
  <c r="BF152" i="22" s="1"/>
  <c r="BZ151" i="22"/>
  <c r="BL151" i="22" s="1"/>
  <c r="BQ151" i="22"/>
  <c r="C151" i="22" s="1"/>
  <c r="CC150" i="22"/>
  <c r="BW150" i="22"/>
  <c r="BI150" i="22" s="1"/>
  <c r="BR150" i="22"/>
  <c r="BD150" i="22" s="1"/>
  <c r="BZ149" i="22"/>
  <c r="BL149" i="22" s="1"/>
  <c r="BT149" i="22"/>
  <c r="BF149" i="22" s="1"/>
  <c r="BO149" i="22"/>
  <c r="B149" i="22" s="1"/>
  <c r="CA148" i="22"/>
  <c r="BM148" i="22" s="1"/>
  <c r="BU148" i="22"/>
  <c r="BG148" i="22" s="1"/>
  <c r="BP148" i="22"/>
  <c r="CD147" i="22"/>
  <c r="BY147" i="22"/>
  <c r="BK147" i="22" s="1"/>
  <c r="BT147" i="22"/>
  <c r="BF147" i="22" s="1"/>
  <c r="CD146" i="22"/>
  <c r="BX146" i="22"/>
  <c r="BJ146" i="22" s="1"/>
  <c r="BS146" i="22"/>
  <c r="BE146" i="22" s="1"/>
  <c r="CB145" i="22"/>
  <c r="BV145" i="22"/>
  <c r="BH145" i="22" s="1"/>
  <c r="BQ145" i="22"/>
  <c r="C145" i="22" s="1"/>
  <c r="CA144" i="22"/>
  <c r="BM144" i="22" s="1"/>
  <c r="BV144" i="22"/>
  <c r="BH144" i="22" s="1"/>
  <c r="BP144" i="22"/>
  <c r="CB143" i="22"/>
  <c r="BW143" i="22"/>
  <c r="BI143" i="22" s="1"/>
  <c r="BQ143" i="22"/>
  <c r="C143" i="22" s="1"/>
  <c r="BZ142" i="22"/>
  <c r="BL142" i="22" s="1"/>
  <c r="BU142" i="22"/>
  <c r="BG142" i="22" s="1"/>
  <c r="BP142" i="22"/>
  <c r="CD141" i="22"/>
  <c r="BY141" i="22"/>
  <c r="BK141" i="22" s="1"/>
  <c r="BS141" i="22"/>
  <c r="BE141" i="22" s="1"/>
  <c r="CA140" i="22"/>
  <c r="BM140" i="22" s="1"/>
  <c r="BV140" i="22"/>
  <c r="BH140" i="22" s="1"/>
  <c r="BP140" i="22"/>
  <c r="CD139" i="22"/>
  <c r="BY139" i="22"/>
  <c r="BK139" i="22" s="1"/>
  <c r="BT139" i="22"/>
  <c r="BF139" i="22" s="1"/>
  <c r="CD138" i="22"/>
  <c r="BZ138" i="22"/>
  <c r="BL138" i="22" s="1"/>
  <c r="BV138" i="22"/>
  <c r="BH138" i="22" s="1"/>
  <c r="BR138" i="22"/>
  <c r="BD138" i="22" s="1"/>
  <c r="CB137" i="22"/>
  <c r="BX137" i="22"/>
  <c r="BJ137" i="22" s="1"/>
  <c r="BT137" i="22"/>
  <c r="BF137" i="22" s="1"/>
  <c r="BP137" i="22"/>
  <c r="CD136" i="22"/>
  <c r="BZ136" i="22"/>
  <c r="BL136" i="22" s="1"/>
  <c r="BV136" i="22"/>
  <c r="BH136" i="22" s="1"/>
  <c r="BR136" i="22"/>
  <c r="BD136" i="22" s="1"/>
  <c r="CB135" i="22"/>
  <c r="BX135" i="22"/>
  <c r="BJ135" i="22" s="1"/>
  <c r="BT135" i="22"/>
  <c r="BF135" i="22" s="1"/>
  <c r="BP135" i="22"/>
  <c r="CD134" i="22"/>
  <c r="BZ134" i="22"/>
  <c r="BL134" i="22" s="1"/>
  <c r="BV134" i="22"/>
  <c r="BH134" i="22" s="1"/>
  <c r="BR134" i="22"/>
  <c r="BD134" i="22" s="1"/>
  <c r="CB133" i="22"/>
  <c r="BX133" i="22"/>
  <c r="BJ133" i="22" s="1"/>
  <c r="BT133" i="22"/>
  <c r="BF133" i="22" s="1"/>
  <c r="BP133" i="22"/>
  <c r="CD132" i="22"/>
  <c r="BZ132" i="22"/>
  <c r="BL132" i="22" s="1"/>
  <c r="BV132" i="22"/>
  <c r="BH132" i="22" s="1"/>
  <c r="BR132" i="22"/>
  <c r="BD132" i="22" s="1"/>
  <c r="CA131" i="22"/>
  <c r="BM131" i="22" s="1"/>
  <c r="BW131" i="22"/>
  <c r="BI131" i="22" s="1"/>
  <c r="BS131" i="22"/>
  <c r="BE131" i="22" s="1"/>
  <c r="BO131" i="22"/>
  <c r="B131" i="22" s="1"/>
  <c r="CB130" i="22"/>
  <c r="BX130" i="22"/>
  <c r="BJ130" i="22" s="1"/>
  <c r="BT130" i="22"/>
  <c r="BF130" i="22" s="1"/>
  <c r="BP130" i="22"/>
  <c r="CC129" i="22"/>
  <c r="BY129" i="22"/>
  <c r="BK129" i="22" s="1"/>
  <c r="BU129" i="22"/>
  <c r="BG129" i="22" s="1"/>
  <c r="BQ129" i="22"/>
  <c r="C129" i="22" s="1"/>
  <c r="CD128" i="22"/>
  <c r="BZ128" i="22"/>
  <c r="BL128" i="22" s="1"/>
  <c r="BV128" i="22"/>
  <c r="BH128" i="22" s="1"/>
  <c r="BR128" i="22"/>
  <c r="BD128" i="22" s="1"/>
  <c r="CA127" i="22"/>
  <c r="BM127" i="22" s="1"/>
  <c r="BW127" i="22"/>
  <c r="BI127" i="22" s="1"/>
  <c r="BS127" i="22"/>
  <c r="BE127" i="22" s="1"/>
  <c r="BO127" i="22"/>
  <c r="B127" i="22" s="1"/>
  <c r="CB126" i="22"/>
  <c r="BX126" i="22"/>
  <c r="BJ126" i="22" s="1"/>
  <c r="BT126" i="22"/>
  <c r="BF126" i="22" s="1"/>
  <c r="BP126" i="22"/>
  <c r="CC125" i="22"/>
  <c r="BY125" i="22"/>
  <c r="BK125" i="22" s="1"/>
  <c r="BU125" i="22"/>
  <c r="BG125" i="22" s="1"/>
  <c r="BQ125" i="22"/>
  <c r="C125" i="22" s="1"/>
  <c r="CD124" i="22"/>
  <c r="BZ124" i="22"/>
  <c r="BL124" i="22" s="1"/>
  <c r="BV124" i="22"/>
  <c r="BH124" i="22" s="1"/>
  <c r="BR124" i="22"/>
  <c r="BD124" i="22" s="1"/>
  <c r="CA123" i="22"/>
  <c r="BM123" i="22" s="1"/>
  <c r="BW123" i="22"/>
  <c r="BI123" i="22" s="1"/>
  <c r="BS123" i="22"/>
  <c r="BE123" i="22" s="1"/>
  <c r="BO123" i="22"/>
  <c r="B123" i="22" s="1"/>
  <c r="CC122" i="22"/>
  <c r="BY122" i="22"/>
  <c r="BK122" i="22" s="1"/>
  <c r="BU122" i="22"/>
  <c r="BG122" i="22" s="1"/>
  <c r="BQ122" i="22"/>
  <c r="C122" i="22" s="1"/>
  <c r="CA121" i="22"/>
  <c r="BM121" i="22" s="1"/>
  <c r="BW121" i="22"/>
  <c r="BI121" i="22" s="1"/>
  <c r="BS121" i="22"/>
  <c r="BE121" i="22" s="1"/>
  <c r="BO121" i="22"/>
  <c r="B121" i="22" s="1"/>
  <c r="CB120" i="22"/>
  <c r="BX120" i="22"/>
  <c r="BJ120" i="22" s="1"/>
  <c r="BT120" i="22"/>
  <c r="BF120" i="22" s="1"/>
  <c r="BP120" i="22"/>
  <c r="CA119" i="22"/>
  <c r="BM119" i="22" s="1"/>
  <c r="BW119" i="22"/>
  <c r="BI119" i="22" s="1"/>
  <c r="BS119" i="22"/>
  <c r="BE119" i="22" s="1"/>
  <c r="BO119" i="22"/>
  <c r="B119" i="22" s="1"/>
  <c r="CA118" i="22"/>
  <c r="BM118" i="22" s="1"/>
  <c r="BW118" i="22"/>
  <c r="BI118" i="22" s="1"/>
  <c r="BS118" i="22"/>
  <c r="BE118" i="22" s="1"/>
  <c r="BO118" i="22"/>
  <c r="B118" i="22" s="1"/>
  <c r="CA117" i="22"/>
  <c r="BM117" i="22" s="1"/>
  <c r="BW117" i="22"/>
  <c r="BI117" i="22" s="1"/>
  <c r="BS117" i="22"/>
  <c r="BE117" i="22" s="1"/>
  <c r="BO117" i="22"/>
  <c r="B117" i="22" s="1"/>
  <c r="CA116" i="22"/>
  <c r="BM116" i="22" s="1"/>
  <c r="BW116" i="22"/>
  <c r="BI116" i="22" s="1"/>
  <c r="BS116" i="22"/>
  <c r="BE116" i="22" s="1"/>
  <c r="BO116" i="22"/>
  <c r="B116" i="22" s="1"/>
  <c r="CD115" i="22"/>
  <c r="BZ115" i="22"/>
  <c r="BL115" i="22" s="1"/>
  <c r="BV115" i="22"/>
  <c r="BH115" i="22" s="1"/>
  <c r="BR115" i="22"/>
  <c r="BD115" i="22" s="1"/>
  <c r="CB114" i="22"/>
  <c r="BX114" i="22"/>
  <c r="BJ114" i="22" s="1"/>
  <c r="BT114" i="22"/>
  <c r="BF114" i="22" s="1"/>
  <c r="BP114" i="22"/>
  <c r="CA113" i="22"/>
  <c r="BM113" i="22" s="1"/>
  <c r="BW113" i="22"/>
  <c r="BI113" i="22" s="1"/>
  <c r="BS113" i="22"/>
  <c r="BE113" i="22" s="1"/>
  <c r="BO113" i="22"/>
  <c r="B113" i="22" s="1"/>
  <c r="CC112" i="22"/>
  <c r="BY112" i="22"/>
  <c r="BK112" i="22" s="1"/>
  <c r="BU112" i="22"/>
  <c r="BG112" i="22" s="1"/>
  <c r="BQ112" i="22"/>
  <c r="C112" i="22" s="1"/>
  <c r="CD111" i="22"/>
  <c r="BZ111" i="22"/>
  <c r="BL111" i="22" s="1"/>
  <c r="BV111" i="22"/>
  <c r="BH111" i="22" s="1"/>
  <c r="BR111" i="22"/>
  <c r="BD111" i="22" s="1"/>
  <c r="CD110" i="22"/>
  <c r="BZ110" i="22"/>
  <c r="BL110" i="22" s="1"/>
  <c r="BV110" i="22"/>
  <c r="BH110" i="22" s="1"/>
  <c r="BR110" i="22"/>
  <c r="BD110" i="22" s="1"/>
  <c r="CD109" i="22"/>
  <c r="BZ109" i="22"/>
  <c r="BL109" i="22" s="1"/>
  <c r="BV109" i="22"/>
  <c r="BH109" i="22" s="1"/>
  <c r="BR109" i="22"/>
  <c r="BD109" i="22" s="1"/>
  <c r="CD108" i="22"/>
  <c r="BZ108" i="22"/>
  <c r="BL108" i="22" s="1"/>
  <c r="BV108" i="22"/>
  <c r="BH108" i="22" s="1"/>
  <c r="BR108" i="22"/>
  <c r="BD108" i="22" s="1"/>
  <c r="CC107" i="22"/>
  <c r="BY107" i="22"/>
  <c r="BK107" i="22" s="1"/>
  <c r="BU107" i="22"/>
  <c r="BG107" i="22" s="1"/>
  <c r="BQ107" i="22"/>
  <c r="C107" i="22" s="1"/>
  <c r="CB106" i="22"/>
  <c r="BX106" i="22"/>
  <c r="BJ106" i="22" s="1"/>
  <c r="BT106" i="22"/>
  <c r="BF106" i="22" s="1"/>
  <c r="BP106" i="22"/>
  <c r="CB105" i="22"/>
  <c r="BX105" i="22"/>
  <c r="BJ105" i="22" s="1"/>
  <c r="BT105" i="22"/>
  <c r="BF105" i="22" s="1"/>
  <c r="BP105" i="22"/>
  <c r="CB104" i="22"/>
  <c r="BX104" i="22"/>
  <c r="BJ104" i="22" s="1"/>
  <c r="BT104" i="22"/>
  <c r="BF104" i="22" s="1"/>
  <c r="BP104" i="22"/>
  <c r="CA103" i="22"/>
  <c r="BM103" i="22" s="1"/>
  <c r="BX154" i="22"/>
  <c r="BJ154" i="22" s="1"/>
  <c r="CD153" i="22"/>
  <c r="BP152" i="22"/>
  <c r="BV151" i="22"/>
  <c r="BH151" i="22" s="1"/>
  <c r="CA150" i="22"/>
  <c r="BM150" i="22" s="1"/>
  <c r="BV150" i="22"/>
  <c r="BH150" i="22" s="1"/>
  <c r="BQ150" i="22"/>
  <c r="C150" i="22" s="1"/>
  <c r="CD149" i="22"/>
  <c r="BX149" i="22"/>
  <c r="BJ149" i="22" s="1"/>
  <c r="BS149" i="22"/>
  <c r="BE149" i="22" s="1"/>
  <c r="BY148" i="22"/>
  <c r="BK148" i="22" s="1"/>
  <c r="BT148" i="22"/>
  <c r="BF148" i="22" s="1"/>
  <c r="BO148" i="22"/>
  <c r="B148" i="22" s="1"/>
  <c r="CC147" i="22"/>
  <c r="BX147" i="22"/>
  <c r="BJ147" i="22" s="1"/>
  <c r="BR147" i="22"/>
  <c r="BD147" i="22" s="1"/>
  <c r="CB146" i="22"/>
  <c r="BW146" i="22"/>
  <c r="BI146" i="22" s="1"/>
  <c r="BR146" i="22"/>
  <c r="BD146" i="22" s="1"/>
  <c r="BZ145" i="22"/>
  <c r="BL145" i="22" s="1"/>
  <c r="BU145" i="22"/>
  <c r="BG145" i="22" s="1"/>
  <c r="BP145" i="22"/>
  <c r="BZ144" i="22"/>
  <c r="BL144" i="22" s="1"/>
  <c r="BT144" i="22"/>
  <c r="BF144" i="22" s="1"/>
  <c r="BO144" i="22"/>
  <c r="B144" i="22" s="1"/>
  <c r="CA143" i="22"/>
  <c r="BM143" i="22" s="1"/>
  <c r="BU143" i="22"/>
  <c r="BG143" i="22" s="1"/>
  <c r="BP143" i="22"/>
  <c r="CD142" i="22"/>
  <c r="BY142" i="22"/>
  <c r="BK142" i="22" s="1"/>
  <c r="BT142" i="22"/>
  <c r="BF142" i="22" s="1"/>
  <c r="CC141" i="22"/>
  <c r="BW141" i="22"/>
  <c r="BI141" i="22" s="1"/>
  <c r="BR141" i="22"/>
  <c r="BD141" i="22" s="1"/>
  <c r="BZ140" i="22"/>
  <c r="BL140" i="22" s="1"/>
  <c r="BT140" i="22"/>
  <c r="BF140" i="22" s="1"/>
  <c r="BO140" i="22"/>
  <c r="B140" i="22" s="1"/>
  <c r="CC139" i="22"/>
  <c r="BX139" i="22"/>
  <c r="BJ139" i="22" s="1"/>
  <c r="BR139" i="22"/>
  <c r="BD139" i="22" s="1"/>
  <c r="CC138" i="22"/>
  <c r="BY138" i="22"/>
  <c r="BK138" i="22" s="1"/>
  <c r="BU138" i="22"/>
  <c r="BG138" i="22" s="1"/>
  <c r="BQ138" i="22"/>
  <c r="C138" i="22" s="1"/>
  <c r="CA137" i="22"/>
  <c r="BM137" i="22" s="1"/>
  <c r="BW137" i="22"/>
  <c r="BI137" i="22" s="1"/>
  <c r="BS137" i="22"/>
  <c r="BE137" i="22" s="1"/>
  <c r="BO137" i="22"/>
  <c r="B137" i="22" s="1"/>
  <c r="CC136" i="22"/>
  <c r="BY136" i="22"/>
  <c r="BK136" i="22" s="1"/>
  <c r="BU136" i="22"/>
  <c r="BG136" i="22" s="1"/>
  <c r="BQ136" i="22"/>
  <c r="C136" i="22" s="1"/>
  <c r="CA135" i="22"/>
  <c r="BM135" i="22" s="1"/>
  <c r="BW135" i="22"/>
  <c r="BI135" i="22" s="1"/>
  <c r="BS135" i="22"/>
  <c r="BE135" i="22" s="1"/>
  <c r="BO135" i="22"/>
  <c r="B135" i="22" s="1"/>
  <c r="CC134" i="22"/>
  <c r="BY134" i="22"/>
  <c r="BK134" i="22" s="1"/>
  <c r="BU134" i="22"/>
  <c r="BG134" i="22" s="1"/>
  <c r="BQ134" i="22"/>
  <c r="C134" i="22" s="1"/>
  <c r="CA133" i="22"/>
  <c r="BM133" i="22" s="1"/>
  <c r="BW133" i="22"/>
  <c r="BI133" i="22" s="1"/>
  <c r="BS133" i="22"/>
  <c r="BE133" i="22" s="1"/>
  <c r="BO133" i="22"/>
  <c r="B133" i="22" s="1"/>
  <c r="CC132" i="22"/>
  <c r="BY132" i="22"/>
  <c r="BK132" i="22" s="1"/>
  <c r="BU132" i="22"/>
  <c r="BG132" i="22" s="1"/>
  <c r="BQ132" i="22"/>
  <c r="C132" i="22" s="1"/>
  <c r="CD131" i="22"/>
  <c r="BZ131" i="22"/>
  <c r="BL131" i="22" s="1"/>
  <c r="BV131" i="22"/>
  <c r="BH131" i="22" s="1"/>
  <c r="BR131" i="22"/>
  <c r="BD131" i="22" s="1"/>
  <c r="CA130" i="22"/>
  <c r="BM130" i="22" s="1"/>
  <c r="BW130" i="22"/>
  <c r="BI130" i="22" s="1"/>
  <c r="BS130" i="22"/>
  <c r="BE130" i="22" s="1"/>
  <c r="BO130" i="22"/>
  <c r="B130" i="22" s="1"/>
  <c r="CB129" i="22"/>
  <c r="BX129" i="22"/>
  <c r="BJ129" i="22" s="1"/>
  <c r="BT129" i="22"/>
  <c r="BF129" i="22" s="1"/>
  <c r="BP129" i="22"/>
  <c r="CC128" i="22"/>
  <c r="BY128" i="22"/>
  <c r="BK128" i="22" s="1"/>
  <c r="BU128" i="22"/>
  <c r="BG128" i="22" s="1"/>
  <c r="BQ128" i="22"/>
  <c r="C128" i="22" s="1"/>
  <c r="CD127" i="22"/>
  <c r="BZ127" i="22"/>
  <c r="BL127" i="22" s="1"/>
  <c r="BV127" i="22"/>
  <c r="BH127" i="22" s="1"/>
  <c r="BR127" i="22"/>
  <c r="BD127" i="22" s="1"/>
  <c r="CA126" i="22"/>
  <c r="BM126" i="22" s="1"/>
  <c r="BW126" i="22"/>
  <c r="BI126" i="22" s="1"/>
  <c r="BS126" i="22"/>
  <c r="BE126" i="22" s="1"/>
  <c r="BO126" i="22"/>
  <c r="B126" i="22" s="1"/>
  <c r="CB125" i="22"/>
  <c r="BX125" i="22"/>
  <c r="BJ125" i="22" s="1"/>
  <c r="BT125" i="22"/>
  <c r="BF125" i="22" s="1"/>
  <c r="BP125" i="22"/>
  <c r="CC124" i="22"/>
  <c r="BY124" i="22"/>
  <c r="BK124" i="22" s="1"/>
  <c r="BU124" i="22"/>
  <c r="BG124" i="22" s="1"/>
  <c r="BQ124" i="22"/>
  <c r="C124" i="22" s="1"/>
  <c r="CD123" i="22"/>
  <c r="BZ123" i="22"/>
  <c r="BL123" i="22" s="1"/>
  <c r="BV123" i="22"/>
  <c r="BH123" i="22" s="1"/>
  <c r="BR123" i="22"/>
  <c r="BD123" i="22" s="1"/>
  <c r="CB122" i="22"/>
  <c r="BX122" i="22"/>
  <c r="BJ122" i="22" s="1"/>
  <c r="BT122" i="22"/>
  <c r="BF122" i="22" s="1"/>
  <c r="BP122" i="22"/>
  <c r="CD121" i="22"/>
  <c r="BZ121" i="22"/>
  <c r="BL121" i="22" s="1"/>
  <c r="BV121" i="22"/>
  <c r="BH121" i="22" s="1"/>
  <c r="BR121" i="22"/>
  <c r="BD121" i="22" s="1"/>
  <c r="CA120" i="22"/>
  <c r="BM120" i="22" s="1"/>
  <c r="BW120" i="22"/>
  <c r="BI120" i="22" s="1"/>
  <c r="BS120" i="22"/>
  <c r="BE120" i="22" s="1"/>
  <c r="BO120" i="22"/>
  <c r="B120" i="22" s="1"/>
  <c r="CD119" i="22"/>
  <c r="BZ119" i="22"/>
  <c r="BL119" i="22" s="1"/>
  <c r="BV119" i="22"/>
  <c r="BH119" i="22" s="1"/>
  <c r="BR119" i="22"/>
  <c r="BD119" i="22" s="1"/>
  <c r="CD118" i="22"/>
  <c r="BZ118" i="22"/>
  <c r="BL118" i="22" s="1"/>
  <c r="BV118" i="22"/>
  <c r="BH118" i="22" s="1"/>
  <c r="BR118" i="22"/>
  <c r="BD118" i="22" s="1"/>
  <c r="CD117" i="22"/>
  <c r="BZ117" i="22"/>
  <c r="BL117" i="22" s="1"/>
  <c r="BV117" i="22"/>
  <c r="BH117" i="22" s="1"/>
  <c r="BR117" i="22"/>
  <c r="BD117" i="22" s="1"/>
  <c r="CD116" i="22"/>
  <c r="BZ116" i="22"/>
  <c r="BL116" i="22" s="1"/>
  <c r="BV116" i="22"/>
  <c r="BH116" i="22" s="1"/>
  <c r="BR116" i="22"/>
  <c r="BD116" i="22" s="1"/>
  <c r="CC115" i="22"/>
  <c r="BY115" i="22"/>
  <c r="BK115" i="22" s="1"/>
  <c r="BU115" i="22"/>
  <c r="BG115" i="22" s="1"/>
  <c r="BQ115" i="22"/>
  <c r="C115" i="22" s="1"/>
  <c r="CA114" i="22"/>
  <c r="BM114" i="22" s="1"/>
  <c r="BW114" i="22"/>
  <c r="BI114" i="22" s="1"/>
  <c r="BS114" i="22"/>
  <c r="BE114" i="22" s="1"/>
  <c r="BO114" i="22"/>
  <c r="CD113" i="22"/>
  <c r="BZ113" i="22"/>
  <c r="BL113" i="22" s="1"/>
  <c r="BV113" i="22"/>
  <c r="BH113" i="22" s="1"/>
  <c r="BR113" i="22"/>
  <c r="BD113" i="22" s="1"/>
  <c r="CB112" i="22"/>
  <c r="BX112" i="22"/>
  <c r="BJ112" i="22" s="1"/>
  <c r="BT112" i="22"/>
  <c r="BF112" i="22" s="1"/>
  <c r="BP112" i="22"/>
  <c r="CC111" i="22"/>
  <c r="BY111" i="22"/>
  <c r="BK111" i="22" s="1"/>
  <c r="BU111" i="22"/>
  <c r="BG111" i="22" s="1"/>
  <c r="BQ111" i="22"/>
  <c r="C111" i="22" s="1"/>
  <c r="CC110" i="22"/>
  <c r="BY110" i="22"/>
  <c r="BK110" i="22" s="1"/>
  <c r="BU110" i="22"/>
  <c r="BG110" i="22" s="1"/>
  <c r="BQ110" i="22"/>
  <c r="C110" i="22" s="1"/>
  <c r="CC109" i="22"/>
  <c r="BY109" i="22"/>
  <c r="BK109" i="22" s="1"/>
  <c r="BU109" i="22"/>
  <c r="BG109" i="22" s="1"/>
  <c r="BQ109" i="22"/>
  <c r="C109" i="22" s="1"/>
  <c r="CC108" i="22"/>
  <c r="BY108" i="22"/>
  <c r="BK108" i="22" s="1"/>
  <c r="BU108" i="22"/>
  <c r="BG108" i="22" s="1"/>
  <c r="BQ108" i="22"/>
  <c r="C108" i="22" s="1"/>
  <c r="CB107" i="22"/>
  <c r="BX107" i="22"/>
  <c r="BJ107" i="22" s="1"/>
  <c r="BT107" i="22"/>
  <c r="BF107" i="22" s="1"/>
  <c r="BP107" i="22"/>
  <c r="CA106" i="22"/>
  <c r="BM106" i="22" s="1"/>
  <c r="BW106" i="22"/>
  <c r="BI106" i="22" s="1"/>
  <c r="BS106" i="22"/>
  <c r="BE106" i="22" s="1"/>
  <c r="BO106" i="22"/>
  <c r="B106" i="22" s="1"/>
  <c r="CA105" i="22"/>
  <c r="BM105" i="22" s="1"/>
  <c r="BW105" i="22"/>
  <c r="BI105" i="22" s="1"/>
  <c r="BS105" i="22"/>
  <c r="BE105" i="22" s="1"/>
  <c r="BO105" i="22"/>
  <c r="B105" i="22" s="1"/>
  <c r="CA104" i="22"/>
  <c r="BM104" i="22" s="1"/>
  <c r="BW104" i="22"/>
  <c r="BI104" i="22" s="1"/>
  <c r="BS104" i="22"/>
  <c r="BE104" i="22" s="1"/>
  <c r="BO104" i="22"/>
  <c r="B104" i="22" s="1"/>
  <c r="CD103" i="22"/>
  <c r="BZ103" i="22"/>
  <c r="BL103" i="22" s="1"/>
  <c r="BV103" i="22"/>
  <c r="BH103" i="22" s="1"/>
  <c r="BR103" i="22"/>
  <c r="BD103" i="22" s="1"/>
  <c r="CC102" i="22"/>
  <c r="BY102" i="22"/>
  <c r="BK102" i="22" s="1"/>
  <c r="BU102" i="22"/>
  <c r="BG102" i="22" s="1"/>
  <c r="BQ102" i="22"/>
  <c r="C102" i="22" s="1"/>
  <c r="CC101" i="22"/>
  <c r="BY101" i="22"/>
  <c r="BK101" i="22" s="1"/>
  <c r="BU101" i="22"/>
  <c r="BG101" i="22" s="1"/>
  <c r="BQ101" i="22"/>
  <c r="C101" i="22" s="1"/>
  <c r="CA100" i="22"/>
  <c r="BM100" i="22" s="1"/>
  <c r="BW100" i="22"/>
  <c r="BI100" i="22" s="1"/>
  <c r="BS100" i="22"/>
  <c r="BE100" i="22" s="1"/>
  <c r="BO100" i="22"/>
  <c r="B100" i="22" s="1"/>
  <c r="CB99" i="22"/>
  <c r="BX99" i="22"/>
  <c r="BJ99" i="22" s="1"/>
  <c r="BT99" i="22"/>
  <c r="BF99" i="22" s="1"/>
  <c r="BP99" i="22"/>
  <c r="CC98" i="22"/>
  <c r="BY98" i="22"/>
  <c r="BK98" i="22" s="1"/>
  <c r="BU98" i="22"/>
  <c r="BG98" i="22" s="1"/>
  <c r="BQ98" i="22"/>
  <c r="C98" i="22" s="1"/>
  <c r="CA97" i="22"/>
  <c r="BM97" i="22" s="1"/>
  <c r="BW97" i="22"/>
  <c r="BI97" i="22" s="1"/>
  <c r="BS97" i="22"/>
  <c r="BE97" i="22" s="1"/>
  <c r="BO97" i="22"/>
  <c r="B97" i="22" s="1"/>
  <c r="CC96" i="22"/>
  <c r="BY96" i="22"/>
  <c r="BK96" i="22" s="1"/>
  <c r="BU96" i="22"/>
  <c r="BG96" i="22" s="1"/>
  <c r="BQ96" i="22"/>
  <c r="C96" i="22" s="1"/>
  <c r="CA95" i="22"/>
  <c r="BM95" i="22" s="1"/>
  <c r="BW95" i="22"/>
  <c r="BI95" i="22" s="1"/>
  <c r="BS95" i="22"/>
  <c r="BE95" i="22" s="1"/>
  <c r="BO95" i="22"/>
  <c r="B95" i="22" s="1"/>
  <c r="CC94" i="22"/>
  <c r="BY94" i="22"/>
  <c r="BK94" i="22" s="1"/>
  <c r="BU94" i="22"/>
  <c r="BG94" i="22" s="1"/>
  <c r="BQ94" i="22"/>
  <c r="C94" i="22" s="1"/>
  <c r="CA93" i="22"/>
  <c r="BM93" i="22" s="1"/>
  <c r="BW93" i="22"/>
  <c r="BI93" i="22" s="1"/>
  <c r="BS93" i="22"/>
  <c r="BE93" i="22" s="1"/>
  <c r="BO93" i="22"/>
  <c r="B93" i="22" s="1"/>
  <c r="CB92" i="22"/>
  <c r="BX92" i="22"/>
  <c r="BJ92" i="22" s="1"/>
  <c r="BT92" i="22"/>
  <c r="BF92" i="22" s="1"/>
  <c r="BP92" i="22"/>
  <c r="CC91" i="22"/>
  <c r="BY91" i="22"/>
  <c r="BK91" i="22" s="1"/>
  <c r="BU91" i="22"/>
  <c r="BG91" i="22" s="1"/>
  <c r="BQ91" i="22"/>
  <c r="C91" i="22" s="1"/>
  <c r="CD90" i="22"/>
  <c r="BZ90" i="22"/>
  <c r="BL90" i="22" s="1"/>
  <c r="BV90" i="22"/>
  <c r="BH90" i="22" s="1"/>
  <c r="BR90" i="22"/>
  <c r="BD90" i="22" s="1"/>
  <c r="BW103" i="22"/>
  <c r="BI103" i="22" s="1"/>
  <c r="BO103" i="22"/>
  <c r="B103" i="22" s="1"/>
  <c r="BZ102" i="22"/>
  <c r="BL102" i="22" s="1"/>
  <c r="BS102" i="22"/>
  <c r="BE102" i="22" s="1"/>
  <c r="CD101" i="22"/>
  <c r="BX101" i="22"/>
  <c r="BJ101" i="22" s="1"/>
  <c r="BS101" i="22"/>
  <c r="BE101" i="22" s="1"/>
  <c r="CB100" i="22"/>
  <c r="BV100" i="22"/>
  <c r="BH100" i="22" s="1"/>
  <c r="BQ100" i="22"/>
  <c r="C100" i="22" s="1"/>
  <c r="BZ99" i="22"/>
  <c r="BL99" i="22" s="1"/>
  <c r="BU99" i="22"/>
  <c r="BG99" i="22" s="1"/>
  <c r="BO99" i="22"/>
  <c r="B99" i="22" s="1"/>
  <c r="CD98" i="22"/>
  <c r="BX98" i="22"/>
  <c r="BJ98" i="22" s="1"/>
  <c r="BS98" i="22"/>
  <c r="BE98" i="22" s="1"/>
  <c r="CB97" i="22"/>
  <c r="BV97" i="22"/>
  <c r="BH97" i="22" s="1"/>
  <c r="BQ97" i="22"/>
  <c r="C97" i="22" s="1"/>
  <c r="CA96" i="22"/>
  <c r="BM96" i="22" s="1"/>
  <c r="BV96" i="22"/>
  <c r="BH96" i="22" s="1"/>
  <c r="BP96" i="22"/>
  <c r="CD95" i="22"/>
  <c r="BY95" i="22"/>
  <c r="BK95" i="22" s="1"/>
  <c r="BT95" i="22"/>
  <c r="BF95" i="22" s="1"/>
  <c r="CD94" i="22"/>
  <c r="BX94" i="22"/>
  <c r="BJ94" i="22" s="1"/>
  <c r="BS94" i="22"/>
  <c r="BE94" i="22" s="1"/>
  <c r="CB93" i="22"/>
  <c r="BV93" i="22"/>
  <c r="BH93" i="22" s="1"/>
  <c r="BQ93" i="22"/>
  <c r="C93" i="22" s="1"/>
  <c r="BZ92" i="22"/>
  <c r="BL92" i="22" s="1"/>
  <c r="BU92" i="22"/>
  <c r="BG92" i="22" s="1"/>
  <c r="BO92" i="22"/>
  <c r="B92" i="22" s="1"/>
  <c r="CB91" i="22"/>
  <c r="BW91" i="22"/>
  <c r="BI91" i="22" s="1"/>
  <c r="BR91" i="22"/>
  <c r="BD91" i="22" s="1"/>
  <c r="CC90" i="22"/>
  <c r="BX90" i="22"/>
  <c r="BJ90" i="22" s="1"/>
  <c r="BS90" i="22"/>
  <c r="BE90" i="22" s="1"/>
  <c r="CB89" i="22"/>
  <c r="BX89" i="22"/>
  <c r="BJ89" i="22" s="1"/>
  <c r="BT89" i="22"/>
  <c r="BF89" i="22" s="1"/>
  <c r="BP89" i="22"/>
  <c r="CC88" i="22"/>
  <c r="BY88" i="22"/>
  <c r="BK88" i="22" s="1"/>
  <c r="BU88" i="22"/>
  <c r="BG88" i="22" s="1"/>
  <c r="BQ88" i="22"/>
  <c r="C88" i="22" s="1"/>
  <c r="CD87" i="22"/>
  <c r="BZ87" i="22"/>
  <c r="BL87" i="22" s="1"/>
  <c r="BV87" i="22"/>
  <c r="BH87" i="22" s="1"/>
  <c r="BR87" i="22"/>
  <c r="BD87" i="22" s="1"/>
  <c r="CA86" i="22"/>
  <c r="BM86" i="22" s="1"/>
  <c r="BW86" i="22"/>
  <c r="BI86" i="22" s="1"/>
  <c r="BS86" i="22"/>
  <c r="BE86" i="22" s="1"/>
  <c r="BO86" i="22"/>
  <c r="B86" i="22" s="1"/>
  <c r="CB85" i="22"/>
  <c r="BX85" i="22"/>
  <c r="BJ85" i="22" s="1"/>
  <c r="BT85" i="22"/>
  <c r="BF85" i="22" s="1"/>
  <c r="BP85" i="22"/>
  <c r="CC84" i="22"/>
  <c r="BY84" i="22"/>
  <c r="BK84" i="22" s="1"/>
  <c r="BU84" i="22"/>
  <c r="BG84" i="22" s="1"/>
  <c r="BQ84" i="22"/>
  <c r="C84" i="22" s="1"/>
  <c r="CD83" i="22"/>
  <c r="BZ83" i="22"/>
  <c r="BL83" i="22" s="1"/>
  <c r="BV83" i="22"/>
  <c r="BH83" i="22" s="1"/>
  <c r="BR83" i="22"/>
  <c r="BD83" i="22" s="1"/>
  <c r="CB82" i="22"/>
  <c r="BX82" i="22"/>
  <c r="BJ82" i="22" s="1"/>
  <c r="BT82" i="22"/>
  <c r="BF82" i="22" s="1"/>
  <c r="BP82" i="22"/>
  <c r="CA81" i="22"/>
  <c r="BM81" i="22" s="1"/>
  <c r="BW81" i="22"/>
  <c r="BI81" i="22" s="1"/>
  <c r="BS81" i="22"/>
  <c r="BE81" i="22" s="1"/>
  <c r="BO81" i="22"/>
  <c r="B81" i="22" s="1"/>
  <c r="CD80" i="22"/>
  <c r="BZ80" i="22"/>
  <c r="BL80" i="22" s="1"/>
  <c r="BV80" i="22"/>
  <c r="BH80" i="22" s="1"/>
  <c r="BR80" i="22"/>
  <c r="BD80" i="22" s="1"/>
  <c r="CB79" i="22"/>
  <c r="BX79" i="22"/>
  <c r="BJ79" i="22" s="1"/>
  <c r="BT79" i="22"/>
  <c r="BF79" i="22" s="1"/>
  <c r="BP79" i="22"/>
  <c r="CD78" i="22"/>
  <c r="BZ78" i="22"/>
  <c r="BL78" i="22" s="1"/>
  <c r="BV78" i="22"/>
  <c r="BH78" i="22" s="1"/>
  <c r="BR78" i="22"/>
  <c r="BD78" i="22" s="1"/>
  <c r="CA77" i="22"/>
  <c r="BM77" i="22" s="1"/>
  <c r="BW77" i="22"/>
  <c r="BI77" i="22" s="1"/>
  <c r="BS77" i="22"/>
  <c r="BE77" i="22" s="1"/>
  <c r="BO77" i="22"/>
  <c r="B77" i="22" s="1"/>
  <c r="CA76" i="22"/>
  <c r="BM76" i="22" s="1"/>
  <c r="BW76" i="22"/>
  <c r="BI76" i="22" s="1"/>
  <c r="BS76" i="22"/>
  <c r="BE76" i="22" s="1"/>
  <c r="BO76" i="22"/>
  <c r="B76" i="22" s="1"/>
  <c r="CA75" i="22"/>
  <c r="BM75" i="22" s="1"/>
  <c r="BW75" i="22"/>
  <c r="BI75" i="22" s="1"/>
  <c r="BS75" i="22"/>
  <c r="BE75" i="22" s="1"/>
  <c r="BO75" i="22"/>
  <c r="B75" i="22" s="1"/>
  <c r="CA74" i="22"/>
  <c r="BM74" i="22" s="1"/>
  <c r="BW74" i="22"/>
  <c r="BI74" i="22" s="1"/>
  <c r="BS74" i="22"/>
  <c r="BE74" i="22" s="1"/>
  <c r="BO74" i="22"/>
  <c r="B74" i="22" s="1"/>
  <c r="CD73" i="22"/>
  <c r="BZ73" i="22"/>
  <c r="BL73" i="22" s="1"/>
  <c r="BV73" i="22"/>
  <c r="BH73" i="22" s="1"/>
  <c r="BR73" i="22"/>
  <c r="BD73" i="22" s="1"/>
  <c r="CC72" i="22"/>
  <c r="BY72" i="22"/>
  <c r="BK72" i="22" s="1"/>
  <c r="BU72" i="22"/>
  <c r="BG72" i="22" s="1"/>
  <c r="BQ72" i="22"/>
  <c r="C72" i="22" s="1"/>
  <c r="CC71" i="22"/>
  <c r="BY71" i="22"/>
  <c r="BK71" i="22" s="1"/>
  <c r="BU71" i="22"/>
  <c r="BG71" i="22" s="1"/>
  <c r="BQ71" i="22"/>
  <c r="C71" i="22" s="1"/>
  <c r="CB70" i="22"/>
  <c r="BX70" i="22"/>
  <c r="BJ70" i="22" s="1"/>
  <c r="BT70" i="22"/>
  <c r="BF70" i="22" s="1"/>
  <c r="BP70" i="22"/>
  <c r="CA69" i="22"/>
  <c r="BM69" i="22" s="1"/>
  <c r="BW69" i="22"/>
  <c r="BI69" i="22" s="1"/>
  <c r="BS69" i="22"/>
  <c r="BE69" i="22" s="1"/>
  <c r="BO69" i="22"/>
  <c r="B69" i="22" s="1"/>
  <c r="CA68" i="22"/>
  <c r="BM68" i="22" s="1"/>
  <c r="BW68" i="22"/>
  <c r="BI68" i="22" s="1"/>
  <c r="BS68" i="22"/>
  <c r="BE68" i="22" s="1"/>
  <c r="BO68" i="22"/>
  <c r="B68" i="22" s="1"/>
  <c r="CB67" i="22"/>
  <c r="BX67" i="22"/>
  <c r="BJ67" i="22" s="1"/>
  <c r="BT67" i="22"/>
  <c r="BF67" i="22" s="1"/>
  <c r="BP67" i="22"/>
  <c r="CC66" i="22"/>
  <c r="BY66" i="22"/>
  <c r="BK66" i="22" s="1"/>
  <c r="BU66" i="22"/>
  <c r="BG66" i="22" s="1"/>
  <c r="BQ66" i="22"/>
  <c r="C66" i="22" s="1"/>
  <c r="CD65" i="22"/>
  <c r="BZ65" i="22"/>
  <c r="BL65" i="22" s="1"/>
  <c r="BV65" i="22"/>
  <c r="BH65" i="22" s="1"/>
  <c r="BR65" i="22"/>
  <c r="BD65" i="22" s="1"/>
  <c r="CA64" i="22"/>
  <c r="BM64" i="22" s="1"/>
  <c r="BW64" i="22"/>
  <c r="BI64" i="22" s="1"/>
  <c r="BS64" i="22"/>
  <c r="BE64" i="22" s="1"/>
  <c r="BO64" i="22"/>
  <c r="B64" i="22" s="1"/>
  <c r="CC63" i="22"/>
  <c r="BY63" i="22"/>
  <c r="BK63" i="22" s="1"/>
  <c r="BU63" i="22"/>
  <c r="BG63" i="22" s="1"/>
  <c r="BQ63" i="22"/>
  <c r="C63" i="22" s="1"/>
  <c r="CA62" i="22"/>
  <c r="BM62" i="22" s="1"/>
  <c r="BW62" i="22"/>
  <c r="BI62" i="22" s="1"/>
  <c r="BS62" i="22"/>
  <c r="BE62" i="22" s="1"/>
  <c r="BO62" i="22"/>
  <c r="B62" i="22" s="1"/>
  <c r="CC61" i="22"/>
  <c r="BY61" i="22"/>
  <c r="BK61" i="22" s="1"/>
  <c r="BU61" i="22"/>
  <c r="BG61" i="22" s="1"/>
  <c r="BQ61" i="22"/>
  <c r="C61" i="22" s="1"/>
  <c r="CD60" i="22"/>
  <c r="BZ60" i="22"/>
  <c r="BL60" i="22" s="1"/>
  <c r="BV60" i="22"/>
  <c r="BH60" i="22" s="1"/>
  <c r="BR60" i="22"/>
  <c r="BD60" i="22" s="1"/>
  <c r="CA59" i="22"/>
  <c r="BM59" i="22" s="1"/>
  <c r="BW59" i="22"/>
  <c r="BI59" i="22" s="1"/>
  <c r="BS59" i="22"/>
  <c r="BE59" i="22" s="1"/>
  <c r="BO59" i="22"/>
  <c r="B59" i="22" s="1"/>
  <c r="CD58" i="22"/>
  <c r="BZ58" i="22"/>
  <c r="BL58" i="22" s="1"/>
  <c r="BV58" i="22"/>
  <c r="BH58" i="22" s="1"/>
  <c r="BR58" i="22"/>
  <c r="BD58" i="22" s="1"/>
  <c r="CA57" i="22"/>
  <c r="BM57" i="22" s="1"/>
  <c r="BW57" i="22"/>
  <c r="BI57" i="22" s="1"/>
  <c r="BS57" i="22"/>
  <c r="BE57" i="22" s="1"/>
  <c r="BO57" i="22"/>
  <c r="B57" i="22" s="1"/>
  <c r="CB56" i="22"/>
  <c r="BX56" i="22"/>
  <c r="BJ56" i="22" s="1"/>
  <c r="BT56" i="22"/>
  <c r="BF56" i="22" s="1"/>
  <c r="BP56" i="22"/>
  <c r="CC55" i="22"/>
  <c r="BY55" i="22"/>
  <c r="BK55" i="22" s="1"/>
  <c r="BU55" i="22"/>
  <c r="BG55" i="22" s="1"/>
  <c r="BQ55" i="22"/>
  <c r="C55" i="22" s="1"/>
  <c r="CD54" i="22"/>
  <c r="BZ54" i="22"/>
  <c r="BL54" i="22" s="1"/>
  <c r="BV54" i="22"/>
  <c r="BH54" i="22" s="1"/>
  <c r="BR54" i="22"/>
  <c r="BD54" i="22" s="1"/>
  <c r="CA53" i="22"/>
  <c r="BM53" i="22" s="1"/>
  <c r="BW53" i="22"/>
  <c r="BI53" i="22" s="1"/>
  <c r="BS53" i="22"/>
  <c r="BE53" i="22" s="1"/>
  <c r="BO53" i="22"/>
  <c r="B53" i="22" s="1"/>
  <c r="CB52" i="22"/>
  <c r="BX52" i="22"/>
  <c r="BJ52" i="22" s="1"/>
  <c r="BT52" i="22"/>
  <c r="BF52" i="22" s="1"/>
  <c r="BP52" i="22"/>
  <c r="CA51" i="22"/>
  <c r="BM51" i="22" s="1"/>
  <c r="BW51" i="22"/>
  <c r="BI51" i="22" s="1"/>
  <c r="BS51" i="22"/>
  <c r="BE51" i="22" s="1"/>
  <c r="BO51" i="22"/>
  <c r="B51" i="22" s="1"/>
  <c r="CB50" i="22"/>
  <c r="BX50" i="22"/>
  <c r="BJ50" i="22" s="1"/>
  <c r="BT50" i="22"/>
  <c r="BF50" i="22" s="1"/>
  <c r="BP50" i="22"/>
  <c r="CC49" i="22"/>
  <c r="BY49" i="22"/>
  <c r="BK49" i="22" s="1"/>
  <c r="BU49" i="22"/>
  <c r="BG49" i="22" s="1"/>
  <c r="BQ49" i="22"/>
  <c r="C49" i="22" s="1"/>
  <c r="CD48" i="22"/>
  <c r="BZ48" i="22"/>
  <c r="BL48" i="22" s="1"/>
  <c r="BV48" i="22"/>
  <c r="BH48" i="22" s="1"/>
  <c r="BR48" i="22"/>
  <c r="BD48" i="22" s="1"/>
  <c r="CA47" i="22"/>
  <c r="BM47" i="22" s="1"/>
  <c r="BW47" i="22"/>
  <c r="BI47" i="22" s="1"/>
  <c r="BS47" i="22"/>
  <c r="BE47" i="22" s="1"/>
  <c r="BO47" i="22"/>
  <c r="B47" i="22" s="1"/>
  <c r="CB46" i="22"/>
  <c r="BX46" i="22"/>
  <c r="BJ46" i="22" s="1"/>
  <c r="BT46" i="22"/>
  <c r="BF46" i="22" s="1"/>
  <c r="BP46" i="22"/>
  <c r="CC45" i="22"/>
  <c r="BY45" i="22"/>
  <c r="BK45" i="22" s="1"/>
  <c r="BU45" i="22"/>
  <c r="BG45" i="22" s="1"/>
  <c r="BQ45" i="22"/>
  <c r="C45" i="22" s="1"/>
  <c r="CD44" i="22"/>
  <c r="BZ44" i="22"/>
  <c r="BL44" i="22" s="1"/>
  <c r="BV44" i="22"/>
  <c r="BH44" i="22" s="1"/>
  <c r="BR44" i="22"/>
  <c r="BD44" i="22" s="1"/>
  <c r="CC43" i="22"/>
  <c r="BY43" i="22"/>
  <c r="BK43" i="22" s="1"/>
  <c r="BU43" i="22"/>
  <c r="BG43" i="22" s="1"/>
  <c r="BQ43" i="22"/>
  <c r="C43" i="22" s="1"/>
  <c r="CB42" i="22"/>
  <c r="BX42" i="22"/>
  <c r="BJ42" i="22" s="1"/>
  <c r="BT42" i="22"/>
  <c r="BF42" i="22" s="1"/>
  <c r="BP42" i="22"/>
  <c r="CB41" i="22"/>
  <c r="BX41" i="22"/>
  <c r="BJ41" i="22" s="1"/>
  <c r="BT41" i="22"/>
  <c r="BF41" i="22" s="1"/>
  <c r="BP41" i="22"/>
  <c r="CC40" i="22"/>
  <c r="BY40" i="22"/>
  <c r="BK40" i="22" s="1"/>
  <c r="BU40" i="22"/>
  <c r="BG40" i="22" s="1"/>
  <c r="BQ40" i="22"/>
  <c r="C40" i="22" s="1"/>
  <c r="CD39" i="22"/>
  <c r="BZ39" i="22"/>
  <c r="BL39" i="22" s="1"/>
  <c r="BV39" i="22"/>
  <c r="BH39" i="22" s="1"/>
  <c r="BR39" i="22"/>
  <c r="BD39" i="22" s="1"/>
  <c r="CA38" i="22"/>
  <c r="BM38" i="22" s="1"/>
  <c r="BW38" i="22"/>
  <c r="BI38" i="22" s="1"/>
  <c r="BS38" i="22"/>
  <c r="BE38" i="22" s="1"/>
  <c r="BO38" i="22"/>
  <c r="B38" i="22" s="1"/>
  <c r="CB37" i="22"/>
  <c r="BX37" i="22"/>
  <c r="BJ37" i="22" s="1"/>
  <c r="BT37" i="22"/>
  <c r="BF37" i="22" s="1"/>
  <c r="BP37" i="22"/>
  <c r="CC36" i="22"/>
  <c r="BY36" i="22"/>
  <c r="BK36" i="22" s="1"/>
  <c r="BU36" i="22"/>
  <c r="BG36" i="22" s="1"/>
  <c r="BQ36" i="22"/>
  <c r="C36" i="22" s="1"/>
  <c r="CD35" i="22"/>
  <c r="BZ35" i="22"/>
  <c r="BL35" i="22" s="1"/>
  <c r="BV35" i="22"/>
  <c r="BH35" i="22" s="1"/>
  <c r="BR35" i="22"/>
  <c r="BD35" i="22" s="1"/>
  <c r="CD34" i="22"/>
  <c r="BZ34" i="22"/>
  <c r="BL34" i="22" s="1"/>
  <c r="BV34" i="22"/>
  <c r="BH34" i="22" s="1"/>
  <c r="BR34" i="22"/>
  <c r="BD34" i="22" s="1"/>
  <c r="CD33" i="22"/>
  <c r="BZ33" i="22"/>
  <c r="BL33" i="22" s="1"/>
  <c r="BV33" i="22"/>
  <c r="BH33" i="22" s="1"/>
  <c r="BR33" i="22"/>
  <c r="BD33" i="22" s="1"/>
  <c r="CD32" i="22"/>
  <c r="BZ32" i="22"/>
  <c r="BL32" i="22" s="1"/>
  <c r="BV32" i="22"/>
  <c r="BH32" i="22" s="1"/>
  <c r="BR32" i="22"/>
  <c r="BD32" i="22" s="1"/>
  <c r="CA31" i="22"/>
  <c r="BM31" i="22" s="1"/>
  <c r="BW31" i="22"/>
  <c r="BI31" i="22" s="1"/>
  <c r="BS31" i="22"/>
  <c r="BE31" i="22" s="1"/>
  <c r="BO31" i="22"/>
  <c r="B31" i="22" s="1"/>
  <c r="CB30" i="22"/>
  <c r="BX30" i="22"/>
  <c r="BJ30" i="22" s="1"/>
  <c r="BT30" i="22"/>
  <c r="BF30" i="22" s="1"/>
  <c r="BP30" i="22"/>
  <c r="CC29" i="22"/>
  <c r="BY29" i="22"/>
  <c r="BK29" i="22" s="1"/>
  <c r="BU29" i="22"/>
  <c r="BG29" i="22" s="1"/>
  <c r="BQ29" i="22"/>
  <c r="C29" i="22" s="1"/>
  <c r="CD28" i="22"/>
  <c r="BZ28" i="22"/>
  <c r="BL28" i="22" s="1"/>
  <c r="BV28" i="22"/>
  <c r="BH28" i="22" s="1"/>
  <c r="BR28" i="22"/>
  <c r="BD28" i="22" s="1"/>
  <c r="CA27" i="22"/>
  <c r="BM27" i="22" s="1"/>
  <c r="BW27" i="22"/>
  <c r="BI27" i="22" s="1"/>
  <c r="BS27" i="22"/>
  <c r="BE27" i="22" s="1"/>
  <c r="BO27" i="22"/>
  <c r="B27" i="22" s="1"/>
  <c r="CB26" i="22"/>
  <c r="BX26" i="22"/>
  <c r="BJ26" i="22" s="1"/>
  <c r="BT26" i="22"/>
  <c r="BF26" i="22" s="1"/>
  <c r="BP26" i="22"/>
  <c r="CB25" i="22"/>
  <c r="BX25" i="22"/>
  <c r="BJ25" i="22" s="1"/>
  <c r="BT25" i="22"/>
  <c r="BF25" i="22" s="1"/>
  <c r="BP25" i="22"/>
  <c r="CD24" i="22"/>
  <c r="BZ24" i="22"/>
  <c r="BL24" i="22" s="1"/>
  <c r="BV24" i="22"/>
  <c r="BH24" i="22" s="1"/>
  <c r="BR24" i="22"/>
  <c r="BD24" i="22" s="1"/>
  <c r="CA23" i="22"/>
  <c r="BM23" i="22" s="1"/>
  <c r="BW23" i="22"/>
  <c r="BI23" i="22" s="1"/>
  <c r="BS23" i="22"/>
  <c r="BE23" i="22" s="1"/>
  <c r="BO23" i="22"/>
  <c r="B23" i="22" s="1"/>
  <c r="CC22" i="22"/>
  <c r="BY22" i="22"/>
  <c r="BK22" i="22" s="1"/>
  <c r="BU22" i="22"/>
  <c r="BG22" i="22" s="1"/>
  <c r="BQ22" i="22"/>
  <c r="C22" i="22" s="1"/>
  <c r="CD21" i="22"/>
  <c r="BZ21" i="22"/>
  <c r="BL21" i="22" s="1"/>
  <c r="BV21" i="22"/>
  <c r="BH21" i="22" s="1"/>
  <c r="BR21" i="22"/>
  <c r="BD21" i="22" s="1"/>
  <c r="CA20" i="22"/>
  <c r="BM20" i="22" s="1"/>
  <c r="BW20" i="22"/>
  <c r="BI20" i="22" s="1"/>
  <c r="BS20" i="22"/>
  <c r="BE20" i="22" s="1"/>
  <c r="BO20" i="22"/>
  <c r="B20" i="22" s="1"/>
  <c r="CB19" i="22"/>
  <c r="BX19" i="22"/>
  <c r="BJ19" i="22" s="1"/>
  <c r="BT19" i="22"/>
  <c r="BF19" i="22" s="1"/>
  <c r="BP19" i="22"/>
  <c r="CB18" i="22"/>
  <c r="BX18" i="22"/>
  <c r="BJ18" i="22" s="1"/>
  <c r="BT18" i="22"/>
  <c r="BF18" i="22" s="1"/>
  <c r="BP18" i="22"/>
  <c r="CB17" i="22"/>
  <c r="BX17" i="22"/>
  <c r="BJ17" i="22" s="1"/>
  <c r="BT17" i="22"/>
  <c r="BF17" i="22" s="1"/>
  <c r="BP17" i="22"/>
  <c r="CB16" i="22"/>
  <c r="BX16" i="22"/>
  <c r="BJ16" i="22" s="1"/>
  <c r="BT16" i="22"/>
  <c r="BF16" i="22" s="1"/>
  <c r="BP16" i="22"/>
  <c r="CB15" i="22"/>
  <c r="BX15" i="22"/>
  <c r="BJ15" i="22" s="1"/>
  <c r="BT15" i="22"/>
  <c r="BF15" i="22" s="1"/>
  <c r="BP15" i="22"/>
  <c r="BU103" i="22"/>
  <c r="BG103" i="22" s="1"/>
  <c r="BX102" i="22"/>
  <c r="BJ102" i="22" s="1"/>
  <c r="BR102" i="22"/>
  <c r="BD102" i="22" s="1"/>
  <c r="CB101" i="22"/>
  <c r="BW101" i="22"/>
  <c r="BI101" i="22" s="1"/>
  <c r="BR101" i="22"/>
  <c r="BD101" i="22" s="1"/>
  <c r="BZ100" i="22"/>
  <c r="BL100" i="22" s="1"/>
  <c r="BU100" i="22"/>
  <c r="BG100" i="22" s="1"/>
  <c r="BP100" i="22"/>
  <c r="CD99" i="22"/>
  <c r="BY99" i="22"/>
  <c r="BK99" i="22" s="1"/>
  <c r="BS99" i="22"/>
  <c r="BE99" i="22" s="1"/>
  <c r="CB98" i="22"/>
  <c r="BW98" i="22"/>
  <c r="BI98" i="22" s="1"/>
  <c r="BR98" i="22"/>
  <c r="BD98" i="22" s="1"/>
  <c r="BZ97" i="22"/>
  <c r="BL97" i="22" s="1"/>
  <c r="BU97" i="22"/>
  <c r="BG97" i="22" s="1"/>
  <c r="BP97" i="22"/>
  <c r="BZ96" i="22"/>
  <c r="BL96" i="22" s="1"/>
  <c r="BT96" i="22"/>
  <c r="BF96" i="22" s="1"/>
  <c r="BO96" i="22"/>
  <c r="B96" i="22" s="1"/>
  <c r="CC95" i="22"/>
  <c r="BX95" i="22"/>
  <c r="BJ95" i="22" s="1"/>
  <c r="BR95" i="22"/>
  <c r="BD95" i="22" s="1"/>
  <c r="CB94" i="22"/>
  <c r="BW94" i="22"/>
  <c r="BI94" i="22" s="1"/>
  <c r="BR94" i="22"/>
  <c r="BD94" i="22" s="1"/>
  <c r="BZ93" i="22"/>
  <c r="BL93" i="22" s="1"/>
  <c r="BU93" i="22"/>
  <c r="BG93" i="22" s="1"/>
  <c r="BP93" i="22"/>
  <c r="CD92" i="22"/>
  <c r="BY92" i="22"/>
  <c r="BK92" i="22" s="1"/>
  <c r="BS92" i="22"/>
  <c r="BE92" i="22" s="1"/>
  <c r="CA91" i="22"/>
  <c r="BM91" i="22" s="1"/>
  <c r="BV91" i="22"/>
  <c r="BH91" i="22" s="1"/>
  <c r="BP91" i="22"/>
  <c r="CB90" i="22"/>
  <c r="BW90" i="22"/>
  <c r="BI90" i="22" s="1"/>
  <c r="BQ90" i="22"/>
  <c r="C90" i="22" s="1"/>
  <c r="CA89" i="22"/>
  <c r="BM89" i="22" s="1"/>
  <c r="BW89" i="22"/>
  <c r="BI89" i="22" s="1"/>
  <c r="BS89" i="22"/>
  <c r="BE89" i="22" s="1"/>
  <c r="BO89" i="22"/>
  <c r="B89" i="22" s="1"/>
  <c r="CB88" i="22"/>
  <c r="BX88" i="22"/>
  <c r="BJ88" i="22" s="1"/>
  <c r="BT88" i="22"/>
  <c r="BF88" i="22" s="1"/>
  <c r="BP88" i="22"/>
  <c r="CC87" i="22"/>
  <c r="BY87" i="22"/>
  <c r="BK87" i="22" s="1"/>
  <c r="BU87" i="22"/>
  <c r="BG87" i="22" s="1"/>
  <c r="BQ87" i="22"/>
  <c r="C87" i="22" s="1"/>
  <c r="CD86" i="22"/>
  <c r="BZ86" i="22"/>
  <c r="BL86" i="22" s="1"/>
  <c r="BV86" i="22"/>
  <c r="BH86" i="22" s="1"/>
  <c r="BR86" i="22"/>
  <c r="BD86" i="22" s="1"/>
  <c r="CA85" i="22"/>
  <c r="BM85" i="22" s="1"/>
  <c r="BW85" i="22"/>
  <c r="BI85" i="22" s="1"/>
  <c r="BS85" i="22"/>
  <c r="BE85" i="22" s="1"/>
  <c r="BO85" i="22"/>
  <c r="B85" i="22" s="1"/>
  <c r="CB84" i="22"/>
  <c r="BX84" i="22"/>
  <c r="BJ84" i="22" s="1"/>
  <c r="BT84" i="22"/>
  <c r="BF84" i="22" s="1"/>
  <c r="BP84" i="22"/>
  <c r="CC83" i="22"/>
  <c r="BY83" i="22"/>
  <c r="BK83" i="22" s="1"/>
  <c r="BU83" i="22"/>
  <c r="BG83" i="22" s="1"/>
  <c r="BQ83" i="22"/>
  <c r="C83" i="22" s="1"/>
  <c r="CA82" i="22"/>
  <c r="BM82" i="22" s="1"/>
  <c r="BW82" i="22"/>
  <c r="BI82" i="22" s="1"/>
  <c r="BS82" i="22"/>
  <c r="BE82" i="22" s="1"/>
  <c r="BO82" i="22"/>
  <c r="B82" i="22" s="1"/>
  <c r="CD81" i="22"/>
  <c r="BZ81" i="22"/>
  <c r="BL81" i="22" s="1"/>
  <c r="BV81" i="22"/>
  <c r="BH81" i="22" s="1"/>
  <c r="BR81" i="22"/>
  <c r="BD81" i="22" s="1"/>
  <c r="CC80" i="22"/>
  <c r="BY80" i="22"/>
  <c r="BK80" i="22" s="1"/>
  <c r="BU80" i="22"/>
  <c r="BG80" i="22" s="1"/>
  <c r="BQ80" i="22"/>
  <c r="C80" i="22" s="1"/>
  <c r="CA79" i="22"/>
  <c r="BM79" i="22" s="1"/>
  <c r="BW79" i="22"/>
  <c r="BI79" i="22" s="1"/>
  <c r="BS79" i="22"/>
  <c r="BE79" i="22" s="1"/>
  <c r="BO79" i="22"/>
  <c r="B79" i="22" s="1"/>
  <c r="CC78" i="22"/>
  <c r="BY78" i="22"/>
  <c r="BK78" i="22" s="1"/>
  <c r="BU78" i="22"/>
  <c r="BG78" i="22" s="1"/>
  <c r="BQ78" i="22"/>
  <c r="C78" i="22" s="1"/>
  <c r="CD77" i="22"/>
  <c r="BZ77" i="22"/>
  <c r="BL77" i="22" s="1"/>
  <c r="BV77" i="22"/>
  <c r="BH77" i="22" s="1"/>
  <c r="BR77" i="22"/>
  <c r="BD77" i="22" s="1"/>
  <c r="CD76" i="22"/>
  <c r="BZ76" i="22"/>
  <c r="BL76" i="22" s="1"/>
  <c r="BV76" i="22"/>
  <c r="BH76" i="22" s="1"/>
  <c r="BR76" i="22"/>
  <c r="BD76" i="22" s="1"/>
  <c r="CD75" i="22"/>
  <c r="BZ75" i="22"/>
  <c r="BL75" i="22" s="1"/>
  <c r="BV75" i="22"/>
  <c r="BH75" i="22" s="1"/>
  <c r="BR75" i="22"/>
  <c r="BD75" i="22" s="1"/>
  <c r="CD74" i="22"/>
  <c r="BZ74" i="22"/>
  <c r="BL74" i="22" s="1"/>
  <c r="BV74" i="22"/>
  <c r="BH74" i="22" s="1"/>
  <c r="BR74" i="22"/>
  <c r="BD74" i="22" s="1"/>
  <c r="CC73" i="22"/>
  <c r="BY73" i="22"/>
  <c r="BK73" i="22" s="1"/>
  <c r="BU73" i="22"/>
  <c r="BG73" i="22" s="1"/>
  <c r="BQ73" i="22"/>
  <c r="C73" i="22" s="1"/>
  <c r="CB72" i="22"/>
  <c r="BX72" i="22"/>
  <c r="BJ72" i="22" s="1"/>
  <c r="BT72" i="22"/>
  <c r="BF72" i="22" s="1"/>
  <c r="BP72" i="22"/>
  <c r="CB71" i="22"/>
  <c r="BX71" i="22"/>
  <c r="BJ71" i="22" s="1"/>
  <c r="BT71" i="22"/>
  <c r="BF71" i="22" s="1"/>
  <c r="BP71" i="22"/>
  <c r="CA70" i="22"/>
  <c r="BM70" i="22" s="1"/>
  <c r="BW70" i="22"/>
  <c r="BI70" i="22" s="1"/>
  <c r="BS70" i="22"/>
  <c r="BE70" i="22" s="1"/>
  <c r="BO70" i="22"/>
  <c r="CD69" i="22"/>
  <c r="BZ69" i="22"/>
  <c r="BL69" i="22" s="1"/>
  <c r="BV69" i="22"/>
  <c r="BH69" i="22" s="1"/>
  <c r="BR69" i="22"/>
  <c r="BD69" i="22" s="1"/>
  <c r="CD68" i="22"/>
  <c r="BZ68" i="22"/>
  <c r="BL68" i="22" s="1"/>
  <c r="BV68" i="22"/>
  <c r="BH68" i="22" s="1"/>
  <c r="BR68" i="22"/>
  <c r="BD68" i="22" s="1"/>
  <c r="CA67" i="22"/>
  <c r="BM67" i="22" s="1"/>
  <c r="BW67" i="22"/>
  <c r="BI67" i="22" s="1"/>
  <c r="BS67" i="22"/>
  <c r="BE67" i="22" s="1"/>
  <c r="BO67" i="22"/>
  <c r="B67" i="22" s="1"/>
  <c r="CB66" i="22"/>
  <c r="BX66" i="22"/>
  <c r="BJ66" i="22" s="1"/>
  <c r="BT66" i="22"/>
  <c r="BF66" i="22" s="1"/>
  <c r="BP66" i="22"/>
  <c r="CC65" i="22"/>
  <c r="BY65" i="22"/>
  <c r="BK65" i="22" s="1"/>
  <c r="BU65" i="22"/>
  <c r="BG65" i="22" s="1"/>
  <c r="BQ65" i="22"/>
  <c r="C65" i="22" s="1"/>
  <c r="CD64" i="22"/>
  <c r="BZ64" i="22"/>
  <c r="BL64" i="22" s="1"/>
  <c r="BV64" i="22"/>
  <c r="BH64" i="22" s="1"/>
  <c r="BR64" i="22"/>
  <c r="BD64" i="22" s="1"/>
  <c r="CB63" i="22"/>
  <c r="BX63" i="22"/>
  <c r="BJ63" i="22" s="1"/>
  <c r="BT63" i="22"/>
  <c r="BF63" i="22" s="1"/>
  <c r="BP63" i="22"/>
  <c r="CD62" i="22"/>
  <c r="BZ62" i="22"/>
  <c r="BL62" i="22" s="1"/>
  <c r="BV62" i="22"/>
  <c r="BH62" i="22" s="1"/>
  <c r="BR62" i="22"/>
  <c r="BD62" i="22" s="1"/>
  <c r="CB61" i="22"/>
  <c r="BX61" i="22"/>
  <c r="BJ61" i="22" s="1"/>
  <c r="BT61" i="22"/>
  <c r="BF61" i="22" s="1"/>
  <c r="BP61" i="22"/>
  <c r="CC60" i="22"/>
  <c r="BY60" i="22"/>
  <c r="BK60" i="22" s="1"/>
  <c r="BU60" i="22"/>
  <c r="BG60" i="22" s="1"/>
  <c r="BQ60" i="22"/>
  <c r="C60" i="22" s="1"/>
  <c r="CD59" i="22"/>
  <c r="BZ59" i="22"/>
  <c r="BL59" i="22" s="1"/>
  <c r="BV59" i="22"/>
  <c r="BH59" i="22" s="1"/>
  <c r="BR59" i="22"/>
  <c r="BD59" i="22" s="1"/>
  <c r="CC58" i="22"/>
  <c r="BY58" i="22"/>
  <c r="BK58" i="22" s="1"/>
  <c r="BU58" i="22"/>
  <c r="BG58" i="22" s="1"/>
  <c r="BQ58" i="22"/>
  <c r="C58" i="22" s="1"/>
  <c r="CD57" i="22"/>
  <c r="BZ57" i="22"/>
  <c r="BL57" i="22" s="1"/>
  <c r="BV57" i="22"/>
  <c r="BH57" i="22" s="1"/>
  <c r="BR57" i="22"/>
  <c r="BD57" i="22" s="1"/>
  <c r="CA56" i="22"/>
  <c r="BM56" i="22" s="1"/>
  <c r="BW56" i="22"/>
  <c r="BI56" i="22" s="1"/>
  <c r="BS56" i="22"/>
  <c r="BE56" i="22" s="1"/>
  <c r="BO56" i="22"/>
  <c r="B56" i="22" s="1"/>
  <c r="CB55" i="22"/>
  <c r="BX55" i="22"/>
  <c r="BJ55" i="22" s="1"/>
  <c r="BT55" i="22"/>
  <c r="BF55" i="22" s="1"/>
  <c r="BP55" i="22"/>
  <c r="CC54" i="22"/>
  <c r="BY54" i="22"/>
  <c r="BK54" i="22" s="1"/>
  <c r="BU54" i="22"/>
  <c r="BG54" i="22" s="1"/>
  <c r="BQ54" i="22"/>
  <c r="C54" i="22" s="1"/>
  <c r="CD53" i="22"/>
  <c r="BZ53" i="22"/>
  <c r="BL53" i="22" s="1"/>
  <c r="BV53" i="22"/>
  <c r="BH53" i="22" s="1"/>
  <c r="BR53" i="22"/>
  <c r="BD53" i="22" s="1"/>
  <c r="CA52" i="22"/>
  <c r="BM52" i="22" s="1"/>
  <c r="BW52" i="22"/>
  <c r="BI52" i="22" s="1"/>
  <c r="BS52" i="22"/>
  <c r="BE52" i="22" s="1"/>
  <c r="BO52" i="22"/>
  <c r="B52" i="22" s="1"/>
  <c r="CD51" i="22"/>
  <c r="BZ51" i="22"/>
  <c r="BL51" i="22" s="1"/>
  <c r="BV51" i="22"/>
  <c r="BH51" i="22" s="1"/>
  <c r="BR51" i="22"/>
  <c r="BD51" i="22" s="1"/>
  <c r="CA50" i="22"/>
  <c r="BM50" i="22" s="1"/>
  <c r="BW50" i="22"/>
  <c r="BI50" i="22" s="1"/>
  <c r="BS50" i="22"/>
  <c r="BE50" i="22" s="1"/>
  <c r="BO50" i="22"/>
  <c r="B50" i="22" s="1"/>
  <c r="CB49" i="22"/>
  <c r="BX49" i="22"/>
  <c r="BJ49" i="22" s="1"/>
  <c r="BT49" i="22"/>
  <c r="BF49" i="22" s="1"/>
  <c r="BP49" i="22"/>
  <c r="CC48" i="22"/>
  <c r="BY48" i="22"/>
  <c r="BK48" i="22" s="1"/>
  <c r="BU48" i="22"/>
  <c r="BG48" i="22" s="1"/>
  <c r="BQ48" i="22"/>
  <c r="C48" i="22" s="1"/>
  <c r="CD47" i="22"/>
  <c r="BZ47" i="22"/>
  <c r="BL47" i="22" s="1"/>
  <c r="BV47" i="22"/>
  <c r="BH47" i="22" s="1"/>
  <c r="BR47" i="22"/>
  <c r="BD47" i="22" s="1"/>
  <c r="CA46" i="22"/>
  <c r="BM46" i="22" s="1"/>
  <c r="BW46" i="22"/>
  <c r="BI46" i="22" s="1"/>
  <c r="BS46" i="22"/>
  <c r="BE46" i="22" s="1"/>
  <c r="BO46" i="22"/>
  <c r="B46" i="22" s="1"/>
  <c r="CB45" i="22"/>
  <c r="BX45" i="22"/>
  <c r="BJ45" i="22" s="1"/>
  <c r="BT45" i="22"/>
  <c r="BF45" i="22" s="1"/>
  <c r="BP45" i="22"/>
  <c r="CC44" i="22"/>
  <c r="BY44" i="22"/>
  <c r="BK44" i="22" s="1"/>
  <c r="BU44" i="22"/>
  <c r="BG44" i="22" s="1"/>
  <c r="BQ44" i="22"/>
  <c r="C44" i="22" s="1"/>
  <c r="CB43" i="22"/>
  <c r="BX43" i="22"/>
  <c r="BJ43" i="22" s="1"/>
  <c r="BT43" i="22"/>
  <c r="BF43" i="22" s="1"/>
  <c r="BP43" i="22"/>
  <c r="CA42" i="22"/>
  <c r="BM42" i="22" s="1"/>
  <c r="BW42" i="22"/>
  <c r="BI42" i="22" s="1"/>
  <c r="BS42" i="22"/>
  <c r="BE42" i="22" s="1"/>
  <c r="BO42" i="22"/>
  <c r="B42" i="22" s="1"/>
  <c r="CA41" i="22"/>
  <c r="BM41" i="22" s="1"/>
  <c r="BW41" i="22"/>
  <c r="BI41" i="22" s="1"/>
  <c r="BS41" i="22"/>
  <c r="BE41" i="22" s="1"/>
  <c r="BO41" i="22"/>
  <c r="B41" i="22" s="1"/>
  <c r="CB40" i="22"/>
  <c r="BX40" i="22"/>
  <c r="BJ40" i="22" s="1"/>
  <c r="BT40" i="22"/>
  <c r="BF40" i="22" s="1"/>
  <c r="BP40" i="22"/>
  <c r="CC39" i="22"/>
  <c r="BY39" i="22"/>
  <c r="BK39" i="22" s="1"/>
  <c r="BU39" i="22"/>
  <c r="BG39" i="22" s="1"/>
  <c r="BQ39" i="22"/>
  <c r="C39" i="22" s="1"/>
  <c r="CD38" i="22"/>
  <c r="BZ38" i="22"/>
  <c r="BL38" i="22" s="1"/>
  <c r="BV38" i="22"/>
  <c r="BH38" i="22" s="1"/>
  <c r="BR38" i="22"/>
  <c r="BD38" i="22" s="1"/>
  <c r="CA37" i="22"/>
  <c r="BM37" i="22" s="1"/>
  <c r="BW37" i="22"/>
  <c r="BI37" i="22" s="1"/>
  <c r="BS37" i="22"/>
  <c r="BE37" i="22" s="1"/>
  <c r="BO37" i="22"/>
  <c r="B37" i="22" s="1"/>
  <c r="CB36" i="22"/>
  <c r="BX36" i="22"/>
  <c r="BJ36" i="22" s="1"/>
  <c r="BT36" i="22"/>
  <c r="BF36" i="22" s="1"/>
  <c r="BP36" i="22"/>
  <c r="CC35" i="22"/>
  <c r="BY35" i="22"/>
  <c r="BK35" i="22" s="1"/>
  <c r="BU35" i="22"/>
  <c r="BG35" i="22" s="1"/>
  <c r="BQ35" i="22"/>
  <c r="C35" i="22" s="1"/>
  <c r="CC34" i="22"/>
  <c r="BY34" i="22"/>
  <c r="BK34" i="22" s="1"/>
  <c r="BU34" i="22"/>
  <c r="BG34" i="22" s="1"/>
  <c r="BQ34" i="22"/>
  <c r="C34" i="22" s="1"/>
  <c r="CC33" i="22"/>
  <c r="BY33" i="22"/>
  <c r="BK33" i="22" s="1"/>
  <c r="BU33" i="22"/>
  <c r="BG33" i="22" s="1"/>
  <c r="BQ33" i="22"/>
  <c r="C33" i="22" s="1"/>
  <c r="CC32" i="22"/>
  <c r="BY32" i="22"/>
  <c r="BK32" i="22" s="1"/>
  <c r="BU32" i="22"/>
  <c r="BG32" i="22" s="1"/>
  <c r="BQ32" i="22"/>
  <c r="C32" i="22" s="1"/>
  <c r="CD31" i="22"/>
  <c r="BZ31" i="22"/>
  <c r="BL31" i="22" s="1"/>
  <c r="BV31" i="22"/>
  <c r="BH31" i="22" s="1"/>
  <c r="BR31" i="22"/>
  <c r="BD31" i="22" s="1"/>
  <c r="CA30" i="22"/>
  <c r="BM30" i="22" s="1"/>
  <c r="BW30" i="22"/>
  <c r="BI30" i="22" s="1"/>
  <c r="BS30" i="22"/>
  <c r="BE30" i="22" s="1"/>
  <c r="BO30" i="22"/>
  <c r="B30" i="22" s="1"/>
  <c r="CB29" i="22"/>
  <c r="BX29" i="22"/>
  <c r="BJ29" i="22" s="1"/>
  <c r="BT29" i="22"/>
  <c r="BF29" i="22" s="1"/>
  <c r="BP29" i="22"/>
  <c r="CC28" i="22"/>
  <c r="BY28" i="22"/>
  <c r="BK28" i="22" s="1"/>
  <c r="BU28" i="22"/>
  <c r="BG28" i="22" s="1"/>
  <c r="BQ28" i="22"/>
  <c r="C28" i="22" s="1"/>
  <c r="CD27" i="22"/>
  <c r="BZ27" i="22"/>
  <c r="BL27" i="22" s="1"/>
  <c r="BV27" i="22"/>
  <c r="BH27" i="22" s="1"/>
  <c r="BR27" i="22"/>
  <c r="BD27" i="22" s="1"/>
  <c r="CA26" i="22"/>
  <c r="BM26" i="22" s="1"/>
  <c r="BW26" i="22"/>
  <c r="BI26" i="22" s="1"/>
  <c r="BS26" i="22"/>
  <c r="BE26" i="22" s="1"/>
  <c r="BO26" i="22"/>
  <c r="B26" i="22" s="1"/>
  <c r="CA25" i="22"/>
  <c r="BM25" i="22" s="1"/>
  <c r="BW25" i="22"/>
  <c r="BI25" i="22" s="1"/>
  <c r="BS25" i="22"/>
  <c r="BE25" i="22" s="1"/>
  <c r="BO25" i="22"/>
  <c r="B25" i="22" s="1"/>
  <c r="CC24" i="22"/>
  <c r="BY24" i="22"/>
  <c r="BK24" i="22" s="1"/>
  <c r="BU24" i="22"/>
  <c r="BG24" i="22" s="1"/>
  <c r="BQ24" i="22"/>
  <c r="C24" i="22" s="1"/>
  <c r="CD23" i="22"/>
  <c r="BZ23" i="22"/>
  <c r="BL23" i="22" s="1"/>
  <c r="BV23" i="22"/>
  <c r="BH23" i="22" s="1"/>
  <c r="BR23" i="22"/>
  <c r="BD23" i="22" s="1"/>
  <c r="CB22" i="22"/>
  <c r="BX22" i="22"/>
  <c r="BJ22" i="22" s="1"/>
  <c r="BT22" i="22"/>
  <c r="BF22" i="22" s="1"/>
  <c r="BP22" i="22"/>
  <c r="CC21" i="22"/>
  <c r="BY21" i="22"/>
  <c r="BK21" i="22" s="1"/>
  <c r="BU21" i="22"/>
  <c r="BG21" i="22" s="1"/>
  <c r="BQ21" i="22"/>
  <c r="C21" i="22" s="1"/>
  <c r="CD20" i="22"/>
  <c r="BZ20" i="22"/>
  <c r="BL20" i="22" s="1"/>
  <c r="BV20" i="22"/>
  <c r="BH20" i="22" s="1"/>
  <c r="BR20" i="22"/>
  <c r="BD20" i="22" s="1"/>
  <c r="CA19" i="22"/>
  <c r="BM19" i="22" s="1"/>
  <c r="BW19" i="22"/>
  <c r="BI19" i="22" s="1"/>
  <c r="BS19" i="22"/>
  <c r="BE19" i="22" s="1"/>
  <c r="BO19" i="22"/>
  <c r="B19" i="22" s="1"/>
  <c r="CA18" i="22"/>
  <c r="BM18" i="22" s="1"/>
  <c r="BW18" i="22"/>
  <c r="BI18" i="22" s="1"/>
  <c r="BS18" i="22"/>
  <c r="BE18" i="22" s="1"/>
  <c r="BO18" i="22"/>
  <c r="B18" i="22" s="1"/>
  <c r="CA17" i="22"/>
  <c r="BM17" i="22" s="1"/>
  <c r="BW17" i="22"/>
  <c r="BI17" i="22" s="1"/>
  <c r="BS17" i="22"/>
  <c r="BE17" i="22" s="1"/>
  <c r="BO17" i="22"/>
  <c r="B17" i="22" s="1"/>
  <c r="CA16" i="22"/>
  <c r="BM16" i="22" s="1"/>
  <c r="BW16" i="22"/>
  <c r="BI16" i="22" s="1"/>
  <c r="BS16" i="22"/>
  <c r="BE16" i="22" s="1"/>
  <c r="BO16" i="22"/>
  <c r="B16" i="22" s="1"/>
  <c r="CA15" i="22"/>
  <c r="BM15" i="22" s="1"/>
  <c r="BW15" i="22"/>
  <c r="BI15" i="22" s="1"/>
  <c r="BS15" i="22"/>
  <c r="BE15" i="22" s="1"/>
  <c r="BO15" i="22"/>
  <c r="B15" i="22" s="1"/>
  <c r="CD14" i="22"/>
  <c r="BZ14" i="22"/>
  <c r="BL14" i="22" s="1"/>
  <c r="BV14" i="22"/>
  <c r="BH14" i="22" s="1"/>
  <c r="BR14" i="22"/>
  <c r="BD14" i="22" s="1"/>
  <c r="CD13" i="22"/>
  <c r="BZ13" i="22"/>
  <c r="BL13" i="22" s="1"/>
  <c r="BV13" i="22"/>
  <c r="BH13" i="22" s="1"/>
  <c r="BR13" i="22"/>
  <c r="BD13" i="22" s="1"/>
  <c r="CD12" i="22"/>
  <c r="BZ12" i="22"/>
  <c r="BL12" i="22" s="1"/>
  <c r="BV12" i="22"/>
  <c r="BH12" i="22" s="1"/>
  <c r="BR12" i="22"/>
  <c r="BD12" i="22" s="1"/>
  <c r="BS103" i="22"/>
  <c r="BE103" i="22" s="1"/>
  <c r="CD102" i="22"/>
  <c r="BV102" i="22"/>
  <c r="BH102" i="22" s="1"/>
  <c r="BP102" i="22"/>
  <c r="CA101" i="22"/>
  <c r="BM101" i="22" s="1"/>
  <c r="BV101" i="22"/>
  <c r="BH101" i="22" s="1"/>
  <c r="BP101" i="22"/>
  <c r="CD100" i="22"/>
  <c r="BY100" i="22"/>
  <c r="BK100" i="22" s="1"/>
  <c r="BT100" i="22"/>
  <c r="BF100" i="22" s="1"/>
  <c r="CC99" i="22"/>
  <c r="BW99" i="22"/>
  <c r="BI99" i="22" s="1"/>
  <c r="BR99" i="22"/>
  <c r="BD99" i="22" s="1"/>
  <c r="CA98" i="22"/>
  <c r="BM98" i="22" s="1"/>
  <c r="BV98" i="22"/>
  <c r="BH98" i="22" s="1"/>
  <c r="BP98" i="22"/>
  <c r="CD97" i="22"/>
  <c r="BY97" i="22"/>
  <c r="BK97" i="22" s="1"/>
  <c r="BT97" i="22"/>
  <c r="BF97" i="22" s="1"/>
  <c r="CD96" i="22"/>
  <c r="BX96" i="22"/>
  <c r="BJ96" i="22" s="1"/>
  <c r="BS96" i="22"/>
  <c r="BE96" i="22" s="1"/>
  <c r="CB95" i="22"/>
  <c r="BV95" i="22"/>
  <c r="BH95" i="22" s="1"/>
  <c r="BQ95" i="22"/>
  <c r="C95" i="22" s="1"/>
  <c r="CA94" i="22"/>
  <c r="BM94" i="22" s="1"/>
  <c r="BV94" i="22"/>
  <c r="BH94" i="22" s="1"/>
  <c r="BP94" i="22"/>
  <c r="CD93" i="22"/>
  <c r="BY93" i="22"/>
  <c r="BK93" i="22" s="1"/>
  <c r="BT93" i="22"/>
  <c r="BF93" i="22" s="1"/>
  <c r="CC92" i="22"/>
  <c r="BW92" i="22"/>
  <c r="BI92" i="22" s="1"/>
  <c r="BR92" i="22"/>
  <c r="BD92" i="22" s="1"/>
  <c r="BZ91" i="22"/>
  <c r="BL91" i="22" s="1"/>
  <c r="BT91" i="22"/>
  <c r="BF91" i="22" s="1"/>
  <c r="BO91" i="22"/>
  <c r="B91" i="22" s="1"/>
  <c r="CA90" i="22"/>
  <c r="BM90" i="22" s="1"/>
  <c r="BU90" i="22"/>
  <c r="BG90" i="22" s="1"/>
  <c r="BP90" i="22"/>
  <c r="CD89" i="22"/>
  <c r="BZ89" i="22"/>
  <c r="BL89" i="22" s="1"/>
  <c r="BV89" i="22"/>
  <c r="BH89" i="22" s="1"/>
  <c r="BR89" i="22"/>
  <c r="BD89" i="22" s="1"/>
  <c r="CA88" i="22"/>
  <c r="BM88" i="22" s="1"/>
  <c r="BW88" i="22"/>
  <c r="BI88" i="22" s="1"/>
  <c r="BS88" i="22"/>
  <c r="BE88" i="22" s="1"/>
  <c r="BO88" i="22"/>
  <c r="B88" i="22" s="1"/>
  <c r="CB87" i="22"/>
  <c r="BX87" i="22"/>
  <c r="BJ87" i="22" s="1"/>
  <c r="BT87" i="22"/>
  <c r="BF87" i="22" s="1"/>
  <c r="BP87" i="22"/>
  <c r="CC86" i="22"/>
  <c r="BY86" i="22"/>
  <c r="BK86" i="22" s="1"/>
  <c r="BU86" i="22"/>
  <c r="BG86" i="22" s="1"/>
  <c r="BQ86" i="22"/>
  <c r="C86" i="22" s="1"/>
  <c r="CD85" i="22"/>
  <c r="BZ85" i="22"/>
  <c r="BL85" i="22" s="1"/>
  <c r="BV85" i="22"/>
  <c r="BH85" i="22" s="1"/>
  <c r="BR85" i="22"/>
  <c r="BD85" i="22" s="1"/>
  <c r="CA84" i="22"/>
  <c r="BM84" i="22" s="1"/>
  <c r="BW84" i="22"/>
  <c r="BI84" i="22" s="1"/>
  <c r="BS84" i="22"/>
  <c r="BE84" i="22" s="1"/>
  <c r="BO84" i="22"/>
  <c r="B84" i="22" s="1"/>
  <c r="CB83" i="22"/>
  <c r="BX83" i="22"/>
  <c r="BJ83" i="22" s="1"/>
  <c r="BT83" i="22"/>
  <c r="BF83" i="22" s="1"/>
  <c r="BP83" i="22"/>
  <c r="CD82" i="22"/>
  <c r="BZ82" i="22"/>
  <c r="BL82" i="22" s="1"/>
  <c r="BV82" i="22"/>
  <c r="BH82" i="22" s="1"/>
  <c r="BR82" i="22"/>
  <c r="BD82" i="22" s="1"/>
  <c r="CC81" i="22"/>
  <c r="BY81" i="22"/>
  <c r="BK81" i="22" s="1"/>
  <c r="BU81" i="22"/>
  <c r="BG81" i="22" s="1"/>
  <c r="BQ81" i="22"/>
  <c r="C81" i="22" s="1"/>
  <c r="CB80" i="22"/>
  <c r="BX80" i="22"/>
  <c r="BJ80" i="22" s="1"/>
  <c r="BT80" i="22"/>
  <c r="BF80" i="22" s="1"/>
  <c r="BP80" i="22"/>
  <c r="CD79" i="22"/>
  <c r="BZ79" i="22"/>
  <c r="BL79" i="22" s="1"/>
  <c r="BV79" i="22"/>
  <c r="BH79" i="22" s="1"/>
  <c r="BR79" i="22"/>
  <c r="BD79" i="22" s="1"/>
  <c r="CB78" i="22"/>
  <c r="BX78" i="22"/>
  <c r="BJ78" i="22" s="1"/>
  <c r="BT78" i="22"/>
  <c r="BF78" i="22" s="1"/>
  <c r="BP78" i="22"/>
  <c r="CC77" i="22"/>
  <c r="BY77" i="22"/>
  <c r="BK77" i="22" s="1"/>
  <c r="BU77" i="22"/>
  <c r="BG77" i="22" s="1"/>
  <c r="BQ77" i="22"/>
  <c r="C77" i="22" s="1"/>
  <c r="CC76" i="22"/>
  <c r="BY76" i="22"/>
  <c r="BK76" i="22" s="1"/>
  <c r="BU76" i="22"/>
  <c r="BG76" i="22" s="1"/>
  <c r="BQ76" i="22"/>
  <c r="C76" i="22" s="1"/>
  <c r="CC75" i="22"/>
  <c r="BY75" i="22"/>
  <c r="BK75" i="22" s="1"/>
  <c r="BU75" i="22"/>
  <c r="BG75" i="22" s="1"/>
  <c r="BQ75" i="22"/>
  <c r="C75" i="22" s="1"/>
  <c r="CC74" i="22"/>
  <c r="BY74" i="22"/>
  <c r="BK74" i="22" s="1"/>
  <c r="BU74" i="22"/>
  <c r="BG74" i="22" s="1"/>
  <c r="BQ74" i="22"/>
  <c r="C74" i="22" s="1"/>
  <c r="CB73" i="22"/>
  <c r="BX73" i="22"/>
  <c r="BJ73" i="22" s="1"/>
  <c r="BT73" i="22"/>
  <c r="BF73" i="22" s="1"/>
  <c r="BP73" i="22"/>
  <c r="CA72" i="22"/>
  <c r="BM72" i="22" s="1"/>
  <c r="BW72" i="22"/>
  <c r="BI72" i="22" s="1"/>
  <c r="BS72" i="22"/>
  <c r="BE72" i="22" s="1"/>
  <c r="BO72" i="22"/>
  <c r="B72" i="22" s="1"/>
  <c r="CA71" i="22"/>
  <c r="BM71" i="22" s="1"/>
  <c r="BW71" i="22"/>
  <c r="BI71" i="22" s="1"/>
  <c r="BS71" i="22"/>
  <c r="BE71" i="22" s="1"/>
  <c r="BO71" i="22"/>
  <c r="B71" i="22" s="1"/>
  <c r="CD70" i="22"/>
  <c r="BZ70" i="22"/>
  <c r="BL70" i="22" s="1"/>
  <c r="BV70" i="22"/>
  <c r="BH70" i="22" s="1"/>
  <c r="BR70" i="22"/>
  <c r="BD70" i="22" s="1"/>
  <c r="CC69" i="22"/>
  <c r="BY69" i="22"/>
  <c r="BK69" i="22" s="1"/>
  <c r="BU69" i="22"/>
  <c r="BG69" i="22" s="1"/>
  <c r="BQ69" i="22"/>
  <c r="C69" i="22" s="1"/>
  <c r="CC68" i="22"/>
  <c r="BY68" i="22"/>
  <c r="BK68" i="22" s="1"/>
  <c r="BU68" i="22"/>
  <c r="BG68" i="22" s="1"/>
  <c r="BQ68" i="22"/>
  <c r="C68" i="22" s="1"/>
  <c r="CD67" i="22"/>
  <c r="BZ67" i="22"/>
  <c r="BL67" i="22" s="1"/>
  <c r="BV67" i="22"/>
  <c r="BH67" i="22" s="1"/>
  <c r="BR67" i="22"/>
  <c r="BD67" i="22" s="1"/>
  <c r="CA66" i="22"/>
  <c r="BM66" i="22" s="1"/>
  <c r="BW66" i="22"/>
  <c r="BI66" i="22" s="1"/>
  <c r="BS66" i="22"/>
  <c r="BE66" i="22" s="1"/>
  <c r="BO66" i="22"/>
  <c r="B66" i="22" s="1"/>
  <c r="CB65" i="22"/>
  <c r="BX65" i="22"/>
  <c r="BJ65" i="22" s="1"/>
  <c r="BT65" i="22"/>
  <c r="BF65" i="22" s="1"/>
  <c r="BP65" i="22"/>
  <c r="CC64" i="22"/>
  <c r="BY64" i="22"/>
  <c r="BK64" i="22" s="1"/>
  <c r="BU64" i="22"/>
  <c r="BG64" i="22" s="1"/>
  <c r="BQ64" i="22"/>
  <c r="C64" i="22" s="1"/>
  <c r="CA63" i="22"/>
  <c r="BM63" i="22" s="1"/>
  <c r="BW63" i="22"/>
  <c r="BI63" i="22" s="1"/>
  <c r="BS63" i="22"/>
  <c r="BE63" i="22" s="1"/>
  <c r="BO63" i="22"/>
  <c r="B63" i="22" s="1"/>
  <c r="CC62" i="22"/>
  <c r="BY62" i="22"/>
  <c r="BK62" i="22" s="1"/>
  <c r="BU62" i="22"/>
  <c r="BG62" i="22" s="1"/>
  <c r="BQ62" i="22"/>
  <c r="C62" i="22" s="1"/>
  <c r="CA61" i="22"/>
  <c r="BM61" i="22" s="1"/>
  <c r="BW61" i="22"/>
  <c r="BI61" i="22" s="1"/>
  <c r="BS61" i="22"/>
  <c r="BE61" i="22" s="1"/>
  <c r="BO61" i="22"/>
  <c r="B61" i="22" s="1"/>
  <c r="CB60" i="22"/>
  <c r="BX60" i="22"/>
  <c r="BJ60" i="22" s="1"/>
  <c r="BT60" i="22"/>
  <c r="BF60" i="22" s="1"/>
  <c r="BP60" i="22"/>
  <c r="CC59" i="22"/>
  <c r="BY59" i="22"/>
  <c r="BK59" i="22" s="1"/>
  <c r="BU59" i="22"/>
  <c r="BG59" i="22" s="1"/>
  <c r="BQ59" i="22"/>
  <c r="C59" i="22" s="1"/>
  <c r="CB58" i="22"/>
  <c r="BX58" i="22"/>
  <c r="BJ58" i="22" s="1"/>
  <c r="BT58" i="22"/>
  <c r="BF58" i="22" s="1"/>
  <c r="BP58" i="22"/>
  <c r="CC57" i="22"/>
  <c r="BY57" i="22"/>
  <c r="BK57" i="22" s="1"/>
  <c r="BU57" i="22"/>
  <c r="BG57" i="22" s="1"/>
  <c r="BQ57" i="22"/>
  <c r="C57" i="22" s="1"/>
  <c r="CD56" i="22"/>
  <c r="BZ56" i="22"/>
  <c r="BL56" i="22" s="1"/>
  <c r="BV56" i="22"/>
  <c r="BH56" i="22" s="1"/>
  <c r="BR56" i="22"/>
  <c r="BD56" i="22" s="1"/>
  <c r="CA55" i="22"/>
  <c r="BM55" i="22" s="1"/>
  <c r="BW55" i="22"/>
  <c r="BI55" i="22" s="1"/>
  <c r="BS55" i="22"/>
  <c r="BE55" i="22" s="1"/>
  <c r="BO55" i="22"/>
  <c r="B55" i="22" s="1"/>
  <c r="CB54" i="22"/>
  <c r="BX54" i="22"/>
  <c r="BJ54" i="22" s="1"/>
  <c r="BT54" i="22"/>
  <c r="BF54" i="22" s="1"/>
  <c r="BP54" i="22"/>
  <c r="CC53" i="22"/>
  <c r="BY53" i="22"/>
  <c r="BK53" i="22" s="1"/>
  <c r="BU53" i="22"/>
  <c r="BG53" i="22" s="1"/>
  <c r="BQ53" i="22"/>
  <c r="C53" i="22" s="1"/>
  <c r="CD52" i="22"/>
  <c r="BZ52" i="22"/>
  <c r="BL52" i="22" s="1"/>
  <c r="BV52" i="22"/>
  <c r="BH52" i="22" s="1"/>
  <c r="BR52" i="22"/>
  <c r="BD52" i="22" s="1"/>
  <c r="CC51" i="22"/>
  <c r="BY51" i="22"/>
  <c r="BK51" i="22" s="1"/>
  <c r="BU51" i="22"/>
  <c r="BG51" i="22" s="1"/>
  <c r="BQ51" i="22"/>
  <c r="C51" i="22" s="1"/>
  <c r="CD50" i="22"/>
  <c r="BZ50" i="22"/>
  <c r="BL50" i="22" s="1"/>
  <c r="BV50" i="22"/>
  <c r="BH50" i="22" s="1"/>
  <c r="BR50" i="22"/>
  <c r="BD50" i="22" s="1"/>
  <c r="CA49" i="22"/>
  <c r="BM49" i="22" s="1"/>
  <c r="BW49" i="22"/>
  <c r="BI49" i="22" s="1"/>
  <c r="BS49" i="22"/>
  <c r="BE49" i="22" s="1"/>
  <c r="BO49" i="22"/>
  <c r="B49" i="22" s="1"/>
  <c r="CB48" i="22"/>
  <c r="BX48" i="22"/>
  <c r="BJ48" i="22" s="1"/>
  <c r="BT48" i="22"/>
  <c r="BF48" i="22" s="1"/>
  <c r="BP48" i="22"/>
  <c r="CC47" i="22"/>
  <c r="BY47" i="22"/>
  <c r="BK47" i="22" s="1"/>
  <c r="BU47" i="22"/>
  <c r="BG47" i="22" s="1"/>
  <c r="BQ47" i="22"/>
  <c r="C47" i="22" s="1"/>
  <c r="CD46" i="22"/>
  <c r="BZ46" i="22"/>
  <c r="BL46" i="22" s="1"/>
  <c r="BV46" i="22"/>
  <c r="BH46" i="22" s="1"/>
  <c r="BR46" i="22"/>
  <c r="BD46" i="22" s="1"/>
  <c r="CA45" i="22"/>
  <c r="BM45" i="22" s="1"/>
  <c r="BW45" i="22"/>
  <c r="BI45" i="22" s="1"/>
  <c r="BS45" i="22"/>
  <c r="BE45" i="22" s="1"/>
  <c r="BO45" i="22"/>
  <c r="B45" i="22" s="1"/>
  <c r="CB44" i="22"/>
  <c r="BX44" i="22"/>
  <c r="BJ44" i="22" s="1"/>
  <c r="BT44" i="22"/>
  <c r="BF44" i="22" s="1"/>
  <c r="BP44" i="22"/>
  <c r="CA43" i="22"/>
  <c r="BM43" i="22" s="1"/>
  <c r="BW43" i="22"/>
  <c r="BI43" i="22" s="1"/>
  <c r="BS43" i="22"/>
  <c r="BE43" i="22" s="1"/>
  <c r="BO43" i="22"/>
  <c r="CD42" i="22"/>
  <c r="BZ42" i="22"/>
  <c r="BL42" i="22" s="1"/>
  <c r="BV42" i="22"/>
  <c r="BH42" i="22" s="1"/>
  <c r="BR42" i="22"/>
  <c r="BD42" i="22" s="1"/>
  <c r="CD41" i="22"/>
  <c r="BZ41" i="22"/>
  <c r="BL41" i="22" s="1"/>
  <c r="BV41" i="22"/>
  <c r="BH41" i="22" s="1"/>
  <c r="BR41" i="22"/>
  <c r="BD41" i="22" s="1"/>
  <c r="CA40" i="22"/>
  <c r="BM40" i="22" s="1"/>
  <c r="BW40" i="22"/>
  <c r="BI40" i="22" s="1"/>
  <c r="BS40" i="22"/>
  <c r="BE40" i="22" s="1"/>
  <c r="BO40" i="22"/>
  <c r="B40" i="22" s="1"/>
  <c r="CB39" i="22"/>
  <c r="BX39" i="22"/>
  <c r="BJ39" i="22" s="1"/>
  <c r="BT39" i="22"/>
  <c r="BF39" i="22" s="1"/>
  <c r="BP39" i="22"/>
  <c r="CC38" i="22"/>
  <c r="BY38" i="22"/>
  <c r="BK38" i="22" s="1"/>
  <c r="BU38" i="22"/>
  <c r="BG38" i="22" s="1"/>
  <c r="BQ38" i="22"/>
  <c r="C38" i="22" s="1"/>
  <c r="CD37" i="22"/>
  <c r="BZ37" i="22"/>
  <c r="BL37" i="22" s="1"/>
  <c r="BV37" i="22"/>
  <c r="BH37" i="22" s="1"/>
  <c r="BR37" i="22"/>
  <c r="BD37" i="22" s="1"/>
  <c r="CA36" i="22"/>
  <c r="BM36" i="22" s="1"/>
  <c r="BW36" i="22"/>
  <c r="BI36" i="22" s="1"/>
  <c r="BS36" i="22"/>
  <c r="BE36" i="22" s="1"/>
  <c r="BO36" i="22"/>
  <c r="B36" i="22" s="1"/>
  <c r="CB35" i="22"/>
  <c r="BX35" i="22"/>
  <c r="BJ35" i="22" s="1"/>
  <c r="BT35" i="22"/>
  <c r="BF35" i="22" s="1"/>
  <c r="BP35" i="22"/>
  <c r="CB34" i="22"/>
  <c r="BX34" i="22"/>
  <c r="BJ34" i="22" s="1"/>
  <c r="BT34" i="22"/>
  <c r="BF34" i="22" s="1"/>
  <c r="BP34" i="22"/>
  <c r="CB33" i="22"/>
  <c r="BX33" i="22"/>
  <c r="BJ33" i="22" s="1"/>
  <c r="BT33" i="22"/>
  <c r="BF33" i="22" s="1"/>
  <c r="BP33" i="22"/>
  <c r="CB32" i="22"/>
  <c r="BX32" i="22"/>
  <c r="BJ32" i="22" s="1"/>
  <c r="BT32" i="22"/>
  <c r="BF32" i="22" s="1"/>
  <c r="BP32" i="22"/>
  <c r="CC31" i="22"/>
  <c r="BY31" i="22"/>
  <c r="BK31" i="22" s="1"/>
  <c r="BU31" i="22"/>
  <c r="BG31" i="22" s="1"/>
  <c r="BQ31" i="22"/>
  <c r="C31" i="22" s="1"/>
  <c r="CD30" i="22"/>
  <c r="BZ30" i="22"/>
  <c r="BL30" i="22" s="1"/>
  <c r="BV30" i="22"/>
  <c r="BH30" i="22" s="1"/>
  <c r="BR30" i="22"/>
  <c r="BD30" i="22" s="1"/>
  <c r="CA29" i="22"/>
  <c r="BM29" i="22" s="1"/>
  <c r="BW29" i="22"/>
  <c r="BI29" i="22" s="1"/>
  <c r="BS29" i="22"/>
  <c r="BE29" i="22" s="1"/>
  <c r="BO29" i="22"/>
  <c r="B29" i="22" s="1"/>
  <c r="CB28" i="22"/>
  <c r="BX28" i="22"/>
  <c r="BJ28" i="22" s="1"/>
  <c r="BT28" i="22"/>
  <c r="BF28" i="22" s="1"/>
  <c r="BP28" i="22"/>
  <c r="CC27" i="22"/>
  <c r="BY27" i="22"/>
  <c r="BK27" i="22" s="1"/>
  <c r="BU27" i="22"/>
  <c r="BG27" i="22" s="1"/>
  <c r="BQ27" i="22"/>
  <c r="C27" i="22" s="1"/>
  <c r="CD26" i="22"/>
  <c r="BZ26" i="22"/>
  <c r="BL26" i="22" s="1"/>
  <c r="BV26" i="22"/>
  <c r="BH26" i="22" s="1"/>
  <c r="BR26" i="22"/>
  <c r="BD26" i="22" s="1"/>
  <c r="CD25" i="22"/>
  <c r="BZ25" i="22"/>
  <c r="BL25" i="22" s="1"/>
  <c r="BV25" i="22"/>
  <c r="BH25" i="22" s="1"/>
  <c r="BR25" i="22"/>
  <c r="BD25" i="22" s="1"/>
  <c r="CB24" i="22"/>
  <c r="BX24" i="22"/>
  <c r="BJ24" i="22" s="1"/>
  <c r="BT24" i="22"/>
  <c r="BF24" i="22" s="1"/>
  <c r="BP24" i="22"/>
  <c r="CC23" i="22"/>
  <c r="BY23" i="22"/>
  <c r="BK23" i="22" s="1"/>
  <c r="BU23" i="22"/>
  <c r="BG23" i="22" s="1"/>
  <c r="BQ23" i="22"/>
  <c r="C23" i="22" s="1"/>
  <c r="CA22" i="22"/>
  <c r="BM22" i="22" s="1"/>
  <c r="BW22" i="22"/>
  <c r="BI22" i="22" s="1"/>
  <c r="BS22" i="22"/>
  <c r="BE22" i="22" s="1"/>
  <c r="BO22" i="22"/>
  <c r="B22" i="22" s="1"/>
  <c r="CB21" i="22"/>
  <c r="BX21" i="22"/>
  <c r="BJ21" i="22" s="1"/>
  <c r="BT21" i="22"/>
  <c r="BF21" i="22" s="1"/>
  <c r="BP21" i="22"/>
  <c r="CC20" i="22"/>
  <c r="BY20" i="22"/>
  <c r="BK20" i="22" s="1"/>
  <c r="BU20" i="22"/>
  <c r="BG20" i="22" s="1"/>
  <c r="BQ20" i="22"/>
  <c r="C20" i="22" s="1"/>
  <c r="CD19" i="22"/>
  <c r="BZ19" i="22"/>
  <c r="BL19" i="22" s="1"/>
  <c r="BV19" i="22"/>
  <c r="BH19" i="22" s="1"/>
  <c r="BR19" i="22"/>
  <c r="BD19" i="22" s="1"/>
  <c r="CD18" i="22"/>
  <c r="BZ18" i="22"/>
  <c r="BL18" i="22" s="1"/>
  <c r="BV18" i="22"/>
  <c r="BH18" i="22" s="1"/>
  <c r="BR18" i="22"/>
  <c r="BD18" i="22" s="1"/>
  <c r="CD17" i="22"/>
  <c r="BZ17" i="22"/>
  <c r="BL17" i="22" s="1"/>
  <c r="BV17" i="22"/>
  <c r="BH17" i="22" s="1"/>
  <c r="BR17" i="22"/>
  <c r="BD17" i="22" s="1"/>
  <c r="CD16" i="22"/>
  <c r="BZ16" i="22"/>
  <c r="BL16" i="22" s="1"/>
  <c r="BV16" i="22"/>
  <c r="BH16" i="22" s="1"/>
  <c r="BR16" i="22"/>
  <c r="BD16" i="22" s="1"/>
  <c r="CD15" i="22"/>
  <c r="BZ15" i="22"/>
  <c r="BL15" i="22" s="1"/>
  <c r="BV15" i="22"/>
  <c r="BH15" i="22" s="1"/>
  <c r="BR15" i="22"/>
  <c r="BD15" i="22" s="1"/>
  <c r="CC14" i="22"/>
  <c r="BY14" i="22"/>
  <c r="BK14" i="22" s="1"/>
  <c r="BU14" i="22"/>
  <c r="BG14" i="22" s="1"/>
  <c r="BQ14" i="22"/>
  <c r="C14" i="22" s="1"/>
  <c r="BY103" i="22"/>
  <c r="BK103" i="22" s="1"/>
  <c r="BQ103" i="22"/>
  <c r="C103" i="22" s="1"/>
  <c r="CB102" i="22"/>
  <c r="BT102" i="22"/>
  <c r="BF102" i="22" s="1"/>
  <c r="BO102" i="22"/>
  <c r="B102" i="22" s="1"/>
  <c r="BZ101" i="22"/>
  <c r="BL101" i="22" s="1"/>
  <c r="BT101" i="22"/>
  <c r="BF101" i="22" s="1"/>
  <c r="BO101" i="22"/>
  <c r="B101" i="22" s="1"/>
  <c r="CC100" i="22"/>
  <c r="BX100" i="22"/>
  <c r="BJ100" i="22" s="1"/>
  <c r="BR100" i="22"/>
  <c r="BD100" i="22" s="1"/>
  <c r="CA99" i="22"/>
  <c r="BM99" i="22" s="1"/>
  <c r="BV99" i="22"/>
  <c r="BH99" i="22" s="1"/>
  <c r="BQ99" i="22"/>
  <c r="C99" i="22" s="1"/>
  <c r="BZ98" i="22"/>
  <c r="BL98" i="22" s="1"/>
  <c r="BT98" i="22"/>
  <c r="BF98" i="22" s="1"/>
  <c r="BO98" i="22"/>
  <c r="B98" i="22" s="1"/>
  <c r="CC97" i="22"/>
  <c r="BX97" i="22"/>
  <c r="BJ97" i="22" s="1"/>
  <c r="BR97" i="22"/>
  <c r="BD97" i="22" s="1"/>
  <c r="CB96" i="22"/>
  <c r="BW96" i="22"/>
  <c r="BI96" i="22" s="1"/>
  <c r="BR96" i="22"/>
  <c r="BD96" i="22" s="1"/>
  <c r="BZ95" i="22"/>
  <c r="BL95" i="22" s="1"/>
  <c r="BU95" i="22"/>
  <c r="BG95" i="22" s="1"/>
  <c r="BP95" i="22"/>
  <c r="BZ94" i="22"/>
  <c r="BL94" i="22" s="1"/>
  <c r="BT94" i="22"/>
  <c r="BF94" i="22" s="1"/>
  <c r="BO94" i="22"/>
  <c r="B94" i="22" s="1"/>
  <c r="CC93" i="22"/>
  <c r="BX93" i="22"/>
  <c r="BJ93" i="22" s="1"/>
  <c r="BR93" i="22"/>
  <c r="BD93" i="22" s="1"/>
  <c r="CA92" i="22"/>
  <c r="BM92" i="22" s="1"/>
  <c r="BV92" i="22"/>
  <c r="BH92" i="22" s="1"/>
  <c r="BQ92" i="22"/>
  <c r="C92" i="22" s="1"/>
  <c r="CD91" i="22"/>
  <c r="BX91" i="22"/>
  <c r="BJ91" i="22" s="1"/>
  <c r="BS91" i="22"/>
  <c r="BE91" i="22" s="1"/>
  <c r="BY90" i="22"/>
  <c r="BK90" i="22" s="1"/>
  <c r="BT90" i="22"/>
  <c r="BF90" i="22" s="1"/>
  <c r="BO90" i="22"/>
  <c r="B90" i="22" s="1"/>
  <c r="CC89" i="22"/>
  <c r="BY89" i="22"/>
  <c r="BK89" i="22" s="1"/>
  <c r="BU89" i="22"/>
  <c r="BG89" i="22" s="1"/>
  <c r="BQ89" i="22"/>
  <c r="C89" i="22" s="1"/>
  <c r="CD88" i="22"/>
  <c r="BZ88" i="22"/>
  <c r="BL88" i="22" s="1"/>
  <c r="BV88" i="22"/>
  <c r="BH88" i="22" s="1"/>
  <c r="BR88" i="22"/>
  <c r="BD88" i="22" s="1"/>
  <c r="CA87" i="22"/>
  <c r="BM87" i="22" s="1"/>
  <c r="BW87" i="22"/>
  <c r="BI87" i="22" s="1"/>
  <c r="BS87" i="22"/>
  <c r="BE87" i="22" s="1"/>
  <c r="BO87" i="22"/>
  <c r="B87" i="22" s="1"/>
  <c r="CB86" i="22"/>
  <c r="BX86" i="22"/>
  <c r="BJ86" i="22" s="1"/>
  <c r="BT86" i="22"/>
  <c r="BF86" i="22" s="1"/>
  <c r="BP86" i="22"/>
  <c r="CC85" i="22"/>
  <c r="BY85" i="22"/>
  <c r="BK85" i="22" s="1"/>
  <c r="BU85" i="22"/>
  <c r="BG85" i="22" s="1"/>
  <c r="BQ85" i="22"/>
  <c r="C85" i="22" s="1"/>
  <c r="CD84" i="22"/>
  <c r="BZ84" i="22"/>
  <c r="BL84" i="22" s="1"/>
  <c r="BV84" i="22"/>
  <c r="BH84" i="22" s="1"/>
  <c r="BR84" i="22"/>
  <c r="BD84" i="22" s="1"/>
  <c r="CA83" i="22"/>
  <c r="BM83" i="22" s="1"/>
  <c r="BW83" i="22"/>
  <c r="BI83" i="22" s="1"/>
  <c r="BS83" i="22"/>
  <c r="BE83" i="22" s="1"/>
  <c r="BO83" i="22"/>
  <c r="B83" i="22" s="1"/>
  <c r="CC82" i="22"/>
  <c r="BY82" i="22"/>
  <c r="BK82" i="22" s="1"/>
  <c r="BU82" i="22"/>
  <c r="BG82" i="22" s="1"/>
  <c r="BQ82" i="22"/>
  <c r="C82" i="22" s="1"/>
  <c r="CB81" i="22"/>
  <c r="BX81" i="22"/>
  <c r="BJ81" i="22" s="1"/>
  <c r="BT81" i="22"/>
  <c r="BF81" i="22" s="1"/>
  <c r="BP81" i="22"/>
  <c r="CA80" i="22"/>
  <c r="BM80" i="22" s="1"/>
  <c r="BW80" i="22"/>
  <c r="BI80" i="22" s="1"/>
  <c r="BS80" i="22"/>
  <c r="BE80" i="22" s="1"/>
  <c r="BO80" i="22"/>
  <c r="B80" i="22" s="1"/>
  <c r="CC79" i="22"/>
  <c r="BY79" i="22"/>
  <c r="BK79" i="22" s="1"/>
  <c r="BU79" i="22"/>
  <c r="BG79" i="22" s="1"/>
  <c r="BQ79" i="22"/>
  <c r="C79" i="22" s="1"/>
  <c r="CA78" i="22"/>
  <c r="BM78" i="22" s="1"/>
  <c r="BW78" i="22"/>
  <c r="BI78" i="22" s="1"/>
  <c r="BS78" i="22"/>
  <c r="BE78" i="22" s="1"/>
  <c r="BO78" i="22"/>
  <c r="B78" i="22" s="1"/>
  <c r="CB77" i="22"/>
  <c r="BX77" i="22"/>
  <c r="BJ77" i="22" s="1"/>
  <c r="BT77" i="22"/>
  <c r="BF77" i="22" s="1"/>
  <c r="BP77" i="22"/>
  <c r="CB76" i="22"/>
  <c r="BX76" i="22"/>
  <c r="BJ76" i="22" s="1"/>
  <c r="BT76" i="22"/>
  <c r="BF76" i="22" s="1"/>
  <c r="BP76" i="22"/>
  <c r="CB75" i="22"/>
  <c r="BX75" i="22"/>
  <c r="BJ75" i="22" s="1"/>
  <c r="BT75" i="22"/>
  <c r="BF75" i="22" s="1"/>
  <c r="BP75" i="22"/>
  <c r="CB74" i="22"/>
  <c r="BX74" i="22"/>
  <c r="BJ74" i="22" s="1"/>
  <c r="BT74" i="22"/>
  <c r="BF74" i="22" s="1"/>
  <c r="BP74" i="22"/>
  <c r="CA73" i="22"/>
  <c r="BM73" i="22" s="1"/>
  <c r="BW73" i="22"/>
  <c r="BI73" i="22" s="1"/>
  <c r="BS73" i="22"/>
  <c r="BE73" i="22" s="1"/>
  <c r="BO73" i="22"/>
  <c r="CD72" i="22"/>
  <c r="BZ72" i="22"/>
  <c r="BL72" i="22" s="1"/>
  <c r="BV72" i="22"/>
  <c r="BH72" i="22" s="1"/>
  <c r="BR72" i="22"/>
  <c r="BD72" i="22" s="1"/>
  <c r="CD71" i="22"/>
  <c r="BZ71" i="22"/>
  <c r="BL71" i="22" s="1"/>
  <c r="BV71" i="22"/>
  <c r="BH71" i="22" s="1"/>
  <c r="BR71" i="22"/>
  <c r="BD71" i="22" s="1"/>
  <c r="CC70" i="22"/>
  <c r="BY70" i="22"/>
  <c r="BK70" i="22" s="1"/>
  <c r="BU70" i="22"/>
  <c r="BG70" i="22" s="1"/>
  <c r="BQ70" i="22"/>
  <c r="C70" i="22" s="1"/>
  <c r="CB69" i="22"/>
  <c r="BX69" i="22"/>
  <c r="BJ69" i="22" s="1"/>
  <c r="BT69" i="22"/>
  <c r="BF69" i="22" s="1"/>
  <c r="BP69" i="22"/>
  <c r="CB68" i="22"/>
  <c r="BX68" i="22"/>
  <c r="BJ68" i="22" s="1"/>
  <c r="BT68" i="22"/>
  <c r="BF68" i="22" s="1"/>
  <c r="BP68" i="22"/>
  <c r="CC67" i="22"/>
  <c r="BY67" i="22"/>
  <c r="BK67" i="22" s="1"/>
  <c r="BU67" i="22"/>
  <c r="BG67" i="22" s="1"/>
  <c r="BQ67" i="22"/>
  <c r="C67" i="22" s="1"/>
  <c r="CD66" i="22"/>
  <c r="BZ66" i="22"/>
  <c r="BL66" i="22" s="1"/>
  <c r="BV66" i="22"/>
  <c r="BH66" i="22" s="1"/>
  <c r="BR66" i="22"/>
  <c r="BD66" i="22" s="1"/>
  <c r="CA65" i="22"/>
  <c r="BM65" i="22" s="1"/>
  <c r="BW65" i="22"/>
  <c r="BI65" i="22" s="1"/>
  <c r="BS65" i="22"/>
  <c r="BE65" i="22" s="1"/>
  <c r="BO65" i="22"/>
  <c r="B65" i="22" s="1"/>
  <c r="CB64" i="22"/>
  <c r="BX64" i="22"/>
  <c r="BJ64" i="22" s="1"/>
  <c r="BT64" i="22"/>
  <c r="BF64" i="22" s="1"/>
  <c r="BP64" i="22"/>
  <c r="CD63" i="22"/>
  <c r="BZ63" i="22"/>
  <c r="BL63" i="22" s="1"/>
  <c r="BV63" i="22"/>
  <c r="BH63" i="22" s="1"/>
  <c r="BR63" i="22"/>
  <c r="BD63" i="22" s="1"/>
  <c r="CB62" i="22"/>
  <c r="BX62" i="22"/>
  <c r="BJ62" i="22" s="1"/>
  <c r="BT62" i="22"/>
  <c r="BF62" i="22" s="1"/>
  <c r="BP62" i="22"/>
  <c r="CD61" i="22"/>
  <c r="BZ61" i="22"/>
  <c r="BL61" i="22" s="1"/>
  <c r="BV61" i="22"/>
  <c r="BH61" i="22" s="1"/>
  <c r="BR61" i="22"/>
  <c r="BD61" i="22" s="1"/>
  <c r="CA60" i="22"/>
  <c r="BM60" i="22" s="1"/>
  <c r="BW60" i="22"/>
  <c r="BI60" i="22" s="1"/>
  <c r="BS60" i="22"/>
  <c r="BE60" i="22" s="1"/>
  <c r="BO60" i="22"/>
  <c r="B60" i="22" s="1"/>
  <c r="CB59" i="22"/>
  <c r="BX59" i="22"/>
  <c r="BJ59" i="22" s="1"/>
  <c r="BT59" i="22"/>
  <c r="BF59" i="22" s="1"/>
  <c r="BP59" i="22"/>
  <c r="CA58" i="22"/>
  <c r="BM58" i="22" s="1"/>
  <c r="BW58" i="22"/>
  <c r="BI58" i="22" s="1"/>
  <c r="BS58" i="22"/>
  <c r="BE58" i="22" s="1"/>
  <c r="BO58" i="22"/>
  <c r="B58" i="22" s="1"/>
  <c r="CB57" i="22"/>
  <c r="BX57" i="22"/>
  <c r="BJ57" i="22" s="1"/>
  <c r="BT57" i="22"/>
  <c r="BF57" i="22" s="1"/>
  <c r="BP57" i="22"/>
  <c r="CC56" i="22"/>
  <c r="BY56" i="22"/>
  <c r="BK56" i="22" s="1"/>
  <c r="BU56" i="22"/>
  <c r="BG56" i="22" s="1"/>
  <c r="BQ56" i="22"/>
  <c r="C56" i="22" s="1"/>
  <c r="CD55" i="22"/>
  <c r="BZ55" i="22"/>
  <c r="BL55" i="22" s="1"/>
  <c r="BV55" i="22"/>
  <c r="BH55" i="22" s="1"/>
  <c r="BR55" i="22"/>
  <c r="BD55" i="22" s="1"/>
  <c r="CA54" i="22"/>
  <c r="BM54" i="22" s="1"/>
  <c r="BW54" i="22"/>
  <c r="BI54" i="22" s="1"/>
  <c r="BS54" i="22"/>
  <c r="BE54" i="22" s="1"/>
  <c r="BO54" i="22"/>
  <c r="B54" i="22" s="1"/>
  <c r="CB53" i="22"/>
  <c r="BX53" i="22"/>
  <c r="BJ53" i="22" s="1"/>
  <c r="BT53" i="22"/>
  <c r="BF53" i="22" s="1"/>
  <c r="BP53" i="22"/>
  <c r="CC52" i="22"/>
  <c r="BY52" i="22"/>
  <c r="BK52" i="22" s="1"/>
  <c r="BU52" i="22"/>
  <c r="BG52" i="22" s="1"/>
  <c r="BQ52" i="22"/>
  <c r="C52" i="22" s="1"/>
  <c r="CB51" i="22"/>
  <c r="BX51" i="22"/>
  <c r="BJ51" i="22" s="1"/>
  <c r="BT51" i="22"/>
  <c r="BF51" i="22" s="1"/>
  <c r="BP51" i="22"/>
  <c r="CC50" i="22"/>
  <c r="BY50" i="22"/>
  <c r="BK50" i="22" s="1"/>
  <c r="BU50" i="22"/>
  <c r="BG50" i="22" s="1"/>
  <c r="BQ50" i="22"/>
  <c r="C50" i="22" s="1"/>
  <c r="CD49" i="22"/>
  <c r="BZ49" i="22"/>
  <c r="BL49" i="22" s="1"/>
  <c r="BV49" i="22"/>
  <c r="BH49" i="22" s="1"/>
  <c r="BR49" i="22"/>
  <c r="BD49" i="22" s="1"/>
  <c r="CA48" i="22"/>
  <c r="BM48" i="22" s="1"/>
  <c r="BW48" i="22"/>
  <c r="BI48" i="22" s="1"/>
  <c r="BS48" i="22"/>
  <c r="BE48" i="22" s="1"/>
  <c r="BO48" i="22"/>
  <c r="B48" i="22" s="1"/>
  <c r="CB47" i="22"/>
  <c r="BX47" i="22"/>
  <c r="BJ47" i="22" s="1"/>
  <c r="BT47" i="22"/>
  <c r="BF47" i="22" s="1"/>
  <c r="BP47" i="22"/>
  <c r="CC46" i="22"/>
  <c r="BY46" i="22"/>
  <c r="BK46" i="22" s="1"/>
  <c r="BU46" i="22"/>
  <c r="BG46" i="22" s="1"/>
  <c r="BQ46" i="22"/>
  <c r="C46" i="22" s="1"/>
  <c r="CD45" i="22"/>
  <c r="BZ45" i="22"/>
  <c r="BL45" i="22" s="1"/>
  <c r="BV45" i="22"/>
  <c r="BH45" i="22" s="1"/>
  <c r="BR45" i="22"/>
  <c r="BD45" i="22" s="1"/>
  <c r="CA44" i="22"/>
  <c r="BM44" i="22" s="1"/>
  <c r="BW44" i="22"/>
  <c r="BI44" i="22" s="1"/>
  <c r="BS44" i="22"/>
  <c r="BE44" i="22" s="1"/>
  <c r="BO44" i="22"/>
  <c r="B44" i="22" s="1"/>
  <c r="CD43" i="22"/>
  <c r="BZ43" i="22"/>
  <c r="BL43" i="22" s="1"/>
  <c r="BV43" i="22"/>
  <c r="BH43" i="22" s="1"/>
  <c r="BR43" i="22"/>
  <c r="BD43" i="22" s="1"/>
  <c r="CC42" i="22"/>
  <c r="BY42" i="22"/>
  <c r="BK42" i="22" s="1"/>
  <c r="BU42" i="22"/>
  <c r="BG42" i="22" s="1"/>
  <c r="BQ42" i="22"/>
  <c r="C42" i="22" s="1"/>
  <c r="CC41" i="22"/>
  <c r="BY41" i="22"/>
  <c r="BK41" i="22" s="1"/>
  <c r="BU41" i="22"/>
  <c r="BG41" i="22" s="1"/>
  <c r="BQ41" i="22"/>
  <c r="C41" i="22" s="1"/>
  <c r="CD40" i="22"/>
  <c r="BZ40" i="22"/>
  <c r="BL40" i="22" s="1"/>
  <c r="BV40" i="22"/>
  <c r="BH40" i="22" s="1"/>
  <c r="BR40" i="22"/>
  <c r="BD40" i="22" s="1"/>
  <c r="CA39" i="22"/>
  <c r="BM39" i="22" s="1"/>
  <c r="BW39" i="22"/>
  <c r="BI39" i="22" s="1"/>
  <c r="BS39" i="22"/>
  <c r="BE39" i="22" s="1"/>
  <c r="BO39" i="22"/>
  <c r="B39" i="22" s="1"/>
  <c r="CB38" i="22"/>
  <c r="BX38" i="22"/>
  <c r="BJ38" i="22" s="1"/>
  <c r="BT38" i="22"/>
  <c r="BF38" i="22" s="1"/>
  <c r="BP38" i="22"/>
  <c r="CC37" i="22"/>
  <c r="BY37" i="22"/>
  <c r="BK37" i="22" s="1"/>
  <c r="BU37" i="22"/>
  <c r="BG37" i="22" s="1"/>
  <c r="BQ37" i="22"/>
  <c r="C37" i="22" s="1"/>
  <c r="CD36" i="22"/>
  <c r="BZ36" i="22"/>
  <c r="BL36" i="22" s="1"/>
  <c r="BV36" i="22"/>
  <c r="BH36" i="22" s="1"/>
  <c r="BR36" i="22"/>
  <c r="BD36" i="22" s="1"/>
  <c r="CA35" i="22"/>
  <c r="BM35" i="22" s="1"/>
  <c r="BW35" i="22"/>
  <c r="BI35" i="22" s="1"/>
  <c r="BS35" i="22"/>
  <c r="BE35" i="22" s="1"/>
  <c r="BO35" i="22"/>
  <c r="B35" i="22" s="1"/>
  <c r="CA34" i="22"/>
  <c r="BM34" i="22" s="1"/>
  <c r="BW34" i="22"/>
  <c r="BI34" i="22" s="1"/>
  <c r="BS34" i="22"/>
  <c r="BE34" i="22" s="1"/>
  <c r="BO34" i="22"/>
  <c r="B34" i="22" s="1"/>
  <c r="CA33" i="22"/>
  <c r="BM33" i="22" s="1"/>
  <c r="BW33" i="22"/>
  <c r="BI33" i="22" s="1"/>
  <c r="BS33" i="22"/>
  <c r="BE33" i="22" s="1"/>
  <c r="BO33" i="22"/>
  <c r="B33" i="22" s="1"/>
  <c r="CA32" i="22"/>
  <c r="BM32" i="22" s="1"/>
  <c r="BW32" i="22"/>
  <c r="BI32" i="22" s="1"/>
  <c r="BS32" i="22"/>
  <c r="BE32" i="22" s="1"/>
  <c r="BO32" i="22"/>
  <c r="B32" i="22" s="1"/>
  <c r="CB31" i="22"/>
  <c r="BX31" i="22"/>
  <c r="BJ31" i="22" s="1"/>
  <c r="BT31" i="22"/>
  <c r="BF31" i="22" s="1"/>
  <c r="BP31" i="22"/>
  <c r="CC30" i="22"/>
  <c r="BY30" i="22"/>
  <c r="BK30" i="22" s="1"/>
  <c r="BU30" i="22"/>
  <c r="BG30" i="22" s="1"/>
  <c r="BQ30" i="22"/>
  <c r="C30" i="22" s="1"/>
  <c r="CD29" i="22"/>
  <c r="BZ29" i="22"/>
  <c r="BL29" i="22" s="1"/>
  <c r="BV29" i="22"/>
  <c r="BH29" i="22" s="1"/>
  <c r="BR29" i="22"/>
  <c r="BD29" i="22" s="1"/>
  <c r="CA28" i="22"/>
  <c r="BM28" i="22" s="1"/>
  <c r="BW28" i="22"/>
  <c r="BI28" i="22" s="1"/>
  <c r="BS28" i="22"/>
  <c r="BE28" i="22" s="1"/>
  <c r="BO28" i="22"/>
  <c r="B28" i="22" s="1"/>
  <c r="CB27" i="22"/>
  <c r="BX27" i="22"/>
  <c r="BJ27" i="22" s="1"/>
  <c r="BT27" i="22"/>
  <c r="BF27" i="22" s="1"/>
  <c r="BP27" i="22"/>
  <c r="CC26" i="22"/>
  <c r="BY26" i="22"/>
  <c r="BK26" i="22" s="1"/>
  <c r="BU26" i="22"/>
  <c r="BG26" i="22" s="1"/>
  <c r="BQ26" i="22"/>
  <c r="C26" i="22" s="1"/>
  <c r="CC25" i="22"/>
  <c r="BY25" i="22"/>
  <c r="BK25" i="22" s="1"/>
  <c r="BU25" i="22"/>
  <c r="BG25" i="22" s="1"/>
  <c r="BQ25" i="22"/>
  <c r="C25" i="22" s="1"/>
  <c r="CA24" i="22"/>
  <c r="BM24" i="22" s="1"/>
  <c r="BW24" i="22"/>
  <c r="BI24" i="22" s="1"/>
  <c r="BS24" i="22"/>
  <c r="BE24" i="22" s="1"/>
  <c r="BO24" i="22"/>
  <c r="B24" i="22" s="1"/>
  <c r="CB23" i="22"/>
  <c r="BX23" i="22"/>
  <c r="BJ23" i="22" s="1"/>
  <c r="BT23" i="22"/>
  <c r="BF23" i="22" s="1"/>
  <c r="BP23" i="22"/>
  <c r="CD22" i="22"/>
  <c r="BZ22" i="22"/>
  <c r="BL22" i="22" s="1"/>
  <c r="BV22" i="22"/>
  <c r="BH22" i="22" s="1"/>
  <c r="BR22" i="22"/>
  <c r="BD22" i="22" s="1"/>
  <c r="CA21" i="22"/>
  <c r="BM21" i="22" s="1"/>
  <c r="BW21" i="22"/>
  <c r="BI21" i="22" s="1"/>
  <c r="BS21" i="22"/>
  <c r="BE21" i="22" s="1"/>
  <c r="BO21" i="22"/>
  <c r="B21" i="22" s="1"/>
  <c r="CB20" i="22"/>
  <c r="BX20" i="22"/>
  <c r="BJ20" i="22" s="1"/>
  <c r="BT20" i="22"/>
  <c r="BF20" i="22" s="1"/>
  <c r="BP20" i="22"/>
  <c r="CC19" i="22"/>
  <c r="BY19" i="22"/>
  <c r="BK19" i="22" s="1"/>
  <c r="BU19" i="22"/>
  <c r="BG19" i="22" s="1"/>
  <c r="BQ19" i="22"/>
  <c r="C19" i="22" s="1"/>
  <c r="CC18" i="22"/>
  <c r="BY18" i="22"/>
  <c r="BK18" i="22" s="1"/>
  <c r="BU18" i="22"/>
  <c r="BG18" i="22" s="1"/>
  <c r="BQ18" i="22"/>
  <c r="C18" i="22" s="1"/>
  <c r="CC17" i="22"/>
  <c r="BY17" i="22"/>
  <c r="BK17" i="22" s="1"/>
  <c r="BU17" i="22"/>
  <c r="BG17" i="22" s="1"/>
  <c r="BQ17" i="22"/>
  <c r="C17" i="22" s="1"/>
  <c r="CC16" i="22"/>
  <c r="BY16" i="22"/>
  <c r="BK16" i="22" s="1"/>
  <c r="BU16" i="22"/>
  <c r="BG16" i="22" s="1"/>
  <c r="BQ16" i="22"/>
  <c r="C16" i="22" s="1"/>
  <c r="CC15" i="22"/>
  <c r="BY15" i="22"/>
  <c r="BK15" i="22" s="1"/>
  <c r="BU15" i="22"/>
  <c r="BG15" i="22" s="1"/>
  <c r="BQ15" i="22"/>
  <c r="C15" i="22" s="1"/>
  <c r="CB14" i="22"/>
  <c r="BX14" i="22"/>
  <c r="BJ14" i="22" s="1"/>
  <c r="BT14" i="22"/>
  <c r="BF14" i="22" s="1"/>
  <c r="BP14" i="22"/>
  <c r="CB13" i="22"/>
  <c r="BX13" i="22"/>
  <c r="BJ13" i="22" s="1"/>
  <c r="BT13" i="22"/>
  <c r="BF13" i="22" s="1"/>
  <c r="BP13" i="22"/>
  <c r="CB12" i="22"/>
  <c r="BX12" i="22"/>
  <c r="BJ12" i="22" s="1"/>
  <c r="BT12" i="22"/>
  <c r="BF12" i="22" s="1"/>
  <c r="BP12" i="22"/>
  <c r="CA11" i="22"/>
  <c r="BM11" i="22" s="1"/>
  <c r="BW11" i="22"/>
  <c r="BI11" i="22" s="1"/>
  <c r="BS11" i="22"/>
  <c r="BE11" i="22" s="1"/>
  <c r="BO11" i="22"/>
  <c r="B11" i="22" s="1"/>
  <c r="CB10" i="22"/>
  <c r="BX10" i="22"/>
  <c r="BJ10" i="22" s="1"/>
  <c r="BT10" i="22"/>
  <c r="BF10" i="22" s="1"/>
  <c r="BP10" i="22"/>
  <c r="CD9" i="22"/>
  <c r="BZ9" i="22"/>
  <c r="BL9" i="22" s="1"/>
  <c r="BV9" i="22"/>
  <c r="BH9" i="22" s="1"/>
  <c r="BR9" i="22"/>
  <c r="BD9" i="22" s="1"/>
  <c r="AV9" i="22"/>
  <c r="BQ9" i="22"/>
  <c r="C9" i="22" s="1"/>
  <c r="BW9" i="22"/>
  <c r="BI9" i="22" s="1"/>
  <c r="CB9" i="22"/>
  <c r="BS10" i="22"/>
  <c r="BE10" i="22" s="1"/>
  <c r="BY10" i="22"/>
  <c r="BK10" i="22" s="1"/>
  <c r="CD10" i="22"/>
  <c r="BP11" i="22"/>
  <c r="BU11" i="22"/>
  <c r="BG11" i="22" s="1"/>
  <c r="BZ11" i="22"/>
  <c r="BL11" i="22" s="1"/>
  <c r="BU12" i="22"/>
  <c r="BG12" i="22" s="1"/>
  <c r="CC12" i="22"/>
  <c r="BQ13" i="22"/>
  <c r="C13" i="22" s="1"/>
  <c r="BY13" i="22"/>
  <c r="BK13" i="22" s="1"/>
  <c r="BW14" i="22"/>
  <c r="BI14" i="22" s="1"/>
  <c r="G124" i="15"/>
  <c r="H124" i="15" s="1"/>
  <c r="J85" i="20" s="1"/>
  <c r="H85" i="20"/>
  <c r="G127" i="15"/>
  <c r="H127" i="15" s="1"/>
  <c r="J88" i="20" s="1"/>
  <c r="H88" i="20"/>
  <c r="G128" i="15"/>
  <c r="H128" i="15" s="1"/>
  <c r="J89" i="20" s="1"/>
  <c r="H89" i="20"/>
  <c r="BQ3" i="22"/>
  <c r="AP172" i="22"/>
  <c r="AB172" i="22" s="1"/>
  <c r="AP145" i="22"/>
  <c r="AB145" i="22" s="1"/>
  <c r="AP122" i="22"/>
  <c r="AB122" i="22" s="1"/>
  <c r="AP112" i="22"/>
  <c r="AB112" i="22" s="1"/>
  <c r="AP62" i="22"/>
  <c r="AB62" i="22" s="1"/>
  <c r="AB6" i="22"/>
  <c r="AT172" i="22"/>
  <c r="AF172" i="22" s="1"/>
  <c r="AT145" i="22"/>
  <c r="AF145" i="22" s="1"/>
  <c r="AT122" i="22"/>
  <c r="AF122" i="22" s="1"/>
  <c r="AT112" i="22"/>
  <c r="AF112" i="22" s="1"/>
  <c r="AT62" i="22"/>
  <c r="AF62" i="22" s="1"/>
  <c r="AF6" i="22"/>
  <c r="AX172" i="22"/>
  <c r="AJ172" i="22" s="1"/>
  <c r="AX145" i="22"/>
  <c r="AJ145" i="22" s="1"/>
  <c r="AX122" i="22"/>
  <c r="AJ122" i="22" s="1"/>
  <c r="AX112" i="22"/>
  <c r="AJ112" i="22" s="1"/>
  <c r="AX62" i="22"/>
  <c r="AJ62" i="22" s="1"/>
  <c r="AJ6" i="22"/>
  <c r="AR9" i="22"/>
  <c r="AX9" i="22"/>
  <c r="BS9" i="22"/>
  <c r="BE9" i="22" s="1"/>
  <c r="BX9" i="22"/>
  <c r="BJ9" i="22" s="1"/>
  <c r="CC9" i="22"/>
  <c r="BO10" i="22"/>
  <c r="B10" i="22" s="1"/>
  <c r="BU10" i="22"/>
  <c r="BG10" i="22" s="1"/>
  <c r="BZ10" i="22"/>
  <c r="BL10" i="22" s="1"/>
  <c r="BQ11" i="22"/>
  <c r="C11" i="22" s="1"/>
  <c r="BV11" i="22"/>
  <c r="BH11" i="22" s="1"/>
  <c r="CB11" i="22"/>
  <c r="BO12" i="22"/>
  <c r="B12" i="22" s="1"/>
  <c r="BW12" i="22"/>
  <c r="BI12" i="22" s="1"/>
  <c r="BS13" i="22"/>
  <c r="BE13" i="22" s="1"/>
  <c r="CA13" i="22"/>
  <c r="BM13" i="22" s="1"/>
  <c r="CA14" i="22"/>
  <c r="BM14" i="22" s="1"/>
  <c r="AO172" i="22"/>
  <c r="AA172" i="22" s="1"/>
  <c r="AO122" i="22"/>
  <c r="AA122" i="22" s="1"/>
  <c r="AO112" i="22"/>
  <c r="AA112" i="22" s="1"/>
  <c r="AO145" i="22"/>
  <c r="AA145" i="22" s="1"/>
  <c r="AS172" i="22"/>
  <c r="AE172" i="22" s="1"/>
  <c r="AS145" i="22"/>
  <c r="AE145" i="22" s="1"/>
  <c r="AS122" i="22"/>
  <c r="AE122" i="22" s="1"/>
  <c r="AS112" i="22"/>
  <c r="AE112" i="22" s="1"/>
  <c r="AW172" i="22"/>
  <c r="AI172" i="22" s="1"/>
  <c r="AW145" i="22"/>
  <c r="AI145" i="22" s="1"/>
  <c r="AW122" i="22"/>
  <c r="AI122" i="22" s="1"/>
  <c r="AW112" i="22"/>
  <c r="AI112" i="22" s="1"/>
  <c r="AO9" i="22"/>
  <c r="AS9" i="22"/>
  <c r="AW9" i="22"/>
  <c r="EZ57" i="22"/>
  <c r="EI55" i="22"/>
  <c r="AO62" i="22"/>
  <c r="AA62" i="22" s="1"/>
  <c r="AS62" i="22"/>
  <c r="AE62" i="22" s="1"/>
  <c r="AW62" i="22"/>
  <c r="AI62" i="22" s="1"/>
  <c r="AB34" i="5"/>
  <c r="S34" i="5" s="1"/>
  <c r="F189" i="9"/>
  <c r="F185" i="9"/>
  <c r="F188" i="9"/>
  <c r="W77" i="5"/>
  <c r="F187" i="9"/>
  <c r="F186" i="9"/>
  <c r="F72" i="9"/>
  <c r="F70" i="9"/>
  <c r="W72" i="5"/>
  <c r="K72" i="18" s="1"/>
  <c r="F73" i="9"/>
  <c r="F71" i="9"/>
  <c r="F69" i="9"/>
  <c r="T500" i="5"/>
  <c r="Z33" i="5"/>
  <c r="Q33" i="5" s="1"/>
  <c r="Z166" i="5"/>
  <c r="Q166" i="5" s="1"/>
  <c r="AB165" i="5"/>
  <c r="S165" i="5" s="1"/>
  <c r="Z162" i="5"/>
  <c r="Q162" i="5" s="1"/>
  <c r="AB161" i="5"/>
  <c r="S161" i="5" s="1"/>
  <c r="AB92" i="5"/>
  <c r="S92" i="5" s="1"/>
  <c r="AB184" i="5"/>
  <c r="S184" i="5" s="1"/>
  <c r="AB164" i="5"/>
  <c r="S164" i="5" s="1"/>
  <c r="Z161" i="5"/>
  <c r="Q161" i="5" s="1"/>
  <c r="Z92" i="5"/>
  <c r="Q92" i="5" s="1"/>
  <c r="AB91" i="5"/>
  <c r="S91" i="5" s="1"/>
  <c r="AB73" i="5"/>
  <c r="S73" i="5" s="1"/>
  <c r="AB51" i="5"/>
  <c r="S51" i="5" s="1"/>
  <c r="Z184" i="5"/>
  <c r="Q184" i="5" s="1"/>
  <c r="AB167" i="5"/>
  <c r="S167" i="5" s="1"/>
  <c r="Z164" i="5"/>
  <c r="Q164" i="5" s="1"/>
  <c r="AB163" i="5"/>
  <c r="S163" i="5" s="1"/>
  <c r="Z91" i="5"/>
  <c r="Q91" i="5" s="1"/>
  <c r="AB90" i="5"/>
  <c r="S90" i="5" s="1"/>
  <c r="Z73" i="5"/>
  <c r="Q73" i="5" s="1"/>
  <c r="Z51" i="5"/>
  <c r="Q51" i="5" s="1"/>
  <c r="Z167" i="5"/>
  <c r="Q167" i="5" s="1"/>
  <c r="AB166" i="5"/>
  <c r="S166" i="5" s="1"/>
  <c r="Z163" i="5"/>
  <c r="Q163" i="5" s="1"/>
  <c r="AB162" i="5"/>
  <c r="S162" i="5" s="1"/>
  <c r="Z90" i="5"/>
  <c r="Q90" i="5" s="1"/>
  <c r="AB77" i="5"/>
  <c r="S77" i="5" s="1"/>
  <c r="AB33" i="5"/>
  <c r="S33" i="5" s="1"/>
  <c r="Z34" i="5"/>
  <c r="Q34" i="5" s="1"/>
  <c r="F91" i="9"/>
  <c r="F87" i="9"/>
  <c r="F88" i="9"/>
  <c r="W75" i="5"/>
  <c r="K75" i="18" s="1"/>
  <c r="F90" i="9"/>
  <c r="F89" i="9"/>
  <c r="O494" i="5"/>
  <c r="F78" i="8"/>
  <c r="F80" i="8"/>
  <c r="F83" i="8"/>
  <c r="F85" i="8"/>
  <c r="F87" i="8"/>
  <c r="F95" i="8"/>
  <c r="F97" i="8"/>
  <c r="F100" i="8"/>
  <c r="F102" i="8"/>
  <c r="F104" i="8"/>
  <c r="F112" i="8"/>
  <c r="F114" i="8"/>
  <c r="F117" i="8"/>
  <c r="F119" i="8"/>
  <c r="F121" i="8"/>
  <c r="F129" i="8"/>
  <c r="F131" i="8"/>
  <c r="F134" i="8"/>
  <c r="F136" i="8"/>
  <c r="F138" i="8"/>
  <c r="F157" i="8"/>
  <c r="F159" i="8"/>
  <c r="F161" i="8"/>
  <c r="F164" i="8"/>
  <c r="F166" i="8"/>
  <c r="K184" i="8"/>
  <c r="K186" i="8"/>
  <c r="K189" i="8"/>
  <c r="K191" i="8"/>
  <c r="K193" i="8"/>
  <c r="F242" i="8"/>
  <c r="F244" i="8"/>
  <c r="F246" i="8"/>
  <c r="F249" i="8"/>
  <c r="F251" i="8"/>
  <c r="F259" i="8"/>
  <c r="F261" i="8"/>
  <c r="F263" i="8"/>
  <c r="F266" i="8"/>
  <c r="F268" i="8"/>
  <c r="F373" i="8"/>
  <c r="F375" i="8"/>
  <c r="F377" i="8"/>
  <c r="F380" i="8"/>
  <c r="F382" i="8"/>
  <c r="K70" i="9"/>
  <c r="K72" i="9"/>
  <c r="F342" i="9"/>
  <c r="M58" i="14"/>
  <c r="F166" i="11"/>
  <c r="F164" i="11"/>
  <c r="F162" i="11"/>
  <c r="AA5" i="20"/>
  <c r="K78" i="8"/>
  <c r="K80" i="8"/>
  <c r="K83" i="8"/>
  <c r="K85" i="8"/>
  <c r="K87" i="8"/>
  <c r="K95" i="8"/>
  <c r="K97" i="8"/>
  <c r="K100" i="8"/>
  <c r="K102" i="8"/>
  <c r="K104" i="8"/>
  <c r="K112" i="8"/>
  <c r="K114" i="8"/>
  <c r="K117" i="8"/>
  <c r="K119" i="8"/>
  <c r="K121" i="8"/>
  <c r="K129" i="8"/>
  <c r="K131" i="8"/>
  <c r="K134" i="8"/>
  <c r="K136" i="8"/>
  <c r="K138" i="8"/>
  <c r="M157" i="8"/>
  <c r="M159" i="8"/>
  <c r="M161" i="8"/>
  <c r="F183" i="8"/>
  <c r="F185" i="8"/>
  <c r="F187" i="8"/>
  <c r="F190" i="8"/>
  <c r="F192" i="8"/>
  <c r="K242" i="8"/>
  <c r="K244" i="8"/>
  <c r="K246" i="8"/>
  <c r="K249" i="8"/>
  <c r="K251" i="8"/>
  <c r="K259" i="8"/>
  <c r="K261" i="8"/>
  <c r="K263" i="8"/>
  <c r="K266" i="8"/>
  <c r="K268" i="8"/>
  <c r="K373" i="8"/>
  <c r="K375" i="8"/>
  <c r="K377" i="8"/>
  <c r="K380" i="8"/>
  <c r="K382" i="8"/>
  <c r="F343" i="9"/>
  <c r="F165" i="11"/>
  <c r="L26" i="11"/>
  <c r="L24" i="11"/>
  <c r="F49" i="13"/>
  <c r="F47" i="13"/>
  <c r="F45" i="13"/>
  <c r="F48" i="13"/>
  <c r="F46" i="13"/>
  <c r="F116" i="13"/>
  <c r="F115" i="13"/>
  <c r="F118" i="13"/>
  <c r="F114" i="13"/>
  <c r="F117" i="13"/>
  <c r="F174" i="13"/>
  <c r="F170" i="13"/>
  <c r="F173" i="13"/>
  <c r="F172" i="13"/>
  <c r="F171" i="13"/>
  <c r="F77" i="8"/>
  <c r="F79" i="8"/>
  <c r="F81" i="8"/>
  <c r="F84" i="8"/>
  <c r="F86" i="8"/>
  <c r="F94" i="8"/>
  <c r="F96" i="8"/>
  <c r="F98" i="8"/>
  <c r="F101" i="8"/>
  <c r="F103" i="8"/>
  <c r="F111" i="8"/>
  <c r="F113" i="8"/>
  <c r="F115" i="8"/>
  <c r="F118" i="8"/>
  <c r="F120" i="8"/>
  <c r="F128" i="8"/>
  <c r="F130" i="8"/>
  <c r="F132" i="8"/>
  <c r="F135" i="8"/>
  <c r="F137" i="8"/>
  <c r="F158" i="8"/>
  <c r="F160" i="8"/>
  <c r="F163" i="8"/>
  <c r="F165" i="8"/>
  <c r="F167" i="8"/>
  <c r="K183" i="8"/>
  <c r="K185" i="8"/>
  <c r="K187" i="8"/>
  <c r="K190" i="8"/>
  <c r="K192" i="8"/>
  <c r="F243" i="8"/>
  <c r="F245" i="8"/>
  <c r="F248" i="8"/>
  <c r="F250" i="8"/>
  <c r="F252" i="8"/>
  <c r="F260" i="8"/>
  <c r="F262" i="8"/>
  <c r="F265" i="8"/>
  <c r="F267" i="8"/>
  <c r="F269" i="8"/>
  <c r="F374" i="8"/>
  <c r="F376" i="8"/>
  <c r="F379" i="8"/>
  <c r="F381" i="8"/>
  <c r="F383" i="8"/>
  <c r="K69" i="9"/>
  <c r="K71" i="9"/>
  <c r="F163" i="11"/>
  <c r="X5" i="20"/>
  <c r="K77" i="8"/>
  <c r="K79" i="8"/>
  <c r="K81" i="8"/>
  <c r="K84" i="8"/>
  <c r="K86" i="8"/>
  <c r="K94" i="8"/>
  <c r="K96" i="8"/>
  <c r="K98" i="8"/>
  <c r="K101" i="8"/>
  <c r="K103" i="8"/>
  <c r="K111" i="8"/>
  <c r="K113" i="8"/>
  <c r="K115" i="8"/>
  <c r="K118" i="8"/>
  <c r="K120" i="8"/>
  <c r="K128" i="8"/>
  <c r="K130" i="8"/>
  <c r="K132" i="8"/>
  <c r="K135" i="8"/>
  <c r="K137" i="8"/>
  <c r="M158" i="8"/>
  <c r="M160" i="8"/>
  <c r="F184" i="8"/>
  <c r="F186" i="8"/>
  <c r="F189" i="8"/>
  <c r="F191" i="8"/>
  <c r="F193" i="8"/>
  <c r="K243" i="8"/>
  <c r="K245" i="8"/>
  <c r="K248" i="8"/>
  <c r="K250" i="8"/>
  <c r="K252" i="8"/>
  <c r="K260" i="8"/>
  <c r="K262" i="8"/>
  <c r="K265" i="8"/>
  <c r="K267" i="8"/>
  <c r="K269" i="8"/>
  <c r="K374" i="8"/>
  <c r="K376" i="8"/>
  <c r="K379" i="8"/>
  <c r="K381" i="8"/>
  <c r="F346" i="9"/>
  <c r="K152" i="13"/>
  <c r="K150" i="13"/>
  <c r="K148" i="13"/>
  <c r="K151" i="13"/>
  <c r="K149" i="13"/>
  <c r="F149" i="13"/>
  <c r="F151" i="13"/>
  <c r="K51" i="14"/>
  <c r="F220" i="14"/>
  <c r="AA63" i="18"/>
  <c r="R9" i="18"/>
  <c r="C9" i="18" s="1"/>
  <c r="V9" i="18"/>
  <c r="Z9" i="18"/>
  <c r="AE9" i="18"/>
  <c r="R10" i="18"/>
  <c r="C10" i="18" s="1"/>
  <c r="V10" i="18"/>
  <c r="Z10" i="18"/>
  <c r="AD10" i="18"/>
  <c r="P11" i="18"/>
  <c r="B11" i="18" s="1"/>
  <c r="B202" i="5" s="1"/>
  <c r="B392" i="5" s="1"/>
  <c r="T11" i="18"/>
  <c r="X11" i="18"/>
  <c r="AB11" i="18"/>
  <c r="P12" i="18"/>
  <c r="B12" i="18" s="1"/>
  <c r="B203" i="5" s="1"/>
  <c r="B393" i="5" s="1"/>
  <c r="T12" i="18"/>
  <c r="X12" i="18"/>
  <c r="AB12" i="18"/>
  <c r="S13" i="18"/>
  <c r="W13" i="18"/>
  <c r="AA13" i="18"/>
  <c r="AE13" i="18"/>
  <c r="P14" i="18"/>
  <c r="B14" i="18" s="1"/>
  <c r="B205" i="5" s="1"/>
  <c r="B395" i="5" s="1"/>
  <c r="T14" i="18"/>
  <c r="X14" i="18"/>
  <c r="AB14" i="18"/>
  <c r="P15" i="18"/>
  <c r="B15" i="18" s="1"/>
  <c r="B206" i="5" s="1"/>
  <c r="B396" i="5" s="1"/>
  <c r="T15" i="18"/>
  <c r="X15" i="18"/>
  <c r="AB15" i="18"/>
  <c r="S16" i="18"/>
  <c r="W16" i="18"/>
  <c r="AA16" i="18"/>
  <c r="AE16" i="18"/>
  <c r="S17" i="18"/>
  <c r="W17" i="18"/>
  <c r="AA17" i="18"/>
  <c r="AE17" i="18"/>
  <c r="R18" i="18"/>
  <c r="C18" i="18" s="1"/>
  <c r="V18" i="18"/>
  <c r="Z18" i="18"/>
  <c r="AD18" i="18"/>
  <c r="Q19" i="18"/>
  <c r="U19" i="18"/>
  <c r="Y19" i="18"/>
  <c r="AC19" i="18"/>
  <c r="Q20" i="18"/>
  <c r="U20" i="18"/>
  <c r="Y20" i="18"/>
  <c r="AC20" i="18"/>
  <c r="Q21" i="18"/>
  <c r="U21" i="18"/>
  <c r="Y21" i="18"/>
  <c r="AC21" i="18"/>
  <c r="S22" i="18"/>
  <c r="W22" i="18"/>
  <c r="AA22" i="18"/>
  <c r="AE22" i="18"/>
  <c r="P23" i="18"/>
  <c r="B23" i="18" s="1"/>
  <c r="B214" i="5" s="1"/>
  <c r="B404" i="5" s="1"/>
  <c r="T23" i="18"/>
  <c r="X23" i="18"/>
  <c r="AB23" i="18"/>
  <c r="R24" i="18"/>
  <c r="C24" i="18" s="1"/>
  <c r="W24" i="18"/>
  <c r="AB24" i="18"/>
  <c r="Q25" i="18"/>
  <c r="Y25" i="18"/>
  <c r="T26" i="18"/>
  <c r="AB26" i="18"/>
  <c r="U27" i="18"/>
  <c r="AC27" i="18"/>
  <c r="T28" i="18"/>
  <c r="AB28" i="18"/>
  <c r="U29" i="18"/>
  <c r="AC29" i="18"/>
  <c r="T30" i="18"/>
  <c r="AB30" i="18"/>
  <c r="P31" i="18"/>
  <c r="B31" i="18" s="1"/>
  <c r="B222" i="5" s="1"/>
  <c r="B412" i="5" s="1"/>
  <c r="AA31" i="18"/>
  <c r="Z32" i="18"/>
  <c r="Z33" i="18"/>
  <c r="Y34" i="18"/>
  <c r="Q35" i="18"/>
  <c r="AA35" i="18"/>
  <c r="Q36" i="18"/>
  <c r="AA36" i="18"/>
  <c r="Y37" i="18"/>
  <c r="U38" i="18"/>
  <c r="AE38" i="18"/>
  <c r="X39" i="18"/>
  <c r="X40" i="18"/>
  <c r="R41" i="18"/>
  <c r="C41" i="18" s="1"/>
  <c r="AC41" i="18"/>
  <c r="X42" i="18"/>
  <c r="X43" i="18"/>
  <c r="Y44" i="18"/>
  <c r="T45" i="18"/>
  <c r="AE45" i="18"/>
  <c r="X46" i="18"/>
  <c r="V47" i="18"/>
  <c r="V48" i="18"/>
  <c r="V49" i="18"/>
  <c r="T50" i="18"/>
  <c r="AD50" i="18"/>
  <c r="Z51" i="18"/>
  <c r="P52" i="18"/>
  <c r="B52" i="18" s="1"/>
  <c r="B243" i="5" s="1"/>
  <c r="B433" i="5" s="1"/>
  <c r="AA52" i="18"/>
  <c r="X53" i="18"/>
  <c r="Z54" i="18"/>
  <c r="F221" i="14"/>
  <c r="S9" i="18"/>
  <c r="W9" i="18"/>
  <c r="AB9" i="18"/>
  <c r="S10" i="18"/>
  <c r="W10" i="18"/>
  <c r="AA10" i="18"/>
  <c r="AE10" i="18"/>
  <c r="Q11" i="18"/>
  <c r="U11" i="18"/>
  <c r="Y11" i="18"/>
  <c r="AC11" i="18"/>
  <c r="Q12" i="18"/>
  <c r="U12" i="18"/>
  <c r="Y12" i="18"/>
  <c r="AC12" i="18"/>
  <c r="P13" i="18"/>
  <c r="B13" i="18" s="1"/>
  <c r="B204" i="5" s="1"/>
  <c r="B394" i="5" s="1"/>
  <c r="T13" i="18"/>
  <c r="X13" i="18"/>
  <c r="AB13" i="18"/>
  <c r="Q14" i="18"/>
  <c r="U14" i="18"/>
  <c r="Y14" i="18"/>
  <c r="AC14" i="18"/>
  <c r="Q15" i="18"/>
  <c r="U15" i="18"/>
  <c r="Y15" i="18"/>
  <c r="AC15" i="18"/>
  <c r="P16" i="18"/>
  <c r="B16" i="18" s="1"/>
  <c r="B207" i="5" s="1"/>
  <c r="B397" i="5" s="1"/>
  <c r="T16" i="18"/>
  <c r="X16" i="18"/>
  <c r="AB16" i="18"/>
  <c r="P17" i="18"/>
  <c r="B17" i="18" s="1"/>
  <c r="B208" i="5" s="1"/>
  <c r="B398" i="5" s="1"/>
  <c r="T17" i="18"/>
  <c r="X17" i="18"/>
  <c r="AB17" i="18"/>
  <c r="S18" i="18"/>
  <c r="W18" i="18"/>
  <c r="AA18" i="18"/>
  <c r="AE18" i="18"/>
  <c r="R19" i="18"/>
  <c r="C19" i="18" s="1"/>
  <c r="V19" i="18"/>
  <c r="Z19" i="18"/>
  <c r="AD19" i="18"/>
  <c r="R20" i="18"/>
  <c r="C20" i="18" s="1"/>
  <c r="V20" i="18"/>
  <c r="Z20" i="18"/>
  <c r="AD20" i="18"/>
  <c r="R21" i="18"/>
  <c r="C21" i="18" s="1"/>
  <c r="V21" i="18"/>
  <c r="Z21" i="18"/>
  <c r="AD21" i="18"/>
  <c r="P22" i="18"/>
  <c r="B22" i="18" s="1"/>
  <c r="B213" i="5" s="1"/>
  <c r="B403" i="5" s="1"/>
  <c r="T22" i="18"/>
  <c r="X22" i="18"/>
  <c r="AB22" i="18"/>
  <c r="Q23" i="18"/>
  <c r="U23" i="18"/>
  <c r="Y23" i="18"/>
  <c r="AC23" i="18"/>
  <c r="S24" i="18"/>
  <c r="X24" i="18"/>
  <c r="AD24" i="18"/>
  <c r="T25" i="18"/>
  <c r="AB25" i="18"/>
  <c r="W26" i="18"/>
  <c r="AE26" i="18"/>
  <c r="V27" i="18"/>
  <c r="AD27" i="18"/>
  <c r="W28" i="18"/>
  <c r="AE28" i="18"/>
  <c r="V29" i="18"/>
  <c r="AD29" i="18"/>
  <c r="W30" i="18"/>
  <c r="T31" i="18"/>
  <c r="AE31" i="18"/>
  <c r="P32" i="18"/>
  <c r="B32" i="18" s="1"/>
  <c r="B223" i="5" s="1"/>
  <c r="B413" i="5" s="1"/>
  <c r="AA32" i="18"/>
  <c r="Q33" i="18"/>
  <c r="AA33" i="18"/>
  <c r="P34" i="18"/>
  <c r="B34" i="18" s="1"/>
  <c r="B225" i="5" s="1"/>
  <c r="B415" i="5" s="1"/>
  <c r="Z34" i="18"/>
  <c r="R35" i="18"/>
  <c r="C35" i="18" s="1"/>
  <c r="AC35" i="18"/>
  <c r="R36" i="18"/>
  <c r="C36" i="18" s="1"/>
  <c r="AC36" i="18"/>
  <c r="P37" i="18"/>
  <c r="B37" i="18" s="1"/>
  <c r="B228" i="5" s="1"/>
  <c r="B418" i="5" s="1"/>
  <c r="AA37" i="18"/>
  <c r="Y38" i="18"/>
  <c r="Q39" i="18"/>
  <c r="AB39" i="18"/>
  <c r="Y40" i="18"/>
  <c r="S41" i="18"/>
  <c r="AD41" i="18"/>
  <c r="Q42" i="18"/>
  <c r="AB42" i="18"/>
  <c r="Y43" i="18"/>
  <c r="P44" i="18"/>
  <c r="B44" i="18" s="1"/>
  <c r="B235" i="5" s="1"/>
  <c r="B425" i="5" s="1"/>
  <c r="Z44" i="18"/>
  <c r="X45" i="18"/>
  <c r="Q46" i="18"/>
  <c r="AB46" i="18"/>
  <c r="W47" i="18"/>
  <c r="W48" i="18"/>
  <c r="W49" i="18"/>
  <c r="U50" i="18"/>
  <c r="S51" i="18"/>
  <c r="AD51" i="18"/>
  <c r="T52" i="18"/>
  <c r="AE52" i="18"/>
  <c r="Y53" i="18"/>
  <c r="F148" i="13"/>
  <c r="F150" i="13"/>
  <c r="J58" i="14"/>
  <c r="J578" i="5" s="1"/>
  <c r="F222" i="14"/>
  <c r="H58" i="15"/>
  <c r="H34" i="15"/>
  <c r="H40" i="15"/>
  <c r="H16" i="15"/>
  <c r="H46" i="15"/>
  <c r="H22" i="15"/>
  <c r="H52" i="15"/>
  <c r="H28" i="15"/>
  <c r="H10" i="15"/>
  <c r="T18" i="18"/>
  <c r="X18" i="18"/>
  <c r="AB18" i="18"/>
  <c r="S19" i="18"/>
  <c r="W19" i="18"/>
  <c r="AA19" i="18"/>
  <c r="AE19" i="18"/>
  <c r="S20" i="18"/>
  <c r="W20" i="18"/>
  <c r="AA20" i="18"/>
  <c r="AE20" i="18"/>
  <c r="S21" i="18"/>
  <c r="W21" i="18"/>
  <c r="AA21" i="18"/>
  <c r="AE21" i="18"/>
  <c r="Q22" i="18"/>
  <c r="U22" i="18"/>
  <c r="Y22" i="18"/>
  <c r="AC22" i="18"/>
  <c r="R23" i="18"/>
  <c r="C23" i="18" s="1"/>
  <c r="V23" i="18"/>
  <c r="Z23" i="18"/>
  <c r="AD23" i="18"/>
  <c r="P24" i="18"/>
  <c r="B24" i="18" s="1"/>
  <c r="B215" i="5" s="1"/>
  <c r="B405" i="5" s="1"/>
  <c r="T24" i="18"/>
  <c r="Z24" i="18"/>
  <c r="AE24" i="18"/>
  <c r="U25" i="18"/>
  <c r="AC25" i="18"/>
  <c r="P26" i="18"/>
  <c r="B26" i="18" s="1"/>
  <c r="B217" i="5" s="1"/>
  <c r="X26" i="18"/>
  <c r="Q27" i="18"/>
  <c r="Y27" i="18"/>
  <c r="P28" i="18"/>
  <c r="B28" i="18" s="1"/>
  <c r="B219" i="5" s="1"/>
  <c r="B409" i="5" s="1"/>
  <c r="X28" i="18"/>
  <c r="Q29" i="18"/>
  <c r="Y29" i="18"/>
  <c r="P30" i="18"/>
  <c r="B30" i="18" s="1"/>
  <c r="B221" i="5" s="1"/>
  <c r="B411" i="5" s="1"/>
  <c r="X30" i="18"/>
  <c r="V31" i="18"/>
  <c r="T32" i="18"/>
  <c r="AE32" i="18"/>
  <c r="U33" i="18"/>
  <c r="AE33" i="18"/>
  <c r="T34" i="18"/>
  <c r="AD34" i="18"/>
  <c r="V35" i="18"/>
  <c r="V36" i="18"/>
  <c r="T37" i="18"/>
  <c r="AE37" i="18"/>
  <c r="Z38" i="18"/>
  <c r="S39" i="18"/>
  <c r="AC39" i="18"/>
  <c r="S40" i="18"/>
  <c r="AC40" i="18"/>
  <c r="W41" i="18"/>
  <c r="R42" i="18"/>
  <c r="C42" i="18" s="1"/>
  <c r="AC42" i="18"/>
  <c r="R43" i="18"/>
  <c r="C43" i="18" s="1"/>
  <c r="AC43" i="18"/>
  <c r="T44" i="18"/>
  <c r="AD44" i="18"/>
  <c r="Z45" i="18"/>
  <c r="R46" i="18"/>
  <c r="C46" i="18" s="1"/>
  <c r="AC46" i="18"/>
  <c r="P47" i="18"/>
  <c r="B47" i="18" s="1"/>
  <c r="B238" i="5" s="1"/>
  <c r="B428" i="5" s="1"/>
  <c r="AA47" i="18"/>
  <c r="P48" i="18"/>
  <c r="B48" i="18" s="1"/>
  <c r="B239" i="5" s="1"/>
  <c r="B429" i="5" s="1"/>
  <c r="AA48" i="18"/>
  <c r="P49" i="18"/>
  <c r="B49" i="18" s="1"/>
  <c r="B240" i="5" s="1"/>
  <c r="B430" i="5" s="1"/>
  <c r="AA49" i="18"/>
  <c r="Y50" i="18"/>
  <c r="T51" i="18"/>
  <c r="AE51" i="18"/>
  <c r="V52" i="18"/>
  <c r="R53" i="18"/>
  <c r="C53" i="18" s="1"/>
  <c r="AC53" i="18"/>
  <c r="F219" i="14"/>
  <c r="H53" i="15"/>
  <c r="H29" i="15"/>
  <c r="H59" i="15"/>
  <c r="H35" i="15"/>
  <c r="H41" i="15"/>
  <c r="H17" i="15"/>
  <c r="H47" i="15"/>
  <c r="H23" i="15"/>
  <c r="H11" i="15"/>
  <c r="J11" i="15" s="1"/>
  <c r="AE196" i="18"/>
  <c r="AA196" i="18"/>
  <c r="W196" i="18"/>
  <c r="S196" i="18"/>
  <c r="AB195" i="18"/>
  <c r="X195" i="18"/>
  <c r="T195" i="18"/>
  <c r="P195" i="18"/>
  <c r="B195" i="18" s="1"/>
  <c r="B386" i="5" s="1"/>
  <c r="B574" i="5" s="1"/>
  <c r="AB194" i="18"/>
  <c r="X194" i="18"/>
  <c r="T194" i="18"/>
  <c r="P194" i="18"/>
  <c r="B194" i="18" s="1"/>
  <c r="B385" i="5" s="1"/>
  <c r="B573" i="5" s="1"/>
  <c r="AE193" i="18"/>
  <c r="AA193" i="18"/>
  <c r="W193" i="18"/>
  <c r="S193" i="18"/>
  <c r="AC192" i="18"/>
  <c r="Y192" i="18"/>
  <c r="U192" i="18"/>
  <c r="Q192" i="18"/>
  <c r="AD191" i="18"/>
  <c r="Z191" i="18"/>
  <c r="V191" i="18"/>
  <c r="R191" i="18"/>
  <c r="C191" i="18" s="1"/>
  <c r="AE190" i="18"/>
  <c r="AA190" i="18"/>
  <c r="W190" i="18"/>
  <c r="S190" i="18"/>
  <c r="AD189" i="18"/>
  <c r="Z189" i="18"/>
  <c r="V189" i="18"/>
  <c r="R189" i="18"/>
  <c r="C189" i="18" s="1"/>
  <c r="AE188" i="18"/>
  <c r="AA188" i="18"/>
  <c r="W188" i="18"/>
  <c r="S188" i="18"/>
  <c r="AB187" i="18"/>
  <c r="X187" i="18"/>
  <c r="T187" i="18"/>
  <c r="P187" i="18"/>
  <c r="B187" i="18" s="1"/>
  <c r="B378" i="5" s="1"/>
  <c r="B566" i="5" s="1"/>
  <c r="AC186" i="18"/>
  <c r="Y186" i="18"/>
  <c r="U186" i="18"/>
  <c r="Q186" i="18"/>
  <c r="AB185" i="18"/>
  <c r="X185" i="18"/>
  <c r="T185" i="18"/>
  <c r="P185" i="18"/>
  <c r="B185" i="18" s="1"/>
  <c r="B376" i="5" s="1"/>
  <c r="B564" i="5" s="1"/>
  <c r="AD184" i="18"/>
  <c r="Z184" i="18"/>
  <c r="V184" i="18"/>
  <c r="R184" i="18"/>
  <c r="C184" i="18" s="1"/>
  <c r="AE183" i="18"/>
  <c r="AA183" i="18"/>
  <c r="W183" i="18"/>
  <c r="S183" i="18"/>
  <c r="AE182" i="18"/>
  <c r="AA182" i="18"/>
  <c r="W182" i="18"/>
  <c r="S182" i="18"/>
  <c r="AE181" i="18"/>
  <c r="AA181" i="18"/>
  <c r="W181" i="18"/>
  <c r="S181" i="18"/>
  <c r="AD196" i="18"/>
  <c r="Z196" i="18"/>
  <c r="V196" i="18"/>
  <c r="R196" i="18"/>
  <c r="C196" i="18" s="1"/>
  <c r="AE195" i="18"/>
  <c r="AA195" i="18"/>
  <c r="W195" i="18"/>
  <c r="S195" i="18"/>
  <c r="AE194" i="18"/>
  <c r="AA194" i="18"/>
  <c r="W194" i="18"/>
  <c r="S194" i="18"/>
  <c r="AD193" i="18"/>
  <c r="Z193" i="18"/>
  <c r="V193" i="18"/>
  <c r="R193" i="18"/>
  <c r="C193" i="18" s="1"/>
  <c r="AB192" i="18"/>
  <c r="X192" i="18"/>
  <c r="T192" i="18"/>
  <c r="P192" i="18"/>
  <c r="B192" i="18" s="1"/>
  <c r="B383" i="5" s="1"/>
  <c r="B571" i="5" s="1"/>
  <c r="AC191" i="18"/>
  <c r="Y191" i="18"/>
  <c r="U191" i="18"/>
  <c r="Q191" i="18"/>
  <c r="AD190" i="18"/>
  <c r="Z190" i="18"/>
  <c r="V190" i="18"/>
  <c r="R190" i="18"/>
  <c r="C190" i="18" s="1"/>
  <c r="AC189" i="18"/>
  <c r="Y189" i="18"/>
  <c r="U189" i="18"/>
  <c r="Q189" i="18"/>
  <c r="AD188" i="18"/>
  <c r="Z188" i="18"/>
  <c r="V188" i="18"/>
  <c r="R188" i="18"/>
  <c r="C188" i="18" s="1"/>
  <c r="AE187" i="18"/>
  <c r="AA187" i="18"/>
  <c r="W187" i="18"/>
  <c r="S187" i="18"/>
  <c r="AB186" i="18"/>
  <c r="X186" i="18"/>
  <c r="T186" i="18"/>
  <c r="P186" i="18"/>
  <c r="B186" i="18" s="1"/>
  <c r="B377" i="5" s="1"/>
  <c r="B565" i="5" s="1"/>
  <c r="AE185" i="18"/>
  <c r="AA185" i="18"/>
  <c r="W185" i="18"/>
  <c r="S185" i="18"/>
  <c r="AC184" i="18"/>
  <c r="Y184" i="18"/>
  <c r="U184" i="18"/>
  <c r="Q184" i="18"/>
  <c r="AD183" i="18"/>
  <c r="Z183" i="18"/>
  <c r="V183" i="18"/>
  <c r="R183" i="18"/>
  <c r="C183" i="18" s="1"/>
  <c r="AD182" i="18"/>
  <c r="Z182" i="18"/>
  <c r="V182" i="18"/>
  <c r="R182" i="18"/>
  <c r="C182" i="18" s="1"/>
  <c r="AD181" i="18"/>
  <c r="Z181" i="18"/>
  <c r="V181" i="18"/>
  <c r="R181" i="18"/>
  <c r="C181" i="18" s="1"/>
  <c r="AC196" i="18"/>
  <c r="Y196" i="18"/>
  <c r="U196" i="18"/>
  <c r="Q196" i="18"/>
  <c r="AD195" i="18"/>
  <c r="Z195" i="18"/>
  <c r="V195" i="18"/>
  <c r="R195" i="18"/>
  <c r="C195" i="18" s="1"/>
  <c r="AD194" i="18"/>
  <c r="Z194" i="18"/>
  <c r="V194" i="18"/>
  <c r="R194" i="18"/>
  <c r="C194" i="18" s="1"/>
  <c r="AC193" i="18"/>
  <c r="Y193" i="18"/>
  <c r="U193" i="18"/>
  <c r="Q193" i="18"/>
  <c r="AE192" i="18"/>
  <c r="AA192" i="18"/>
  <c r="W192" i="18"/>
  <c r="S192" i="18"/>
  <c r="AB191" i="18"/>
  <c r="X191" i="18"/>
  <c r="T191" i="18"/>
  <c r="P191" i="18"/>
  <c r="B191" i="18" s="1"/>
  <c r="B382" i="5" s="1"/>
  <c r="B570" i="5" s="1"/>
  <c r="AC190" i="18"/>
  <c r="Y190" i="18"/>
  <c r="U190" i="18"/>
  <c r="Q190" i="18"/>
  <c r="AB189" i="18"/>
  <c r="X189" i="18"/>
  <c r="T189" i="18"/>
  <c r="P189" i="18"/>
  <c r="B189" i="18" s="1"/>
  <c r="B380" i="5" s="1"/>
  <c r="B568" i="5" s="1"/>
  <c r="AC188" i="18"/>
  <c r="Y188" i="18"/>
  <c r="U188" i="18"/>
  <c r="Q188" i="18"/>
  <c r="AD187" i="18"/>
  <c r="Z187" i="18"/>
  <c r="V187" i="18"/>
  <c r="R187" i="18"/>
  <c r="C187" i="18" s="1"/>
  <c r="AE186" i="18"/>
  <c r="AA186" i="18"/>
  <c r="W186" i="18"/>
  <c r="S186" i="18"/>
  <c r="AD185" i="18"/>
  <c r="Z185" i="18"/>
  <c r="V185" i="18"/>
  <c r="R185" i="18"/>
  <c r="C185" i="18" s="1"/>
  <c r="AB184" i="18"/>
  <c r="X184" i="18"/>
  <c r="T184" i="18"/>
  <c r="P184" i="18"/>
  <c r="B184" i="18" s="1"/>
  <c r="B375" i="5" s="1"/>
  <c r="B563" i="5" s="1"/>
  <c r="AC183" i="18"/>
  <c r="Y183" i="18"/>
  <c r="U183" i="18"/>
  <c r="Q183" i="18"/>
  <c r="AC182" i="18"/>
  <c r="Y182" i="18"/>
  <c r="U182" i="18"/>
  <c r="Q182" i="18"/>
  <c r="AC181" i="18"/>
  <c r="Y181" i="18"/>
  <c r="U181" i="18"/>
  <c r="Q181" i="18"/>
  <c r="T196" i="18"/>
  <c r="AC195" i="18"/>
  <c r="U194" i="18"/>
  <c r="X193" i="18"/>
  <c r="V192" i="18"/>
  <c r="AE191" i="18"/>
  <c r="T190" i="18"/>
  <c r="AA189" i="18"/>
  <c r="P188" i="18"/>
  <c r="B188" i="18" s="1"/>
  <c r="B379" i="5" s="1"/>
  <c r="B567" i="5" s="1"/>
  <c r="Y187" i="18"/>
  <c r="R186" i="18"/>
  <c r="C186" i="18" s="1"/>
  <c r="AC185" i="18"/>
  <c r="AE184" i="18"/>
  <c r="T183" i="18"/>
  <c r="X182" i="18"/>
  <c r="AB181" i="18"/>
  <c r="AC180" i="18"/>
  <c r="Y180" i="18"/>
  <c r="U180" i="18"/>
  <c r="Q180" i="18"/>
  <c r="AD179" i="18"/>
  <c r="Z179" i="18"/>
  <c r="V179" i="18"/>
  <c r="R179" i="18"/>
  <c r="C179" i="18" s="1"/>
  <c r="AC178" i="18"/>
  <c r="Y178" i="18"/>
  <c r="U178" i="18"/>
  <c r="Q178" i="18"/>
  <c r="AC177" i="18"/>
  <c r="Y177" i="18"/>
  <c r="U177" i="18"/>
  <c r="Q177" i="18"/>
  <c r="AD176" i="18"/>
  <c r="Z176" i="18"/>
  <c r="V176" i="18"/>
  <c r="R176" i="18"/>
  <c r="C176" i="18" s="1"/>
  <c r="AC175" i="18"/>
  <c r="Y175" i="18"/>
  <c r="U175" i="18"/>
  <c r="Q175" i="18"/>
  <c r="AC174" i="18"/>
  <c r="Y174" i="18"/>
  <c r="U174" i="18"/>
  <c r="Q174" i="18"/>
  <c r="AC173" i="18"/>
  <c r="Y173" i="18"/>
  <c r="U173" i="18"/>
  <c r="Q173" i="18"/>
  <c r="AC172" i="18"/>
  <c r="Y172" i="18"/>
  <c r="U172" i="18"/>
  <c r="Q172" i="18"/>
  <c r="AC171" i="18"/>
  <c r="Y171" i="18"/>
  <c r="U171" i="18"/>
  <c r="Q171" i="18"/>
  <c r="AD170" i="18"/>
  <c r="Z170" i="18"/>
  <c r="V170" i="18"/>
  <c r="R170" i="18"/>
  <c r="C170" i="18" s="1"/>
  <c r="AC169" i="18"/>
  <c r="Y169" i="18"/>
  <c r="U169" i="18"/>
  <c r="Q169" i="18"/>
  <c r="P196" i="18"/>
  <c r="B196" i="18" s="1"/>
  <c r="B387" i="5" s="1"/>
  <c r="B575" i="5" s="1"/>
  <c r="Y195" i="18"/>
  <c r="Q194" i="18"/>
  <c r="T193" i="18"/>
  <c r="R192" i="18"/>
  <c r="C192" i="18" s="1"/>
  <c r="AA191" i="18"/>
  <c r="P190" i="18"/>
  <c r="B190" i="18" s="1"/>
  <c r="B381" i="5" s="1"/>
  <c r="B569" i="5" s="1"/>
  <c r="W189" i="18"/>
  <c r="AB188" i="18"/>
  <c r="U187" i="18"/>
  <c r="AD186" i="18"/>
  <c r="Y185" i="18"/>
  <c r="AA184" i="18"/>
  <c r="P183" i="18"/>
  <c r="B183" i="18" s="1"/>
  <c r="B374" i="5" s="1"/>
  <c r="B562" i="5" s="1"/>
  <c r="T182" i="18"/>
  <c r="X181" i="18"/>
  <c r="AB180" i="18"/>
  <c r="X180" i="18"/>
  <c r="T180" i="18"/>
  <c r="P180" i="18"/>
  <c r="B180" i="18" s="1"/>
  <c r="B371" i="5" s="1"/>
  <c r="B559" i="5" s="1"/>
  <c r="AC179" i="18"/>
  <c r="Y179" i="18"/>
  <c r="U179" i="18"/>
  <c r="Q179" i="18"/>
  <c r="AB178" i="18"/>
  <c r="X178" i="18"/>
  <c r="T178" i="18"/>
  <c r="P178" i="18"/>
  <c r="B178" i="18" s="1"/>
  <c r="B369" i="5" s="1"/>
  <c r="B557" i="5" s="1"/>
  <c r="AB177" i="18"/>
  <c r="X177" i="18"/>
  <c r="T177" i="18"/>
  <c r="P177" i="18"/>
  <c r="B177" i="18" s="1"/>
  <c r="B368" i="5" s="1"/>
  <c r="B556" i="5" s="1"/>
  <c r="AC176" i="18"/>
  <c r="Y176" i="18"/>
  <c r="U176" i="18"/>
  <c r="Q176" i="18"/>
  <c r="AB175" i="18"/>
  <c r="X175" i="18"/>
  <c r="T175" i="18"/>
  <c r="AB196" i="18"/>
  <c r="U195" i="18"/>
  <c r="AC194" i="18"/>
  <c r="P193" i="18"/>
  <c r="B193" i="18" s="1"/>
  <c r="B384" i="5" s="1"/>
  <c r="B572" i="5" s="1"/>
  <c r="AD192" i="18"/>
  <c r="W191" i="18"/>
  <c r="AB190" i="18"/>
  <c r="S189" i="18"/>
  <c r="X188" i="18"/>
  <c r="Q187" i="18"/>
  <c r="Z186" i="18"/>
  <c r="U185" i="18"/>
  <c r="W184" i="18"/>
  <c r="AB183" i="18"/>
  <c r="P182" i="18"/>
  <c r="B182" i="18" s="1"/>
  <c r="B373" i="5" s="1"/>
  <c r="B561" i="5" s="1"/>
  <c r="T181" i="18"/>
  <c r="AE180" i="18"/>
  <c r="AA180" i="18"/>
  <c r="W180" i="18"/>
  <c r="S180" i="18"/>
  <c r="AB179" i="18"/>
  <c r="X179" i="18"/>
  <c r="T179" i="18"/>
  <c r="P179" i="18"/>
  <c r="B179" i="18" s="1"/>
  <c r="B370" i="5" s="1"/>
  <c r="B558" i="5" s="1"/>
  <c r="AE178" i="18"/>
  <c r="AA178" i="18"/>
  <c r="W178" i="18"/>
  <c r="S178" i="18"/>
  <c r="AE177" i="18"/>
  <c r="AA177" i="18"/>
  <c r="W177" i="18"/>
  <c r="S177" i="18"/>
  <c r="AB176" i="18"/>
  <c r="X176" i="18"/>
  <c r="T176" i="18"/>
  <c r="X196" i="18"/>
  <c r="Q195" i="18"/>
  <c r="Y194" i="18"/>
  <c r="AB193" i="18"/>
  <c r="Z192" i="18"/>
  <c r="S191" i="18"/>
  <c r="X190" i="18"/>
  <c r="AE189" i="18"/>
  <c r="T188" i="18"/>
  <c r="AC187" i="18"/>
  <c r="V186" i="18"/>
  <c r="Q185" i="18"/>
  <c r="S184" i="18"/>
  <c r="X183" i="18"/>
  <c r="AB182" i="18"/>
  <c r="P181" i="18"/>
  <c r="B181" i="18" s="1"/>
  <c r="B372" i="5" s="1"/>
  <c r="B560" i="5" s="1"/>
  <c r="AD180" i="18"/>
  <c r="Z180" i="18"/>
  <c r="V180" i="18"/>
  <c r="R180" i="18"/>
  <c r="C180" i="18" s="1"/>
  <c r="AE179" i="18"/>
  <c r="AA179" i="18"/>
  <c r="W179" i="18"/>
  <c r="S179" i="18"/>
  <c r="AD178" i="18"/>
  <c r="Z178" i="18"/>
  <c r="V178" i="18"/>
  <c r="R178" i="18"/>
  <c r="C178" i="18" s="1"/>
  <c r="AD177" i="18"/>
  <c r="Z177" i="18"/>
  <c r="V177" i="18"/>
  <c r="R177" i="18"/>
  <c r="C177" i="18" s="1"/>
  <c r="AE176" i="18"/>
  <c r="AA176" i="18"/>
  <c r="W176" i="18"/>
  <c r="S176" i="18"/>
  <c r="AD175" i="18"/>
  <c r="Z175" i="18"/>
  <c r="V175" i="18"/>
  <c r="R175" i="18"/>
  <c r="C175" i="18" s="1"/>
  <c r="AD174" i="18"/>
  <c r="Z174" i="18"/>
  <c r="V174" i="18"/>
  <c r="R174" i="18"/>
  <c r="C174" i="18" s="1"/>
  <c r="AD173" i="18"/>
  <c r="Z173" i="18"/>
  <c r="V173" i="18"/>
  <c r="R173" i="18"/>
  <c r="C173" i="18" s="1"/>
  <c r="AD172" i="18"/>
  <c r="Z172" i="18"/>
  <c r="V172" i="18"/>
  <c r="R172" i="18"/>
  <c r="C172" i="18" s="1"/>
  <c r="AD171" i="18"/>
  <c r="Z171" i="18"/>
  <c r="V171" i="18"/>
  <c r="R171" i="18"/>
  <c r="C171" i="18" s="1"/>
  <c r="AE170" i="18"/>
  <c r="AA170" i="18"/>
  <c r="W170" i="18"/>
  <c r="S170" i="18"/>
  <c r="AD169" i="18"/>
  <c r="Z169" i="18"/>
  <c r="V169" i="18"/>
  <c r="R169" i="18"/>
  <c r="C169" i="18" s="1"/>
  <c r="AD168" i="18"/>
  <c r="Z168" i="18"/>
  <c r="V168" i="18"/>
  <c r="R168" i="18"/>
  <c r="C168" i="18" s="1"/>
  <c r="AB167" i="18"/>
  <c r="X167" i="18"/>
  <c r="T167" i="18"/>
  <c r="P167" i="18"/>
  <c r="AE166" i="18"/>
  <c r="AA166" i="18"/>
  <c r="W166" i="18"/>
  <c r="S166" i="18"/>
  <c r="AD165" i="18"/>
  <c r="Z165" i="18"/>
  <c r="V165" i="18"/>
  <c r="R165" i="18"/>
  <c r="C165" i="18" s="1"/>
  <c r="AC164" i="18"/>
  <c r="Y164" i="18"/>
  <c r="U164" i="18"/>
  <c r="Q164" i="18"/>
  <c r="AB163" i="18"/>
  <c r="X163" i="18"/>
  <c r="T163" i="18"/>
  <c r="P163" i="18"/>
  <c r="AE162" i="18"/>
  <c r="AA162" i="18"/>
  <c r="W162" i="18"/>
  <c r="S162" i="18"/>
  <c r="AD161" i="18"/>
  <c r="Z161" i="18"/>
  <c r="V161" i="18"/>
  <c r="R161" i="18"/>
  <c r="C161" i="18" s="1"/>
  <c r="AC160" i="18"/>
  <c r="Y160" i="18"/>
  <c r="U160" i="18"/>
  <c r="Q160" i="18"/>
  <c r="AD159" i="18"/>
  <c r="Z159" i="18"/>
  <c r="V159" i="18"/>
  <c r="R159" i="18"/>
  <c r="C159" i="18" s="1"/>
  <c r="AC158" i="18"/>
  <c r="Y158" i="18"/>
  <c r="U158" i="18"/>
  <c r="Q158" i="18"/>
  <c r="AC157" i="18"/>
  <c r="Y157" i="18"/>
  <c r="U157" i="18"/>
  <c r="Q157" i="18"/>
  <c r="AB156" i="18"/>
  <c r="X156" i="18"/>
  <c r="T156" i="18"/>
  <c r="P156" i="18"/>
  <c r="B156" i="18" s="1"/>
  <c r="B347" i="5" s="1"/>
  <c r="B535" i="5" s="1"/>
  <c r="AE155" i="18"/>
  <c r="AA155" i="18"/>
  <c r="P176" i="18"/>
  <c r="B176" i="18" s="1"/>
  <c r="B367" i="5" s="1"/>
  <c r="B555" i="5" s="1"/>
  <c r="S175" i="18"/>
  <c r="AE174" i="18"/>
  <c r="W174" i="18"/>
  <c r="AA173" i="18"/>
  <c r="S173" i="18"/>
  <c r="AE172" i="18"/>
  <c r="W172" i="18"/>
  <c r="AA171" i="18"/>
  <c r="S171" i="18"/>
  <c r="X170" i="18"/>
  <c r="P170" i="18"/>
  <c r="B170" i="18" s="1"/>
  <c r="B361" i="5" s="1"/>
  <c r="B549" i="5" s="1"/>
  <c r="AA169" i="18"/>
  <c r="S169" i="18"/>
  <c r="AA168" i="18"/>
  <c r="U168" i="18"/>
  <c r="P168" i="18"/>
  <c r="B168" i="18" s="1"/>
  <c r="B359" i="5" s="1"/>
  <c r="B547" i="5" s="1"/>
  <c r="AC167" i="18"/>
  <c r="W167" i="18"/>
  <c r="R167" i="18"/>
  <c r="C167" i="18" s="1"/>
  <c r="Z166" i="18"/>
  <c r="U166" i="18"/>
  <c r="P166" i="18"/>
  <c r="AC165" i="18"/>
  <c r="X165" i="18"/>
  <c r="S165" i="18"/>
  <c r="AA164" i="18"/>
  <c r="V164" i="18"/>
  <c r="P164" i="18"/>
  <c r="AD163" i="18"/>
  <c r="Y163" i="18"/>
  <c r="S163" i="18"/>
  <c r="AB162" i="18"/>
  <c r="V162" i="18"/>
  <c r="Q162" i="18"/>
  <c r="AE161" i="18"/>
  <c r="Y161" i="18"/>
  <c r="T161" i="18"/>
  <c r="AB160" i="18"/>
  <c r="W160" i="18"/>
  <c r="R160" i="18"/>
  <c r="C160" i="18" s="1"/>
  <c r="AC159" i="18"/>
  <c r="X159" i="18"/>
  <c r="S159" i="18"/>
  <c r="AA158" i="18"/>
  <c r="V158" i="18"/>
  <c r="P158" i="18"/>
  <c r="B158" i="18" s="1"/>
  <c r="B349" i="5" s="1"/>
  <c r="B537" i="5" s="1"/>
  <c r="AE157" i="18"/>
  <c r="Z157" i="18"/>
  <c r="T157" i="18"/>
  <c r="AC156" i="18"/>
  <c r="W156" i="18"/>
  <c r="R156" i="18"/>
  <c r="C156" i="18" s="1"/>
  <c r="AD155" i="18"/>
  <c r="Y155" i="18"/>
  <c r="U155" i="18"/>
  <c r="Q155" i="18"/>
  <c r="AB154" i="18"/>
  <c r="X154" i="18"/>
  <c r="T154" i="18"/>
  <c r="P154" i="18"/>
  <c r="B154" i="18" s="1"/>
  <c r="B345" i="5" s="1"/>
  <c r="B533" i="5" s="1"/>
  <c r="AE153" i="18"/>
  <c r="AA153" i="18"/>
  <c r="W153" i="18"/>
  <c r="S153" i="18"/>
  <c r="AE152" i="18"/>
  <c r="AA152" i="18"/>
  <c r="W152" i="18"/>
  <c r="S152" i="18"/>
  <c r="AC151" i="18"/>
  <c r="Y151" i="18"/>
  <c r="U151" i="18"/>
  <c r="Q151" i="18"/>
  <c r="AE175" i="18"/>
  <c r="P175" i="18"/>
  <c r="B175" i="18" s="1"/>
  <c r="B366" i="5" s="1"/>
  <c r="B554" i="5" s="1"/>
  <c r="AB174" i="18"/>
  <c r="T174" i="18"/>
  <c r="X173" i="18"/>
  <c r="P173" i="18"/>
  <c r="B173" i="18" s="1"/>
  <c r="B364" i="5" s="1"/>
  <c r="B552" i="5" s="1"/>
  <c r="AB172" i="18"/>
  <c r="T172" i="18"/>
  <c r="X171" i="18"/>
  <c r="P171" i="18"/>
  <c r="B171" i="18" s="1"/>
  <c r="B362" i="5" s="1"/>
  <c r="B550" i="5" s="1"/>
  <c r="AC170" i="18"/>
  <c r="U170" i="18"/>
  <c r="X169" i="18"/>
  <c r="P169" i="18"/>
  <c r="B169" i="18" s="1"/>
  <c r="B360" i="5" s="1"/>
  <c r="B548" i="5" s="1"/>
  <c r="AE168" i="18"/>
  <c r="Y168" i="18"/>
  <c r="T168" i="18"/>
  <c r="AA167" i="18"/>
  <c r="V167" i="18"/>
  <c r="Q167" i="18"/>
  <c r="AD166" i="18"/>
  <c r="Y166" i="18"/>
  <c r="T166" i="18"/>
  <c r="AB165" i="18"/>
  <c r="W165" i="18"/>
  <c r="Q165" i="18"/>
  <c r="AE164" i="18"/>
  <c r="Z164" i="18"/>
  <c r="T164" i="18"/>
  <c r="AC163" i="18"/>
  <c r="W163" i="18"/>
  <c r="R163" i="18"/>
  <c r="C163" i="18" s="1"/>
  <c r="Z162" i="18"/>
  <c r="U162" i="18"/>
  <c r="P162" i="18"/>
  <c r="AC161" i="18"/>
  <c r="X161" i="18"/>
  <c r="S161" i="18"/>
  <c r="AA160" i="18"/>
  <c r="V160" i="18"/>
  <c r="P160" i="18"/>
  <c r="B160" i="18" s="1"/>
  <c r="B351" i="5" s="1"/>
  <c r="B539" i="5" s="1"/>
  <c r="AB159" i="18"/>
  <c r="W159" i="18"/>
  <c r="Q159" i="18"/>
  <c r="AE158" i="18"/>
  <c r="Z158" i="18"/>
  <c r="T158" i="18"/>
  <c r="AD157" i="18"/>
  <c r="X157" i="18"/>
  <c r="S157" i="18"/>
  <c r="AA156" i="18"/>
  <c r="V156" i="18"/>
  <c r="Q156" i="18"/>
  <c r="AC155" i="18"/>
  <c r="X155" i="18"/>
  <c r="T155" i="18"/>
  <c r="P155" i="18"/>
  <c r="B155" i="18" s="1"/>
  <c r="B346" i="5" s="1"/>
  <c r="B534" i="5" s="1"/>
  <c r="AE154" i="18"/>
  <c r="AA154" i="18"/>
  <c r="W154" i="18"/>
  <c r="S154" i="18"/>
  <c r="AD153" i="18"/>
  <c r="Z153" i="18"/>
  <c r="V153" i="18"/>
  <c r="R153" i="18"/>
  <c r="C153" i="18" s="1"/>
  <c r="AD152" i="18"/>
  <c r="Z152" i="18"/>
  <c r="V152" i="18"/>
  <c r="R152" i="18"/>
  <c r="C152" i="18" s="1"/>
  <c r="AB151" i="18"/>
  <c r="X151" i="18"/>
  <c r="T151" i="18"/>
  <c r="P151" i="18"/>
  <c r="B151" i="18" s="1"/>
  <c r="B342" i="5" s="1"/>
  <c r="B530" i="5" s="1"/>
  <c r="AA175" i="18"/>
  <c r="AA174" i="18"/>
  <c r="S174" i="18"/>
  <c r="AE173" i="18"/>
  <c r="W173" i="18"/>
  <c r="AA172" i="18"/>
  <c r="S172" i="18"/>
  <c r="AE171" i="18"/>
  <c r="W171" i="18"/>
  <c r="AB170" i="18"/>
  <c r="T170" i="18"/>
  <c r="AE169" i="18"/>
  <c r="W169" i="18"/>
  <c r="AC168" i="18"/>
  <c r="X168" i="18"/>
  <c r="S168" i="18"/>
  <c r="AE167" i="18"/>
  <c r="Z167" i="18"/>
  <c r="U167" i="18"/>
  <c r="AC166" i="18"/>
  <c r="X166" i="18"/>
  <c r="R166" i="18"/>
  <c r="C166" i="18" s="1"/>
  <c r="AA165" i="18"/>
  <c r="U165" i="18"/>
  <c r="P165" i="18"/>
  <c r="AD164" i="18"/>
  <c r="X164" i="18"/>
  <c r="W175" i="18"/>
  <c r="X174" i="18"/>
  <c r="P174" i="18"/>
  <c r="B174" i="18" s="1"/>
  <c r="B365" i="5" s="1"/>
  <c r="B553" i="5" s="1"/>
  <c r="AB173" i="18"/>
  <c r="T173" i="18"/>
  <c r="X172" i="18"/>
  <c r="P172" i="18"/>
  <c r="B172" i="18" s="1"/>
  <c r="B363" i="5" s="1"/>
  <c r="B551" i="5" s="1"/>
  <c r="AB171" i="18"/>
  <c r="T171" i="18"/>
  <c r="Y170" i="18"/>
  <c r="Q170" i="18"/>
  <c r="AB169" i="18"/>
  <c r="T169" i="18"/>
  <c r="AB168" i="18"/>
  <c r="W168" i="18"/>
  <c r="Q168" i="18"/>
  <c r="AD167" i="18"/>
  <c r="Y167" i="18"/>
  <c r="S167" i="18"/>
  <c r="AB166" i="18"/>
  <c r="V166" i="18"/>
  <c r="Q166" i="18"/>
  <c r="AE165" i="18"/>
  <c r="Y165" i="18"/>
  <c r="T165" i="18"/>
  <c r="AB164" i="18"/>
  <c r="W164" i="18"/>
  <c r="R164" i="18"/>
  <c r="C164" i="18" s="1"/>
  <c r="AE163" i="18"/>
  <c r="Z163" i="18"/>
  <c r="U163" i="18"/>
  <c r="AC162" i="18"/>
  <c r="X162" i="18"/>
  <c r="R162" i="18"/>
  <c r="C162" i="18" s="1"/>
  <c r="AA161" i="18"/>
  <c r="U161" i="18"/>
  <c r="P161" i="18"/>
  <c r="AD160" i="18"/>
  <c r="X160" i="18"/>
  <c r="S160" i="18"/>
  <c r="AE159" i="18"/>
  <c r="Y159" i="18"/>
  <c r="T159" i="18"/>
  <c r="AB158" i="18"/>
  <c r="W158" i="18"/>
  <c r="R158" i="18"/>
  <c r="C158" i="18" s="1"/>
  <c r="AA157" i="18"/>
  <c r="V157" i="18"/>
  <c r="P157" i="18"/>
  <c r="B157" i="18" s="1"/>
  <c r="B348" i="5" s="1"/>
  <c r="B536" i="5" s="1"/>
  <c r="AD156" i="18"/>
  <c r="Y156" i="18"/>
  <c r="S156" i="18"/>
  <c r="Z155" i="18"/>
  <c r="V155" i="18"/>
  <c r="R155" i="18"/>
  <c r="C155" i="18" s="1"/>
  <c r="AC154" i="18"/>
  <c r="Y154" i="18"/>
  <c r="U154" i="18"/>
  <c r="Q154" i="18"/>
  <c r="AB153" i="18"/>
  <c r="X153" i="18"/>
  <c r="T153" i="18"/>
  <c r="P153" i="18"/>
  <c r="B153" i="18" s="1"/>
  <c r="B344" i="5" s="1"/>
  <c r="B532" i="5" s="1"/>
  <c r="AB152" i="18"/>
  <c r="X152" i="18"/>
  <c r="T152" i="18"/>
  <c r="P152" i="18"/>
  <c r="B152" i="18" s="1"/>
  <c r="B343" i="5" s="1"/>
  <c r="B531" i="5" s="1"/>
  <c r="AD151" i="18"/>
  <c r="Z151" i="18"/>
  <c r="V151" i="18"/>
  <c r="R151" i="18"/>
  <c r="C151" i="18" s="1"/>
  <c r="AB150" i="18"/>
  <c r="X150" i="18"/>
  <c r="T150" i="18"/>
  <c r="P150" i="18"/>
  <c r="B150" i="18" s="1"/>
  <c r="B341" i="5" s="1"/>
  <c r="B529" i="5" s="1"/>
  <c r="AB149" i="18"/>
  <c r="X149" i="18"/>
  <c r="T149" i="18"/>
  <c r="P149" i="18"/>
  <c r="B149" i="18" s="1"/>
  <c r="B340" i="5" s="1"/>
  <c r="B528" i="5" s="1"/>
  <c r="AE148" i="18"/>
  <c r="AA148" i="18"/>
  <c r="W148" i="18"/>
  <c r="S148" i="18"/>
  <c r="AB147" i="18"/>
  <c r="X147" i="18"/>
  <c r="T147" i="18"/>
  <c r="P147" i="18"/>
  <c r="B147" i="18" s="1"/>
  <c r="B338" i="5" s="1"/>
  <c r="B526" i="5" s="1"/>
  <c r="AC146" i="18"/>
  <c r="Y146" i="18"/>
  <c r="U146" i="18"/>
  <c r="Q146" i="18"/>
  <c r="AE145" i="18"/>
  <c r="AA145" i="18"/>
  <c r="W145" i="18"/>
  <c r="S145" i="18"/>
  <c r="AC144" i="18"/>
  <c r="Y144" i="18"/>
  <c r="U144" i="18"/>
  <c r="Q144" i="18"/>
  <c r="AC141" i="18"/>
  <c r="Y141" i="18"/>
  <c r="U141" i="18"/>
  <c r="Q141" i="18"/>
  <c r="AE140" i="18"/>
  <c r="AA140" i="18"/>
  <c r="W140" i="18"/>
  <c r="S140" i="18"/>
  <c r="AD139" i="18"/>
  <c r="Z139" i="18"/>
  <c r="V139" i="18"/>
  <c r="R139" i="18"/>
  <c r="C139" i="18" s="1"/>
  <c r="AE138" i="18"/>
  <c r="AA138" i="18"/>
  <c r="W138" i="18"/>
  <c r="S138" i="18"/>
  <c r="AA163" i="18"/>
  <c r="Y162" i="18"/>
  <c r="W161" i="18"/>
  <c r="T160" i="18"/>
  <c r="X158" i="18"/>
  <c r="W157" i="18"/>
  <c r="U156" i="18"/>
  <c r="AD154" i="18"/>
  <c r="AC153" i="18"/>
  <c r="U152" i="18"/>
  <c r="S151" i="18"/>
  <c r="AA150" i="18"/>
  <c r="V150" i="18"/>
  <c r="Q150" i="18"/>
  <c r="AA149" i="18"/>
  <c r="V149" i="18"/>
  <c r="Q149" i="18"/>
  <c r="AC148" i="18"/>
  <c r="X148" i="18"/>
  <c r="R148" i="18"/>
  <c r="C148" i="18" s="1"/>
  <c r="AD147" i="18"/>
  <c r="Y147" i="18"/>
  <c r="S147" i="18"/>
  <c r="V163" i="18"/>
  <c r="T162" i="18"/>
  <c r="Q161" i="18"/>
  <c r="AA159" i="18"/>
  <c r="S158" i="18"/>
  <c r="R157" i="18"/>
  <c r="C157" i="18" s="1"/>
  <c r="AB155" i="18"/>
  <c r="Z154" i="18"/>
  <c r="Y153" i="18"/>
  <c r="Q152" i="18"/>
  <c r="AE151" i="18"/>
  <c r="AE150" i="18"/>
  <c r="Z150" i="18"/>
  <c r="U150" i="18"/>
  <c r="AE149" i="18"/>
  <c r="Z149" i="18"/>
  <c r="U149" i="18"/>
  <c r="AB148" i="18"/>
  <c r="V148" i="18"/>
  <c r="Q148" i="18"/>
  <c r="AC147" i="18"/>
  <c r="W147" i="18"/>
  <c r="R147" i="18"/>
  <c r="C147" i="18" s="1"/>
  <c r="AD146" i="18"/>
  <c r="X146" i="18"/>
  <c r="S146" i="18"/>
  <c r="AD145" i="18"/>
  <c r="Y145" i="18"/>
  <c r="T145" i="18"/>
  <c r="AA144" i="18"/>
  <c r="V144" i="18"/>
  <c r="P144" i="18"/>
  <c r="B144" i="18" s="1"/>
  <c r="B335" i="5" s="1"/>
  <c r="B523" i="5" s="1"/>
  <c r="AA141" i="18"/>
  <c r="V141" i="18"/>
  <c r="P141" i="18"/>
  <c r="B141" i="18" s="1"/>
  <c r="B332" i="5" s="1"/>
  <c r="B522" i="5" s="1"/>
  <c r="AB140" i="18"/>
  <c r="V140" i="18"/>
  <c r="Q140" i="18"/>
  <c r="AE139" i="18"/>
  <c r="Y139" i="18"/>
  <c r="T139" i="18"/>
  <c r="AD138" i="18"/>
  <c r="Y138" i="18"/>
  <c r="T138" i="18"/>
  <c r="AE137" i="18"/>
  <c r="AA137" i="18"/>
  <c r="W137" i="18"/>
  <c r="S137" i="18"/>
  <c r="AD136" i="18"/>
  <c r="Z136" i="18"/>
  <c r="V136" i="18"/>
  <c r="R136" i="18"/>
  <c r="C136" i="18" s="1"/>
  <c r="AC135" i="18"/>
  <c r="Y135" i="18"/>
  <c r="U135" i="18"/>
  <c r="Q135" i="18"/>
  <c r="AB134" i="18"/>
  <c r="X134" i="18"/>
  <c r="T134" i="18"/>
  <c r="P134" i="18"/>
  <c r="B134" i="18" s="1"/>
  <c r="B325" i="5" s="1"/>
  <c r="B515" i="5" s="1"/>
  <c r="AE133" i="18"/>
  <c r="AA133" i="18"/>
  <c r="W133" i="18"/>
  <c r="S133" i="18"/>
  <c r="AD132" i="18"/>
  <c r="Z132" i="18"/>
  <c r="V132" i="18"/>
  <c r="R132" i="18"/>
  <c r="C132" i="18" s="1"/>
  <c r="AB131" i="18"/>
  <c r="X131" i="18"/>
  <c r="T131" i="18"/>
  <c r="P131" i="18"/>
  <c r="B131" i="18" s="1"/>
  <c r="B322" i="5" s="1"/>
  <c r="AD130" i="18"/>
  <c r="Z130" i="18"/>
  <c r="V130" i="18"/>
  <c r="R130" i="18"/>
  <c r="C130" i="18" s="1"/>
  <c r="AB129" i="18"/>
  <c r="X129" i="18"/>
  <c r="T129" i="18"/>
  <c r="P129" i="18"/>
  <c r="B129" i="18" s="1"/>
  <c r="B320" i="5" s="1"/>
  <c r="B510" i="5" s="1"/>
  <c r="AC128" i="18"/>
  <c r="Y128" i="18"/>
  <c r="U128" i="18"/>
  <c r="Q128" i="18"/>
  <c r="AE127" i="18"/>
  <c r="AA127" i="18"/>
  <c r="W127" i="18"/>
  <c r="S127" i="18"/>
  <c r="AC126" i="18"/>
  <c r="Y126" i="18"/>
  <c r="U126" i="18"/>
  <c r="Q126" i="18"/>
  <c r="AE125" i="18"/>
  <c r="AA125" i="18"/>
  <c r="W125" i="18"/>
  <c r="S125" i="18"/>
  <c r="S164" i="18"/>
  <c r="Q163" i="18"/>
  <c r="AE160" i="18"/>
  <c r="U159" i="18"/>
  <c r="AE156" i="18"/>
  <c r="W155" i="18"/>
  <c r="V154" i="18"/>
  <c r="U153" i="18"/>
  <c r="AC152" i="18"/>
  <c r="AA151" i="18"/>
  <c r="AD150" i="18"/>
  <c r="Y150" i="18"/>
  <c r="S150" i="18"/>
  <c r="AD149" i="18"/>
  <c r="Y149" i="18"/>
  <c r="S149" i="18"/>
  <c r="Z148" i="18"/>
  <c r="U148" i="18"/>
  <c r="P148" i="18"/>
  <c r="B148" i="18" s="1"/>
  <c r="B339" i="5" s="1"/>
  <c r="B527" i="5" s="1"/>
  <c r="AA147" i="18"/>
  <c r="V147" i="18"/>
  <c r="Q147" i="18"/>
  <c r="AB146" i="18"/>
  <c r="W146" i="18"/>
  <c r="R146" i="18"/>
  <c r="C146" i="18" s="1"/>
  <c r="AC145" i="18"/>
  <c r="X145" i="18"/>
  <c r="R145" i="18"/>
  <c r="C145" i="18" s="1"/>
  <c r="AE144" i="18"/>
  <c r="Z144" i="18"/>
  <c r="T144" i="18"/>
  <c r="AE141" i="18"/>
  <c r="Z141" i="18"/>
  <c r="T141" i="18"/>
  <c r="Z140" i="18"/>
  <c r="U140" i="18"/>
  <c r="P140" i="18"/>
  <c r="B140" i="18" s="1"/>
  <c r="B331" i="5" s="1"/>
  <c r="B521" i="5" s="1"/>
  <c r="AC139" i="18"/>
  <c r="X139" i="18"/>
  <c r="S139" i="18"/>
  <c r="AC138" i="18"/>
  <c r="X138" i="18"/>
  <c r="R138" i="18"/>
  <c r="C138" i="18" s="1"/>
  <c r="AD137" i="18"/>
  <c r="Z137" i="18"/>
  <c r="V137" i="18"/>
  <c r="R137" i="18"/>
  <c r="C137" i="18" s="1"/>
  <c r="AC136" i="18"/>
  <c r="Y136" i="18"/>
  <c r="U136" i="18"/>
  <c r="Q136" i="18"/>
  <c r="AB135" i="18"/>
  <c r="X135" i="18"/>
  <c r="T135" i="18"/>
  <c r="P135" i="18"/>
  <c r="B135" i="18" s="1"/>
  <c r="B326" i="5" s="1"/>
  <c r="B516" i="5" s="1"/>
  <c r="AE134" i="18"/>
  <c r="AA134" i="18"/>
  <c r="W134" i="18"/>
  <c r="S134" i="18"/>
  <c r="AD133" i="18"/>
  <c r="Z133" i="18"/>
  <c r="V133" i="18"/>
  <c r="R133" i="18"/>
  <c r="C133" i="18" s="1"/>
  <c r="AC132" i="18"/>
  <c r="Y132" i="18"/>
  <c r="U132" i="18"/>
  <c r="Q132" i="18"/>
  <c r="AE131" i="18"/>
  <c r="AA131" i="18"/>
  <c r="W131" i="18"/>
  <c r="S131" i="18"/>
  <c r="AC130" i="18"/>
  <c r="Y130" i="18"/>
  <c r="U130" i="18"/>
  <c r="Q130" i="18"/>
  <c r="AE129" i="18"/>
  <c r="AA129" i="18"/>
  <c r="W129" i="18"/>
  <c r="S129" i="18"/>
  <c r="AB128" i="18"/>
  <c r="X128" i="18"/>
  <c r="T128" i="18"/>
  <c r="P128" i="18"/>
  <c r="B128" i="18" s="1"/>
  <c r="B319" i="5" s="1"/>
  <c r="B509" i="5" s="1"/>
  <c r="AD127" i="18"/>
  <c r="Z127" i="18"/>
  <c r="V127" i="18"/>
  <c r="R127" i="18"/>
  <c r="C127" i="18" s="1"/>
  <c r="AB126" i="18"/>
  <c r="X126" i="18"/>
  <c r="T126" i="18"/>
  <c r="P126" i="18"/>
  <c r="B126" i="18" s="1"/>
  <c r="B317" i="5" s="1"/>
  <c r="B507" i="5" s="1"/>
  <c r="AD125" i="18"/>
  <c r="Z125" i="18"/>
  <c r="V125" i="18"/>
  <c r="R125" i="18"/>
  <c r="C125" i="18" s="1"/>
  <c r="AB124" i="18"/>
  <c r="X124" i="18"/>
  <c r="T124" i="18"/>
  <c r="P124" i="18"/>
  <c r="B124" i="18" s="1"/>
  <c r="B315" i="5" s="1"/>
  <c r="B505" i="5" s="1"/>
  <c r="AC123" i="18"/>
  <c r="Y123" i="18"/>
  <c r="U123" i="18"/>
  <c r="Q123" i="18"/>
  <c r="AE122" i="18"/>
  <c r="AA122" i="18"/>
  <c r="W122" i="18"/>
  <c r="S122" i="18"/>
  <c r="AB121" i="18"/>
  <c r="X121" i="18"/>
  <c r="T121" i="18"/>
  <c r="P121" i="18"/>
  <c r="B121" i="18" s="1"/>
  <c r="B312" i="5" s="1"/>
  <c r="B502" i="5" s="1"/>
  <c r="AC120" i="18"/>
  <c r="Y120" i="18"/>
  <c r="U120" i="18"/>
  <c r="Q120" i="18"/>
  <c r="AC119" i="18"/>
  <c r="Y119" i="18"/>
  <c r="U119" i="18"/>
  <c r="Q119" i="18"/>
  <c r="AC118" i="18"/>
  <c r="Y118" i="18"/>
  <c r="U118" i="18"/>
  <c r="Q118" i="18"/>
  <c r="AC117" i="18"/>
  <c r="Y117" i="18"/>
  <c r="U117" i="18"/>
  <c r="Q117" i="18"/>
  <c r="AB116" i="18"/>
  <c r="X116" i="18"/>
  <c r="T116" i="18"/>
  <c r="P116" i="18"/>
  <c r="B116" i="18" s="1"/>
  <c r="B307" i="5" s="1"/>
  <c r="B497" i="5" s="1"/>
  <c r="AE115" i="18"/>
  <c r="AA115" i="18"/>
  <c r="W115" i="18"/>
  <c r="S115" i="18"/>
  <c r="AD114" i="18"/>
  <c r="Z114" i="18"/>
  <c r="V114" i="18"/>
  <c r="R114" i="18"/>
  <c r="C114" i="18" s="1"/>
  <c r="AB113" i="18"/>
  <c r="AB161" i="18"/>
  <c r="W151" i="18"/>
  <c r="W150" i="18"/>
  <c r="AC149" i="18"/>
  <c r="Y148" i="18"/>
  <c r="U147" i="18"/>
  <c r="AE146" i="18"/>
  <c r="T146" i="18"/>
  <c r="U145" i="18"/>
  <c r="X144" i="18"/>
  <c r="AB141" i="18"/>
  <c r="R141" i="18"/>
  <c r="C141" i="18" s="1"/>
  <c r="X140" i="18"/>
  <c r="AB139" i="18"/>
  <c r="Q139" i="18"/>
  <c r="U138" i="18"/>
  <c r="Y137" i="18"/>
  <c r="Q137" i="18"/>
  <c r="AB136" i="18"/>
  <c r="T136" i="18"/>
  <c r="AE135" i="18"/>
  <c r="W135" i="18"/>
  <c r="Y134" i="18"/>
  <c r="Q134" i="18"/>
  <c r="Y133" i="18"/>
  <c r="Q133" i="18"/>
  <c r="AB132" i="18"/>
  <c r="T132" i="18"/>
  <c r="AC131" i="18"/>
  <c r="U131" i="18"/>
  <c r="AB130" i="18"/>
  <c r="T130" i="18"/>
  <c r="AC129" i="18"/>
  <c r="U129" i="18"/>
  <c r="AD128" i="18"/>
  <c r="V128" i="18"/>
  <c r="AB127" i="18"/>
  <c r="T127" i="18"/>
  <c r="AD126" i="18"/>
  <c r="V126" i="18"/>
  <c r="AB125" i="18"/>
  <c r="T125" i="18"/>
  <c r="AD124" i="18"/>
  <c r="Y124" i="18"/>
  <c r="S124" i="18"/>
  <c r="AE123" i="18"/>
  <c r="Z123" i="18"/>
  <c r="T123" i="18"/>
  <c r="Z122" i="18"/>
  <c r="U122" i="18"/>
  <c r="P122" i="18"/>
  <c r="B122" i="18" s="1"/>
  <c r="B313" i="5" s="1"/>
  <c r="B503" i="5" s="1"/>
  <c r="AA121" i="18"/>
  <c r="V121" i="18"/>
  <c r="Q121" i="18"/>
  <c r="AB120" i="18"/>
  <c r="W120" i="18"/>
  <c r="R120" i="18"/>
  <c r="C120" i="18" s="1"/>
  <c r="AA119" i="18"/>
  <c r="V119" i="18"/>
  <c r="P119" i="18"/>
  <c r="B119" i="18" s="1"/>
  <c r="B310" i="5" s="1"/>
  <c r="B500" i="5" s="1"/>
  <c r="AE118" i="18"/>
  <c r="Z118" i="18"/>
  <c r="T118" i="18"/>
  <c r="AD117" i="18"/>
  <c r="X117" i="18"/>
  <c r="S117" i="18"/>
  <c r="AC116" i="18"/>
  <c r="W116" i="18"/>
  <c r="R116" i="18"/>
  <c r="C116" i="18" s="1"/>
  <c r="Z115" i="18"/>
  <c r="U115" i="18"/>
  <c r="P115" i="18"/>
  <c r="AC114" i="18"/>
  <c r="X114" i="18"/>
  <c r="S114" i="18"/>
  <c r="AA113" i="18"/>
  <c r="W113" i="18"/>
  <c r="S113" i="18"/>
  <c r="AC112" i="18"/>
  <c r="Y112" i="18"/>
  <c r="U112" i="18"/>
  <c r="Q112" i="18"/>
  <c r="AC111" i="18"/>
  <c r="Y111" i="18"/>
  <c r="U111" i="18"/>
  <c r="Q111" i="18"/>
  <c r="AD110" i="18"/>
  <c r="Z110" i="18"/>
  <c r="V110" i="18"/>
  <c r="R110" i="18"/>
  <c r="C110" i="18" s="1"/>
  <c r="AE109" i="18"/>
  <c r="AA109" i="18"/>
  <c r="W109" i="18"/>
  <c r="S109" i="18"/>
  <c r="AE108" i="18"/>
  <c r="AA108" i="18"/>
  <c r="W108" i="18"/>
  <c r="S108" i="18"/>
  <c r="AE107" i="18"/>
  <c r="AA107" i="18"/>
  <c r="W107" i="18"/>
  <c r="S107" i="18"/>
  <c r="AE106" i="18"/>
  <c r="AA106" i="18"/>
  <c r="W106" i="18"/>
  <c r="S106" i="18"/>
  <c r="AB105" i="18"/>
  <c r="X105" i="18"/>
  <c r="T105" i="18"/>
  <c r="P105" i="18"/>
  <c r="B105" i="18" s="1"/>
  <c r="B296" i="5" s="1"/>
  <c r="B486" i="5" s="1"/>
  <c r="AE104" i="18"/>
  <c r="AA104" i="18"/>
  <c r="W104" i="18"/>
  <c r="S104" i="18"/>
  <c r="AE103" i="18"/>
  <c r="AA103" i="18"/>
  <c r="W103" i="18"/>
  <c r="S103" i="18"/>
  <c r="AE102" i="18"/>
  <c r="AA102" i="18"/>
  <c r="W102" i="18"/>
  <c r="S102" i="18"/>
  <c r="AB101" i="18"/>
  <c r="X101" i="18"/>
  <c r="T101" i="18"/>
  <c r="P101" i="18"/>
  <c r="B101" i="18" s="1"/>
  <c r="B292" i="5" s="1"/>
  <c r="B482" i="5" s="1"/>
  <c r="AC100" i="18"/>
  <c r="Y100" i="18"/>
  <c r="U100" i="18"/>
  <c r="Q100" i="18"/>
  <c r="AC99" i="18"/>
  <c r="Y99" i="18"/>
  <c r="U99" i="18"/>
  <c r="Q99" i="18"/>
  <c r="AE98" i="18"/>
  <c r="AA98" i="18"/>
  <c r="W98" i="18"/>
  <c r="S98" i="18"/>
  <c r="AD97" i="18"/>
  <c r="Z97" i="18"/>
  <c r="Z160" i="18"/>
  <c r="P159" i="18"/>
  <c r="B159" i="18" s="1"/>
  <c r="B350" i="5" s="1"/>
  <c r="B538" i="5" s="1"/>
  <c r="AD158" i="18"/>
  <c r="Y152" i="18"/>
  <c r="R150" i="18"/>
  <c r="C150" i="18" s="1"/>
  <c r="W149" i="18"/>
  <c r="T148" i="18"/>
  <c r="AA146" i="18"/>
  <c r="P146" i="18"/>
  <c r="B146" i="18" s="1"/>
  <c r="B337" i="5" s="1"/>
  <c r="B525" i="5" s="1"/>
  <c r="AB145" i="18"/>
  <c r="Q145" i="18"/>
  <c r="W144" i="18"/>
  <c r="X141" i="18"/>
  <c r="AD140" i="18"/>
  <c r="T140" i="18"/>
  <c r="AA139" i="18"/>
  <c r="P139" i="18"/>
  <c r="B139" i="18" s="1"/>
  <c r="B330" i="5" s="1"/>
  <c r="B520" i="5" s="1"/>
  <c r="AB138" i="18"/>
  <c r="Q138" i="18"/>
  <c r="X137" i="18"/>
  <c r="P137" i="18"/>
  <c r="B137" i="18" s="1"/>
  <c r="B328" i="5" s="1"/>
  <c r="B518" i="5" s="1"/>
  <c r="AA136" i="18"/>
  <c r="S136" i="18"/>
  <c r="AD135" i="18"/>
  <c r="V135" i="18"/>
  <c r="AD134" i="18"/>
  <c r="V134" i="18"/>
  <c r="X133" i="18"/>
  <c r="P133" i="18"/>
  <c r="B133" i="18" s="1"/>
  <c r="B324" i="5" s="1"/>
  <c r="B514" i="5" s="1"/>
  <c r="AA132" i="18"/>
  <c r="S132" i="18"/>
  <c r="Z131" i="18"/>
  <c r="R131" i="18"/>
  <c r="C131" i="18" s="1"/>
  <c r="AA130" i="18"/>
  <c r="S130" i="18"/>
  <c r="Z129" i="18"/>
  <c r="R129" i="18"/>
  <c r="C129" i="18" s="1"/>
  <c r="AA128" i="18"/>
  <c r="S128" i="18"/>
  <c r="Y127" i="18"/>
  <c r="Q127" i="18"/>
  <c r="AA126" i="18"/>
  <c r="S126" i="18"/>
  <c r="Y125" i="18"/>
  <c r="Q125" i="18"/>
  <c r="AC124" i="18"/>
  <c r="W124" i="18"/>
  <c r="R124" i="18"/>
  <c r="C124" i="18" s="1"/>
  <c r="AD123" i="18"/>
  <c r="X123" i="18"/>
  <c r="S123" i="18"/>
  <c r="AD122" i="18"/>
  <c r="Y122" i="18"/>
  <c r="T122" i="18"/>
  <c r="AE121" i="18"/>
  <c r="Z121" i="18"/>
  <c r="U121" i="18"/>
  <c r="AA120" i="18"/>
  <c r="V120" i="18"/>
  <c r="P120" i="18"/>
  <c r="B120" i="18" s="1"/>
  <c r="B311" i="5" s="1"/>
  <c r="B501" i="5" s="1"/>
  <c r="AE119" i="18"/>
  <c r="Z119" i="18"/>
  <c r="T119" i="18"/>
  <c r="AD118" i="18"/>
  <c r="X118" i="18"/>
  <c r="S118" i="18"/>
  <c r="AB117" i="18"/>
  <c r="W117" i="18"/>
  <c r="R117" i="18"/>
  <c r="C117" i="18" s="1"/>
  <c r="AA116" i="18"/>
  <c r="V116" i="18"/>
  <c r="Q116" i="18"/>
  <c r="AD115" i="18"/>
  <c r="Y115" i="18"/>
  <c r="T115" i="18"/>
  <c r="AB114" i="18"/>
  <c r="W114" i="18"/>
  <c r="Q114" i="18"/>
  <c r="AE113" i="18"/>
  <c r="Z113" i="18"/>
  <c r="V113" i="18"/>
  <c r="R113" i="18"/>
  <c r="C113" i="18" s="1"/>
  <c r="AB112" i="18"/>
  <c r="X112" i="18"/>
  <c r="T112" i="18"/>
  <c r="P112" i="18"/>
  <c r="B112" i="18" s="1"/>
  <c r="B303" i="5" s="1"/>
  <c r="B493" i="5" s="1"/>
  <c r="AB111" i="18"/>
  <c r="X111" i="18"/>
  <c r="T111" i="18"/>
  <c r="P111" i="18"/>
  <c r="B111" i="18" s="1"/>
  <c r="B302" i="5" s="1"/>
  <c r="B492" i="5" s="1"/>
  <c r="AC110" i="18"/>
  <c r="Y110" i="18"/>
  <c r="U110" i="18"/>
  <c r="Q110" i="18"/>
  <c r="AD109" i="18"/>
  <c r="Z109" i="18"/>
  <c r="V109" i="18"/>
  <c r="R109" i="18"/>
  <c r="C109" i="18" s="1"/>
  <c r="AD108" i="18"/>
  <c r="Z108" i="18"/>
  <c r="V108" i="18"/>
  <c r="R108" i="18"/>
  <c r="C108" i="18" s="1"/>
  <c r="AD107" i="18"/>
  <c r="Z107" i="18"/>
  <c r="V107" i="18"/>
  <c r="R107" i="18"/>
  <c r="C107" i="18" s="1"/>
  <c r="AD106" i="18"/>
  <c r="Z106" i="18"/>
  <c r="V106" i="18"/>
  <c r="R106" i="18"/>
  <c r="C106" i="18" s="1"/>
  <c r="AB157" i="18"/>
  <c r="Z156" i="18"/>
  <c r="S155" i="18"/>
  <c r="R154" i="18"/>
  <c r="C154" i="18" s="1"/>
  <c r="Q153" i="18"/>
  <c r="R149" i="18"/>
  <c r="C149" i="18" s="1"/>
  <c r="AE147" i="18"/>
  <c r="Z146" i="18"/>
  <c r="Z145" i="18"/>
  <c r="P145" i="18"/>
  <c r="B145" i="18" s="1"/>
  <c r="B336" i="5" s="1"/>
  <c r="B524" i="5" s="1"/>
  <c r="AD144" i="18"/>
  <c r="S144" i="18"/>
  <c r="W141" i="18"/>
  <c r="AC140" i="18"/>
  <c r="R140" i="18"/>
  <c r="C140" i="18" s="1"/>
  <c r="W139" i="18"/>
  <c r="Z138" i="18"/>
  <c r="P138" i="18"/>
  <c r="B138" i="18" s="1"/>
  <c r="B329" i="5" s="1"/>
  <c r="B519" i="5" s="1"/>
  <c r="AC137" i="18"/>
  <c r="U137" i="18"/>
  <c r="X136" i="18"/>
  <c r="P136" i="18"/>
  <c r="B136" i="18" s="1"/>
  <c r="B327" i="5" s="1"/>
  <c r="B517" i="5" s="1"/>
  <c r="AA135" i="18"/>
  <c r="S135" i="18"/>
  <c r="AC134" i="18"/>
  <c r="U134" i="18"/>
  <c r="AC133" i="18"/>
  <c r="U133" i="18"/>
  <c r="X132" i="18"/>
  <c r="P132" i="18"/>
  <c r="B132" i="18" s="1"/>
  <c r="B323" i="5" s="1"/>
  <c r="B513" i="5" s="1"/>
  <c r="Y131" i="18"/>
  <c r="Q131" i="18"/>
  <c r="X130" i="18"/>
  <c r="P130" i="18"/>
  <c r="B130" i="18" s="1"/>
  <c r="B321" i="5" s="1"/>
  <c r="Y129" i="18"/>
  <c r="Q129" i="18"/>
  <c r="Z128" i="18"/>
  <c r="R128" i="18"/>
  <c r="C128" i="18" s="1"/>
  <c r="X127" i="18"/>
  <c r="P127" i="18"/>
  <c r="B127" i="18" s="1"/>
  <c r="B318" i="5" s="1"/>
  <c r="B508" i="5" s="1"/>
  <c r="Z126" i="18"/>
  <c r="R126" i="18"/>
  <c r="C126" i="18" s="1"/>
  <c r="X125" i="18"/>
  <c r="P125" i="18"/>
  <c r="B125" i="18" s="1"/>
  <c r="B316" i="5" s="1"/>
  <c r="AA124" i="18"/>
  <c r="V124" i="18"/>
  <c r="Q124" i="18"/>
  <c r="AB123" i="18"/>
  <c r="W123" i="18"/>
  <c r="R123" i="18"/>
  <c r="C123" i="18" s="1"/>
  <c r="AC122" i="18"/>
  <c r="X122" i="18"/>
  <c r="R122" i="18"/>
  <c r="C122" i="18" s="1"/>
  <c r="AD121" i="18"/>
  <c r="Y121" i="18"/>
  <c r="S121" i="18"/>
  <c r="AE120" i="18"/>
  <c r="Z120" i="18"/>
  <c r="T120" i="18"/>
  <c r="AD119" i="18"/>
  <c r="X119" i="18"/>
  <c r="S119" i="18"/>
  <c r="AB118" i="18"/>
  <c r="W118" i="18"/>
  <c r="R118" i="18"/>
  <c r="C118" i="18" s="1"/>
  <c r="AA117" i="18"/>
  <c r="V117" i="18"/>
  <c r="P117" i="18"/>
  <c r="B117" i="18" s="1"/>
  <c r="B308" i="5" s="1"/>
  <c r="B498" i="5" s="1"/>
  <c r="AE116" i="18"/>
  <c r="Z116" i="18"/>
  <c r="U116" i="18"/>
  <c r="AC115" i="18"/>
  <c r="X115" i="18"/>
  <c r="R115" i="18"/>
  <c r="C115" i="18" s="1"/>
  <c r="AA114" i="18"/>
  <c r="U114" i="18"/>
  <c r="P114" i="18"/>
  <c r="AD113" i="18"/>
  <c r="Y113" i="18"/>
  <c r="U113" i="18"/>
  <c r="Q113" i="18"/>
  <c r="AE112" i="18"/>
  <c r="AA112" i="18"/>
  <c r="W112" i="18"/>
  <c r="S112" i="18"/>
  <c r="AE111" i="18"/>
  <c r="AA111" i="18"/>
  <c r="W111" i="18"/>
  <c r="S111" i="18"/>
  <c r="AB110" i="18"/>
  <c r="X110" i="18"/>
  <c r="T110" i="18"/>
  <c r="P110" i="18"/>
  <c r="B110" i="18" s="1"/>
  <c r="B301" i="5" s="1"/>
  <c r="B491" i="5" s="1"/>
  <c r="AC109" i="18"/>
  <c r="Y109" i="18"/>
  <c r="U109" i="18"/>
  <c r="Q109" i="18"/>
  <c r="AC108" i="18"/>
  <c r="Y108" i="18"/>
  <c r="U108" i="18"/>
  <c r="Q108" i="18"/>
  <c r="AC107" i="18"/>
  <c r="Y107" i="18"/>
  <c r="U107" i="18"/>
  <c r="Q107" i="18"/>
  <c r="AC106" i="18"/>
  <c r="Y106" i="18"/>
  <c r="U106" i="18"/>
  <c r="Q106" i="18"/>
  <c r="AD105" i="18"/>
  <c r="Z105" i="18"/>
  <c r="V105" i="18"/>
  <c r="R105" i="18"/>
  <c r="C105" i="18" s="1"/>
  <c r="AC104" i="18"/>
  <c r="Y104" i="18"/>
  <c r="U104" i="18"/>
  <c r="Q104" i="18"/>
  <c r="AC103" i="18"/>
  <c r="Y103" i="18"/>
  <c r="U103" i="18"/>
  <c r="Q103" i="18"/>
  <c r="AC102" i="18"/>
  <c r="Y102" i="18"/>
  <c r="U102" i="18"/>
  <c r="Q102" i="18"/>
  <c r="AD101" i="18"/>
  <c r="Z101" i="18"/>
  <c r="V101" i="18"/>
  <c r="R101" i="18"/>
  <c r="C101" i="18" s="1"/>
  <c r="AE100" i="18"/>
  <c r="AA100" i="18"/>
  <c r="W100" i="18"/>
  <c r="S100" i="18"/>
  <c r="AE99" i="18"/>
  <c r="AA99" i="18"/>
  <c r="W99" i="18"/>
  <c r="S99" i="18"/>
  <c r="AC98" i="18"/>
  <c r="Y98" i="18"/>
  <c r="U98" i="18"/>
  <c r="Q98" i="18"/>
  <c r="AB97" i="18"/>
  <c r="X97" i="18"/>
  <c r="T97" i="18"/>
  <c r="P97" i="18"/>
  <c r="B97" i="18" s="1"/>
  <c r="B288" i="5" s="1"/>
  <c r="B478" i="5" s="1"/>
  <c r="AE96" i="18"/>
  <c r="AA96" i="18"/>
  <c r="W96" i="18"/>
  <c r="S96" i="18"/>
  <c r="AC95" i="18"/>
  <c r="Y95" i="18"/>
  <c r="U95" i="18"/>
  <c r="Q95" i="18"/>
  <c r="AE94" i="18"/>
  <c r="AA94" i="18"/>
  <c r="W94" i="18"/>
  <c r="S94" i="18"/>
  <c r="AC93" i="18"/>
  <c r="Y93" i="18"/>
  <c r="U93" i="18"/>
  <c r="Q93" i="18"/>
  <c r="AC92" i="18"/>
  <c r="Y92" i="18"/>
  <c r="U92" i="18"/>
  <c r="Q92" i="18"/>
  <c r="AE91" i="18"/>
  <c r="AA91" i="18"/>
  <c r="W91" i="18"/>
  <c r="S91" i="18"/>
  <c r="AC90" i="18"/>
  <c r="Y90" i="18"/>
  <c r="U90" i="18"/>
  <c r="Q90" i="18"/>
  <c r="AE89" i="18"/>
  <c r="AA89" i="18"/>
  <c r="W89" i="18"/>
  <c r="S89" i="18"/>
  <c r="AE88" i="18"/>
  <c r="AA88" i="18"/>
  <c r="W88" i="18"/>
  <c r="S88" i="18"/>
  <c r="AC87" i="18"/>
  <c r="Y87" i="18"/>
  <c r="U87" i="18"/>
  <c r="Q87" i="18"/>
  <c r="AE86" i="18"/>
  <c r="AA86" i="18"/>
  <c r="W86" i="18"/>
  <c r="S86" i="18"/>
  <c r="AC85" i="18"/>
  <c r="Y85" i="18"/>
  <c r="U85" i="18"/>
  <c r="Q85" i="18"/>
  <c r="AE84" i="18"/>
  <c r="AA84" i="18"/>
  <c r="W84" i="18"/>
  <c r="S84" i="18"/>
  <c r="AC83" i="18"/>
  <c r="Y83" i="18"/>
  <c r="U83" i="18"/>
  <c r="Q83" i="18"/>
  <c r="AB82" i="18"/>
  <c r="X82" i="18"/>
  <c r="T82" i="18"/>
  <c r="P82" i="18"/>
  <c r="B82" i="18" s="1"/>
  <c r="B273" i="5" s="1"/>
  <c r="B463" i="5" s="1"/>
  <c r="AD81" i="18"/>
  <c r="Z81" i="18"/>
  <c r="V81" i="18"/>
  <c r="R81" i="18"/>
  <c r="C81" i="18" s="1"/>
  <c r="AD80" i="18"/>
  <c r="Z80" i="18"/>
  <c r="V80" i="18"/>
  <c r="R80" i="18"/>
  <c r="C80" i="18" s="1"/>
  <c r="AC79" i="18"/>
  <c r="Y79" i="18"/>
  <c r="U79" i="18"/>
  <c r="Q79" i="18"/>
  <c r="AD78" i="18"/>
  <c r="Z78" i="18"/>
  <c r="V78" i="18"/>
  <c r="R78" i="18"/>
  <c r="C78" i="18" s="1"/>
  <c r="AD77" i="18"/>
  <c r="Z77" i="18"/>
  <c r="V77" i="18"/>
  <c r="R77" i="18"/>
  <c r="C77" i="18" s="1"/>
  <c r="AE76" i="18"/>
  <c r="AA76" i="18"/>
  <c r="W76" i="18"/>
  <c r="S76" i="18"/>
  <c r="AB75" i="18"/>
  <c r="X75" i="18"/>
  <c r="T75" i="18"/>
  <c r="P75" i="18"/>
  <c r="B75" i="18" s="1"/>
  <c r="B266" i="5" s="1"/>
  <c r="B456" i="5" s="1"/>
  <c r="AB74" i="18"/>
  <c r="X74" i="18"/>
  <c r="T74" i="18"/>
  <c r="P74" i="18"/>
  <c r="B74" i="18" s="1"/>
  <c r="B265" i="5" s="1"/>
  <c r="B455" i="5" s="1"/>
  <c r="AD73" i="18"/>
  <c r="Z73" i="18"/>
  <c r="V73" i="18"/>
  <c r="R73" i="18"/>
  <c r="C73" i="18" s="1"/>
  <c r="AD72" i="18"/>
  <c r="Z72" i="18"/>
  <c r="V72" i="18"/>
  <c r="R72" i="18"/>
  <c r="C72" i="18" s="1"/>
  <c r="AE71" i="18"/>
  <c r="AA71" i="18"/>
  <c r="W71" i="18"/>
  <c r="S71" i="18"/>
  <c r="AE70" i="18"/>
  <c r="AA70" i="18"/>
  <c r="W70" i="18"/>
  <c r="S70" i="18"/>
  <c r="AE69" i="18"/>
  <c r="AA69" i="18"/>
  <c r="W69" i="18"/>
  <c r="S69" i="18"/>
  <c r="AB68" i="18"/>
  <c r="X68" i="18"/>
  <c r="T68" i="18"/>
  <c r="P68" i="18"/>
  <c r="B68" i="18" s="1"/>
  <c r="B259" i="5" s="1"/>
  <c r="B449" i="5" s="1"/>
  <c r="AB67" i="18"/>
  <c r="X67" i="18"/>
  <c r="T67" i="18"/>
  <c r="P67" i="18"/>
  <c r="B67" i="18" s="1"/>
  <c r="B258" i="5" s="1"/>
  <c r="B448" i="5" s="1"/>
  <c r="AD66" i="18"/>
  <c r="Z66" i="18"/>
  <c r="V66" i="18"/>
  <c r="R66" i="18"/>
  <c r="C66" i="18" s="1"/>
  <c r="V145" i="18"/>
  <c r="AB144" i="18"/>
  <c r="AD141" i="18"/>
  <c r="Y140" i="18"/>
  <c r="W136" i="18"/>
  <c r="T133" i="18"/>
  <c r="W130" i="18"/>
  <c r="AD129" i="18"/>
  <c r="W126" i="18"/>
  <c r="AC125" i="18"/>
  <c r="V123" i="18"/>
  <c r="R121" i="18"/>
  <c r="C121" i="18" s="1"/>
  <c r="W119" i="18"/>
  <c r="V118" i="18"/>
  <c r="Z117" i="18"/>
  <c r="AD116" i="18"/>
  <c r="AB115" i="18"/>
  <c r="Y114" i="18"/>
  <c r="AC113" i="18"/>
  <c r="Z112" i="18"/>
  <c r="R111" i="18"/>
  <c r="C111" i="18" s="1"/>
  <c r="AA110" i="18"/>
  <c r="P109" i="18"/>
  <c r="B109" i="18" s="1"/>
  <c r="B300" i="5" s="1"/>
  <c r="B490" i="5" s="1"/>
  <c r="T108" i="18"/>
  <c r="X107" i="18"/>
  <c r="AB106" i="18"/>
  <c r="AA105" i="18"/>
  <c r="S105" i="18"/>
  <c r="AD104" i="18"/>
  <c r="V104" i="18"/>
  <c r="Z103" i="18"/>
  <c r="R103" i="18"/>
  <c r="C103" i="18" s="1"/>
  <c r="AD102" i="18"/>
  <c r="V102" i="18"/>
  <c r="AC101" i="18"/>
  <c r="U101" i="18"/>
  <c r="AB100" i="18"/>
  <c r="T100" i="18"/>
  <c r="Z99" i="18"/>
  <c r="R99" i="18"/>
  <c r="C99" i="18" s="1"/>
  <c r="AB98" i="18"/>
  <c r="T98" i="18"/>
  <c r="AE97" i="18"/>
  <c r="W97" i="18"/>
  <c r="R97" i="18"/>
  <c r="C97" i="18" s="1"/>
  <c r="AD96" i="18"/>
  <c r="Y96" i="18"/>
  <c r="T96" i="18"/>
  <c r="AA95" i="18"/>
  <c r="V95" i="18"/>
  <c r="P95" i="18"/>
  <c r="B95" i="18" s="1"/>
  <c r="B286" i="5" s="1"/>
  <c r="B476" i="5" s="1"/>
  <c r="AB94" i="18"/>
  <c r="V94" i="18"/>
  <c r="Q94" i="18"/>
  <c r="AD93" i="18"/>
  <c r="X93" i="18"/>
  <c r="S93" i="18"/>
  <c r="AD92" i="18"/>
  <c r="X92" i="18"/>
  <c r="S92" i="18"/>
  <c r="AD91" i="18"/>
  <c r="Y91" i="18"/>
  <c r="T91" i="18"/>
  <c r="AA90" i="18"/>
  <c r="V90" i="18"/>
  <c r="P90" i="18"/>
  <c r="B90" i="18" s="1"/>
  <c r="B281" i="5" s="1"/>
  <c r="B471" i="5" s="1"/>
  <c r="AB89" i="18"/>
  <c r="V89" i="18"/>
  <c r="Q89" i="18"/>
  <c r="Z88" i="18"/>
  <c r="U88" i="18"/>
  <c r="P88" i="18"/>
  <c r="B88" i="18" s="1"/>
  <c r="B279" i="5" s="1"/>
  <c r="B469" i="5" s="1"/>
  <c r="AB87" i="18"/>
  <c r="W87" i="18"/>
  <c r="R87" i="18"/>
  <c r="C87" i="18" s="1"/>
  <c r="AC86" i="18"/>
  <c r="X86" i="18"/>
  <c r="R86" i="18"/>
  <c r="C86" i="18" s="1"/>
  <c r="AE85" i="18"/>
  <c r="Z85" i="18"/>
  <c r="T85" i="18"/>
  <c r="Z84" i="18"/>
  <c r="U84" i="18"/>
  <c r="P84" i="18"/>
  <c r="B84" i="18" s="1"/>
  <c r="B275" i="5" s="1"/>
  <c r="B465" i="5" s="1"/>
  <c r="AB83" i="18"/>
  <c r="W83" i="18"/>
  <c r="R83" i="18"/>
  <c r="C83" i="18" s="1"/>
  <c r="AE82" i="18"/>
  <c r="Z82" i="18"/>
  <c r="U82" i="18"/>
  <c r="AB81" i="18"/>
  <c r="W81" i="18"/>
  <c r="Q81" i="18"/>
  <c r="AA80" i="18"/>
  <c r="U80" i="18"/>
  <c r="P80" i="18"/>
  <c r="B80" i="18" s="1"/>
  <c r="B271" i="5" s="1"/>
  <c r="B461" i="5" s="1"/>
  <c r="AD79" i="18"/>
  <c r="X79" i="18"/>
  <c r="S79" i="18"/>
  <c r="AE78" i="18"/>
  <c r="Y78" i="18"/>
  <c r="T78" i="18"/>
  <c r="AC77" i="18"/>
  <c r="X77" i="18"/>
  <c r="S77" i="18"/>
  <c r="AC76" i="18"/>
  <c r="X76" i="18"/>
  <c r="R76" i="18"/>
  <c r="C76" i="18" s="1"/>
  <c r="AD75" i="18"/>
  <c r="Y75" i="18"/>
  <c r="S75" i="18"/>
  <c r="AD74" i="18"/>
  <c r="Y74" i="18"/>
  <c r="S74" i="18"/>
  <c r="AA73" i="18"/>
  <c r="U73" i="18"/>
  <c r="P73" i="18"/>
  <c r="AE72" i="18"/>
  <c r="Y72" i="18"/>
  <c r="T72" i="18"/>
  <c r="AD71" i="18"/>
  <c r="Y71" i="18"/>
  <c r="T71" i="18"/>
  <c r="AC70" i="18"/>
  <c r="X70" i="18"/>
  <c r="R70" i="18"/>
  <c r="C70" i="18" s="1"/>
  <c r="AB69" i="18"/>
  <c r="V69" i="18"/>
  <c r="Q69" i="18"/>
  <c r="AC68" i="18"/>
  <c r="W68" i="18"/>
  <c r="R68" i="18"/>
  <c r="C68" i="18" s="1"/>
  <c r="AC67" i="18"/>
  <c r="W67" i="18"/>
  <c r="R67" i="18"/>
  <c r="C67" i="18" s="1"/>
  <c r="AC66" i="18"/>
  <c r="X66" i="18"/>
  <c r="S66" i="18"/>
  <c r="AE65" i="18"/>
  <c r="AA65" i="18"/>
  <c r="W65" i="18"/>
  <c r="S65" i="18"/>
  <c r="AC64" i="18"/>
  <c r="Y64" i="18"/>
  <c r="U64" i="18"/>
  <c r="Q64" i="18"/>
  <c r="AD63" i="18"/>
  <c r="Y63" i="18"/>
  <c r="U63" i="18"/>
  <c r="Q63" i="18"/>
  <c r="V146" i="18"/>
  <c r="R144" i="18"/>
  <c r="C144" i="18" s="1"/>
  <c r="S141" i="18"/>
  <c r="U139" i="18"/>
  <c r="V138" i="18"/>
  <c r="AB137" i="18"/>
  <c r="Z135" i="18"/>
  <c r="AE132" i="18"/>
  <c r="V129" i="18"/>
  <c r="AE128" i="18"/>
  <c r="U125" i="18"/>
  <c r="AE124" i="18"/>
  <c r="P123" i="18"/>
  <c r="B123" i="18" s="1"/>
  <c r="B314" i="5" s="1"/>
  <c r="B504" i="5" s="1"/>
  <c r="AB122" i="18"/>
  <c r="AD120" i="18"/>
  <c r="R119" i="18"/>
  <c r="C119" i="18" s="1"/>
  <c r="P118" i="18"/>
  <c r="B118" i="18" s="1"/>
  <c r="B309" i="5" s="1"/>
  <c r="B499" i="5" s="1"/>
  <c r="T117" i="18"/>
  <c r="Y116" i="18"/>
  <c r="V115" i="18"/>
  <c r="T114" i="18"/>
  <c r="X113" i="18"/>
  <c r="V112" i="18"/>
  <c r="AD111" i="18"/>
  <c r="W110" i="18"/>
  <c r="AB109" i="18"/>
  <c r="P108" i="18"/>
  <c r="B108" i="18" s="1"/>
  <c r="B299" i="5" s="1"/>
  <c r="B489" i="5" s="1"/>
  <c r="T107" i="18"/>
  <c r="X106" i="18"/>
  <c r="Y105" i="18"/>
  <c r="Q105" i="18"/>
  <c r="AB104" i="18"/>
  <c r="T104" i="18"/>
  <c r="X103" i="18"/>
  <c r="P103" i="18"/>
  <c r="B103" i="18" s="1"/>
  <c r="B294" i="5" s="1"/>
  <c r="B484" i="5" s="1"/>
  <c r="AB102" i="18"/>
  <c r="T102" i="18"/>
  <c r="AA101" i="18"/>
  <c r="S101" i="18"/>
  <c r="Z100" i="18"/>
  <c r="R100" i="18"/>
  <c r="C100" i="18" s="1"/>
  <c r="X99" i="18"/>
  <c r="P99" i="18"/>
  <c r="B99" i="18" s="1"/>
  <c r="B290" i="5" s="1"/>
  <c r="B480" i="5" s="1"/>
  <c r="Z98" i="18"/>
  <c r="R98" i="18"/>
  <c r="C98" i="18" s="1"/>
  <c r="AC97" i="18"/>
  <c r="V97" i="18"/>
  <c r="Q97" i="18"/>
  <c r="AC96" i="18"/>
  <c r="X96" i="18"/>
  <c r="R96" i="18"/>
  <c r="C96" i="18" s="1"/>
  <c r="AE95" i="18"/>
  <c r="Z95" i="18"/>
  <c r="T95" i="18"/>
  <c r="Z94" i="18"/>
  <c r="U94" i="18"/>
  <c r="P94" i="18"/>
  <c r="B94" i="18" s="1"/>
  <c r="B285" i="5" s="1"/>
  <c r="B475" i="5" s="1"/>
  <c r="AB93" i="18"/>
  <c r="W93" i="18"/>
  <c r="R93" i="18"/>
  <c r="C93" i="18" s="1"/>
  <c r="AB92" i="18"/>
  <c r="W92" i="18"/>
  <c r="R92" i="18"/>
  <c r="C92" i="18" s="1"/>
  <c r="AC91" i="18"/>
  <c r="X91" i="18"/>
  <c r="R91" i="18"/>
  <c r="C91" i="18" s="1"/>
  <c r="AE90" i="18"/>
  <c r="Z90" i="18"/>
  <c r="T90" i="18"/>
  <c r="Z89" i="18"/>
  <c r="U89" i="18"/>
  <c r="P89" i="18"/>
  <c r="B89" i="18" s="1"/>
  <c r="B280" i="5" s="1"/>
  <c r="B470" i="5" s="1"/>
  <c r="AD88" i="18"/>
  <c r="Y88" i="18"/>
  <c r="T88" i="18"/>
  <c r="AA87" i="18"/>
  <c r="V87" i="18"/>
  <c r="P87" i="18"/>
  <c r="B87" i="18" s="1"/>
  <c r="B278" i="5" s="1"/>
  <c r="B468" i="5" s="1"/>
  <c r="AB86" i="18"/>
  <c r="V86" i="18"/>
  <c r="Q86" i="18"/>
  <c r="AD85" i="18"/>
  <c r="X85" i="18"/>
  <c r="S85" i="18"/>
  <c r="AD84" i="18"/>
  <c r="Y84" i="18"/>
  <c r="T84" i="18"/>
  <c r="AA83" i="18"/>
  <c r="V83" i="18"/>
  <c r="P83" i="18"/>
  <c r="B83" i="18" s="1"/>
  <c r="B274" i="5" s="1"/>
  <c r="B464" i="5" s="1"/>
  <c r="AD82" i="18"/>
  <c r="Y82" i="18"/>
  <c r="S82" i="18"/>
  <c r="AA81" i="18"/>
  <c r="U81" i="18"/>
  <c r="P81" i="18"/>
  <c r="B81" i="18" s="1"/>
  <c r="B272" i="5" s="1"/>
  <c r="B462" i="5" s="1"/>
  <c r="AE80" i="18"/>
  <c r="Y80" i="18"/>
  <c r="T80" i="18"/>
  <c r="AB79" i="18"/>
  <c r="W79" i="18"/>
  <c r="R79" i="18"/>
  <c r="C79" i="18" s="1"/>
  <c r="AC78" i="18"/>
  <c r="X78" i="18"/>
  <c r="S78" i="18"/>
  <c r="AB77" i="18"/>
  <c r="W77" i="18"/>
  <c r="Q77" i="18"/>
  <c r="AB76" i="18"/>
  <c r="V76" i="18"/>
  <c r="Q76" i="18"/>
  <c r="AC75" i="18"/>
  <c r="W75" i="18"/>
  <c r="R75" i="18"/>
  <c r="C75" i="18" s="1"/>
  <c r="AC74" i="18"/>
  <c r="W74" i="18"/>
  <c r="R74" i="18"/>
  <c r="C74" i="18" s="1"/>
  <c r="AE73" i="18"/>
  <c r="Y73" i="18"/>
  <c r="T73" i="18"/>
  <c r="AC72" i="18"/>
  <c r="X72" i="18"/>
  <c r="S72" i="18"/>
  <c r="AC71" i="18"/>
  <c r="X71" i="18"/>
  <c r="R71" i="18"/>
  <c r="C71" i="18" s="1"/>
  <c r="AB70" i="18"/>
  <c r="V70" i="18"/>
  <c r="Q70" i="18"/>
  <c r="Z69" i="18"/>
  <c r="U69" i="18"/>
  <c r="P69" i="18"/>
  <c r="B69" i="18" s="1"/>
  <c r="B260" i="5" s="1"/>
  <c r="B450" i="5" s="1"/>
  <c r="AA68" i="18"/>
  <c r="V68" i="18"/>
  <c r="Q68" i="18"/>
  <c r="AA67" i="18"/>
  <c r="V67" i="18"/>
  <c r="Q67" i="18"/>
  <c r="AD162" i="18"/>
  <c r="AD148" i="18"/>
  <c r="Z147" i="18"/>
  <c r="T137" i="18"/>
  <c r="R135" i="18"/>
  <c r="C135" i="18" s="1"/>
  <c r="Z134" i="18"/>
  <c r="W132" i="18"/>
  <c r="AD131" i="18"/>
  <c r="W128" i="18"/>
  <c r="AC127" i="18"/>
  <c r="Z124" i="18"/>
  <c r="V122" i="18"/>
  <c r="AC121" i="18"/>
  <c r="X120" i="18"/>
  <c r="S116" i="18"/>
  <c r="Q115" i="18"/>
  <c r="T113" i="18"/>
  <c r="R112" i="18"/>
  <c r="C112" i="18" s="1"/>
  <c r="Z111" i="18"/>
  <c r="S110" i="18"/>
  <c r="X109" i="18"/>
  <c r="AB108" i="18"/>
  <c r="P107" i="18"/>
  <c r="B107" i="18" s="1"/>
  <c r="B298" i="5" s="1"/>
  <c r="B488" i="5" s="1"/>
  <c r="T106" i="18"/>
  <c r="AE105" i="18"/>
  <c r="W105" i="18"/>
  <c r="Z104" i="18"/>
  <c r="R104" i="18"/>
  <c r="C104" i="18" s="1"/>
  <c r="AD103" i="18"/>
  <c r="V103" i="18"/>
  <c r="Z102" i="18"/>
  <c r="R102" i="18"/>
  <c r="C102" i="18" s="1"/>
  <c r="Y101" i="18"/>
  <c r="Q101" i="18"/>
  <c r="X100" i="18"/>
  <c r="P100" i="18"/>
  <c r="B100" i="18" s="1"/>
  <c r="B291" i="5" s="1"/>
  <c r="B481" i="5" s="1"/>
  <c r="AD99" i="18"/>
  <c r="V99" i="18"/>
  <c r="X98" i="18"/>
  <c r="P98" i="18"/>
  <c r="B98" i="18" s="1"/>
  <c r="B289" i="5" s="1"/>
  <c r="B479" i="5" s="1"/>
  <c r="AA97" i="18"/>
  <c r="U97" i="18"/>
  <c r="AB96" i="18"/>
  <c r="V96" i="18"/>
  <c r="Q96" i="18"/>
  <c r="AD95" i="18"/>
  <c r="X95" i="18"/>
  <c r="S95" i="18"/>
  <c r="AD94" i="18"/>
  <c r="Y94" i="18"/>
  <c r="T94" i="18"/>
  <c r="AA93" i="18"/>
  <c r="V93" i="18"/>
  <c r="P93" i="18"/>
  <c r="B93" i="18" s="1"/>
  <c r="B284" i="5" s="1"/>
  <c r="B474" i="5" s="1"/>
  <c r="AA92" i="18"/>
  <c r="V92" i="18"/>
  <c r="P92" i="18"/>
  <c r="B92" i="18" s="1"/>
  <c r="B283" i="5" s="1"/>
  <c r="B473" i="5" s="1"/>
  <c r="AB91" i="18"/>
  <c r="V91" i="18"/>
  <c r="Q91" i="18"/>
  <c r="AD90" i="18"/>
  <c r="X90" i="18"/>
  <c r="S90" i="18"/>
  <c r="AD89" i="18"/>
  <c r="Y89" i="18"/>
  <c r="T89" i="18"/>
  <c r="AC88" i="18"/>
  <c r="X88" i="18"/>
  <c r="R88" i="18"/>
  <c r="C88" i="18" s="1"/>
  <c r="AE87" i="18"/>
  <c r="Z87" i="18"/>
  <c r="T87" i="18"/>
  <c r="Z86" i="18"/>
  <c r="U86" i="18"/>
  <c r="P86" i="18"/>
  <c r="B86" i="18" s="1"/>
  <c r="B277" i="5" s="1"/>
  <c r="B467" i="5" s="1"/>
  <c r="AB85" i="18"/>
  <c r="W85" i="18"/>
  <c r="R85" i="18"/>
  <c r="C85" i="18" s="1"/>
  <c r="AC84" i="18"/>
  <c r="X84" i="18"/>
  <c r="R84" i="18"/>
  <c r="C84" i="18" s="1"/>
  <c r="AE83" i="18"/>
  <c r="Z83" i="18"/>
  <c r="T83" i="18"/>
  <c r="AC82" i="18"/>
  <c r="W82" i="18"/>
  <c r="R82" i="18"/>
  <c r="C82" i="18" s="1"/>
  <c r="AE81" i="18"/>
  <c r="Y81" i="18"/>
  <c r="T81" i="18"/>
  <c r="AC80" i="18"/>
  <c r="X80" i="18"/>
  <c r="S80" i="18"/>
  <c r="AA79" i="18"/>
  <c r="V79" i="18"/>
  <c r="P79" i="18"/>
  <c r="B79" i="18" s="1"/>
  <c r="B270" i="5" s="1"/>
  <c r="B460" i="5" s="1"/>
  <c r="AB78" i="18"/>
  <c r="W78" i="18"/>
  <c r="Q78" i="18"/>
  <c r="AA77" i="18"/>
  <c r="U77" i="18"/>
  <c r="P77" i="18"/>
  <c r="B77" i="18" s="1"/>
  <c r="B268" i="5" s="1"/>
  <c r="B458" i="5" s="1"/>
  <c r="Z76" i="18"/>
  <c r="U76" i="18"/>
  <c r="P76" i="18"/>
  <c r="B76" i="18" s="1"/>
  <c r="B267" i="5" s="1"/>
  <c r="B457" i="5" s="1"/>
  <c r="AA75" i="18"/>
  <c r="V75" i="18"/>
  <c r="Q75" i="18"/>
  <c r="AA74" i="18"/>
  <c r="V74" i="18"/>
  <c r="Q74" i="18"/>
  <c r="AC73" i="18"/>
  <c r="X73" i="18"/>
  <c r="S73" i="18"/>
  <c r="AB72" i="18"/>
  <c r="W72" i="18"/>
  <c r="Q72" i="18"/>
  <c r="AB71" i="18"/>
  <c r="V71" i="18"/>
  <c r="Q71" i="18"/>
  <c r="Z70" i="18"/>
  <c r="U70" i="18"/>
  <c r="P70" i="18"/>
  <c r="AD69" i="18"/>
  <c r="Y69" i="18"/>
  <c r="T69" i="18"/>
  <c r="AE68" i="18"/>
  <c r="Z68" i="18"/>
  <c r="U68" i="18"/>
  <c r="AE67" i="18"/>
  <c r="Z67" i="18"/>
  <c r="U67" i="18"/>
  <c r="AA66" i="18"/>
  <c r="U66" i="18"/>
  <c r="P66" i="18"/>
  <c r="B66" i="18" s="1"/>
  <c r="B257" i="5" s="1"/>
  <c r="B447" i="5" s="1"/>
  <c r="AC65" i="18"/>
  <c r="Y65" i="18"/>
  <c r="U65" i="18"/>
  <c r="Q65" i="18"/>
  <c r="AE64" i="18"/>
  <c r="AA64" i="18"/>
  <c r="W64" i="18"/>
  <c r="S64" i="18"/>
  <c r="AB63" i="18"/>
  <c r="W63" i="18"/>
  <c r="S63" i="18"/>
  <c r="AB62" i="18"/>
  <c r="X62" i="18"/>
  <c r="T62" i="18"/>
  <c r="P62" i="18"/>
  <c r="B62" i="18" s="1"/>
  <c r="B253" i="5" s="1"/>
  <c r="B443" i="5" s="1"/>
  <c r="AC61" i="18"/>
  <c r="Y61" i="18"/>
  <c r="U61" i="18"/>
  <c r="Q61" i="18"/>
  <c r="AE60" i="18"/>
  <c r="AA60" i="18"/>
  <c r="W60" i="18"/>
  <c r="S60" i="18"/>
  <c r="AC59" i="18"/>
  <c r="Y59" i="18"/>
  <c r="U59" i="18"/>
  <c r="Q59" i="18"/>
  <c r="AE58" i="18"/>
  <c r="AA58" i="18"/>
  <c r="W58" i="18"/>
  <c r="S58" i="18"/>
  <c r="AC57" i="18"/>
  <c r="Y57" i="18"/>
  <c r="U57" i="18"/>
  <c r="Q57" i="18"/>
  <c r="AE56" i="18"/>
  <c r="AA56" i="18"/>
  <c r="W56" i="18"/>
  <c r="S56" i="18"/>
  <c r="AC55" i="18"/>
  <c r="Y55" i="18"/>
  <c r="U55" i="18"/>
  <c r="Q55" i="18"/>
  <c r="AE54" i="18"/>
  <c r="AA54" i="18"/>
  <c r="W54" i="18"/>
  <c r="S54" i="18"/>
  <c r="AE53" i="18"/>
  <c r="AA53" i="18"/>
  <c r="W53" i="18"/>
  <c r="S53" i="18"/>
  <c r="AC52" i="18"/>
  <c r="Y52" i="18"/>
  <c r="U52" i="18"/>
  <c r="Q52" i="18"/>
  <c r="AC51" i="18"/>
  <c r="Y51" i="18"/>
  <c r="U51" i="18"/>
  <c r="Q51" i="18"/>
  <c r="AE50" i="18"/>
  <c r="AA50" i="18"/>
  <c r="W50" i="18"/>
  <c r="S50" i="18"/>
  <c r="AC49" i="18"/>
  <c r="Y49" i="18"/>
  <c r="U49" i="18"/>
  <c r="Q49" i="18"/>
  <c r="AC48" i="18"/>
  <c r="Y48" i="18"/>
  <c r="U48" i="18"/>
  <c r="Q48" i="18"/>
  <c r="AC47" i="18"/>
  <c r="Y47" i="18"/>
  <c r="U47" i="18"/>
  <c r="Q47" i="18"/>
  <c r="AE46" i="18"/>
  <c r="AA46" i="18"/>
  <c r="W46" i="18"/>
  <c r="S46" i="18"/>
  <c r="AC45" i="18"/>
  <c r="Y45" i="18"/>
  <c r="U45" i="18"/>
  <c r="Q45" i="18"/>
  <c r="AE44" i="18"/>
  <c r="AA44" i="18"/>
  <c r="W44" i="18"/>
  <c r="S44" i="18"/>
  <c r="AE43" i="18"/>
  <c r="AA43" i="18"/>
  <c r="W43" i="18"/>
  <c r="S43" i="18"/>
  <c r="AE42" i="18"/>
  <c r="AA42" i="18"/>
  <c r="W42" i="18"/>
  <c r="S42" i="18"/>
  <c r="AB41" i="18"/>
  <c r="X41" i="18"/>
  <c r="T41" i="18"/>
  <c r="P41" i="18"/>
  <c r="B41" i="18" s="1"/>
  <c r="B232" i="5" s="1"/>
  <c r="B422" i="5" s="1"/>
  <c r="AD40" i="18"/>
  <c r="Z40" i="18"/>
  <c r="V40" i="18"/>
  <c r="R40" i="18"/>
  <c r="C40" i="18" s="1"/>
  <c r="AD39" i="18"/>
  <c r="Z39" i="18"/>
  <c r="V39" i="18"/>
  <c r="R39" i="18"/>
  <c r="C39" i="18" s="1"/>
  <c r="AB38" i="18"/>
  <c r="X38" i="18"/>
  <c r="T38" i="18"/>
  <c r="P38" i="18"/>
  <c r="B38" i="18" s="1"/>
  <c r="B229" i="5" s="1"/>
  <c r="B419" i="5" s="1"/>
  <c r="AD37" i="18"/>
  <c r="Z37" i="18"/>
  <c r="V37" i="18"/>
  <c r="R37" i="18"/>
  <c r="C37" i="18" s="1"/>
  <c r="AB36" i="18"/>
  <c r="X36" i="18"/>
  <c r="T36" i="18"/>
  <c r="P36" i="18"/>
  <c r="B36" i="18" s="1"/>
  <c r="B227" i="5" s="1"/>
  <c r="B417" i="5" s="1"/>
  <c r="AB35" i="18"/>
  <c r="X35" i="18"/>
  <c r="T35" i="18"/>
  <c r="P35" i="18"/>
  <c r="B35" i="18" s="1"/>
  <c r="B226" i="5" s="1"/>
  <c r="B416" i="5" s="1"/>
  <c r="AE34" i="18"/>
  <c r="AA34" i="18"/>
  <c r="W34" i="18"/>
  <c r="S34" i="18"/>
  <c r="AB33" i="18"/>
  <c r="X33" i="18"/>
  <c r="T33" i="18"/>
  <c r="P33" i="18"/>
  <c r="B33" i="18" s="1"/>
  <c r="B224" i="5" s="1"/>
  <c r="B414" i="5" s="1"/>
  <c r="AC32" i="18"/>
  <c r="Y32" i="18"/>
  <c r="U32" i="18"/>
  <c r="Q32" i="18"/>
  <c r="AC31" i="18"/>
  <c r="Y31" i="18"/>
  <c r="U31" i="18"/>
  <c r="Q31" i="18"/>
  <c r="AE30" i="18"/>
  <c r="AC150" i="18"/>
  <c r="AE136" i="18"/>
  <c r="R134" i="18"/>
  <c r="C134" i="18" s="1"/>
  <c r="AB133" i="18"/>
  <c r="V131" i="18"/>
  <c r="AE130" i="18"/>
  <c r="U127" i="18"/>
  <c r="AE126" i="18"/>
  <c r="U124" i="18"/>
  <c r="AA123" i="18"/>
  <c r="Q122" i="18"/>
  <c r="W121" i="18"/>
  <c r="S120" i="18"/>
  <c r="AB119" i="18"/>
  <c r="AA118" i="18"/>
  <c r="AE117" i="18"/>
  <c r="AE114" i="18"/>
  <c r="P113" i="18"/>
  <c r="B113" i="18" s="1"/>
  <c r="B304" i="5" s="1"/>
  <c r="B494" i="5" s="1"/>
  <c r="AD112" i="18"/>
  <c r="V111" i="18"/>
  <c r="AE110" i="18"/>
  <c r="T109" i="18"/>
  <c r="X108" i="18"/>
  <c r="AB107" i="18"/>
  <c r="P106" i="18"/>
  <c r="B106" i="18" s="1"/>
  <c r="B297" i="5" s="1"/>
  <c r="B487" i="5" s="1"/>
  <c r="AC105" i="18"/>
  <c r="U105" i="18"/>
  <c r="X104" i="18"/>
  <c r="P104" i="18"/>
  <c r="B104" i="18" s="1"/>
  <c r="B295" i="5" s="1"/>
  <c r="B485" i="5" s="1"/>
  <c r="AB103" i="18"/>
  <c r="T103" i="18"/>
  <c r="X102" i="18"/>
  <c r="P102" i="18"/>
  <c r="B102" i="18" s="1"/>
  <c r="B293" i="5" s="1"/>
  <c r="B483" i="5" s="1"/>
  <c r="AE101" i="18"/>
  <c r="W101" i="18"/>
  <c r="AD100" i="18"/>
  <c r="V100" i="18"/>
  <c r="AB99" i="18"/>
  <c r="T99" i="18"/>
  <c r="AD98" i="18"/>
  <c r="V98" i="18"/>
  <c r="Y97" i="18"/>
  <c r="S97" i="18"/>
  <c r="Z96" i="18"/>
  <c r="U96" i="18"/>
  <c r="P96" i="18"/>
  <c r="B96" i="18" s="1"/>
  <c r="B287" i="5" s="1"/>
  <c r="B477" i="5" s="1"/>
  <c r="AB95" i="18"/>
  <c r="W95" i="18"/>
  <c r="R95" i="18"/>
  <c r="C95" i="18" s="1"/>
  <c r="AC94" i="18"/>
  <c r="X94" i="18"/>
  <c r="R94" i="18"/>
  <c r="C94" i="18" s="1"/>
  <c r="AE93" i="18"/>
  <c r="Z93" i="18"/>
  <c r="T93" i="18"/>
  <c r="AE92" i="18"/>
  <c r="Z92" i="18"/>
  <c r="T92" i="18"/>
  <c r="Z91" i="18"/>
  <c r="U91" i="18"/>
  <c r="P91" i="18"/>
  <c r="B91" i="18" s="1"/>
  <c r="B282" i="5" s="1"/>
  <c r="B472" i="5" s="1"/>
  <c r="AB90" i="18"/>
  <c r="W90" i="18"/>
  <c r="R90" i="18"/>
  <c r="C90" i="18" s="1"/>
  <c r="AC89" i="18"/>
  <c r="X89" i="18"/>
  <c r="R89" i="18"/>
  <c r="C89" i="18" s="1"/>
  <c r="AB88" i="18"/>
  <c r="V88" i="18"/>
  <c r="Q88" i="18"/>
  <c r="AD87" i="18"/>
  <c r="X87" i="18"/>
  <c r="S87" i="18"/>
  <c r="AD86" i="18"/>
  <c r="Y86" i="18"/>
  <c r="T86" i="18"/>
  <c r="AA85" i="18"/>
  <c r="V85" i="18"/>
  <c r="P85" i="18"/>
  <c r="B85" i="18" s="1"/>
  <c r="B276" i="5" s="1"/>
  <c r="B466" i="5" s="1"/>
  <c r="AB84" i="18"/>
  <c r="V84" i="18"/>
  <c r="Q84" i="18"/>
  <c r="AD83" i="18"/>
  <c r="X83" i="18"/>
  <c r="S83" i="18"/>
  <c r="AA82" i="18"/>
  <c r="V82" i="18"/>
  <c r="Q82" i="18"/>
  <c r="AC81" i="18"/>
  <c r="X81" i="18"/>
  <c r="S81" i="18"/>
  <c r="AB80" i="18"/>
  <c r="W80" i="18"/>
  <c r="Q80" i="18"/>
  <c r="AE79" i="18"/>
  <c r="Z79" i="18"/>
  <c r="T79" i="18"/>
  <c r="AA78" i="18"/>
  <c r="U78" i="18"/>
  <c r="P78" i="18"/>
  <c r="B78" i="18" s="1"/>
  <c r="B269" i="5" s="1"/>
  <c r="B459" i="5" s="1"/>
  <c r="AE77" i="18"/>
  <c r="Y77" i="18"/>
  <c r="T77" i="18"/>
  <c r="AD76" i="18"/>
  <c r="Y76" i="18"/>
  <c r="T76" i="18"/>
  <c r="AE75" i="18"/>
  <c r="Z75" i="18"/>
  <c r="U75" i="18"/>
  <c r="AE74" i="18"/>
  <c r="Z74" i="18"/>
  <c r="U74" i="18"/>
  <c r="AB73" i="18"/>
  <c r="W73" i="18"/>
  <c r="Q73" i="18"/>
  <c r="AA72" i="18"/>
  <c r="U72" i="18"/>
  <c r="P72" i="18"/>
  <c r="B72" i="18" s="1"/>
  <c r="B263" i="5" s="1"/>
  <c r="B453" i="5" s="1"/>
  <c r="Z71" i="18"/>
  <c r="U71" i="18"/>
  <c r="P71" i="18"/>
  <c r="B71" i="18" s="1"/>
  <c r="B262" i="5" s="1"/>
  <c r="B452" i="5" s="1"/>
  <c r="AD70" i="18"/>
  <c r="Y70" i="18"/>
  <c r="T70" i="18"/>
  <c r="AC69" i="18"/>
  <c r="X69" i="18"/>
  <c r="R69" i="18"/>
  <c r="C69" i="18" s="1"/>
  <c r="AD68" i="18"/>
  <c r="Y68" i="18"/>
  <c r="S68" i="18"/>
  <c r="S67" i="18"/>
  <c r="AE66" i="18"/>
  <c r="T66" i="18"/>
  <c r="Z65" i="18"/>
  <c r="R65" i="18"/>
  <c r="C65" i="18" s="1"/>
  <c r="Z64" i="18"/>
  <c r="R64" i="18"/>
  <c r="C64" i="18" s="1"/>
  <c r="Z63" i="18"/>
  <c r="R63" i="18"/>
  <c r="C63" i="18" s="1"/>
  <c r="AC62" i="18"/>
  <c r="W62" i="18"/>
  <c r="R62" i="18"/>
  <c r="C62" i="18" s="1"/>
  <c r="AD61" i="18"/>
  <c r="X61" i="18"/>
  <c r="S61" i="18"/>
  <c r="AD60" i="18"/>
  <c r="Y60" i="18"/>
  <c r="T60" i="18"/>
  <c r="AA59" i="18"/>
  <c r="V59" i="18"/>
  <c r="P59" i="18"/>
  <c r="B59" i="18" s="1"/>
  <c r="B250" i="5" s="1"/>
  <c r="B440" i="5" s="1"/>
  <c r="AC58" i="18"/>
  <c r="X58" i="18"/>
  <c r="R58" i="18"/>
  <c r="C58" i="18" s="1"/>
  <c r="AE57" i="18"/>
  <c r="Z57" i="18"/>
  <c r="T57" i="18"/>
  <c r="AC56" i="18"/>
  <c r="X56" i="18"/>
  <c r="R56" i="18"/>
  <c r="C56" i="18" s="1"/>
  <c r="AE55" i="18"/>
  <c r="Z55" i="18"/>
  <c r="T55" i="18"/>
  <c r="AB66" i="18"/>
  <c r="Q66" i="18"/>
  <c r="X65" i="18"/>
  <c r="P65" i="18"/>
  <c r="B65" i="18" s="1"/>
  <c r="B256" i="5" s="1"/>
  <c r="B446" i="5" s="1"/>
  <c r="X64" i="18"/>
  <c r="P64" i="18"/>
  <c r="B64" i="18" s="1"/>
  <c r="B255" i="5" s="1"/>
  <c r="B445" i="5" s="1"/>
  <c r="X63" i="18"/>
  <c r="P63" i="18"/>
  <c r="B63" i="18" s="1"/>
  <c r="B254" i="5" s="1"/>
  <c r="B444" i="5" s="1"/>
  <c r="AA62" i="18"/>
  <c r="V62" i="18"/>
  <c r="Q62" i="18"/>
  <c r="AB61" i="18"/>
  <c r="W61" i="18"/>
  <c r="R61" i="18"/>
  <c r="C61" i="18" s="1"/>
  <c r="AC60" i="18"/>
  <c r="X60" i="18"/>
  <c r="R60" i="18"/>
  <c r="C60" i="18" s="1"/>
  <c r="AE59" i="18"/>
  <c r="Z59" i="18"/>
  <c r="T59" i="18"/>
  <c r="AB58" i="18"/>
  <c r="V58" i="18"/>
  <c r="Q58" i="18"/>
  <c r="AD57" i="18"/>
  <c r="X57" i="18"/>
  <c r="S57" i="18"/>
  <c r="AB56" i="18"/>
  <c r="V56" i="18"/>
  <c r="Q56" i="18"/>
  <c r="AD55" i="18"/>
  <c r="X55" i="18"/>
  <c r="S55" i="18"/>
  <c r="AD54" i="18"/>
  <c r="Y54" i="18"/>
  <c r="T54" i="18"/>
  <c r="AD67" i="18"/>
  <c r="Y66" i="18"/>
  <c r="AD65" i="18"/>
  <c r="V65" i="18"/>
  <c r="AD64" i="18"/>
  <c r="V64" i="18"/>
  <c r="AE63" i="18"/>
  <c r="V63" i="18"/>
  <c r="AE62" i="18"/>
  <c r="Z62" i="18"/>
  <c r="U62" i="18"/>
  <c r="AA61" i="18"/>
  <c r="V61" i="18"/>
  <c r="P61" i="18"/>
  <c r="B61" i="18" s="1"/>
  <c r="B252" i="5" s="1"/>
  <c r="B442" i="5" s="1"/>
  <c r="AB60" i="18"/>
  <c r="V60" i="18"/>
  <c r="Q60" i="18"/>
  <c r="AD59" i="18"/>
  <c r="X59" i="18"/>
  <c r="S59" i="18"/>
  <c r="Z58" i="18"/>
  <c r="U58" i="18"/>
  <c r="P58" i="18"/>
  <c r="B58" i="18" s="1"/>
  <c r="B249" i="5" s="1"/>
  <c r="B439" i="5" s="1"/>
  <c r="AB57" i="18"/>
  <c r="W57" i="18"/>
  <c r="R57" i="18"/>
  <c r="C57" i="18" s="1"/>
  <c r="Z56" i="18"/>
  <c r="U56" i="18"/>
  <c r="P56" i="18"/>
  <c r="B56" i="18" s="1"/>
  <c r="B247" i="5" s="1"/>
  <c r="B437" i="5" s="1"/>
  <c r="AB55" i="18"/>
  <c r="W55" i="18"/>
  <c r="R55" i="18"/>
  <c r="C55" i="18" s="1"/>
  <c r="AC54" i="18"/>
  <c r="X54" i="18"/>
  <c r="R54" i="18"/>
  <c r="C54" i="18" s="1"/>
  <c r="AB53" i="18"/>
  <c r="V53" i="18"/>
  <c r="Q53" i="18"/>
  <c r="AD52" i="18"/>
  <c r="X52" i="18"/>
  <c r="S52" i="18"/>
  <c r="AB51" i="18"/>
  <c r="W51" i="18"/>
  <c r="R51" i="18"/>
  <c r="C51" i="18" s="1"/>
  <c r="AC50" i="18"/>
  <c r="X50" i="18"/>
  <c r="R50" i="18"/>
  <c r="C50" i="18" s="1"/>
  <c r="AE49" i="18"/>
  <c r="Z49" i="18"/>
  <c r="T49" i="18"/>
  <c r="AE48" i="18"/>
  <c r="Z48" i="18"/>
  <c r="T48" i="18"/>
  <c r="AE47" i="18"/>
  <c r="Z47" i="18"/>
  <c r="T47" i="18"/>
  <c r="Z46" i="18"/>
  <c r="U46" i="18"/>
  <c r="P46" i="18"/>
  <c r="B46" i="18" s="1"/>
  <c r="B237" i="5" s="1"/>
  <c r="B427" i="5" s="1"/>
  <c r="AB45" i="18"/>
  <c r="W45" i="18"/>
  <c r="R45" i="18"/>
  <c r="C45" i="18" s="1"/>
  <c r="AC44" i="18"/>
  <c r="X44" i="18"/>
  <c r="R44" i="18"/>
  <c r="C44" i="18" s="1"/>
  <c r="AB43" i="18"/>
  <c r="V43" i="18"/>
  <c r="Q43" i="18"/>
  <c r="Z42" i="18"/>
  <c r="U42" i="18"/>
  <c r="P42" i="18"/>
  <c r="B42" i="18" s="1"/>
  <c r="B233" i="5" s="1"/>
  <c r="B423" i="5" s="1"/>
  <c r="AA41" i="18"/>
  <c r="V41" i="18"/>
  <c r="Q41" i="18"/>
  <c r="AB40" i="18"/>
  <c r="W40" i="18"/>
  <c r="Q40" i="18"/>
  <c r="AA39" i="18"/>
  <c r="U39" i="18"/>
  <c r="P39" i="18"/>
  <c r="B39" i="18" s="1"/>
  <c r="B230" i="5" s="1"/>
  <c r="B420" i="5" s="1"/>
  <c r="AC38" i="18"/>
  <c r="W38" i="18"/>
  <c r="R38" i="18"/>
  <c r="C38" i="18" s="1"/>
  <c r="AC37" i="18"/>
  <c r="X37" i="18"/>
  <c r="S37" i="18"/>
  <c r="AE36" i="18"/>
  <c r="Z36" i="18"/>
  <c r="U36" i="18"/>
  <c r="AE35" i="18"/>
  <c r="Z35" i="18"/>
  <c r="U35" i="18"/>
  <c r="AC34" i="18"/>
  <c r="X34" i="18"/>
  <c r="R34" i="18"/>
  <c r="C34" i="18" s="1"/>
  <c r="AD33" i="18"/>
  <c r="Y33" i="18"/>
  <c r="S33" i="18"/>
  <c r="AD32" i="18"/>
  <c r="X32" i="18"/>
  <c r="S32" i="18"/>
  <c r="AD31" i="18"/>
  <c r="X31" i="18"/>
  <c r="S31" i="18"/>
  <c r="AD30" i="18"/>
  <c r="Z30" i="18"/>
  <c r="V30" i="18"/>
  <c r="R30" i="18"/>
  <c r="C30" i="18" s="1"/>
  <c r="AB29" i="18"/>
  <c r="X29" i="18"/>
  <c r="T29" i="18"/>
  <c r="P29" i="18"/>
  <c r="B29" i="18" s="1"/>
  <c r="B220" i="5" s="1"/>
  <c r="B410" i="5" s="1"/>
  <c r="AD28" i="18"/>
  <c r="Z28" i="18"/>
  <c r="V28" i="18"/>
  <c r="R28" i="18"/>
  <c r="C28" i="18" s="1"/>
  <c r="AB27" i="18"/>
  <c r="X27" i="18"/>
  <c r="T27" i="18"/>
  <c r="P27" i="18"/>
  <c r="B27" i="18" s="1"/>
  <c r="B218" i="5" s="1"/>
  <c r="B408" i="5" s="1"/>
  <c r="AD26" i="18"/>
  <c r="Z26" i="18"/>
  <c r="V26" i="18"/>
  <c r="R26" i="18"/>
  <c r="C26" i="18" s="1"/>
  <c r="AE25" i="18"/>
  <c r="AA25" i="18"/>
  <c r="W25" i="18"/>
  <c r="S25" i="18"/>
  <c r="Y67" i="18"/>
  <c r="W66" i="18"/>
  <c r="AB65" i="18"/>
  <c r="T65" i="18"/>
  <c r="AB64" i="18"/>
  <c r="T64" i="18"/>
  <c r="AC63" i="18"/>
  <c r="T63" i="18"/>
  <c r="AD62" i="18"/>
  <c r="Y62" i="18"/>
  <c r="S62" i="18"/>
  <c r="AE61" i="18"/>
  <c r="Z61" i="18"/>
  <c r="T61" i="18"/>
  <c r="Z60" i="18"/>
  <c r="U60" i="18"/>
  <c r="P60" i="18"/>
  <c r="B60" i="18" s="1"/>
  <c r="B251" i="5" s="1"/>
  <c r="B441" i="5" s="1"/>
  <c r="AB59" i="18"/>
  <c r="W59" i="18"/>
  <c r="R59" i="18"/>
  <c r="C59" i="18" s="1"/>
  <c r="AD58" i="18"/>
  <c r="Y58" i="18"/>
  <c r="T58" i="18"/>
  <c r="AA57" i="18"/>
  <c r="V57" i="18"/>
  <c r="P57" i="18"/>
  <c r="B57" i="18" s="1"/>
  <c r="B248" i="5" s="1"/>
  <c r="B438" i="5" s="1"/>
  <c r="AD56" i="18"/>
  <c r="Y56" i="18"/>
  <c r="T56" i="18"/>
  <c r="AA55" i="18"/>
  <c r="V55" i="18"/>
  <c r="P55" i="18"/>
  <c r="B55" i="18" s="1"/>
  <c r="B246" i="5" s="1"/>
  <c r="B436" i="5" s="1"/>
  <c r="AB54" i="18"/>
  <c r="V54" i="18"/>
  <c r="Q54" i="18"/>
  <c r="Z53" i="18"/>
  <c r="U53" i="18"/>
  <c r="P53" i="18"/>
  <c r="B53" i="18" s="1"/>
  <c r="B244" i="5" s="1"/>
  <c r="B434" i="5" s="1"/>
  <c r="AB52" i="18"/>
  <c r="W52" i="18"/>
  <c r="R52" i="18"/>
  <c r="C52" i="18" s="1"/>
  <c r="AA51" i="18"/>
  <c r="V51" i="18"/>
  <c r="P51" i="18"/>
  <c r="B51" i="18" s="1"/>
  <c r="B242" i="5" s="1"/>
  <c r="B432" i="5" s="1"/>
  <c r="AB50" i="18"/>
  <c r="V50" i="18"/>
  <c r="Q50" i="18"/>
  <c r="AD49" i="18"/>
  <c r="X49" i="18"/>
  <c r="S49" i="18"/>
  <c r="AD48" i="18"/>
  <c r="X48" i="18"/>
  <c r="S48" i="18"/>
  <c r="AD47" i="18"/>
  <c r="X47" i="18"/>
  <c r="S47" i="18"/>
  <c r="AD46" i="18"/>
  <c r="Y46" i="18"/>
  <c r="T46" i="18"/>
  <c r="AA45" i="18"/>
  <c r="V45" i="18"/>
  <c r="P45" i="18"/>
  <c r="B45" i="18" s="1"/>
  <c r="B236" i="5" s="1"/>
  <c r="B426" i="5" s="1"/>
  <c r="AB44" i="18"/>
  <c r="V44" i="18"/>
  <c r="Q44" i="18"/>
  <c r="Z43" i="18"/>
  <c r="U43" i="18"/>
  <c r="P43" i="18"/>
  <c r="AD42" i="18"/>
  <c r="Y42" i="18"/>
  <c r="T42" i="18"/>
  <c r="AE41" i="18"/>
  <c r="Z41" i="18"/>
  <c r="U41" i="18"/>
  <c r="AA40" i="18"/>
  <c r="U40" i="18"/>
  <c r="P40" i="18"/>
  <c r="B40" i="18" s="1"/>
  <c r="B231" i="5" s="1"/>
  <c r="B421" i="5" s="1"/>
  <c r="AE39" i="18"/>
  <c r="Y39" i="18"/>
  <c r="T39" i="18"/>
  <c r="AA38" i="18"/>
  <c r="V38" i="18"/>
  <c r="Q38" i="18"/>
  <c r="AB37" i="18"/>
  <c r="W37" i="18"/>
  <c r="Q37" i="18"/>
  <c r="AD36" i="18"/>
  <c r="Y36" i="18"/>
  <c r="S36" i="18"/>
  <c r="AD35" i="18"/>
  <c r="Y35" i="18"/>
  <c r="S35" i="18"/>
  <c r="AB34" i="18"/>
  <c r="V34" i="18"/>
  <c r="Q34" i="18"/>
  <c r="AC33" i="18"/>
  <c r="W33" i="18"/>
  <c r="R33" i="18"/>
  <c r="C33" i="18" s="1"/>
  <c r="AB32" i="18"/>
  <c r="W32" i="18"/>
  <c r="R32" i="18"/>
  <c r="C32" i="18" s="1"/>
  <c r="AB31" i="18"/>
  <c r="W31" i="18"/>
  <c r="R31" i="18"/>
  <c r="C31" i="18" s="1"/>
  <c r="AC30" i="18"/>
  <c r="Y30" i="18"/>
  <c r="U30" i="18"/>
  <c r="Q30" i="18"/>
  <c r="AE29" i="18"/>
  <c r="AA29" i="18"/>
  <c r="W29" i="18"/>
  <c r="S29" i="18"/>
  <c r="AC28" i="18"/>
  <c r="Y28" i="18"/>
  <c r="U28" i="18"/>
  <c r="Q28" i="18"/>
  <c r="AE27" i="18"/>
  <c r="AA27" i="18"/>
  <c r="W27" i="18"/>
  <c r="S27" i="18"/>
  <c r="AC26" i="18"/>
  <c r="Y26" i="18"/>
  <c r="U26" i="18"/>
  <c r="Q26" i="18"/>
  <c r="AD25" i="18"/>
  <c r="Z25" i="18"/>
  <c r="V25" i="18"/>
  <c r="R25" i="18"/>
  <c r="C25" i="18" s="1"/>
  <c r="AC24" i="18"/>
  <c r="Y24" i="18"/>
  <c r="U24" i="18"/>
  <c r="Q9" i="18"/>
  <c r="U9" i="18"/>
  <c r="Y9" i="18"/>
  <c r="AD9" i="18"/>
  <c r="Q10" i="18"/>
  <c r="U10" i="18"/>
  <c r="Y10" i="18"/>
  <c r="AC10" i="18"/>
  <c r="S11" i="18"/>
  <c r="W11" i="18"/>
  <c r="AA11" i="18"/>
  <c r="AE11" i="18"/>
  <c r="S12" i="18"/>
  <c r="W12" i="18"/>
  <c r="AA12" i="18"/>
  <c r="AE12" i="18"/>
  <c r="R13" i="18"/>
  <c r="C13" i="18" s="1"/>
  <c r="V13" i="18"/>
  <c r="Z13" i="18"/>
  <c r="AD13" i="18"/>
  <c r="S14" i="18"/>
  <c r="W14" i="18"/>
  <c r="AA14" i="18"/>
  <c r="AE14" i="18"/>
  <c r="S15" i="18"/>
  <c r="W15" i="18"/>
  <c r="AA15" i="18"/>
  <c r="AE15" i="18"/>
  <c r="R16" i="18"/>
  <c r="C16" i="18" s="1"/>
  <c r="V16" i="18"/>
  <c r="Z16" i="18"/>
  <c r="AD16" i="18"/>
  <c r="R17" i="18"/>
  <c r="C17" i="18" s="1"/>
  <c r="V17" i="18"/>
  <c r="Z17" i="18"/>
  <c r="AD17" i="18"/>
  <c r="Q18" i="18"/>
  <c r="U18" i="18"/>
  <c r="Y18" i="18"/>
  <c r="AC18" i="18"/>
  <c r="P19" i="18"/>
  <c r="B19" i="18" s="1"/>
  <c r="B210" i="5" s="1"/>
  <c r="B400" i="5" s="1"/>
  <c r="T19" i="18"/>
  <c r="X19" i="18"/>
  <c r="AB19" i="18"/>
  <c r="P20" i="18"/>
  <c r="B20" i="18" s="1"/>
  <c r="B211" i="5" s="1"/>
  <c r="B401" i="5" s="1"/>
  <c r="T20" i="18"/>
  <c r="X20" i="18"/>
  <c r="AB20" i="18"/>
  <c r="P21" i="18"/>
  <c r="B21" i="18" s="1"/>
  <c r="B212" i="5" s="1"/>
  <c r="B402" i="5" s="1"/>
  <c r="T21" i="18"/>
  <c r="X21" i="18"/>
  <c r="AB21" i="18"/>
  <c r="R22" i="18"/>
  <c r="C22" i="18" s="1"/>
  <c r="V22" i="18"/>
  <c r="Z22" i="18"/>
  <c r="AD22" i="18"/>
  <c r="S23" i="18"/>
  <c r="W23" i="18"/>
  <c r="AA23" i="18"/>
  <c r="AE23" i="18"/>
  <c r="Q24" i="18"/>
  <c r="V24" i="18"/>
  <c r="AA24" i="18"/>
  <c r="DA24" i="18"/>
  <c r="CJ24" i="18"/>
  <c r="P25" i="18"/>
  <c r="B25" i="18" s="1"/>
  <c r="B216" i="5" s="1"/>
  <c r="X25" i="18"/>
  <c r="DA25" i="18"/>
  <c r="S26" i="18"/>
  <c r="AA26" i="18"/>
  <c r="R27" i="18"/>
  <c r="C27" i="18" s="1"/>
  <c r="Z27" i="18"/>
  <c r="S28" i="18"/>
  <c r="AA28" i="18"/>
  <c r="R29" i="18"/>
  <c r="C29" i="18" s="1"/>
  <c r="Z29" i="18"/>
  <c r="S30" i="18"/>
  <c r="AA30" i="18"/>
  <c r="Z31" i="18"/>
  <c r="V32" i="18"/>
  <c r="V33" i="18"/>
  <c r="U34" i="18"/>
  <c r="W35" i="18"/>
  <c r="W36" i="18"/>
  <c r="U37" i="18"/>
  <c r="S38" i="18"/>
  <c r="AD38" i="18"/>
  <c r="W39" i="18"/>
  <c r="T40" i="18"/>
  <c r="AE40" i="18"/>
  <c r="Y41" i="18"/>
  <c r="V42" i="18"/>
  <c r="T43" i="18"/>
  <c r="AD43" i="18"/>
  <c r="U44" i="18"/>
  <c r="S45" i="18"/>
  <c r="AD45" i="18"/>
  <c r="V46" i="18"/>
  <c r="R47" i="18"/>
  <c r="C47" i="18" s="1"/>
  <c r="AB47" i="18"/>
  <c r="R48" i="18"/>
  <c r="C48" i="18" s="1"/>
  <c r="AB48" i="18"/>
  <c r="R49" i="18"/>
  <c r="C49" i="18" s="1"/>
  <c r="AB49" i="18"/>
  <c r="P50" i="18"/>
  <c r="B50" i="18" s="1"/>
  <c r="B241" i="5" s="1"/>
  <c r="B431" i="5" s="1"/>
  <c r="Z50" i="18"/>
  <c r="X51" i="18"/>
  <c r="Z52" i="18"/>
  <c r="T53" i="18"/>
  <c r="AD53" i="18"/>
  <c r="U54" i="18"/>
  <c r="CJ55" i="18"/>
  <c r="DA56" i="18"/>
  <c r="CJ57" i="18"/>
  <c r="H94" i="20"/>
  <c r="H92" i="20"/>
  <c r="N292" i="9"/>
  <c r="H86" i="20"/>
  <c r="J26" i="6"/>
  <c r="I32" i="6"/>
  <c r="J34" i="6"/>
  <c r="I43" i="6"/>
  <c r="J29" i="6"/>
  <c r="J31" i="6"/>
  <c r="J46" i="6"/>
  <c r="O13" i="6"/>
  <c r="J28" i="6"/>
  <c r="I33" i="6"/>
  <c r="J38" i="6"/>
  <c r="H48" i="6"/>
  <c r="O48" i="6" s="1"/>
  <c r="O10" i="6"/>
  <c r="O16" i="6"/>
  <c r="O18" i="6"/>
  <c r="H26" i="6"/>
  <c r="I27" i="6"/>
  <c r="I30" i="6"/>
  <c r="H40" i="6"/>
  <c r="O40" i="6" s="1"/>
  <c r="O119" i="6"/>
  <c r="I119" i="6"/>
  <c r="O117" i="6"/>
  <c r="I117" i="6"/>
  <c r="O115" i="6"/>
  <c r="I115" i="6"/>
  <c r="O113" i="6"/>
  <c r="I113" i="6"/>
  <c r="O111" i="6"/>
  <c r="I111" i="6"/>
  <c r="J91" i="6"/>
  <c r="H89" i="6"/>
  <c r="I88" i="6"/>
  <c r="J87" i="6"/>
  <c r="H85" i="6"/>
  <c r="I84" i="6"/>
  <c r="J83" i="6"/>
  <c r="H81" i="6"/>
  <c r="I80" i="6"/>
  <c r="J79" i="6"/>
  <c r="H77" i="6"/>
  <c r="I76" i="6"/>
  <c r="J75" i="6"/>
  <c r="H73" i="6"/>
  <c r="I72" i="6"/>
  <c r="J71" i="6"/>
  <c r="H69" i="6"/>
  <c r="I68" i="6"/>
  <c r="J67" i="6"/>
  <c r="H65" i="6"/>
  <c r="I64" i="6"/>
  <c r="J63" i="6"/>
  <c r="H61" i="6"/>
  <c r="I60" i="6"/>
  <c r="J59" i="6"/>
  <c r="H57" i="6"/>
  <c r="I56" i="6"/>
  <c r="J55" i="6"/>
  <c r="H53" i="6"/>
  <c r="I52" i="6"/>
  <c r="J51" i="6"/>
  <c r="H49" i="6"/>
  <c r="I48" i="6"/>
  <c r="J47" i="6"/>
  <c r="H45" i="6"/>
  <c r="I44" i="6"/>
  <c r="J43" i="6"/>
  <c r="H41" i="6"/>
  <c r="I40" i="6"/>
  <c r="J39" i="6"/>
  <c r="H31" i="6"/>
  <c r="H30" i="6"/>
  <c r="H29" i="6"/>
  <c r="I28" i="6"/>
  <c r="J27" i="6"/>
  <c r="O17" i="6"/>
  <c r="H119" i="6"/>
  <c r="J118" i="6"/>
  <c r="H117" i="6"/>
  <c r="J116" i="6"/>
  <c r="H115" i="6"/>
  <c r="J114" i="6"/>
  <c r="H113" i="6"/>
  <c r="J112" i="6"/>
  <c r="H111" i="6"/>
  <c r="I91" i="6"/>
  <c r="J90" i="6"/>
  <c r="H88" i="6"/>
  <c r="I87" i="6"/>
  <c r="J86" i="6"/>
  <c r="H84" i="6"/>
  <c r="I83" i="6"/>
  <c r="J82" i="6"/>
  <c r="H80" i="6"/>
  <c r="I79" i="6"/>
  <c r="J78" i="6"/>
  <c r="H76" i="6"/>
  <c r="I75" i="6"/>
  <c r="J74" i="6"/>
  <c r="H72" i="6"/>
  <c r="I71" i="6"/>
  <c r="J70" i="6"/>
  <c r="H68" i="6"/>
  <c r="I67" i="6"/>
  <c r="J66" i="6"/>
  <c r="H64" i="6"/>
  <c r="I63" i="6"/>
  <c r="J62" i="6"/>
  <c r="H60" i="6"/>
  <c r="I59" i="6"/>
  <c r="J58" i="6"/>
  <c r="H56" i="6"/>
  <c r="I55" i="6"/>
  <c r="J54" i="6"/>
  <c r="O118" i="6"/>
  <c r="I118" i="6"/>
  <c r="O116" i="6"/>
  <c r="I116" i="6"/>
  <c r="O114" i="6"/>
  <c r="I114" i="6"/>
  <c r="O112" i="6"/>
  <c r="I112" i="6"/>
  <c r="H91" i="6"/>
  <c r="I90" i="6"/>
  <c r="J89" i="6"/>
  <c r="H87" i="6"/>
  <c r="O87" i="6" s="1"/>
  <c r="I86" i="6"/>
  <c r="J85" i="6"/>
  <c r="H83" i="6"/>
  <c r="I82" i="6"/>
  <c r="J81" i="6"/>
  <c r="H79" i="6"/>
  <c r="I78" i="6"/>
  <c r="J77" i="6"/>
  <c r="H75" i="6"/>
  <c r="I74" i="6"/>
  <c r="J73" i="6"/>
  <c r="H71" i="6"/>
  <c r="I70" i="6"/>
  <c r="J69" i="6"/>
  <c r="H67" i="6"/>
  <c r="I66" i="6"/>
  <c r="J65" i="6"/>
  <c r="H63" i="6"/>
  <c r="I62" i="6"/>
  <c r="J61" i="6"/>
  <c r="H59" i="6"/>
  <c r="I58" i="6"/>
  <c r="J57" i="6"/>
  <c r="H55" i="6"/>
  <c r="I54" i="6"/>
  <c r="J53" i="6"/>
  <c r="H51" i="6"/>
  <c r="I50" i="6"/>
  <c r="J49" i="6"/>
  <c r="H47" i="6"/>
  <c r="I46" i="6"/>
  <c r="J45" i="6"/>
  <c r="H43" i="6"/>
  <c r="I42" i="6"/>
  <c r="J41" i="6"/>
  <c r="H39" i="6"/>
  <c r="I38" i="6"/>
  <c r="J119" i="6"/>
  <c r="H118" i="6"/>
  <c r="J117" i="6"/>
  <c r="H116" i="6"/>
  <c r="J115" i="6"/>
  <c r="H114" i="6"/>
  <c r="J113" i="6"/>
  <c r="H112" i="6"/>
  <c r="J111" i="6"/>
  <c r="H90" i="6"/>
  <c r="I89" i="6"/>
  <c r="J88" i="6"/>
  <c r="H86" i="6"/>
  <c r="O86" i="6" s="1"/>
  <c r="I85" i="6"/>
  <c r="J84" i="6"/>
  <c r="H82" i="6"/>
  <c r="I81" i="6"/>
  <c r="J80" i="6"/>
  <c r="H78" i="6"/>
  <c r="I77" i="6"/>
  <c r="J76" i="6"/>
  <c r="H74" i="6"/>
  <c r="I73" i="6"/>
  <c r="J72" i="6"/>
  <c r="H70" i="6"/>
  <c r="I69" i="6"/>
  <c r="J68" i="6"/>
  <c r="H66" i="6"/>
  <c r="I65" i="6"/>
  <c r="J64" i="6"/>
  <c r="H62" i="6"/>
  <c r="I61" i="6"/>
  <c r="J60" i="6"/>
  <c r="H58" i="6"/>
  <c r="I57" i="6"/>
  <c r="J56" i="6"/>
  <c r="H54" i="6"/>
  <c r="I53" i="6"/>
  <c r="J52" i="6"/>
  <c r="H50" i="6"/>
  <c r="I49" i="6"/>
  <c r="J48" i="6"/>
  <c r="H46" i="6"/>
  <c r="I45" i="6"/>
  <c r="J44" i="6"/>
  <c r="H42" i="6"/>
  <c r="I41" i="6"/>
  <c r="J40" i="6"/>
  <c r="H34" i="6"/>
  <c r="I26" i="6"/>
  <c r="H27" i="6"/>
  <c r="H28" i="6"/>
  <c r="I29" i="6"/>
  <c r="J30" i="6"/>
  <c r="J32" i="6"/>
  <c r="J33" i="6"/>
  <c r="H44" i="6"/>
  <c r="I47" i="6"/>
  <c r="J50" i="6"/>
  <c r="O15" i="6"/>
  <c r="I31" i="6"/>
  <c r="H32" i="6"/>
  <c r="H33" i="6"/>
  <c r="I34" i="6"/>
  <c r="I39" i="6"/>
  <c r="J42" i="6"/>
  <c r="H52" i="6"/>
  <c r="G141" i="15"/>
  <c r="H141" i="15" s="1"/>
  <c r="J102" i="20" s="1"/>
  <c r="L65" i="2"/>
  <c r="H97" i="20"/>
  <c r="C66" i="2"/>
  <c r="F253" i="14"/>
  <c r="F249" i="14"/>
  <c r="F252" i="14"/>
  <c r="F251" i="14"/>
  <c r="W195" i="5"/>
  <c r="K195" i="18" s="1"/>
  <c r="F250" i="14"/>
  <c r="F45" i="14"/>
  <c r="F44" i="14"/>
  <c r="W178" i="5"/>
  <c r="K178" i="18" s="1"/>
  <c r="F43" i="14"/>
  <c r="F46" i="14"/>
  <c r="F42" i="14"/>
  <c r="J67" i="2"/>
  <c r="N67" i="2" s="1"/>
  <c r="F73" i="2"/>
  <c r="Y8" i="18" s="1"/>
  <c r="F15" i="10"/>
  <c r="F18" i="10"/>
  <c r="F14" i="10"/>
  <c r="W113" i="5"/>
  <c r="K113" i="18" s="1"/>
  <c r="F16" i="10"/>
  <c r="F17" i="10"/>
  <c r="F102" i="10"/>
  <c r="F105" i="10"/>
  <c r="F101" i="10"/>
  <c r="F104" i="10"/>
  <c r="F103" i="10"/>
  <c r="W119" i="5"/>
  <c r="K119" i="18" s="1"/>
  <c r="K77" i="11"/>
  <c r="O126" i="14"/>
  <c r="G13" i="20"/>
  <c r="L33" i="20" s="1"/>
  <c r="O21" i="11"/>
  <c r="AA9" i="18"/>
  <c r="F110" i="14"/>
  <c r="F111" i="14"/>
  <c r="F108" i="14"/>
  <c r="F112" i="14"/>
  <c r="W182" i="5"/>
  <c r="K182" i="18" s="1"/>
  <c r="G309" i="5"/>
  <c r="O2" i="6"/>
  <c r="U2" i="5"/>
  <c r="L5" i="24"/>
  <c r="B2" i="6"/>
  <c r="B2" i="5"/>
  <c r="B198" i="5" s="1"/>
  <c r="P2" i="22"/>
  <c r="G307" i="5"/>
  <c r="F50" i="10"/>
  <c r="F49" i="10"/>
  <c r="W116" i="5"/>
  <c r="K116" i="18" s="1"/>
  <c r="F48" i="10"/>
  <c r="F47" i="10"/>
  <c r="F46" i="10"/>
  <c r="F70" i="10"/>
  <c r="F69" i="10"/>
  <c r="F68" i="10"/>
  <c r="F67" i="10"/>
  <c r="W118" i="5"/>
  <c r="K118" i="18" s="1"/>
  <c r="F71" i="10"/>
  <c r="C208" i="5" l="1"/>
  <c r="C398" i="5" s="1"/>
  <c r="AK17" i="5"/>
  <c r="C250" i="5"/>
  <c r="C440" i="5" s="1"/>
  <c r="AK59" i="5"/>
  <c r="C288" i="5"/>
  <c r="C478" i="5" s="1"/>
  <c r="AK97" i="5"/>
  <c r="C229" i="5"/>
  <c r="C419" i="5" s="1"/>
  <c r="AK38" i="5"/>
  <c r="C312" i="5"/>
  <c r="C502" i="5" s="1"/>
  <c r="AK121" i="5"/>
  <c r="C359" i="5"/>
  <c r="C547" i="5" s="1"/>
  <c r="AK168" i="5"/>
  <c r="C240" i="5"/>
  <c r="C430" i="5" s="1"/>
  <c r="AK49" i="5"/>
  <c r="C248" i="5"/>
  <c r="C438" i="5" s="1"/>
  <c r="AK57" i="5"/>
  <c r="C247" i="5"/>
  <c r="C437" i="5" s="1"/>
  <c r="AK56" i="5"/>
  <c r="C265" i="5"/>
  <c r="C455" i="5" s="1"/>
  <c r="AK74" i="5"/>
  <c r="C289" i="5"/>
  <c r="C479" i="5" s="1"/>
  <c r="AK98" i="5"/>
  <c r="C297" i="5"/>
  <c r="C487" i="5" s="1"/>
  <c r="AK106" i="5"/>
  <c r="C299" i="5"/>
  <c r="C489" i="5" s="1"/>
  <c r="AK108" i="5"/>
  <c r="C301" i="5"/>
  <c r="C491" i="5" s="1"/>
  <c r="AK110" i="5"/>
  <c r="C348" i="5"/>
  <c r="C536" i="5" s="1"/>
  <c r="AK157" i="5"/>
  <c r="Z194" i="23"/>
  <c r="AI194" i="23" s="1"/>
  <c r="Z85" i="23"/>
  <c r="AI85" i="23" s="1"/>
  <c r="AJ85" i="23" s="1"/>
  <c r="AL85" i="23" s="1"/>
  <c r="N85" i="23" s="1"/>
  <c r="Z40" i="23"/>
  <c r="Z173" i="23"/>
  <c r="AI173" i="23" s="1"/>
  <c r="Z42" i="23"/>
  <c r="Z108" i="23"/>
  <c r="AI108" i="23" s="1"/>
  <c r="Z204" i="23"/>
  <c r="Z200" i="23"/>
  <c r="C262" i="5"/>
  <c r="C452" i="5" s="1"/>
  <c r="AK71" i="5"/>
  <c r="C292" i="5"/>
  <c r="C482" i="5" s="1"/>
  <c r="AK101" i="5"/>
  <c r="C210" i="5"/>
  <c r="C400" i="5" s="1"/>
  <c r="AK19" i="5"/>
  <c r="C333" i="5"/>
  <c r="AK142" i="5"/>
  <c r="C256" i="5"/>
  <c r="C446" i="5" s="1"/>
  <c r="AK65" i="5"/>
  <c r="C260" i="5"/>
  <c r="C450" i="5" s="1"/>
  <c r="AK69" i="5"/>
  <c r="C228" i="5"/>
  <c r="C418" i="5" s="1"/>
  <c r="AK37" i="5"/>
  <c r="C230" i="5"/>
  <c r="C420" i="5" s="1"/>
  <c r="AK39" i="5"/>
  <c r="C303" i="5"/>
  <c r="C493" i="5" s="1"/>
  <c r="AK112" i="5"/>
  <c r="C284" i="5"/>
  <c r="C474" i="5" s="1"/>
  <c r="AK93" i="5"/>
  <c r="C331" i="5"/>
  <c r="C521" i="5" s="1"/>
  <c r="AK140" i="5"/>
  <c r="C308" i="5"/>
  <c r="C498" i="5" s="1"/>
  <c r="AK117" i="5"/>
  <c r="C320" i="5"/>
  <c r="C510" i="5" s="1"/>
  <c r="AK129" i="5"/>
  <c r="C339" i="5"/>
  <c r="C527" i="5" s="1"/>
  <c r="AK148" i="5"/>
  <c r="C330" i="5"/>
  <c r="C520" i="5" s="1"/>
  <c r="AK139" i="5"/>
  <c r="C342" i="5"/>
  <c r="C530" i="5" s="1"/>
  <c r="AK151" i="5"/>
  <c r="C367" i="5"/>
  <c r="C555" i="5" s="1"/>
  <c r="AK176" i="5"/>
  <c r="C385" i="5"/>
  <c r="C573" i="5" s="1"/>
  <c r="AK194" i="5"/>
  <c r="C373" i="5"/>
  <c r="C561" i="5" s="1"/>
  <c r="AK182" i="5"/>
  <c r="C379" i="5"/>
  <c r="C567" i="5" s="1"/>
  <c r="AK188" i="5"/>
  <c r="C387" i="5"/>
  <c r="C575" i="5" s="1"/>
  <c r="AK196" i="5"/>
  <c r="Z192" i="23"/>
  <c r="AI192" i="23" s="1"/>
  <c r="Z86" i="23"/>
  <c r="AI86" i="23" s="1"/>
  <c r="Z64" i="23"/>
  <c r="AI64" i="23" s="1"/>
  <c r="Z61" i="23"/>
  <c r="AI61" i="23" s="1"/>
  <c r="Z66" i="23"/>
  <c r="AI66" i="23" s="1"/>
  <c r="Z172" i="23"/>
  <c r="AI172" i="23" s="1"/>
  <c r="Z211" i="23"/>
  <c r="Z207" i="23"/>
  <c r="C206" i="5"/>
  <c r="C396" i="5" s="1"/>
  <c r="AK15" i="5"/>
  <c r="C255" i="5"/>
  <c r="C445" i="5" s="1"/>
  <c r="AK64" i="5"/>
  <c r="C286" i="5"/>
  <c r="C476" i="5" s="1"/>
  <c r="AK95" i="5"/>
  <c r="C338" i="5"/>
  <c r="C526" i="5" s="1"/>
  <c r="AK147" i="5"/>
  <c r="C365" i="5"/>
  <c r="C553" i="5" s="1"/>
  <c r="AK174" i="5"/>
  <c r="C340" i="5"/>
  <c r="C528" i="5" s="1"/>
  <c r="AK149" i="5"/>
  <c r="C336" i="5"/>
  <c r="C524" i="5" s="1"/>
  <c r="AK145" i="5"/>
  <c r="C321" i="5"/>
  <c r="C511" i="5" s="1"/>
  <c r="AK130" i="5"/>
  <c r="C349" i="5"/>
  <c r="C537" i="5" s="1"/>
  <c r="AK158" i="5"/>
  <c r="C377" i="5"/>
  <c r="C565" i="5" s="1"/>
  <c r="AK186" i="5"/>
  <c r="C200" i="5"/>
  <c r="C390" i="5" s="1"/>
  <c r="AK9" i="5"/>
  <c r="Z165" i="5"/>
  <c r="Q165" i="5" s="1"/>
  <c r="Z188" i="23"/>
  <c r="AI188" i="23" s="1"/>
  <c r="Z135" i="23"/>
  <c r="AI135" i="23" s="1"/>
  <c r="Z47" i="23"/>
  <c r="AI47" i="23" s="1"/>
  <c r="Z88" i="23"/>
  <c r="AI88" i="23" s="1"/>
  <c r="Z41" i="23"/>
  <c r="Z197" i="23"/>
  <c r="AI197" i="23" s="1"/>
  <c r="Z189" i="23"/>
  <c r="AI189" i="23" s="1"/>
  <c r="Z203" i="23"/>
  <c r="Z199" i="23"/>
  <c r="C221" i="5"/>
  <c r="C411" i="5" s="1"/>
  <c r="AK30" i="5"/>
  <c r="C209" i="5"/>
  <c r="C399" i="5" s="1"/>
  <c r="AK18" i="5"/>
  <c r="C252" i="5"/>
  <c r="C442" i="5" s="1"/>
  <c r="AK61" i="5"/>
  <c r="C295" i="5"/>
  <c r="C485" i="5" s="1"/>
  <c r="AK104" i="5"/>
  <c r="C259" i="5"/>
  <c r="C449" i="5" s="1"/>
  <c r="AK68" i="5"/>
  <c r="C371" i="5"/>
  <c r="C559" i="5" s="1"/>
  <c r="AK180" i="5"/>
  <c r="C212" i="5"/>
  <c r="C402" i="5" s="1"/>
  <c r="AK21" i="5"/>
  <c r="C239" i="5"/>
  <c r="C429" i="5" s="1"/>
  <c r="AK48" i="5"/>
  <c r="C207" i="5"/>
  <c r="C397" i="5" s="1"/>
  <c r="AK16" i="5"/>
  <c r="C216" i="5"/>
  <c r="AK25" i="5"/>
  <c r="C222" i="5"/>
  <c r="C412" i="5" s="1"/>
  <c r="AK31" i="5"/>
  <c r="C246" i="5"/>
  <c r="C436" i="5" s="1"/>
  <c r="AK55" i="5"/>
  <c r="C253" i="5"/>
  <c r="C443" i="5" s="1"/>
  <c r="AK62" i="5"/>
  <c r="C287" i="5"/>
  <c r="C477" i="5" s="1"/>
  <c r="AK96" i="5"/>
  <c r="C293" i="5"/>
  <c r="C483" i="5" s="1"/>
  <c r="AK102" i="5"/>
  <c r="C335" i="5"/>
  <c r="C523" i="5" s="1"/>
  <c r="AK144" i="5"/>
  <c r="C257" i="5"/>
  <c r="C447" i="5" s="1"/>
  <c r="AK66" i="5"/>
  <c r="C263" i="5"/>
  <c r="C453" i="5" s="1"/>
  <c r="AK72" i="5"/>
  <c r="C271" i="5"/>
  <c r="C461" i="5" s="1"/>
  <c r="AK80" i="5"/>
  <c r="C313" i="5"/>
  <c r="C503" i="5" s="1"/>
  <c r="AK122" i="5"/>
  <c r="C329" i="5"/>
  <c r="C519" i="5" s="1"/>
  <c r="AK138" i="5"/>
  <c r="C360" i="5"/>
  <c r="C548" i="5" s="1"/>
  <c r="AK169" i="5"/>
  <c r="C362" i="5"/>
  <c r="C550" i="5" s="1"/>
  <c r="AK171" i="5"/>
  <c r="C364" i="5"/>
  <c r="C552" i="5" s="1"/>
  <c r="AK173" i="5"/>
  <c r="C366" i="5"/>
  <c r="C554" i="5" s="1"/>
  <c r="AK175" i="5"/>
  <c r="C368" i="5"/>
  <c r="C556" i="5" s="1"/>
  <c r="AK177" i="5"/>
  <c r="C227" i="5"/>
  <c r="C417" i="5" s="1"/>
  <c r="AK36" i="5"/>
  <c r="J53" i="14"/>
  <c r="I53" i="14" s="1"/>
  <c r="H53" i="14" s="1"/>
  <c r="N75" i="14" s="1"/>
  <c r="Z77" i="5"/>
  <c r="Q77" i="5" s="1"/>
  <c r="K77" i="18"/>
  <c r="C205" i="5"/>
  <c r="C395" i="5" s="1"/>
  <c r="AK14" i="5"/>
  <c r="Z87" i="23"/>
  <c r="AI87" i="23" s="1"/>
  <c r="Z137" i="23"/>
  <c r="AI137" i="23" s="1"/>
  <c r="Z136" i="23"/>
  <c r="AI136" i="23" s="1"/>
  <c r="Z121" i="23"/>
  <c r="AI121" i="23" s="1"/>
  <c r="J121" i="23" s="1"/>
  <c r="Z196" i="23"/>
  <c r="AI196" i="23" s="1"/>
  <c r="Z166" i="23"/>
  <c r="AI166" i="23" s="1"/>
  <c r="Z213" i="23"/>
  <c r="Z202" i="23"/>
  <c r="Z214" i="23"/>
  <c r="C201" i="5"/>
  <c r="C391" i="5" s="1"/>
  <c r="AK10" i="5"/>
  <c r="C273" i="5"/>
  <c r="C463" i="5" s="1"/>
  <c r="AK82" i="5"/>
  <c r="C300" i="5"/>
  <c r="C490" i="5" s="1"/>
  <c r="AK109" i="5"/>
  <c r="C304" i="5"/>
  <c r="C494" i="5" s="1"/>
  <c r="AK113" i="5"/>
  <c r="Z110" i="23"/>
  <c r="AI110" i="23" s="1"/>
  <c r="Z52" i="23"/>
  <c r="AI52" i="23" s="1"/>
  <c r="Z144" i="23"/>
  <c r="AI144" i="23" s="1"/>
  <c r="Z145" i="23"/>
  <c r="AI145" i="23" s="1"/>
  <c r="Z33" i="23"/>
  <c r="Z51" i="23"/>
  <c r="AI51" i="23" s="1"/>
  <c r="Z212" i="23"/>
  <c r="Z201" i="23"/>
  <c r="C302" i="5"/>
  <c r="C492" i="5" s="1"/>
  <c r="AK111" i="5"/>
  <c r="C332" i="5"/>
  <c r="C522" i="5" s="1"/>
  <c r="AK141" i="5"/>
  <c r="C215" i="5"/>
  <c r="C405" i="5" s="1"/>
  <c r="AK24" i="5"/>
  <c r="C251" i="5"/>
  <c r="C441" i="5" s="1"/>
  <c r="AK60" i="5"/>
  <c r="C285" i="5"/>
  <c r="C475" i="5" s="1"/>
  <c r="AK94" i="5"/>
  <c r="C291" i="5"/>
  <c r="C481" i="5" s="1"/>
  <c r="AK100" i="5"/>
  <c r="C258" i="5"/>
  <c r="C448" i="5" s="1"/>
  <c r="AK67" i="5"/>
  <c r="C298" i="5"/>
  <c r="C488" i="5" s="1"/>
  <c r="AK107" i="5"/>
  <c r="C254" i="5"/>
  <c r="C444" i="5" s="1"/>
  <c r="AK63" i="5"/>
  <c r="C231" i="5"/>
  <c r="C421" i="5" s="1"/>
  <c r="AK40" i="5"/>
  <c r="C276" i="5"/>
  <c r="C466" i="5" s="1"/>
  <c r="AK85" i="5"/>
  <c r="C310" i="5"/>
  <c r="C500" i="5" s="1"/>
  <c r="AK119" i="5"/>
  <c r="C277" i="5"/>
  <c r="C467" i="5" s="1"/>
  <c r="AK86" i="5"/>
  <c r="C322" i="5"/>
  <c r="C512" i="5" s="1"/>
  <c r="AK131" i="5"/>
  <c r="C307" i="5"/>
  <c r="C497" i="5" s="1"/>
  <c r="AK116" i="5"/>
  <c r="C337" i="5"/>
  <c r="C525" i="5" s="1"/>
  <c r="AK146" i="5"/>
  <c r="C370" i="5"/>
  <c r="C558" i="5" s="1"/>
  <c r="AK179" i="5"/>
  <c r="C378" i="5"/>
  <c r="C566" i="5" s="1"/>
  <c r="AK187" i="5"/>
  <c r="C386" i="5"/>
  <c r="C574" i="5" s="1"/>
  <c r="AK195" i="5"/>
  <c r="C372" i="5"/>
  <c r="C560" i="5" s="1"/>
  <c r="AK181" i="5"/>
  <c r="C380" i="5"/>
  <c r="C568" i="5" s="1"/>
  <c r="AK189" i="5"/>
  <c r="C382" i="5"/>
  <c r="C570" i="5" s="1"/>
  <c r="AK191" i="5"/>
  <c r="C334" i="5"/>
  <c r="AK143" i="5"/>
  <c r="Z133" i="23"/>
  <c r="AI133" i="23" s="1"/>
  <c r="Z44" i="23"/>
  <c r="N44" i="23" s="1"/>
  <c r="Z134" i="23"/>
  <c r="AI134" i="23" s="1"/>
  <c r="Z169" i="23"/>
  <c r="AI169" i="23" s="1"/>
  <c r="Z89" i="23"/>
  <c r="AI89" i="23" s="1"/>
  <c r="AJ89" i="23" s="1"/>
  <c r="AL89" i="23" s="1"/>
  <c r="N89" i="23" s="1"/>
  <c r="Z59" i="23"/>
  <c r="AI59" i="23" s="1"/>
  <c r="Z206" i="23"/>
  <c r="F33" i="6"/>
  <c r="F31" i="6"/>
  <c r="L31" i="6" s="1"/>
  <c r="C238" i="5"/>
  <c r="C428" i="5" s="1"/>
  <c r="AK47" i="5"/>
  <c r="N33" i="23"/>
  <c r="AI33" i="23"/>
  <c r="AJ33" i="23" s="1"/>
  <c r="AL33" i="23" s="1"/>
  <c r="AM33" i="23" s="1"/>
  <c r="AI24" i="23"/>
  <c r="AI40" i="23"/>
  <c r="AJ40" i="23" s="1"/>
  <c r="AL40" i="23" s="1"/>
  <c r="N40" i="23" s="1"/>
  <c r="AI42" i="23"/>
  <c r="AJ42" i="23" s="1"/>
  <c r="AL42" i="23" s="1"/>
  <c r="AM42" i="23" s="1"/>
  <c r="AI41" i="23"/>
  <c r="C341" i="5"/>
  <c r="C529" i="5" s="1"/>
  <c r="AK150" i="5"/>
  <c r="C383" i="5"/>
  <c r="C571" i="5" s="1"/>
  <c r="AK192" i="5"/>
  <c r="W169" i="5"/>
  <c r="K169" i="18" s="1"/>
  <c r="F191" i="13"/>
  <c r="F194" i="13"/>
  <c r="F190" i="13"/>
  <c r="F193" i="13"/>
  <c r="F192" i="13"/>
  <c r="C343" i="5"/>
  <c r="C531" i="5" s="1"/>
  <c r="AK152" i="5"/>
  <c r="C267" i="5"/>
  <c r="C457" i="5" s="1"/>
  <c r="AK76" i="5"/>
  <c r="C269" i="5"/>
  <c r="C459" i="5" s="1"/>
  <c r="AK78" i="5"/>
  <c r="C309" i="5"/>
  <c r="C499" i="5" s="1"/>
  <c r="AK118" i="5"/>
  <c r="C374" i="5"/>
  <c r="C562" i="5" s="1"/>
  <c r="AK183" i="5"/>
  <c r="C279" i="5"/>
  <c r="C469" i="5" s="1"/>
  <c r="AK88" i="5"/>
  <c r="C275" i="5"/>
  <c r="C465" i="5" s="1"/>
  <c r="AK84" i="5"/>
  <c r="C384" i="5"/>
  <c r="C572" i="5" s="1"/>
  <c r="AK193" i="5"/>
  <c r="C314" i="5"/>
  <c r="C504" i="5" s="1"/>
  <c r="AK123" i="5"/>
  <c r="C296" i="5"/>
  <c r="C486" i="5" s="1"/>
  <c r="AK105" i="5"/>
  <c r="C294" i="5"/>
  <c r="C484" i="5" s="1"/>
  <c r="AK103" i="5"/>
  <c r="C278" i="5"/>
  <c r="C468" i="5" s="1"/>
  <c r="AK87" i="5"/>
  <c r="C274" i="5"/>
  <c r="C464" i="5" s="1"/>
  <c r="AK83" i="5"/>
  <c r="C272" i="5"/>
  <c r="C462" i="5" s="1"/>
  <c r="AK81" i="5"/>
  <c r="C266" i="5"/>
  <c r="C456" i="5" s="1"/>
  <c r="AK75" i="5"/>
  <c r="C245" i="5"/>
  <c r="C435" i="5" s="1"/>
  <c r="AK54" i="5"/>
  <c r="C241" i="5"/>
  <c r="C431" i="5" s="1"/>
  <c r="AK50" i="5"/>
  <c r="C235" i="5"/>
  <c r="C425" i="5" s="1"/>
  <c r="AK44" i="5"/>
  <c r="C233" i="5"/>
  <c r="C423" i="5" s="1"/>
  <c r="AK42" i="5"/>
  <c r="C213" i="5"/>
  <c r="C403" i="5" s="1"/>
  <c r="AK22" i="5"/>
  <c r="C369" i="5"/>
  <c r="C557" i="5" s="1"/>
  <c r="AK178" i="5"/>
  <c r="C202" i="5"/>
  <c r="C392" i="5" s="1"/>
  <c r="AK11" i="5"/>
  <c r="C381" i="5"/>
  <c r="C569" i="5" s="1"/>
  <c r="AK190" i="5"/>
  <c r="C363" i="5"/>
  <c r="C551" i="5" s="1"/>
  <c r="AK172" i="5"/>
  <c r="C361" i="5"/>
  <c r="C549" i="5" s="1"/>
  <c r="AK170" i="5"/>
  <c r="C350" i="5"/>
  <c r="C538" i="5" s="1"/>
  <c r="AK159" i="5"/>
  <c r="C347" i="5"/>
  <c r="C535" i="5" s="1"/>
  <c r="AK156" i="5"/>
  <c r="C346" i="5"/>
  <c r="C534" i="5" s="1"/>
  <c r="AK155" i="5"/>
  <c r="C345" i="5"/>
  <c r="C533" i="5" s="1"/>
  <c r="AK154" i="5"/>
  <c r="C280" i="5"/>
  <c r="C470" i="5" s="1"/>
  <c r="AK89" i="5"/>
  <c r="C270" i="5"/>
  <c r="C460" i="5" s="1"/>
  <c r="AK79" i="5"/>
  <c r="C344" i="5"/>
  <c r="C532" i="5" s="1"/>
  <c r="AK153" i="5"/>
  <c r="C315" i="5"/>
  <c r="C505" i="5" s="1"/>
  <c r="AK124" i="5"/>
  <c r="H109" i="10"/>
  <c r="C376" i="5"/>
  <c r="C564" i="5" s="1"/>
  <c r="AK185" i="5"/>
  <c r="C242" i="5"/>
  <c r="C432" i="5" s="1"/>
  <c r="AK51" i="5"/>
  <c r="C244" i="5"/>
  <c r="C434" i="5" s="1"/>
  <c r="AK53" i="5"/>
  <c r="C243" i="5"/>
  <c r="C433" i="5" s="1"/>
  <c r="AK52" i="5"/>
  <c r="C232" i="5"/>
  <c r="C422" i="5" s="1"/>
  <c r="AK41" i="5"/>
  <c r="C226" i="5"/>
  <c r="C416" i="5" s="1"/>
  <c r="AK35" i="5"/>
  <c r="C211" i="5"/>
  <c r="C401" i="5" s="1"/>
  <c r="AK20" i="5"/>
  <c r="C219" i="5"/>
  <c r="C409" i="5" s="1"/>
  <c r="AK28" i="5"/>
  <c r="C218" i="5"/>
  <c r="C408" i="5" s="1"/>
  <c r="AK27" i="5"/>
  <c r="C217" i="5"/>
  <c r="AK26" i="5"/>
  <c r="C220" i="5"/>
  <c r="C410" i="5" s="1"/>
  <c r="AK29" i="5"/>
  <c r="C214" i="5"/>
  <c r="C404" i="5" s="1"/>
  <c r="AK23" i="5"/>
  <c r="C203" i="5"/>
  <c r="C393" i="5" s="1"/>
  <c r="AK12" i="5"/>
  <c r="C204" i="5"/>
  <c r="C394" i="5" s="1"/>
  <c r="AK13" i="5"/>
  <c r="C375" i="5"/>
  <c r="C563" i="5" s="1"/>
  <c r="AK184" i="5"/>
  <c r="C353" i="5"/>
  <c r="C541" i="5" s="1"/>
  <c r="AK162" i="5"/>
  <c r="C358" i="5"/>
  <c r="C546" i="5" s="1"/>
  <c r="AK167" i="5"/>
  <c r="C352" i="5"/>
  <c r="C540" i="5" s="1"/>
  <c r="AK161" i="5"/>
  <c r="C356" i="5"/>
  <c r="C544" i="5" s="1"/>
  <c r="AK165" i="5"/>
  <c r="C355" i="5"/>
  <c r="C543" i="5" s="1"/>
  <c r="AK164" i="5"/>
  <c r="C354" i="5"/>
  <c r="C542" i="5" s="1"/>
  <c r="AK163" i="5"/>
  <c r="C351" i="5"/>
  <c r="C539" i="5" s="1"/>
  <c r="AK160" i="5"/>
  <c r="C357" i="5"/>
  <c r="C545" i="5" s="1"/>
  <c r="AK166" i="5"/>
  <c r="C326" i="5"/>
  <c r="C516" i="5" s="1"/>
  <c r="AK135" i="5"/>
  <c r="C324" i="5"/>
  <c r="C514" i="5" s="1"/>
  <c r="AK133" i="5"/>
  <c r="C328" i="5"/>
  <c r="C518" i="5" s="1"/>
  <c r="AK137" i="5"/>
  <c r="C323" i="5"/>
  <c r="C513" i="5" s="1"/>
  <c r="AK132" i="5"/>
  <c r="C327" i="5"/>
  <c r="C517" i="5" s="1"/>
  <c r="AK136" i="5"/>
  <c r="C325" i="5"/>
  <c r="C515" i="5" s="1"/>
  <c r="AK134" i="5"/>
  <c r="C316" i="5"/>
  <c r="AK125" i="5"/>
  <c r="C318" i="5"/>
  <c r="C508" i="5" s="1"/>
  <c r="AK127" i="5"/>
  <c r="C319" i="5"/>
  <c r="C509" i="5" s="1"/>
  <c r="AK128" i="5"/>
  <c r="C317" i="5"/>
  <c r="C507" i="5" s="1"/>
  <c r="AK126" i="5"/>
  <c r="C311" i="5"/>
  <c r="C501" i="5" s="1"/>
  <c r="AK120" i="5"/>
  <c r="C306" i="5"/>
  <c r="C496" i="5" s="1"/>
  <c r="AK115" i="5"/>
  <c r="C305" i="5"/>
  <c r="C495" i="5" s="1"/>
  <c r="AK114" i="5"/>
  <c r="C290" i="5"/>
  <c r="C480" i="5" s="1"/>
  <c r="AK99" i="5"/>
  <c r="C283" i="5"/>
  <c r="C473" i="5" s="1"/>
  <c r="AK92" i="5"/>
  <c r="C281" i="5"/>
  <c r="C471" i="5" s="1"/>
  <c r="AK90" i="5"/>
  <c r="C282" i="5"/>
  <c r="C472" i="5" s="1"/>
  <c r="AK91" i="5"/>
  <c r="C268" i="5"/>
  <c r="C458" i="5" s="1"/>
  <c r="AK77" i="5"/>
  <c r="C264" i="5"/>
  <c r="C454" i="5" s="1"/>
  <c r="AK73" i="5"/>
  <c r="C261" i="5"/>
  <c r="C451" i="5" s="1"/>
  <c r="AK70" i="5"/>
  <c r="C249" i="5"/>
  <c r="C439" i="5" s="1"/>
  <c r="AK58" i="5"/>
  <c r="C236" i="5"/>
  <c r="C426" i="5" s="1"/>
  <c r="AK45" i="5"/>
  <c r="C237" i="5"/>
  <c r="C427" i="5" s="1"/>
  <c r="AK46" i="5"/>
  <c r="C234" i="5"/>
  <c r="C424" i="5" s="1"/>
  <c r="AK43" i="5"/>
  <c r="C224" i="5"/>
  <c r="C414" i="5" s="1"/>
  <c r="AK33" i="5"/>
  <c r="C225" i="5"/>
  <c r="C415" i="5" s="1"/>
  <c r="AK34" i="5"/>
  <c r="C223" i="5"/>
  <c r="C413" i="5" s="1"/>
  <c r="AK32" i="5"/>
  <c r="F133" i="9"/>
  <c r="F137" i="9"/>
  <c r="F136" i="9"/>
  <c r="F134" i="9"/>
  <c r="W76" i="5"/>
  <c r="K76" i="18" s="1"/>
  <c r="F135" i="9"/>
  <c r="H286" i="5"/>
  <c r="I51" i="14"/>
  <c r="H51" i="14" s="1"/>
  <c r="N71" i="14" s="1"/>
  <c r="I110" i="10"/>
  <c r="H110" i="10" s="1"/>
  <c r="N128" i="10" s="1"/>
  <c r="L38" i="6"/>
  <c r="O38" i="6"/>
  <c r="O39" i="6"/>
  <c r="L39" i="6"/>
  <c r="T103" i="20"/>
  <c r="H107" i="20"/>
  <c r="S24" i="6"/>
  <c r="J13" i="14"/>
  <c r="AJ47" i="23"/>
  <c r="AL47" i="23" s="1"/>
  <c r="N47" i="23" s="1"/>
  <c r="AJ61" i="23"/>
  <c r="AL61" i="23" s="1"/>
  <c r="AJ166" i="23"/>
  <c r="AL166" i="23" s="1"/>
  <c r="N166" i="23" s="1"/>
  <c r="AJ46" i="23"/>
  <c r="AL46" i="23" s="1"/>
  <c r="N46" i="23" s="1"/>
  <c r="AJ91" i="23"/>
  <c r="AL91" i="23" s="1"/>
  <c r="N91" i="23" s="1"/>
  <c r="AJ136" i="23"/>
  <c r="AL136" i="23" s="1"/>
  <c r="AJ41" i="23"/>
  <c r="AL41" i="23" s="1"/>
  <c r="N41" i="23" s="1"/>
  <c r="AJ52" i="23"/>
  <c r="AL52" i="23" s="1"/>
  <c r="K186" i="23"/>
  <c r="AJ88" i="23"/>
  <c r="AL88" i="23" s="1"/>
  <c r="N88" i="23" s="1"/>
  <c r="I194" i="23"/>
  <c r="AJ195" i="23"/>
  <c r="AL195" i="23" s="1"/>
  <c r="AJ169" i="23"/>
  <c r="AL169" i="23" s="1"/>
  <c r="AJ64" i="23"/>
  <c r="AL64" i="23" s="1"/>
  <c r="AJ59" i="23"/>
  <c r="AL59" i="23" s="1"/>
  <c r="AJ108" i="23"/>
  <c r="AL108" i="23" s="1"/>
  <c r="N108" i="23" s="1"/>
  <c r="AJ196" i="23"/>
  <c r="AL196" i="23" s="1"/>
  <c r="AJ66" i="23"/>
  <c r="AL66" i="23" s="1"/>
  <c r="AB18" i="20"/>
  <c r="AA18" i="20"/>
  <c r="J103" i="20"/>
  <c r="N50" i="2"/>
  <c r="L40" i="6"/>
  <c r="N108" i="20"/>
  <c r="O64" i="2"/>
  <c r="CA8" i="22"/>
  <c r="BM8" i="22" s="1"/>
  <c r="CD8" i="22"/>
  <c r="H103" i="20"/>
  <c r="O32" i="6"/>
  <c r="M7" i="20"/>
  <c r="AE8" i="18"/>
  <c r="M6" i="20"/>
  <c r="J12" i="20" s="1"/>
  <c r="G21" i="11" s="1"/>
  <c r="P576" i="5"/>
  <c r="J292" i="9"/>
  <c r="G300" i="9" s="1"/>
  <c r="F292" i="9" s="1"/>
  <c r="F295" i="9" s="1"/>
  <c r="N47" i="2"/>
  <c r="F26" i="6" s="1"/>
  <c r="J69" i="2"/>
  <c r="P11" i="15"/>
  <c r="L11" i="15"/>
  <c r="O11" i="15"/>
  <c r="K11" i="15"/>
  <c r="Q11" i="15"/>
  <c r="M11" i="15"/>
  <c r="I11" i="15"/>
  <c r="N11" i="15"/>
  <c r="N41" i="15"/>
  <c r="J41" i="15"/>
  <c r="Q41" i="15"/>
  <c r="M41" i="15"/>
  <c r="I41" i="15"/>
  <c r="P41" i="15"/>
  <c r="L41" i="15"/>
  <c r="O41" i="15"/>
  <c r="K41" i="15"/>
  <c r="P53" i="15"/>
  <c r="L53" i="15"/>
  <c r="O53" i="15"/>
  <c r="K53" i="15"/>
  <c r="N53" i="15"/>
  <c r="J53" i="15"/>
  <c r="Q53" i="15"/>
  <c r="M53" i="15"/>
  <c r="I53" i="15"/>
  <c r="O28" i="15"/>
  <c r="K28" i="15"/>
  <c r="N28" i="15"/>
  <c r="J28" i="15"/>
  <c r="Q28" i="15"/>
  <c r="M28" i="15"/>
  <c r="I28" i="15"/>
  <c r="P28" i="15"/>
  <c r="L28" i="15"/>
  <c r="Q16" i="15"/>
  <c r="M16" i="15"/>
  <c r="I16" i="15"/>
  <c r="P16" i="15"/>
  <c r="L16" i="15"/>
  <c r="O16" i="15"/>
  <c r="K16" i="15"/>
  <c r="N16" i="15"/>
  <c r="J16" i="15"/>
  <c r="Y34" i="24"/>
  <c r="Y33" i="24"/>
  <c r="W33" i="4"/>
  <c r="W32" i="4"/>
  <c r="W34" i="4"/>
  <c r="L69" i="2"/>
  <c r="O51" i="8" s="1"/>
  <c r="N60" i="2"/>
  <c r="F30" i="6" s="1"/>
  <c r="O23" i="15"/>
  <c r="K23" i="15"/>
  <c r="N23" i="15"/>
  <c r="J23" i="15"/>
  <c r="Q23" i="15"/>
  <c r="M23" i="15"/>
  <c r="I23" i="15"/>
  <c r="P23" i="15"/>
  <c r="L23" i="15"/>
  <c r="Q35" i="15"/>
  <c r="M35" i="15"/>
  <c r="I35" i="15"/>
  <c r="P35" i="15"/>
  <c r="L35" i="15"/>
  <c r="O35" i="15"/>
  <c r="K35" i="15"/>
  <c r="N35" i="15"/>
  <c r="J35" i="15"/>
  <c r="O52" i="15"/>
  <c r="K52" i="15"/>
  <c r="N52" i="15"/>
  <c r="J52" i="15"/>
  <c r="Q52" i="15"/>
  <c r="M52" i="15"/>
  <c r="I52" i="15"/>
  <c r="P52" i="15"/>
  <c r="L52" i="15"/>
  <c r="Q40" i="15"/>
  <c r="M40" i="15"/>
  <c r="I40" i="15"/>
  <c r="P40" i="15"/>
  <c r="L40" i="15"/>
  <c r="O40" i="15"/>
  <c r="K40" i="15"/>
  <c r="N40" i="15"/>
  <c r="J40" i="15"/>
  <c r="V33" i="4"/>
  <c r="V32" i="4"/>
  <c r="V34" i="4"/>
  <c r="V31" i="4"/>
  <c r="X32" i="24"/>
  <c r="X34" i="24"/>
  <c r="X33" i="24"/>
  <c r="W33" i="24"/>
  <c r="W32" i="24"/>
  <c r="W34" i="24"/>
  <c r="N55" i="2"/>
  <c r="O47" i="15"/>
  <c r="K47" i="15"/>
  <c r="N47" i="15"/>
  <c r="J47" i="15"/>
  <c r="Q47" i="15"/>
  <c r="M47" i="15"/>
  <c r="I47" i="15"/>
  <c r="P47" i="15"/>
  <c r="L47" i="15"/>
  <c r="Q59" i="15"/>
  <c r="M59" i="15"/>
  <c r="I59" i="15"/>
  <c r="P59" i="15"/>
  <c r="L59" i="15"/>
  <c r="O59" i="15"/>
  <c r="K59" i="15"/>
  <c r="N59" i="15"/>
  <c r="J59" i="15"/>
  <c r="N22" i="15"/>
  <c r="J22" i="15"/>
  <c r="Q22" i="15"/>
  <c r="M22" i="15"/>
  <c r="I22" i="15"/>
  <c r="P22" i="15"/>
  <c r="L22" i="15"/>
  <c r="O22" i="15"/>
  <c r="K22" i="15"/>
  <c r="P34" i="15"/>
  <c r="L34" i="15"/>
  <c r="O34" i="15"/>
  <c r="K34" i="15"/>
  <c r="N34" i="15"/>
  <c r="J34" i="15"/>
  <c r="Q34" i="15"/>
  <c r="M34" i="15"/>
  <c r="I34" i="15"/>
  <c r="N59" i="2"/>
  <c r="X33" i="4"/>
  <c r="X34" i="4"/>
  <c r="X32" i="4"/>
  <c r="L48" i="6"/>
  <c r="N17" i="15"/>
  <c r="J17" i="15"/>
  <c r="Q17" i="15"/>
  <c r="M17" i="15"/>
  <c r="I17" i="15"/>
  <c r="P17" i="15"/>
  <c r="L17" i="15"/>
  <c r="O17" i="15"/>
  <c r="K17" i="15"/>
  <c r="P29" i="15"/>
  <c r="L29" i="15"/>
  <c r="O29" i="15"/>
  <c r="K29" i="15"/>
  <c r="N29" i="15"/>
  <c r="J29" i="15"/>
  <c r="Q29" i="15"/>
  <c r="M29" i="15"/>
  <c r="I29" i="15"/>
  <c r="Q10" i="15"/>
  <c r="N10" i="15"/>
  <c r="J10" i="15"/>
  <c r="J12" i="15" s="1"/>
  <c r="M10" i="15"/>
  <c r="I10" i="15"/>
  <c r="P10" i="15"/>
  <c r="L10" i="15"/>
  <c r="K10" i="15"/>
  <c r="O10" i="15"/>
  <c r="N46" i="15"/>
  <c r="J46" i="15"/>
  <c r="Q46" i="15"/>
  <c r="M46" i="15"/>
  <c r="I46" i="15"/>
  <c r="P46" i="15"/>
  <c r="L46" i="15"/>
  <c r="O46" i="15"/>
  <c r="K46" i="15"/>
  <c r="P58" i="15"/>
  <c r="L58" i="15"/>
  <c r="O58" i="15"/>
  <c r="K58" i="15"/>
  <c r="N58" i="15"/>
  <c r="J58" i="15"/>
  <c r="Q58" i="15"/>
  <c r="M58" i="15"/>
  <c r="I58" i="15"/>
  <c r="V33" i="24"/>
  <c r="V32" i="24"/>
  <c r="V34" i="24"/>
  <c r="V31" i="24"/>
  <c r="Y34" i="4"/>
  <c r="Y33" i="4"/>
  <c r="L54" i="6"/>
  <c r="O54" i="6"/>
  <c r="L86" i="6"/>
  <c r="L52" i="6"/>
  <c r="O52" i="6"/>
  <c r="L50" i="6"/>
  <c r="O50" i="6"/>
  <c r="L66" i="6"/>
  <c r="O66" i="6"/>
  <c r="L82" i="6"/>
  <c r="O82" i="6"/>
  <c r="O43" i="6"/>
  <c r="L43" i="6"/>
  <c r="O59" i="6"/>
  <c r="L59" i="6"/>
  <c r="O75" i="6"/>
  <c r="L75" i="6"/>
  <c r="O91" i="6"/>
  <c r="L91" i="6"/>
  <c r="O68" i="6"/>
  <c r="L68" i="6"/>
  <c r="O84" i="6"/>
  <c r="L84" i="6"/>
  <c r="O41" i="6"/>
  <c r="L41" i="6"/>
  <c r="O57" i="6"/>
  <c r="L57" i="6"/>
  <c r="O73" i="6"/>
  <c r="L73" i="6"/>
  <c r="O89" i="6"/>
  <c r="L89" i="6"/>
  <c r="L62" i="6"/>
  <c r="O62" i="6"/>
  <c r="L78" i="6"/>
  <c r="O78" i="6"/>
  <c r="O55" i="6"/>
  <c r="L55" i="6"/>
  <c r="O71" i="6"/>
  <c r="L71" i="6"/>
  <c r="L87" i="6"/>
  <c r="O64" i="6"/>
  <c r="L64" i="6"/>
  <c r="O80" i="6"/>
  <c r="L80" i="6"/>
  <c r="O53" i="6"/>
  <c r="L53" i="6"/>
  <c r="O69" i="6"/>
  <c r="L69" i="6"/>
  <c r="O85" i="6"/>
  <c r="L85" i="6"/>
  <c r="L46" i="6"/>
  <c r="O46" i="6"/>
  <c r="L44" i="6"/>
  <c r="O44" i="6"/>
  <c r="L42" i="6"/>
  <c r="O42" i="6"/>
  <c r="L58" i="6"/>
  <c r="O58" i="6"/>
  <c r="L74" i="6"/>
  <c r="O74" i="6"/>
  <c r="L90" i="6"/>
  <c r="O90" i="6"/>
  <c r="O51" i="6"/>
  <c r="L51" i="6"/>
  <c r="O67" i="6"/>
  <c r="L67" i="6"/>
  <c r="O83" i="6"/>
  <c r="L83" i="6"/>
  <c r="O60" i="6"/>
  <c r="L60" i="6"/>
  <c r="O76" i="6"/>
  <c r="L76" i="6"/>
  <c r="O49" i="6"/>
  <c r="L49" i="6"/>
  <c r="O65" i="6"/>
  <c r="L65" i="6"/>
  <c r="O81" i="6"/>
  <c r="L81" i="6"/>
  <c r="L70" i="6"/>
  <c r="O70" i="6"/>
  <c r="O47" i="6"/>
  <c r="L47" i="6"/>
  <c r="O63" i="6"/>
  <c r="L63" i="6"/>
  <c r="O79" i="6"/>
  <c r="L79" i="6"/>
  <c r="O56" i="6"/>
  <c r="L56" i="6"/>
  <c r="O72" i="6"/>
  <c r="L72" i="6"/>
  <c r="O88" i="6"/>
  <c r="L88" i="6"/>
  <c r="O45" i="6"/>
  <c r="L45" i="6"/>
  <c r="O61" i="6"/>
  <c r="L61" i="6"/>
  <c r="O77" i="6"/>
  <c r="L77" i="6"/>
  <c r="O31" i="6"/>
  <c r="L33" i="6"/>
  <c r="O33" i="6"/>
  <c r="J126" i="14"/>
  <c r="G134" i="14" s="1"/>
  <c r="F126" i="14" s="1"/>
  <c r="C19" i="2"/>
  <c r="AB7" i="18" s="1"/>
  <c r="AA12" i="6" s="1"/>
  <c r="O67" i="2"/>
  <c r="F34" i="6"/>
  <c r="H12" i="20"/>
  <c r="H13" i="20"/>
  <c r="F12" i="6"/>
  <c r="F10" i="6"/>
  <c r="F17" i="6"/>
  <c r="F15" i="6"/>
  <c r="F13" i="6"/>
  <c r="F18" i="6"/>
  <c r="F16" i="6"/>
  <c r="F14" i="6"/>
  <c r="F11" i="6"/>
  <c r="J192" i="23"/>
  <c r="I192" i="23"/>
  <c r="AJ192" i="23"/>
  <c r="AL192" i="23" s="1"/>
  <c r="N192" i="23" s="1"/>
  <c r="K192" i="23"/>
  <c r="AJ172" i="23"/>
  <c r="AL172" i="23" s="1"/>
  <c r="N172" i="23" s="1"/>
  <c r="AJ197" i="23"/>
  <c r="AL197" i="23" s="1"/>
  <c r="AJ51" i="23"/>
  <c r="AL51" i="23" s="1"/>
  <c r="N51" i="23" s="1"/>
  <c r="AJ22" i="23"/>
  <c r="AL22" i="23" s="1"/>
  <c r="K114" i="23"/>
  <c r="AJ86" i="23"/>
  <c r="AL86" i="23" s="1"/>
  <c r="N86" i="23" s="1"/>
  <c r="AJ154" i="23"/>
  <c r="AL154" i="23" s="1"/>
  <c r="N154" i="23" s="1"/>
  <c r="AJ99" i="23"/>
  <c r="AL99" i="23" s="1"/>
  <c r="AM47" i="23"/>
  <c r="AJ100" i="23"/>
  <c r="AL100" i="23" s="1"/>
  <c r="AJ189" i="23"/>
  <c r="AL189" i="23" s="1"/>
  <c r="AJ24" i="23"/>
  <c r="AL24" i="23" s="1"/>
  <c r="AM24" i="23" s="1"/>
  <c r="AI44" i="23" l="1"/>
  <c r="AJ44" i="23" s="1"/>
  <c r="AL44" i="23" s="1"/>
  <c r="AM44" i="23" s="1"/>
  <c r="AM46" i="23"/>
  <c r="N500" i="5"/>
  <c r="N126" i="10"/>
  <c r="S576" i="5"/>
  <c r="M60" i="15"/>
  <c r="N48" i="15"/>
  <c r="P48" i="15"/>
  <c r="Q60" i="15"/>
  <c r="Q48" i="15"/>
  <c r="I60" i="15"/>
  <c r="J48" i="15"/>
  <c r="L48" i="15"/>
  <c r="N24" i="23"/>
  <c r="N42" i="23"/>
  <c r="AM99" i="23"/>
  <c r="N99" i="23"/>
  <c r="AM66" i="23"/>
  <c r="N66" i="23"/>
  <c r="AM195" i="23"/>
  <c r="N195" i="23"/>
  <c r="AJ114" i="23"/>
  <c r="AL114" i="23" s="1"/>
  <c r="N114" i="23" s="1"/>
  <c r="J114" i="23"/>
  <c r="AM196" i="23"/>
  <c r="N196" i="23"/>
  <c r="AM52" i="23"/>
  <c r="N52" i="23"/>
  <c r="AM189" i="23"/>
  <c r="N189" i="23"/>
  <c r="AM197" i="23"/>
  <c r="N197" i="23"/>
  <c r="AM100" i="23"/>
  <c r="N100" i="23"/>
  <c r="AM59" i="23"/>
  <c r="N59" i="23"/>
  <c r="AM61" i="23"/>
  <c r="N61" i="23"/>
  <c r="AM22" i="23"/>
  <c r="N22" i="23"/>
  <c r="AM64" i="23"/>
  <c r="N64" i="23"/>
  <c r="AM136" i="23"/>
  <c r="N136" i="23"/>
  <c r="AM169" i="23"/>
  <c r="N169" i="23"/>
  <c r="L576" i="5"/>
  <c r="Q500" i="5"/>
  <c r="N21" i="20"/>
  <c r="K33" i="20" s="1"/>
  <c r="K36" i="20" s="1"/>
  <c r="J45" i="20"/>
  <c r="H108" i="20"/>
  <c r="J33" i="11" s="1"/>
  <c r="U15" i="14"/>
  <c r="U14" i="14"/>
  <c r="U16" i="14"/>
  <c r="U18" i="14"/>
  <c r="U17" i="14"/>
  <c r="J166" i="23"/>
  <c r="K166" i="23"/>
  <c r="I166" i="23"/>
  <c r="AJ194" i="23"/>
  <c r="AL194" i="23" s="1"/>
  <c r="N194" i="23" s="1"/>
  <c r="AJ186" i="23"/>
  <c r="AL186" i="23" s="1"/>
  <c r="N186" i="23" s="1"/>
  <c r="K194" i="23"/>
  <c r="J186" i="23"/>
  <c r="I186" i="23"/>
  <c r="J194" i="23"/>
  <c r="I114" i="23"/>
  <c r="O105" i="6"/>
  <c r="O152" i="6" s="1"/>
  <c r="P80" i="20"/>
  <c r="T83" i="20" s="1"/>
  <c r="O50" i="2"/>
  <c r="F27" i="6"/>
  <c r="O54" i="15"/>
  <c r="J36" i="15"/>
  <c r="Q12" i="15"/>
  <c r="Q36" i="15"/>
  <c r="K60" i="15"/>
  <c r="K24" i="15"/>
  <c r="M42" i="15"/>
  <c r="M24" i="15"/>
  <c r="L36" i="15"/>
  <c r="K69" i="2"/>
  <c r="O36" i="15"/>
  <c r="M54" i="15"/>
  <c r="O12" i="15"/>
  <c r="J42" i="15"/>
  <c r="N42" i="15"/>
  <c r="P12" i="15"/>
  <c r="O42" i="15"/>
  <c r="K48" i="15"/>
  <c r="J16" i="6" s="1"/>
  <c r="M36" i="15"/>
  <c r="N24" i="15"/>
  <c r="L12" i="15"/>
  <c r="I24" i="15"/>
  <c r="Q42" i="15"/>
  <c r="K12" i="15"/>
  <c r="L54" i="15"/>
  <c r="O48" i="15"/>
  <c r="K54" i="15"/>
  <c r="K36" i="15"/>
  <c r="I54" i="15"/>
  <c r="M12" i="15"/>
  <c r="Q24" i="15"/>
  <c r="Q54" i="15"/>
  <c r="J60" i="15"/>
  <c r="I12" i="15"/>
  <c r="G36" i="11"/>
  <c r="G37" i="11"/>
  <c r="G38" i="11"/>
  <c r="G34" i="11"/>
  <c r="G35" i="11"/>
  <c r="K55" i="2"/>
  <c r="K44" i="20"/>
  <c r="K43" i="20"/>
  <c r="J46" i="20"/>
  <c r="K46" i="20"/>
  <c r="K45" i="20"/>
  <c r="J44" i="20"/>
  <c r="J43" i="20"/>
  <c r="O60" i="2"/>
  <c r="O47" i="2"/>
  <c r="K47" i="2"/>
  <c r="L274" i="9"/>
  <c r="BS7" i="22"/>
  <c r="BE7" i="22" s="1"/>
  <c r="F294" i="9"/>
  <c r="F297" i="9"/>
  <c r="O69" i="2"/>
  <c r="G27" i="11"/>
  <c r="G26" i="11"/>
  <c r="G24" i="11"/>
  <c r="G23" i="11"/>
  <c r="G25" i="11"/>
  <c r="K59" i="2"/>
  <c r="E17" i="4"/>
  <c r="O274" i="9"/>
  <c r="N12" i="15"/>
  <c r="L42" i="15"/>
  <c r="K60" i="2"/>
  <c r="J312" i="9"/>
  <c r="P42" i="15"/>
  <c r="K67" i="2"/>
  <c r="K64" i="2"/>
  <c r="O85" i="9"/>
  <c r="K65" i="2"/>
  <c r="M131" i="9"/>
  <c r="N54" i="15"/>
  <c r="K63" i="2"/>
  <c r="I274" i="9"/>
  <c r="I48" i="15"/>
  <c r="O24" i="15"/>
  <c r="E17" i="24"/>
  <c r="N312" i="9"/>
  <c r="G320" i="9" s="1"/>
  <c r="F312" i="9" s="1"/>
  <c r="F316" i="9" s="1"/>
  <c r="O60" i="15"/>
  <c r="M48" i="15"/>
  <c r="L24" i="15"/>
  <c r="K50" i="2"/>
  <c r="M183" i="9"/>
  <c r="L60" i="15"/>
  <c r="O18" i="15"/>
  <c r="M18" i="15"/>
  <c r="I30" i="15"/>
  <c r="N30" i="15"/>
  <c r="F296" i="9"/>
  <c r="H15" i="20"/>
  <c r="F21" i="11" s="1"/>
  <c r="F23" i="11" s="1"/>
  <c r="N60" i="15"/>
  <c r="J18" i="6" s="1"/>
  <c r="P60" i="15"/>
  <c r="I36" i="15"/>
  <c r="N36" i="15"/>
  <c r="P36" i="15"/>
  <c r="P24" i="15"/>
  <c r="J24" i="15"/>
  <c r="O55" i="2"/>
  <c r="F28" i="6"/>
  <c r="K42" i="15"/>
  <c r="I42" i="15"/>
  <c r="P54" i="15"/>
  <c r="J54" i="15"/>
  <c r="J18" i="15"/>
  <c r="L18" i="15"/>
  <c r="Q18" i="15"/>
  <c r="M30" i="15"/>
  <c r="K30" i="15"/>
  <c r="N18" i="15"/>
  <c r="P18" i="15"/>
  <c r="L30" i="15"/>
  <c r="Q30" i="15"/>
  <c r="O30" i="15"/>
  <c r="O59" i="2"/>
  <c r="F29" i="6"/>
  <c r="K18" i="15"/>
  <c r="I18" i="15"/>
  <c r="P30" i="15"/>
  <c r="J30" i="15"/>
  <c r="W95" i="5"/>
  <c r="F293" i="9"/>
  <c r="W7" i="18"/>
  <c r="AC7" i="18" s="1"/>
  <c r="BU7" i="22"/>
  <c r="BG7" i="22" s="1"/>
  <c r="BV7" i="22"/>
  <c r="AQ7" i="22" s="1"/>
  <c r="AA7" i="18"/>
  <c r="BZ7" i="22"/>
  <c r="AU7" i="22" s="1"/>
  <c r="D6" i="16"/>
  <c r="E6" i="16" s="1"/>
  <c r="F131" i="14"/>
  <c r="W183" i="5"/>
  <c r="F127" i="14"/>
  <c r="F130" i="14"/>
  <c r="F128" i="14"/>
  <c r="F129" i="14"/>
  <c r="M51" i="8"/>
  <c r="BX7" i="22"/>
  <c r="BY7" i="22"/>
  <c r="T7" i="18"/>
  <c r="Z7" i="18"/>
  <c r="CA7" i="22"/>
  <c r="AV7" i="22" s="1"/>
  <c r="U7" i="18"/>
  <c r="F132" i="6"/>
  <c r="F136" i="6" s="1"/>
  <c r="L30" i="6"/>
  <c r="O30" i="6"/>
  <c r="X7" i="18"/>
  <c r="D6" i="17"/>
  <c r="E6" i="17" s="1"/>
  <c r="Y7" i="18"/>
  <c r="AE7" i="18" s="1"/>
  <c r="BR7" i="22"/>
  <c r="BT7" i="22"/>
  <c r="S7" i="18"/>
  <c r="BW7" i="22"/>
  <c r="V7" i="18"/>
  <c r="F86" i="6"/>
  <c r="F119" i="6"/>
  <c r="F38" i="6"/>
  <c r="F111" i="6"/>
  <c r="O33" i="11"/>
  <c r="F112" i="6"/>
  <c r="F44" i="6"/>
  <c r="F56" i="6"/>
  <c r="F114" i="6"/>
  <c r="F50" i="6"/>
  <c r="F113" i="6"/>
  <c r="O34" i="6"/>
  <c r="F115" i="6"/>
  <c r="F62" i="6"/>
  <c r="F116" i="6"/>
  <c r="F68" i="6"/>
  <c r="F74" i="6"/>
  <c r="F117" i="6"/>
  <c r="F118" i="6"/>
  <c r="F80" i="6"/>
  <c r="O26" i="6"/>
  <c r="K137" i="23"/>
  <c r="AJ137" i="23"/>
  <c r="AL137" i="23" s="1"/>
  <c r="N137" i="23" s="1"/>
  <c r="J137" i="23"/>
  <c r="I137" i="23"/>
  <c r="AJ188" i="23"/>
  <c r="AL188" i="23" s="1"/>
  <c r="N188" i="23" s="1"/>
  <c r="I188" i="23"/>
  <c r="K188" i="23"/>
  <c r="J188" i="23"/>
  <c r="AJ147" i="23"/>
  <c r="AL147" i="23" s="1"/>
  <c r="N147" i="23" s="1"/>
  <c r="I147" i="23"/>
  <c r="K147" i="23"/>
  <c r="J147" i="23"/>
  <c r="AM40" i="23"/>
  <c r="AJ121" i="23"/>
  <c r="AL121" i="23" s="1"/>
  <c r="N121" i="23" s="1"/>
  <c r="K121" i="23"/>
  <c r="I121" i="23"/>
  <c r="K144" i="23"/>
  <c r="J144" i="23"/>
  <c r="AJ144" i="23"/>
  <c r="AL144" i="23" s="1"/>
  <c r="N144" i="23" s="1"/>
  <c r="I144" i="23"/>
  <c r="K134" i="23"/>
  <c r="AJ134" i="23"/>
  <c r="AL134" i="23" s="1"/>
  <c r="N134" i="23" s="1"/>
  <c r="I134" i="23"/>
  <c r="J134" i="23"/>
  <c r="K87" i="23"/>
  <c r="I87" i="23"/>
  <c r="AJ87" i="23"/>
  <c r="AL87" i="23" s="1"/>
  <c r="N87" i="23" s="1"/>
  <c r="J87" i="23"/>
  <c r="AM88" i="23"/>
  <c r="K110" i="23"/>
  <c r="AJ110" i="23"/>
  <c r="AL110" i="23" s="1"/>
  <c r="N110" i="23" s="1"/>
  <c r="J110" i="23"/>
  <c r="I110" i="23"/>
  <c r="J145" i="23"/>
  <c r="AJ145" i="23"/>
  <c r="AL145" i="23" s="1"/>
  <c r="N145" i="23" s="1"/>
  <c r="I145" i="23"/>
  <c r="K145" i="23"/>
  <c r="AJ122" i="23"/>
  <c r="AL122" i="23" s="1"/>
  <c r="N122" i="23" s="1"/>
  <c r="J122" i="23"/>
  <c r="I122" i="23"/>
  <c r="K122" i="23"/>
  <c r="AJ133" i="23"/>
  <c r="AL133" i="23" s="1"/>
  <c r="N133" i="23" s="1"/>
  <c r="J133" i="23"/>
  <c r="I133" i="23"/>
  <c r="K133" i="23"/>
  <c r="AJ135" i="23"/>
  <c r="AL135" i="23" s="1"/>
  <c r="N135" i="23" s="1"/>
  <c r="K135" i="23"/>
  <c r="J135" i="23"/>
  <c r="I135" i="23"/>
  <c r="K173" i="23"/>
  <c r="J173" i="23"/>
  <c r="I173" i="23"/>
  <c r="AJ173" i="23"/>
  <c r="AL173" i="23" s="1"/>
  <c r="N173" i="23" s="1"/>
  <c r="I16" i="6" l="1"/>
  <c r="AM194" i="23"/>
  <c r="J17" i="6"/>
  <c r="H12" i="6"/>
  <c r="H18" i="6"/>
  <c r="K183" i="18"/>
  <c r="K95" i="18"/>
  <c r="J14" i="6"/>
  <c r="G51" i="8"/>
  <c r="F51" i="8"/>
  <c r="V16" i="14"/>
  <c r="W16" i="14" s="1"/>
  <c r="I10" i="6"/>
  <c r="J10" i="6"/>
  <c r="J12" i="6"/>
  <c r="I18" i="6"/>
  <c r="H13" i="6"/>
  <c r="H16" i="6"/>
  <c r="J13" i="6"/>
  <c r="I17" i="6"/>
  <c r="I14" i="6"/>
  <c r="AM186" i="23"/>
  <c r="O93" i="6"/>
  <c r="I13" i="6"/>
  <c r="J15" i="6"/>
  <c r="I12" i="6"/>
  <c r="H10" i="6"/>
  <c r="H15" i="6"/>
  <c r="I15" i="6"/>
  <c r="H11" i="6"/>
  <c r="I11" i="6"/>
  <c r="J11" i="6"/>
  <c r="H17" i="6"/>
  <c r="H14" i="6"/>
  <c r="F33" i="11"/>
  <c r="W124" i="5" s="1"/>
  <c r="K124" i="18" s="1"/>
  <c r="V15" i="14"/>
  <c r="W15" i="14" s="1"/>
  <c r="V17" i="14"/>
  <c r="W17" i="14" s="1"/>
  <c r="V14" i="14"/>
  <c r="W14" i="14" s="1"/>
  <c r="M144" i="18"/>
  <c r="AF144" i="5" s="1"/>
  <c r="M143" i="18"/>
  <c r="J186" i="11" s="1"/>
  <c r="M142" i="18"/>
  <c r="J170" i="11" s="1"/>
  <c r="D9" i="16"/>
  <c r="S40" i="4" s="1"/>
  <c r="S40" i="24" s="1"/>
  <c r="O27" i="6"/>
  <c r="H132" i="6"/>
  <c r="L93" i="6"/>
  <c r="AN7" i="22"/>
  <c r="G282" i="9"/>
  <c r="F274" i="9" s="1"/>
  <c r="F279" i="9" s="1"/>
  <c r="F315" i="9"/>
  <c r="W96" i="5"/>
  <c r="F313" i="9"/>
  <c r="F317" i="9"/>
  <c r="F314" i="9"/>
  <c r="O70" i="2"/>
  <c r="C21" i="2" s="1"/>
  <c r="F25" i="11"/>
  <c r="F24" i="11"/>
  <c r="F27" i="11"/>
  <c r="F26" i="11"/>
  <c r="W123" i="5"/>
  <c r="K123" i="18" s="1"/>
  <c r="O11" i="11"/>
  <c r="O28" i="6"/>
  <c r="L28" i="6"/>
  <c r="L29" i="6"/>
  <c r="O29" i="6"/>
  <c r="CC7" i="22"/>
  <c r="AX7" i="22" s="1"/>
  <c r="AP7" i="22"/>
  <c r="BH7" i="22"/>
  <c r="M158" i="22"/>
  <c r="G158" i="22" s="1"/>
  <c r="M104" i="18"/>
  <c r="G104" i="18" s="1"/>
  <c r="BL7" i="22"/>
  <c r="M93" i="22"/>
  <c r="G93" i="22" s="1"/>
  <c r="M106" i="22"/>
  <c r="G106" i="22" s="1"/>
  <c r="I105" i="22" s="1"/>
  <c r="D109" i="22" s="1"/>
  <c r="M189" i="18"/>
  <c r="M140" i="22"/>
  <c r="G140" i="22" s="1"/>
  <c r="I139" i="22" s="1"/>
  <c r="D141" i="22" s="1"/>
  <c r="M125" i="18"/>
  <c r="G125" i="18" s="1"/>
  <c r="M143" i="22"/>
  <c r="G143" i="22" s="1"/>
  <c r="I142" i="22" s="1"/>
  <c r="M70" i="18"/>
  <c r="M66" i="18"/>
  <c r="M131" i="22"/>
  <c r="G131" i="22" s="1"/>
  <c r="M147" i="22"/>
  <c r="G147" i="22" s="1"/>
  <c r="M148" i="22"/>
  <c r="G148" i="22" s="1"/>
  <c r="M10" i="18"/>
  <c r="AF10" i="5" s="1"/>
  <c r="M99" i="18"/>
  <c r="M99" i="22"/>
  <c r="G99" i="22" s="1"/>
  <c r="M110" i="22"/>
  <c r="G110" i="22" s="1"/>
  <c r="M48" i="22"/>
  <c r="G48" i="22" s="1"/>
  <c r="M175" i="18"/>
  <c r="J12" i="14" s="1"/>
  <c r="M37" i="22"/>
  <c r="G37" i="22" s="1"/>
  <c r="I36" i="22" s="1"/>
  <c r="D37" i="22" s="1"/>
  <c r="CD7" i="22"/>
  <c r="AY7" i="22" s="1"/>
  <c r="M98" i="22"/>
  <c r="G98" i="22" s="1"/>
  <c r="M128" i="18"/>
  <c r="M50" i="18"/>
  <c r="M150" i="18"/>
  <c r="AF150" i="5" s="1"/>
  <c r="M24" i="18"/>
  <c r="M22" i="22"/>
  <c r="G22" i="22" s="1"/>
  <c r="I21" i="22" s="1"/>
  <c r="M145" i="22"/>
  <c r="G145" i="22" s="1"/>
  <c r="M193" i="22"/>
  <c r="G193" i="22" s="1"/>
  <c r="I192" i="22" s="1"/>
  <c r="M46" i="22"/>
  <c r="G46" i="22" s="1"/>
  <c r="M151" i="22"/>
  <c r="G151" i="22" s="1"/>
  <c r="BM7" i="22"/>
  <c r="M83" i="18"/>
  <c r="J218" i="9" s="1"/>
  <c r="M192" i="18"/>
  <c r="AF192" i="5" s="1"/>
  <c r="AT7" i="22"/>
  <c r="CB7" i="22"/>
  <c r="BK7" i="22"/>
  <c r="AS7" i="22"/>
  <c r="BJ7" i="22"/>
  <c r="M9" i="22"/>
  <c r="G9" i="22" s="1"/>
  <c r="M19" i="22"/>
  <c r="G19" i="22" s="1"/>
  <c r="M129" i="22"/>
  <c r="G129" i="22" s="1"/>
  <c r="M40" i="22"/>
  <c r="G40" i="22" s="1"/>
  <c r="M30" i="22"/>
  <c r="G30" i="22" s="1"/>
  <c r="M154" i="22"/>
  <c r="G154" i="22" s="1"/>
  <c r="M33" i="22"/>
  <c r="G33" i="22" s="1"/>
  <c r="I32" i="22" s="1"/>
  <c r="D33" i="22" s="1"/>
  <c r="M26" i="22"/>
  <c r="G26" i="22" s="1"/>
  <c r="M75" i="18"/>
  <c r="E7" i="22"/>
  <c r="D7" i="22" s="1"/>
  <c r="M137" i="18"/>
  <c r="M61" i="22"/>
  <c r="G61" i="22" s="1"/>
  <c r="M64" i="22"/>
  <c r="G64" i="22" s="1"/>
  <c r="M132" i="22"/>
  <c r="G132" i="22" s="1"/>
  <c r="M94" i="22"/>
  <c r="G94" i="22" s="1"/>
  <c r="I93" i="22" s="1"/>
  <c r="M82" i="22"/>
  <c r="G82" i="22" s="1"/>
  <c r="M164" i="22"/>
  <c r="G164" i="22" s="1"/>
  <c r="M166" i="18"/>
  <c r="AF166" i="5" s="1"/>
  <c r="M109" i="18"/>
  <c r="M131" i="18"/>
  <c r="M171" i="18"/>
  <c r="M17" i="18"/>
  <c r="M44" i="18"/>
  <c r="G44" i="18" s="1"/>
  <c r="M173" i="18"/>
  <c r="M96" i="18"/>
  <c r="M153" i="18"/>
  <c r="AF153" i="5" s="1"/>
  <c r="M67" i="18"/>
  <c r="M155" i="18"/>
  <c r="M32" i="18"/>
  <c r="AF32" i="5" s="1"/>
  <c r="M152" i="18"/>
  <c r="M51" i="18"/>
  <c r="M38" i="18"/>
  <c r="M107" i="18"/>
  <c r="M188" i="18"/>
  <c r="M121" i="18"/>
  <c r="AF121" i="5" s="1"/>
  <c r="M168" i="18"/>
  <c r="AF168" i="5" s="1"/>
  <c r="M68" i="18"/>
  <c r="AF68" i="5" s="1"/>
  <c r="M101" i="18"/>
  <c r="AF101" i="5" s="1"/>
  <c r="AO7" i="22"/>
  <c r="BF7" i="22"/>
  <c r="M47" i="22"/>
  <c r="G47" i="22" s="1"/>
  <c r="M59" i="22"/>
  <c r="G59" i="22" s="1"/>
  <c r="M79" i="22"/>
  <c r="G79" i="22" s="1"/>
  <c r="M50" i="22"/>
  <c r="G50" i="22" s="1"/>
  <c r="I49" i="22" s="1"/>
  <c r="M166" i="22"/>
  <c r="G166" i="22" s="1"/>
  <c r="M173" i="22"/>
  <c r="G173" i="22" s="1"/>
  <c r="M192" i="22"/>
  <c r="G192" i="22" s="1"/>
  <c r="M136" i="22"/>
  <c r="G136" i="22" s="1"/>
  <c r="M133" i="22"/>
  <c r="G133" i="22" s="1"/>
  <c r="M134" i="22"/>
  <c r="G134" i="22" s="1"/>
  <c r="M146" i="22"/>
  <c r="G146" i="22" s="1"/>
  <c r="M66" i="22"/>
  <c r="G66" i="22" s="1"/>
  <c r="M20" i="22"/>
  <c r="G20" i="22" s="1"/>
  <c r="M97" i="22"/>
  <c r="G97" i="22" s="1"/>
  <c r="M25" i="22"/>
  <c r="G25" i="22" s="1"/>
  <c r="M68" i="22"/>
  <c r="G68" i="22" s="1"/>
  <c r="M31" i="22"/>
  <c r="G31" i="22" s="1"/>
  <c r="M88" i="22"/>
  <c r="G88" i="22" s="1"/>
  <c r="M182" i="22"/>
  <c r="G182" i="22" s="1"/>
  <c r="M177" i="22"/>
  <c r="G177" i="22" s="1"/>
  <c r="M123" i="22"/>
  <c r="G123" i="22" s="1"/>
  <c r="M175" i="22"/>
  <c r="G175" i="22" s="1"/>
  <c r="M137" i="22"/>
  <c r="G137" i="22" s="1"/>
  <c r="M54" i="22"/>
  <c r="G54" i="22" s="1"/>
  <c r="M11" i="22"/>
  <c r="G11" i="22" s="1"/>
  <c r="M85" i="22"/>
  <c r="G85" i="22" s="1"/>
  <c r="M105" i="22"/>
  <c r="G105" i="22" s="1"/>
  <c r="M52" i="22"/>
  <c r="G52" i="22" s="1"/>
  <c r="M115" i="22"/>
  <c r="G115" i="22" s="1"/>
  <c r="I114" i="22" s="1"/>
  <c r="D115" i="22" s="1"/>
  <c r="M42" i="22"/>
  <c r="G42" i="22" s="1"/>
  <c r="M23" i="22"/>
  <c r="G23" i="22" s="1"/>
  <c r="M35" i="22"/>
  <c r="G35" i="22" s="1"/>
  <c r="M53" i="22"/>
  <c r="G53" i="22" s="1"/>
  <c r="M168" i="22"/>
  <c r="G168" i="22" s="1"/>
  <c r="M174" i="22"/>
  <c r="G174" i="22" s="1"/>
  <c r="M91" i="22"/>
  <c r="G91" i="22" s="1"/>
  <c r="M80" i="22"/>
  <c r="G80" i="22" s="1"/>
  <c r="I79" i="22" s="1"/>
  <c r="M102" i="22"/>
  <c r="G102" i="22" s="1"/>
  <c r="I101" i="22" s="1"/>
  <c r="M72" i="22"/>
  <c r="G72" i="22" s="1"/>
  <c r="M138" i="22"/>
  <c r="G138" i="22" s="1"/>
  <c r="M139" i="22"/>
  <c r="G139" i="22" s="1"/>
  <c r="M186" i="22"/>
  <c r="G186" i="22" s="1"/>
  <c r="M180" i="22"/>
  <c r="G180" i="22" s="1"/>
  <c r="M125" i="22"/>
  <c r="G125" i="22" s="1"/>
  <c r="I124" i="22" s="1"/>
  <c r="M184" i="22"/>
  <c r="G184" i="22" s="1"/>
  <c r="M141" i="22"/>
  <c r="G141" i="22" s="1"/>
  <c r="M56" i="22"/>
  <c r="G56" i="22" s="1"/>
  <c r="M12" i="22"/>
  <c r="G12" i="22" s="1"/>
  <c r="I11" i="22" s="1"/>
  <c r="M87" i="22"/>
  <c r="G87" i="22" s="1"/>
  <c r="M10" i="22"/>
  <c r="G10" i="22" s="1"/>
  <c r="M62" i="22"/>
  <c r="G62" i="22" s="1"/>
  <c r="M17" i="22"/>
  <c r="G17" i="22" s="1"/>
  <c r="M77" i="22"/>
  <c r="G77" i="22" s="1"/>
  <c r="M183" i="22"/>
  <c r="G183" i="22" s="1"/>
  <c r="M170" i="22"/>
  <c r="G170" i="22" s="1"/>
  <c r="M169" i="22"/>
  <c r="G169" i="22" s="1"/>
  <c r="I168" i="22" s="1"/>
  <c r="M159" i="22"/>
  <c r="G159" i="22" s="1"/>
  <c r="I158" i="22" s="1"/>
  <c r="M109" i="22"/>
  <c r="G109" i="22" s="1"/>
  <c r="M38" i="22"/>
  <c r="G38" i="22" s="1"/>
  <c r="M113" i="22"/>
  <c r="G113" i="22" s="1"/>
  <c r="M71" i="22"/>
  <c r="G71" i="22" s="1"/>
  <c r="M81" i="22"/>
  <c r="G81" i="22" s="1"/>
  <c r="M39" i="22"/>
  <c r="G39" i="22" s="1"/>
  <c r="M95" i="22"/>
  <c r="G95" i="22" s="1"/>
  <c r="M16" i="22"/>
  <c r="G16" i="22" s="1"/>
  <c r="M49" i="22"/>
  <c r="G49" i="22" s="1"/>
  <c r="M83" i="22"/>
  <c r="G83" i="22" s="1"/>
  <c r="I82" i="22" s="1"/>
  <c r="M73" i="22"/>
  <c r="G73" i="22" s="1"/>
  <c r="M155" i="22"/>
  <c r="G155" i="22" s="1"/>
  <c r="M153" i="22"/>
  <c r="G153" i="22" s="1"/>
  <c r="M120" i="22"/>
  <c r="G120" i="22" s="1"/>
  <c r="M121" i="22"/>
  <c r="G121" i="22" s="1"/>
  <c r="M122" i="22"/>
  <c r="G122" i="22" s="1"/>
  <c r="M127" i="22"/>
  <c r="G127" i="22" s="1"/>
  <c r="I126" i="22" s="1"/>
  <c r="M181" i="22"/>
  <c r="G181" i="22" s="1"/>
  <c r="M189" i="22"/>
  <c r="G189" i="22" s="1"/>
  <c r="I188" i="22" s="1"/>
  <c r="M185" i="22"/>
  <c r="G185" i="22" s="1"/>
  <c r="I184" i="22" s="1"/>
  <c r="M172" i="22"/>
  <c r="G172" i="22" s="1"/>
  <c r="M176" i="22"/>
  <c r="G176" i="22" s="1"/>
  <c r="M163" i="22"/>
  <c r="G163" i="22" s="1"/>
  <c r="M119" i="22"/>
  <c r="G119" i="22" s="1"/>
  <c r="M41" i="22"/>
  <c r="G41" i="22" s="1"/>
  <c r="I40" i="22" s="1"/>
  <c r="M118" i="22"/>
  <c r="G118" i="22" s="1"/>
  <c r="I117" i="22" s="1"/>
  <c r="M75" i="22"/>
  <c r="G75" i="22" s="1"/>
  <c r="M111" i="22"/>
  <c r="G111" i="22" s="1"/>
  <c r="M55" i="22"/>
  <c r="G55" i="22" s="1"/>
  <c r="I54" i="22" s="1"/>
  <c r="M116" i="22"/>
  <c r="G116" i="22" s="1"/>
  <c r="M43" i="22"/>
  <c r="G43" i="22" s="1"/>
  <c r="M160" i="22"/>
  <c r="G160" i="22" s="1"/>
  <c r="M149" i="22"/>
  <c r="G149" i="22" s="1"/>
  <c r="I148" i="22" s="1"/>
  <c r="M156" i="22"/>
  <c r="G156" i="22" s="1"/>
  <c r="M150" i="22"/>
  <c r="G150" i="22" s="1"/>
  <c r="M76" i="22"/>
  <c r="G76" i="22" s="1"/>
  <c r="M28" i="22"/>
  <c r="G28" i="22" s="1"/>
  <c r="M104" i="22"/>
  <c r="G104" i="22" s="1"/>
  <c r="M44" i="22"/>
  <c r="G44" i="22" s="1"/>
  <c r="M67" i="22"/>
  <c r="G67" i="22" s="1"/>
  <c r="M29" i="22"/>
  <c r="G29" i="22" s="1"/>
  <c r="M86" i="22"/>
  <c r="G86" i="22" s="1"/>
  <c r="M78" i="22"/>
  <c r="G78" i="22" s="1"/>
  <c r="M63" i="22"/>
  <c r="G63" i="22" s="1"/>
  <c r="M103" i="22"/>
  <c r="G103" i="22" s="1"/>
  <c r="M135" i="22"/>
  <c r="G135" i="22" s="1"/>
  <c r="M194" i="22"/>
  <c r="G194" i="22" s="1"/>
  <c r="M178" i="22"/>
  <c r="G178" i="22" s="1"/>
  <c r="I177" i="22" s="1"/>
  <c r="AD7" i="18"/>
  <c r="N143" i="18" s="1"/>
  <c r="H143" i="18" s="1"/>
  <c r="E7" i="18"/>
  <c r="M26" i="18"/>
  <c r="M77" i="18"/>
  <c r="M98" i="18"/>
  <c r="M103" i="18"/>
  <c r="M162" i="18"/>
  <c r="M40" i="18"/>
  <c r="AF40" i="5" s="1"/>
  <c r="M35" i="18"/>
  <c r="AF35" i="5" s="1"/>
  <c r="M114" i="18"/>
  <c r="AF114" i="5" s="1"/>
  <c r="M100" i="18"/>
  <c r="AF100" i="5" s="1"/>
  <c r="M147" i="18"/>
  <c r="AF147" i="5" s="1"/>
  <c r="M160" i="18"/>
  <c r="AF160" i="5" s="1"/>
  <c r="M149" i="18"/>
  <c r="M178" i="18"/>
  <c r="M119" i="18"/>
  <c r="M78" i="18"/>
  <c r="AF78" i="5" s="1"/>
  <c r="M85" i="18"/>
  <c r="M81" i="18"/>
  <c r="M49" i="18"/>
  <c r="AF49" i="5" s="1"/>
  <c r="M174" i="18"/>
  <c r="AF174" i="5" s="1"/>
  <c r="M167" i="18"/>
  <c r="M196" i="18"/>
  <c r="M148" i="18"/>
  <c r="AF148" i="5" s="1"/>
  <c r="M95" i="18"/>
  <c r="M120" i="18"/>
  <c r="M88" i="18"/>
  <c r="M105" i="18"/>
  <c r="AF105" i="5" s="1"/>
  <c r="M61" i="18"/>
  <c r="M36" i="18"/>
  <c r="AF36" i="5" s="1"/>
  <c r="M79" i="18"/>
  <c r="AF79" i="5" s="1"/>
  <c r="M54" i="18"/>
  <c r="AF54" i="5" s="1"/>
  <c r="M86" i="18"/>
  <c r="M91" i="18"/>
  <c r="M185" i="18"/>
  <c r="AF185" i="5" s="1"/>
  <c r="M164" i="18"/>
  <c r="M21" i="18"/>
  <c r="AF21" i="5" s="1"/>
  <c r="M30" i="18"/>
  <c r="M73" i="18"/>
  <c r="M72" i="18"/>
  <c r="M133" i="18"/>
  <c r="M193" i="18"/>
  <c r="M9" i="18"/>
  <c r="AF9" i="5" s="1"/>
  <c r="M45" i="18"/>
  <c r="M41" i="18"/>
  <c r="M140" i="18"/>
  <c r="J127" i="11" s="1"/>
  <c r="M132" i="18"/>
  <c r="M180" i="18"/>
  <c r="M141" i="18"/>
  <c r="M186" i="18"/>
  <c r="AF186" i="5" s="1"/>
  <c r="M161" i="18"/>
  <c r="M117" i="18"/>
  <c r="AF117" i="5" s="1"/>
  <c r="M93" i="18"/>
  <c r="AF93" i="5" s="1"/>
  <c r="M134" i="18"/>
  <c r="M138" i="18"/>
  <c r="AF138" i="5" s="1"/>
  <c r="M62" i="18"/>
  <c r="AF62" i="5" s="1"/>
  <c r="M33" i="18"/>
  <c r="M158" i="18"/>
  <c r="M195" i="18"/>
  <c r="M176" i="18"/>
  <c r="AF176" i="5" s="1"/>
  <c r="M139" i="18"/>
  <c r="AF139" i="5" s="1"/>
  <c r="M111" i="18"/>
  <c r="M76" i="18"/>
  <c r="M84" i="18"/>
  <c r="M74" i="18"/>
  <c r="AF74" i="5" s="1"/>
  <c r="M46" i="18"/>
  <c r="M60" i="18"/>
  <c r="M27" i="18"/>
  <c r="M48" i="18"/>
  <c r="AF48" i="5" s="1"/>
  <c r="M122" i="18"/>
  <c r="AF122" i="5" s="1"/>
  <c r="M112" i="18"/>
  <c r="AF112" i="5" s="1"/>
  <c r="M181" i="18"/>
  <c r="M183" i="18"/>
  <c r="M29" i="18"/>
  <c r="M165" i="18"/>
  <c r="M19" i="18"/>
  <c r="M47" i="18"/>
  <c r="M43" i="18"/>
  <c r="M116" i="18"/>
  <c r="M129" i="18"/>
  <c r="M136" i="18"/>
  <c r="M172" i="18"/>
  <c r="M14" i="18"/>
  <c r="AF14" i="5" s="1"/>
  <c r="M59" i="18"/>
  <c r="AF59" i="5" s="1"/>
  <c r="M69" i="18"/>
  <c r="M97" i="18"/>
  <c r="M157" i="18"/>
  <c r="M190" i="18"/>
  <c r="AF190" i="5" s="1"/>
  <c r="M177" i="18"/>
  <c r="M179" i="18"/>
  <c r="AF179" i="5" s="1"/>
  <c r="M151" i="18"/>
  <c r="M110" i="18"/>
  <c r="M71" i="18"/>
  <c r="M106" i="18"/>
  <c r="M126" i="18"/>
  <c r="M39" i="18"/>
  <c r="M55" i="18"/>
  <c r="M194" i="18"/>
  <c r="AF194" i="5" s="1"/>
  <c r="M184" i="18"/>
  <c r="M159" i="18"/>
  <c r="M115" i="18"/>
  <c r="M90" i="18"/>
  <c r="M124" i="18"/>
  <c r="M135" i="18"/>
  <c r="M53" i="18"/>
  <c r="M25" i="18"/>
  <c r="M12" i="18"/>
  <c r="M22" i="18"/>
  <c r="M31" i="18"/>
  <c r="M82" i="18"/>
  <c r="AF82" i="5" s="1"/>
  <c r="M80" i="18"/>
  <c r="M145" i="18"/>
  <c r="O127" i="11" s="1"/>
  <c r="M154" i="18"/>
  <c r="M94" i="18"/>
  <c r="M18" i="18"/>
  <c r="M24" i="22"/>
  <c r="G24" i="22" s="1"/>
  <c r="M170" i="18"/>
  <c r="AF170" i="5" s="1"/>
  <c r="M64" i="18"/>
  <c r="AF64" i="5" s="1"/>
  <c r="M171" i="22"/>
  <c r="G171" i="22" s="1"/>
  <c r="M161" i="22"/>
  <c r="G161" i="22" s="1"/>
  <c r="M162" i="22"/>
  <c r="G162" i="22" s="1"/>
  <c r="M152" i="22"/>
  <c r="G152" i="22" s="1"/>
  <c r="M96" i="22"/>
  <c r="G96" i="22" s="1"/>
  <c r="M34" i="22"/>
  <c r="G34" i="22" s="1"/>
  <c r="M108" i="22"/>
  <c r="G108" i="22" s="1"/>
  <c r="M70" i="22"/>
  <c r="G70" i="22" s="1"/>
  <c r="AM7" i="22"/>
  <c r="M65" i="22"/>
  <c r="G65" i="22" s="1"/>
  <c r="I64" i="22" s="1"/>
  <c r="M27" i="22"/>
  <c r="G27" i="22" s="1"/>
  <c r="M84" i="22"/>
  <c r="G84" i="22" s="1"/>
  <c r="M165" i="22"/>
  <c r="G165" i="22" s="1"/>
  <c r="M100" i="22"/>
  <c r="G100" i="22" s="1"/>
  <c r="M90" i="22"/>
  <c r="G90" i="22" s="1"/>
  <c r="M32" i="22"/>
  <c r="G32" i="22" s="1"/>
  <c r="M191" i="22"/>
  <c r="G191" i="22" s="1"/>
  <c r="M124" i="22"/>
  <c r="G124" i="22" s="1"/>
  <c r="M128" i="22"/>
  <c r="G128" i="22" s="1"/>
  <c r="M130" i="22"/>
  <c r="G130" i="22" s="1"/>
  <c r="I129" i="22" s="1"/>
  <c r="M144" i="22"/>
  <c r="G144" i="22" s="1"/>
  <c r="M60" i="22"/>
  <c r="G60" i="22" s="1"/>
  <c r="M15" i="22"/>
  <c r="G15" i="22" s="1"/>
  <c r="I14" i="22" s="1"/>
  <c r="M107" i="22"/>
  <c r="G107" i="22" s="1"/>
  <c r="M69" i="22"/>
  <c r="G69" i="22" s="1"/>
  <c r="I68" i="22" s="1"/>
  <c r="M114" i="22"/>
  <c r="G114" i="22" s="1"/>
  <c r="M57" i="22"/>
  <c r="G57" i="22" s="1"/>
  <c r="M117" i="22"/>
  <c r="G117" i="22" s="1"/>
  <c r="M45" i="22"/>
  <c r="G45" i="22" s="1"/>
  <c r="I44" i="22" s="1"/>
  <c r="M179" i="22"/>
  <c r="G179" i="22" s="1"/>
  <c r="M157" i="22"/>
  <c r="G157" i="22" s="1"/>
  <c r="BD7" i="22"/>
  <c r="M74" i="22"/>
  <c r="G74" i="22" s="1"/>
  <c r="M188" i="22"/>
  <c r="G188" i="22" s="1"/>
  <c r="M190" i="22"/>
  <c r="G190" i="22" s="1"/>
  <c r="M126" i="22"/>
  <c r="G126" i="22" s="1"/>
  <c r="M187" i="22"/>
  <c r="G187" i="22" s="1"/>
  <c r="M142" i="22"/>
  <c r="G142" i="22" s="1"/>
  <c r="M58" i="22"/>
  <c r="G58" i="22" s="1"/>
  <c r="M14" i="22"/>
  <c r="G14" i="22" s="1"/>
  <c r="M92" i="22"/>
  <c r="G92" i="22" s="1"/>
  <c r="M18" i="22"/>
  <c r="G18" i="22" s="1"/>
  <c r="M101" i="22"/>
  <c r="G101" i="22" s="1"/>
  <c r="M51" i="22"/>
  <c r="G51" i="22" s="1"/>
  <c r="M112" i="22"/>
  <c r="G112" i="22" s="1"/>
  <c r="M21" i="22"/>
  <c r="G21" i="22" s="1"/>
  <c r="M167" i="22"/>
  <c r="G167" i="22" s="1"/>
  <c r="M36" i="22"/>
  <c r="G36" i="22" s="1"/>
  <c r="M13" i="22"/>
  <c r="G13" i="22" s="1"/>
  <c r="M89" i="22"/>
  <c r="G89" i="22" s="1"/>
  <c r="M16" i="18"/>
  <c r="M118" i="18"/>
  <c r="M11" i="18"/>
  <c r="AR7" i="22"/>
  <c r="BI7" i="22"/>
  <c r="F139" i="6"/>
  <c r="M57" i="18"/>
  <c r="M63" i="18"/>
  <c r="AF63" i="5" s="1"/>
  <c r="M127" i="18"/>
  <c r="M191" i="18"/>
  <c r="M156" i="18"/>
  <c r="M89" i="18"/>
  <c r="AF89" i="5" s="1"/>
  <c r="M130" i="18"/>
  <c r="M20" i="18"/>
  <c r="AF20" i="5" s="1"/>
  <c r="M56" i="18"/>
  <c r="M15" i="18"/>
  <c r="M187" i="18"/>
  <c r="M58" i="18"/>
  <c r="M163" i="18"/>
  <c r="M146" i="18"/>
  <c r="O160" i="11" s="1"/>
  <c r="M108" i="18"/>
  <c r="M102" i="18"/>
  <c r="M34" i="18"/>
  <c r="M42" i="18"/>
  <c r="M13" i="18"/>
  <c r="M169" i="18"/>
  <c r="M87" i="18"/>
  <c r="M23" i="18"/>
  <c r="M182" i="18"/>
  <c r="M113" i="18"/>
  <c r="M123" i="18"/>
  <c r="M52" i="18"/>
  <c r="M28" i="18"/>
  <c r="M65" i="18"/>
  <c r="M92" i="18"/>
  <c r="M37" i="18"/>
  <c r="F84" i="6"/>
  <c r="F82" i="6"/>
  <c r="F85" i="6"/>
  <c r="F83" i="6"/>
  <c r="F81" i="6"/>
  <c r="F66" i="6"/>
  <c r="F64" i="6"/>
  <c r="F67" i="6"/>
  <c r="F65" i="6"/>
  <c r="F63" i="6"/>
  <c r="F60" i="6"/>
  <c r="F58" i="6"/>
  <c r="F61" i="6"/>
  <c r="F59" i="6"/>
  <c r="F57" i="6"/>
  <c r="F42" i="6"/>
  <c r="F40" i="6"/>
  <c r="F43" i="6"/>
  <c r="F41" i="6"/>
  <c r="F39" i="6"/>
  <c r="F72" i="6"/>
  <c r="F70" i="6"/>
  <c r="F73" i="6"/>
  <c r="F71" i="6"/>
  <c r="F69" i="6"/>
  <c r="F48" i="6"/>
  <c r="F46" i="6"/>
  <c r="F49" i="6"/>
  <c r="F47" i="6"/>
  <c r="F45" i="6"/>
  <c r="O126" i="6"/>
  <c r="F78" i="6"/>
  <c r="F76" i="6"/>
  <c r="F79" i="6"/>
  <c r="F77" i="6"/>
  <c r="F75" i="6"/>
  <c r="F54" i="6"/>
  <c r="F52" i="6"/>
  <c r="F55" i="6"/>
  <c r="F53" i="6"/>
  <c r="F51" i="6"/>
  <c r="F90" i="6"/>
  <c r="F88" i="6"/>
  <c r="F91" i="6"/>
  <c r="F89" i="6"/>
  <c r="F87" i="6"/>
  <c r="AM137" i="23"/>
  <c r="AM172" i="23"/>
  <c r="AM122" i="23"/>
  <c r="AM121" i="23"/>
  <c r="AM87" i="23"/>
  <c r="AM133" i="23"/>
  <c r="AM135" i="23"/>
  <c r="AM134" i="23"/>
  <c r="AM110" i="23"/>
  <c r="K96" i="18" l="1"/>
  <c r="H22" i="14"/>
  <c r="H25" i="14" s="1"/>
  <c r="AF143" i="5"/>
  <c r="J185" i="11"/>
  <c r="G143" i="18"/>
  <c r="J169" i="11"/>
  <c r="AF142" i="5"/>
  <c r="G142" i="18"/>
  <c r="N142" i="18"/>
  <c r="H142" i="18" s="1"/>
  <c r="N35" i="6"/>
  <c r="U31" i="6" s="1"/>
  <c r="O153" i="6"/>
  <c r="D35" i="16" s="1"/>
  <c r="T40" i="4" s="1"/>
  <c r="T40" i="24" s="1"/>
  <c r="F142" i="6"/>
  <c r="F147" i="6"/>
  <c r="D15" i="16"/>
  <c r="E15" i="16"/>
  <c r="D5" i="16"/>
  <c r="E5" i="16" s="1"/>
  <c r="F276" i="9"/>
  <c r="W94" i="5"/>
  <c r="F277" i="9"/>
  <c r="F278" i="9"/>
  <c r="D5" i="17"/>
  <c r="E5" i="17" s="1"/>
  <c r="D12" i="4"/>
  <c r="D12" i="24"/>
  <c r="F275" i="9"/>
  <c r="I172" i="22"/>
  <c r="D174" i="22" s="1"/>
  <c r="I100" i="22"/>
  <c r="D105" i="22" s="1"/>
  <c r="I121" i="22"/>
  <c r="D122" i="22" s="1"/>
  <c r="I166" i="22"/>
  <c r="D167" i="22" s="1"/>
  <c r="D34" i="22"/>
  <c r="J31" i="11"/>
  <c r="F34" i="11"/>
  <c r="F36" i="11"/>
  <c r="F38" i="11"/>
  <c r="F37" i="11"/>
  <c r="F35" i="11"/>
  <c r="I35" i="22"/>
  <c r="D44" i="22" s="1"/>
  <c r="AF104" i="5"/>
  <c r="J384" i="9"/>
  <c r="D111" i="22"/>
  <c r="N90" i="22"/>
  <c r="H90" i="22" s="1"/>
  <c r="G123" i="18"/>
  <c r="O146" i="13"/>
  <c r="O145" i="13" s="1"/>
  <c r="G166" i="18"/>
  <c r="N157" i="22"/>
  <c r="H157" i="22" s="1"/>
  <c r="I146" i="22"/>
  <c r="D147" i="22" s="1"/>
  <c r="I59" i="22"/>
  <c r="N167" i="22"/>
  <c r="H167" i="22" s="1"/>
  <c r="N137" i="22"/>
  <c r="H137" i="22" s="1"/>
  <c r="N71" i="22"/>
  <c r="H71" i="22" s="1"/>
  <c r="N95" i="22"/>
  <c r="H95" i="22" s="1"/>
  <c r="AF125" i="5"/>
  <c r="N173" i="22"/>
  <c r="H173" i="22" s="1"/>
  <c r="N113" i="22"/>
  <c r="H113" i="22" s="1"/>
  <c r="N43" i="22"/>
  <c r="H43" i="22" s="1"/>
  <c r="N138" i="22"/>
  <c r="H138" i="22" s="1"/>
  <c r="N57" i="22"/>
  <c r="H57" i="22" s="1"/>
  <c r="N171" i="22"/>
  <c r="H171" i="22" s="1"/>
  <c r="N163" i="22"/>
  <c r="H163" i="22" s="1"/>
  <c r="N101" i="22"/>
  <c r="H101" i="22" s="1"/>
  <c r="N108" i="22"/>
  <c r="H108" i="22" s="1"/>
  <c r="N129" i="22"/>
  <c r="H129" i="22" s="1"/>
  <c r="I145" i="22"/>
  <c r="N191" i="22"/>
  <c r="H191" i="22" s="1"/>
  <c r="N37" i="22"/>
  <c r="H37" i="22" s="1"/>
  <c r="J36" i="22" s="1"/>
  <c r="N172" i="22"/>
  <c r="H172" i="22" s="1"/>
  <c r="N35" i="22"/>
  <c r="H35" i="22" s="1"/>
  <c r="D39" i="22"/>
  <c r="D38" i="22"/>
  <c r="N161" i="22"/>
  <c r="H161" i="22" s="1"/>
  <c r="N155" i="22"/>
  <c r="H155" i="22" s="1"/>
  <c r="N151" i="22"/>
  <c r="H151" i="22" s="1"/>
  <c r="N179" i="22"/>
  <c r="H179" i="22" s="1"/>
  <c r="N104" i="22"/>
  <c r="H104" i="22" s="1"/>
  <c r="N44" i="22"/>
  <c r="H44" i="22" s="1"/>
  <c r="N80" i="22"/>
  <c r="H80" i="22" s="1"/>
  <c r="J79" i="22" s="1"/>
  <c r="N117" i="22"/>
  <c r="H117" i="22" s="1"/>
  <c r="N154" i="22"/>
  <c r="H154" i="22" s="1"/>
  <c r="N175" i="22"/>
  <c r="H175" i="22" s="1"/>
  <c r="N189" i="22"/>
  <c r="H189" i="22" s="1"/>
  <c r="J188" i="22" s="1"/>
  <c r="N103" i="22"/>
  <c r="H103" i="22" s="1"/>
  <c r="N114" i="22"/>
  <c r="H114" i="22" s="1"/>
  <c r="N49" i="22"/>
  <c r="H49" i="22" s="1"/>
  <c r="N181" i="22"/>
  <c r="H181" i="22" s="1"/>
  <c r="N158" i="22"/>
  <c r="H158" i="22" s="1"/>
  <c r="N148" i="22"/>
  <c r="H148" i="22" s="1"/>
  <c r="N139" i="22"/>
  <c r="H139" i="22" s="1"/>
  <c r="D107" i="22"/>
  <c r="N192" i="22"/>
  <c r="H192" i="22" s="1"/>
  <c r="N140" i="22"/>
  <c r="H140" i="22" s="1"/>
  <c r="J139" i="22" s="1"/>
  <c r="N130" i="22"/>
  <c r="H130" i="22" s="1"/>
  <c r="J129" i="22" s="1"/>
  <c r="N146" i="22"/>
  <c r="H146" i="22" s="1"/>
  <c r="N160" i="22"/>
  <c r="H160" i="22" s="1"/>
  <c r="N93" i="22"/>
  <c r="H93" i="22" s="1"/>
  <c r="N22" i="22"/>
  <c r="H22" i="22" s="1"/>
  <c r="J21" i="22" s="1"/>
  <c r="N59" i="22"/>
  <c r="H59" i="22" s="1"/>
  <c r="N110" i="22"/>
  <c r="H110" i="22" s="1"/>
  <c r="N125" i="22"/>
  <c r="H125" i="22" s="1"/>
  <c r="J124" i="22" s="1"/>
  <c r="N159" i="22"/>
  <c r="H159" i="22" s="1"/>
  <c r="J158" i="22" s="1"/>
  <c r="N178" i="22"/>
  <c r="H178" i="22" s="1"/>
  <c r="J177" i="22" s="1"/>
  <c r="N83" i="22"/>
  <c r="H83" i="22" s="1"/>
  <c r="J82" i="22" s="1"/>
  <c r="N98" i="22"/>
  <c r="H98" i="22" s="1"/>
  <c r="N32" i="22"/>
  <c r="H32" i="22" s="1"/>
  <c r="N170" i="22"/>
  <c r="H170" i="22" s="1"/>
  <c r="N134" i="22"/>
  <c r="H134" i="22" s="1"/>
  <c r="N144" i="22"/>
  <c r="H144" i="22" s="1"/>
  <c r="N107" i="22"/>
  <c r="H107" i="22" s="1"/>
  <c r="D108" i="22"/>
  <c r="N190" i="22"/>
  <c r="H190" i="22" s="1"/>
  <c r="N126" i="22"/>
  <c r="H126" i="22" s="1"/>
  <c r="N184" i="22"/>
  <c r="H184" i="22" s="1"/>
  <c r="N141" i="22"/>
  <c r="H141" i="22" s="1"/>
  <c r="N132" i="22"/>
  <c r="H132" i="22" s="1"/>
  <c r="N85" i="22"/>
  <c r="H85" i="22" s="1"/>
  <c r="N121" i="22"/>
  <c r="H121" i="22" s="1"/>
  <c r="N51" i="22"/>
  <c r="H51" i="22" s="1"/>
  <c r="N88" i="22"/>
  <c r="H88" i="22" s="1"/>
  <c r="N182" i="22"/>
  <c r="H182" i="22" s="1"/>
  <c r="N162" i="22"/>
  <c r="H162" i="22" s="1"/>
  <c r="N150" i="22"/>
  <c r="H150" i="22" s="1"/>
  <c r="N124" i="22"/>
  <c r="H124" i="22" s="1"/>
  <c r="N70" i="22"/>
  <c r="H70" i="22" s="1"/>
  <c r="N74" i="22"/>
  <c r="H74" i="22" s="1"/>
  <c r="N116" i="22"/>
  <c r="H116" i="22" s="1"/>
  <c r="N149" i="22"/>
  <c r="H149" i="22" s="1"/>
  <c r="J148" i="22" s="1"/>
  <c r="N187" i="22"/>
  <c r="H187" i="22" s="1"/>
  <c r="N188" i="22"/>
  <c r="H188" i="22" s="1"/>
  <c r="N102" i="22"/>
  <c r="H102" i="22" s="1"/>
  <c r="J101" i="22" s="1"/>
  <c r="D110" i="22"/>
  <c r="G192" i="18"/>
  <c r="D106" i="22"/>
  <c r="D140" i="22"/>
  <c r="J196" i="14"/>
  <c r="J195" i="14" s="1"/>
  <c r="G189" i="18"/>
  <c r="AF189" i="5"/>
  <c r="AF175" i="5"/>
  <c r="G66" i="18"/>
  <c r="J25" i="9"/>
  <c r="AF66" i="5"/>
  <c r="G70" i="18"/>
  <c r="AF70" i="5"/>
  <c r="D143" i="22"/>
  <c r="D144" i="22"/>
  <c r="I74" i="22"/>
  <c r="D76" i="22" s="1"/>
  <c r="AF99" i="5"/>
  <c r="G99" i="18"/>
  <c r="J217" i="14"/>
  <c r="J216" i="14" s="1"/>
  <c r="D23" i="22"/>
  <c r="D25" i="22"/>
  <c r="D28" i="22"/>
  <c r="D22" i="22"/>
  <c r="D29" i="22"/>
  <c r="D26" i="22"/>
  <c r="D27" i="22"/>
  <c r="D24" i="22"/>
  <c r="AF128" i="5"/>
  <c r="G128" i="18"/>
  <c r="G75" i="18"/>
  <c r="J85" i="9"/>
  <c r="J84" i="9" s="1"/>
  <c r="AF75" i="5"/>
  <c r="AF24" i="5"/>
  <c r="G24" i="18"/>
  <c r="J180" i="8"/>
  <c r="G83" i="18"/>
  <c r="J217" i="9"/>
  <c r="AF83" i="5"/>
  <c r="D194" i="22"/>
  <c r="D193" i="22"/>
  <c r="N65" i="22"/>
  <c r="H65" i="22" s="1"/>
  <c r="J64" i="22" s="1"/>
  <c r="N27" i="22"/>
  <c r="H27" i="22" s="1"/>
  <c r="N77" i="22"/>
  <c r="H77" i="22" s="1"/>
  <c r="N185" i="22"/>
  <c r="H185" i="22" s="1"/>
  <c r="J184" i="22" s="1"/>
  <c r="N133" i="22"/>
  <c r="H133" i="22" s="1"/>
  <c r="N193" i="22"/>
  <c r="H193" i="22" s="1"/>
  <c r="J192" i="22" s="1"/>
  <c r="N145" i="22"/>
  <c r="H145" i="22" s="1"/>
  <c r="N153" i="22"/>
  <c r="H153" i="22" s="1"/>
  <c r="N92" i="22"/>
  <c r="H92" i="22" s="1"/>
  <c r="N18" i="22"/>
  <c r="H18" i="22" s="1"/>
  <c r="N63" i="22"/>
  <c r="H63" i="22" s="1"/>
  <c r="N23" i="22"/>
  <c r="H23" i="22" s="1"/>
  <c r="N180" i="22"/>
  <c r="H180" i="22" s="1"/>
  <c r="N176" i="22"/>
  <c r="H176" i="22" s="1"/>
  <c r="N168" i="22"/>
  <c r="H168" i="22" s="1"/>
  <c r="N135" i="22"/>
  <c r="H135" i="22" s="1"/>
  <c r="N122" i="22"/>
  <c r="H122" i="22" s="1"/>
  <c r="N79" i="22"/>
  <c r="H79" i="22" s="1"/>
  <c r="D94" i="22"/>
  <c r="D95" i="22"/>
  <c r="D96" i="22"/>
  <c r="D98" i="22"/>
  <c r="D97" i="22"/>
  <c r="G137" i="18"/>
  <c r="AF137" i="5"/>
  <c r="N177" i="22"/>
  <c r="H177" i="22" s="1"/>
  <c r="N128" i="22"/>
  <c r="H128" i="22" s="1"/>
  <c r="N186" i="22"/>
  <c r="H186" i="22" s="1"/>
  <c r="N142" i="22"/>
  <c r="H142" i="22" s="1"/>
  <c r="N136" i="22"/>
  <c r="H136" i="22" s="1"/>
  <c r="N87" i="22"/>
  <c r="H87" i="22" s="1"/>
  <c r="N33" i="22"/>
  <c r="H33" i="22" s="1"/>
  <c r="J32" i="22" s="1"/>
  <c r="N111" i="22"/>
  <c r="H111" i="22" s="1"/>
  <c r="N68" i="22"/>
  <c r="H68" i="22" s="1"/>
  <c r="N55" i="22"/>
  <c r="H55" i="22" s="1"/>
  <c r="J54" i="22" s="1"/>
  <c r="N31" i="22"/>
  <c r="H31" i="22" s="1"/>
  <c r="N115" i="22"/>
  <c r="H115" i="22" s="1"/>
  <c r="J114" i="22" s="1"/>
  <c r="E115" i="22" s="1"/>
  <c r="N86" i="22"/>
  <c r="H86" i="22" s="1"/>
  <c r="N47" i="22"/>
  <c r="H47" i="22" s="1"/>
  <c r="N16" i="22"/>
  <c r="H16" i="22" s="1"/>
  <c r="N100" i="22"/>
  <c r="H100" i="22" s="1"/>
  <c r="N73" i="22"/>
  <c r="H73" i="22" s="1"/>
  <c r="N60" i="22"/>
  <c r="H60" i="22" s="1"/>
  <c r="N53" i="22"/>
  <c r="H53" i="22" s="1"/>
  <c r="N36" i="22"/>
  <c r="H36" i="22" s="1"/>
  <c r="N26" i="22"/>
  <c r="H26" i="22" s="1"/>
  <c r="N15" i="22"/>
  <c r="H15" i="22" s="1"/>
  <c r="J14" i="22" s="1"/>
  <c r="AW7" i="22"/>
  <c r="N174" i="22"/>
  <c r="H174" i="22" s="1"/>
  <c r="N169" i="22"/>
  <c r="H169" i="22" s="1"/>
  <c r="J168" i="22" s="1"/>
  <c r="N166" i="22"/>
  <c r="H166" i="22" s="1"/>
  <c r="N127" i="22"/>
  <c r="H127" i="22" s="1"/>
  <c r="J126" i="22" s="1"/>
  <c r="N118" i="22"/>
  <c r="H118" i="22" s="1"/>
  <c r="J117" i="22" s="1"/>
  <c r="N75" i="22"/>
  <c r="H75" i="22" s="1"/>
  <c r="N25" i="22"/>
  <c r="H25" i="22" s="1"/>
  <c r="N105" i="22"/>
  <c r="H105" i="22" s="1"/>
  <c r="N67" i="22"/>
  <c r="H67" i="22" s="1"/>
  <c r="N52" i="22"/>
  <c r="H52" i="22" s="1"/>
  <c r="N29" i="22"/>
  <c r="H29" i="22" s="1"/>
  <c r="N112" i="22"/>
  <c r="H112" i="22" s="1"/>
  <c r="N84" i="22"/>
  <c r="H84" i="22" s="1"/>
  <c r="N45" i="22"/>
  <c r="H45" i="22" s="1"/>
  <c r="J44" i="22" s="1"/>
  <c r="N123" i="22"/>
  <c r="H123" i="22" s="1"/>
  <c r="N96" i="22"/>
  <c r="H96" i="22" s="1"/>
  <c r="N72" i="22"/>
  <c r="H72" i="22" s="1"/>
  <c r="N58" i="22"/>
  <c r="H58" i="22" s="1"/>
  <c r="N50" i="22"/>
  <c r="H50" i="22" s="1"/>
  <c r="J49" i="22" s="1"/>
  <c r="N34" i="22"/>
  <c r="H34" i="22" s="1"/>
  <c r="N24" i="22"/>
  <c r="H24" i="22" s="1"/>
  <c r="N14" i="22"/>
  <c r="H14" i="22" s="1"/>
  <c r="N165" i="22"/>
  <c r="H165" i="22" s="1"/>
  <c r="N156" i="22"/>
  <c r="H156" i="22" s="1"/>
  <c r="N152" i="22"/>
  <c r="H152" i="22" s="1"/>
  <c r="N183" i="22"/>
  <c r="H183" i="22" s="1"/>
  <c r="N106" i="22"/>
  <c r="H106" i="22" s="1"/>
  <c r="J105" i="22" s="1"/>
  <c r="N69" i="22"/>
  <c r="H69" i="22" s="1"/>
  <c r="J68" i="22" s="1"/>
  <c r="N13" i="22"/>
  <c r="H13" i="22" s="1"/>
  <c r="N94" i="22"/>
  <c r="H94" i="22" s="1"/>
  <c r="J93" i="22" s="1"/>
  <c r="N62" i="22"/>
  <c r="H62" i="22" s="1"/>
  <c r="N40" i="22"/>
  <c r="H40" i="22" s="1"/>
  <c r="N17" i="22"/>
  <c r="H17" i="22" s="1"/>
  <c r="N91" i="22"/>
  <c r="H91" i="22" s="1"/>
  <c r="N78" i="22"/>
  <c r="H78" i="22" s="1"/>
  <c r="N42" i="22"/>
  <c r="H42" i="22" s="1"/>
  <c r="N119" i="22"/>
  <c r="H119" i="22" s="1"/>
  <c r="N82" i="22"/>
  <c r="H82" i="22" s="1"/>
  <c r="N66" i="22"/>
  <c r="H66" i="22" s="1"/>
  <c r="N56" i="22"/>
  <c r="H56" i="22" s="1"/>
  <c r="N41" i="22"/>
  <c r="H41" i="22" s="1"/>
  <c r="J40" i="22" s="1"/>
  <c r="N30" i="22"/>
  <c r="H30" i="22" s="1"/>
  <c r="N20" i="22"/>
  <c r="H20" i="22" s="1"/>
  <c r="N12" i="22"/>
  <c r="H12" i="22" s="1"/>
  <c r="J11" i="22" s="1"/>
  <c r="N194" i="22"/>
  <c r="H194" i="22" s="1"/>
  <c r="N143" i="22"/>
  <c r="H143" i="22" s="1"/>
  <c r="J142" i="22" s="1"/>
  <c r="N131" i="22"/>
  <c r="H131" i="22" s="1"/>
  <c r="N147" i="22"/>
  <c r="H147" i="22" s="1"/>
  <c r="N164" i="22"/>
  <c r="H164" i="22" s="1"/>
  <c r="N97" i="22"/>
  <c r="H97" i="22" s="1"/>
  <c r="N46" i="22"/>
  <c r="H46" i="22" s="1"/>
  <c r="N10" i="22"/>
  <c r="H10" i="22" s="1"/>
  <c r="N81" i="22"/>
  <c r="H81" i="22" s="1"/>
  <c r="N61" i="22"/>
  <c r="H61" i="22" s="1"/>
  <c r="N39" i="22"/>
  <c r="H39" i="22" s="1"/>
  <c r="N9" i="22"/>
  <c r="H9" i="22" s="1"/>
  <c r="N89" i="22"/>
  <c r="H89" i="22" s="1"/>
  <c r="N48" i="22"/>
  <c r="H48" i="22" s="1"/>
  <c r="N21" i="22"/>
  <c r="H21" i="22" s="1"/>
  <c r="N109" i="22"/>
  <c r="H109" i="22" s="1"/>
  <c r="N76" i="22"/>
  <c r="H76" i="22" s="1"/>
  <c r="N64" i="22"/>
  <c r="H64" i="22" s="1"/>
  <c r="N54" i="22"/>
  <c r="H54" i="22" s="1"/>
  <c r="N38" i="22"/>
  <c r="H38" i="22" s="1"/>
  <c r="N28" i="22"/>
  <c r="H28" i="22" s="1"/>
  <c r="N19" i="22"/>
  <c r="H19" i="22" s="1"/>
  <c r="N11" i="22"/>
  <c r="H11" i="22" s="1"/>
  <c r="G50" i="18"/>
  <c r="J389" i="8"/>
  <c r="AF50" i="5"/>
  <c r="AF188" i="5"/>
  <c r="J175" i="14"/>
  <c r="J174" i="14" s="1"/>
  <c r="G188" i="18"/>
  <c r="G152" i="18"/>
  <c r="O24" i="13"/>
  <c r="O23" i="13" s="1"/>
  <c r="AF152" i="5"/>
  <c r="G155" i="18"/>
  <c r="J60" i="13"/>
  <c r="O59" i="13" s="1"/>
  <c r="AF155" i="5"/>
  <c r="J288" i="13"/>
  <c r="J287" i="13" s="1"/>
  <c r="AF173" i="5"/>
  <c r="G173" i="18"/>
  <c r="AF131" i="5"/>
  <c r="G107" i="18"/>
  <c r="O396" i="9"/>
  <c r="O395" i="9" s="1"/>
  <c r="AF107" i="5"/>
  <c r="AF67" i="5"/>
  <c r="G67" i="18"/>
  <c r="J36" i="9"/>
  <c r="J35" i="9" s="1"/>
  <c r="AF44" i="5"/>
  <c r="J351" i="8"/>
  <c r="AF109" i="5"/>
  <c r="G109" i="18"/>
  <c r="O406" i="9"/>
  <c r="O405" i="9" s="1"/>
  <c r="I63" i="22"/>
  <c r="D64" i="22" s="1"/>
  <c r="AF38" i="5"/>
  <c r="G38" i="18"/>
  <c r="J108" i="8"/>
  <c r="AF17" i="5"/>
  <c r="G17" i="18"/>
  <c r="G51" i="18"/>
  <c r="J399" i="8"/>
  <c r="AF51" i="5"/>
  <c r="J311" i="9"/>
  <c r="J310" i="9" s="1"/>
  <c r="AF96" i="5"/>
  <c r="AF171" i="5"/>
  <c r="G171" i="18"/>
  <c r="J211" i="13"/>
  <c r="J210" i="13" s="1"/>
  <c r="G28" i="18"/>
  <c r="J229" i="8"/>
  <c r="J228" i="8" s="1"/>
  <c r="AF28" i="5"/>
  <c r="AF108" i="5"/>
  <c r="G108" i="18"/>
  <c r="J406" i="9"/>
  <c r="J405" i="9" s="1"/>
  <c r="G127" i="18"/>
  <c r="AF127" i="5"/>
  <c r="G118" i="18"/>
  <c r="J65" i="10"/>
  <c r="AF118" i="5"/>
  <c r="G25" i="18"/>
  <c r="J202" i="8"/>
  <c r="J201" i="8" s="1"/>
  <c r="AF25" i="5"/>
  <c r="J396" i="9"/>
  <c r="J395" i="9" s="1"/>
  <c r="AF106" i="5"/>
  <c r="G106" i="18"/>
  <c r="J222" i="13"/>
  <c r="J221" i="13" s="1"/>
  <c r="AF172" i="5"/>
  <c r="G172" i="18"/>
  <c r="AF158" i="5"/>
  <c r="G158" i="18"/>
  <c r="J100" i="13"/>
  <c r="O99" i="13" s="1"/>
  <c r="AF140" i="5"/>
  <c r="G140" i="18"/>
  <c r="G91" i="18"/>
  <c r="O252" i="9"/>
  <c r="O251" i="9" s="1"/>
  <c r="AF91" i="5"/>
  <c r="G167" i="18"/>
  <c r="J168" i="13"/>
  <c r="J167" i="13" s="1"/>
  <c r="AF167" i="5"/>
  <c r="AF85" i="5"/>
  <c r="G85" i="18"/>
  <c r="J229" i="9"/>
  <c r="J228" i="9" s="1"/>
  <c r="AF162" i="5"/>
  <c r="O128" i="13"/>
  <c r="O127" i="13" s="1"/>
  <c r="G162" i="18"/>
  <c r="D171" i="22"/>
  <c r="D170" i="22"/>
  <c r="D169" i="22"/>
  <c r="D125" i="22"/>
  <c r="D126" i="22"/>
  <c r="G37" i="18"/>
  <c r="J285" i="8"/>
  <c r="AF37" i="5"/>
  <c r="AF52" i="5"/>
  <c r="J408" i="8"/>
  <c r="G52" i="18"/>
  <c r="G23" i="18"/>
  <c r="J170" i="8"/>
  <c r="J169" i="8" s="1"/>
  <c r="AF23" i="5"/>
  <c r="J326" i="8"/>
  <c r="AF42" i="5"/>
  <c r="G42" i="18"/>
  <c r="AF146" i="5"/>
  <c r="G146" i="18"/>
  <c r="AF15" i="5"/>
  <c r="J74" i="8"/>
  <c r="G16" i="18"/>
  <c r="J91" i="8"/>
  <c r="AF16" i="5"/>
  <c r="D18" i="22"/>
  <c r="D15" i="22"/>
  <c r="D17" i="22"/>
  <c r="D16" i="22"/>
  <c r="I89" i="22"/>
  <c r="AF154" i="5"/>
  <c r="J43" i="13"/>
  <c r="O42" i="13" s="1"/>
  <c r="G154" i="18"/>
  <c r="J256" i="8"/>
  <c r="AF31" i="5"/>
  <c r="G31" i="18"/>
  <c r="G53" i="18"/>
  <c r="J417" i="8"/>
  <c r="AF53" i="5"/>
  <c r="G115" i="18"/>
  <c r="I114" i="18" s="1"/>
  <c r="D115" i="18" s="1"/>
  <c r="AA115" i="5" s="1"/>
  <c r="Z115" i="5" s="1"/>
  <c r="Q115" i="5" s="1"/>
  <c r="AF115" i="5"/>
  <c r="AF55" i="5"/>
  <c r="G55" i="18"/>
  <c r="J428" i="8"/>
  <c r="G71" i="18"/>
  <c r="J57" i="9"/>
  <c r="J56" i="9" s="1"/>
  <c r="AF71" i="5"/>
  <c r="G177" i="18"/>
  <c r="AF177" i="5"/>
  <c r="J30" i="14"/>
  <c r="J29" i="14" s="1"/>
  <c r="AF69" i="5"/>
  <c r="G69" i="18"/>
  <c r="J47" i="9"/>
  <c r="AF136" i="5"/>
  <c r="G136" i="18"/>
  <c r="G47" i="18"/>
  <c r="J370" i="8"/>
  <c r="AF47" i="5"/>
  <c r="J125" i="14"/>
  <c r="J124" i="14" s="1"/>
  <c r="AF183" i="5"/>
  <c r="G33" i="18"/>
  <c r="J273" i="8"/>
  <c r="J272" i="8" s="1"/>
  <c r="AF33" i="5"/>
  <c r="G141" i="18"/>
  <c r="J160" i="11"/>
  <c r="J159" i="11" s="1"/>
  <c r="AF141" i="5"/>
  <c r="J317" i="8"/>
  <c r="AF41" i="5"/>
  <c r="G41" i="18"/>
  <c r="G133" i="18"/>
  <c r="AF133" i="5"/>
  <c r="AF86" i="5"/>
  <c r="G86" i="18"/>
  <c r="O229" i="9"/>
  <c r="O228" i="9" s="1"/>
  <c r="O469" i="8"/>
  <c r="O468" i="8" s="1"/>
  <c r="AF61" i="5"/>
  <c r="G61" i="18"/>
  <c r="AF95" i="5"/>
  <c r="J291" i="9"/>
  <c r="J290" i="9" s="1"/>
  <c r="AF149" i="5"/>
  <c r="G149" i="18"/>
  <c r="J13" i="13"/>
  <c r="J12" i="13" s="1"/>
  <c r="AF103" i="5"/>
  <c r="G103" i="18"/>
  <c r="J372" i="9"/>
  <c r="D7" i="18"/>
  <c r="AF6" i="5" s="1"/>
  <c r="AD6" i="23" s="1"/>
  <c r="AH6" i="5"/>
  <c r="AE6" i="23" s="1"/>
  <c r="D119" i="22"/>
  <c r="D118" i="22"/>
  <c r="D88" i="22"/>
  <c r="D85" i="22"/>
  <c r="D86" i="22"/>
  <c r="D83" i="22"/>
  <c r="D84" i="22"/>
  <c r="D87" i="22"/>
  <c r="I8" i="22"/>
  <c r="I78" i="22"/>
  <c r="G182" i="18"/>
  <c r="J106" i="14"/>
  <c r="J105" i="14" s="1"/>
  <c r="AF182" i="5"/>
  <c r="AF187" i="5"/>
  <c r="J147" i="14"/>
  <c r="J146" i="14" s="1"/>
  <c r="G187" i="18"/>
  <c r="BB192" i="22"/>
  <c r="BB177" i="22"/>
  <c r="BB179" i="22"/>
  <c r="BB154" i="22"/>
  <c r="BB140" i="22"/>
  <c r="BB126" i="22"/>
  <c r="BB169" i="22"/>
  <c r="BB158" i="22"/>
  <c r="BB146" i="22"/>
  <c r="BB186" i="22"/>
  <c r="BB163" i="22"/>
  <c r="BB150" i="22"/>
  <c r="BB142" i="22"/>
  <c r="BB127" i="22"/>
  <c r="BB187" i="22"/>
  <c r="BB171" i="22"/>
  <c r="BB139" i="22"/>
  <c r="BB112" i="22"/>
  <c r="BB104" i="22"/>
  <c r="BB93" i="22"/>
  <c r="BB85" i="22"/>
  <c r="BB71" i="22"/>
  <c r="BB46" i="22"/>
  <c r="BB22" i="22"/>
  <c r="BB116" i="22"/>
  <c r="BB101" i="22"/>
  <c r="BB80" i="22"/>
  <c r="BB67" i="22"/>
  <c r="BB57" i="22"/>
  <c r="BB49" i="22"/>
  <c r="BB37" i="22"/>
  <c r="BB27" i="22"/>
  <c r="BB122" i="22"/>
  <c r="BB95" i="22"/>
  <c r="BB86" i="22"/>
  <c r="BB45" i="22"/>
  <c r="BB20" i="22"/>
  <c r="BB120" i="22"/>
  <c r="BB99" i="22"/>
  <c r="BB73" i="22"/>
  <c r="BB62" i="22"/>
  <c r="BB54" i="22"/>
  <c r="BB38" i="22"/>
  <c r="BB30" i="22"/>
  <c r="BB19" i="22"/>
  <c r="BB10" i="22"/>
  <c r="BB143" i="22"/>
  <c r="BB135" i="22"/>
  <c r="BB153" i="22"/>
  <c r="BB97" i="22"/>
  <c r="BB63" i="22"/>
  <c r="BB105" i="22"/>
  <c r="BB59" i="22"/>
  <c r="BB29" i="22"/>
  <c r="BB88" i="22"/>
  <c r="BB9" i="22"/>
  <c r="BB64" i="22"/>
  <c r="BB34" i="22"/>
  <c r="BB185" i="22"/>
  <c r="BB191" i="22"/>
  <c r="BB170" i="22"/>
  <c r="BB149" i="22"/>
  <c r="BB138" i="22"/>
  <c r="BB125" i="22"/>
  <c r="BB167" i="22"/>
  <c r="BB156" i="22"/>
  <c r="BB134" i="22"/>
  <c r="BB175" i="22"/>
  <c r="BB159" i="22"/>
  <c r="BB148" i="22"/>
  <c r="BB141" i="22"/>
  <c r="BB124" i="22"/>
  <c r="BB184" i="22"/>
  <c r="BB164" i="22"/>
  <c r="BB136" i="22"/>
  <c r="BB108" i="22"/>
  <c r="BB103" i="22"/>
  <c r="BB92" i="22"/>
  <c r="BB83" i="22"/>
  <c r="BB70" i="22"/>
  <c r="BB44" i="22"/>
  <c r="BB18" i="22"/>
  <c r="BB114" i="22"/>
  <c r="BB98" i="22"/>
  <c r="BB78" i="22"/>
  <c r="BB65" i="22"/>
  <c r="BB55" i="22"/>
  <c r="BB48" i="22"/>
  <c r="BB32" i="22"/>
  <c r="BB23" i="22"/>
  <c r="BB115" i="22"/>
  <c r="BB91" i="22"/>
  <c r="BB84" i="22"/>
  <c r="BB43" i="22"/>
  <c r="BB16" i="22"/>
  <c r="BB119" i="22"/>
  <c r="BB96" i="22"/>
  <c r="BB72" i="22"/>
  <c r="BB60" i="22"/>
  <c r="BB53" i="22"/>
  <c r="BB36" i="22"/>
  <c r="BB28" i="22"/>
  <c r="BB15" i="22"/>
  <c r="BB194" i="22"/>
  <c r="BB182" i="22"/>
  <c r="BB128" i="22"/>
  <c r="BB151" i="22"/>
  <c r="BB168" i="22"/>
  <c r="BB144" i="22"/>
  <c r="BB174" i="22"/>
  <c r="BB106" i="22"/>
  <c r="BB75" i="22"/>
  <c r="BB117" i="22"/>
  <c r="BB68" i="22"/>
  <c r="BB39" i="22"/>
  <c r="BB100" i="22"/>
  <c r="BB21" i="22"/>
  <c r="BB76" i="22"/>
  <c r="BB41" i="22"/>
  <c r="BB11" i="22"/>
  <c r="BB190" i="22"/>
  <c r="BB183" i="22"/>
  <c r="BB189" i="22"/>
  <c r="BB165" i="22"/>
  <c r="BB145" i="22"/>
  <c r="BB133" i="22"/>
  <c r="BB180" i="22"/>
  <c r="BB166" i="22"/>
  <c r="BB155" i="22"/>
  <c r="BB131" i="22"/>
  <c r="BB172" i="22"/>
  <c r="BB157" i="22"/>
  <c r="BB147" i="22"/>
  <c r="BB137" i="22"/>
  <c r="BB193" i="22"/>
  <c r="BB178" i="22"/>
  <c r="BB160" i="22"/>
  <c r="BB132" i="22"/>
  <c r="BB107" i="22"/>
  <c r="BB102" i="22"/>
  <c r="BB90" i="22"/>
  <c r="BB79" i="22"/>
  <c r="BB69" i="22"/>
  <c r="BB33" i="22"/>
  <c r="BB121" i="22"/>
  <c r="BB111" i="22"/>
  <c r="BB94" i="22"/>
  <c r="BB74" i="22"/>
  <c r="BB61" i="22"/>
  <c r="BB52" i="22"/>
  <c r="BB40" i="22"/>
  <c r="BB31" i="22"/>
  <c r="BB17" i="22"/>
  <c r="BB110" i="22"/>
  <c r="BB89" i="22"/>
  <c r="BB77" i="22"/>
  <c r="BB42" i="22"/>
  <c r="BB13" i="22"/>
  <c r="BB113" i="22"/>
  <c r="BB82" i="22"/>
  <c r="BB66" i="22"/>
  <c r="BB58" i="22"/>
  <c r="BB50" i="22"/>
  <c r="BB35" i="22"/>
  <c r="BB26" i="22"/>
  <c r="BB14" i="22"/>
  <c r="BB181" i="22"/>
  <c r="BB161" i="22"/>
  <c r="BB176" i="22"/>
  <c r="BB162" i="22"/>
  <c r="BB130" i="22"/>
  <c r="BB152" i="22"/>
  <c r="BB188" i="22"/>
  <c r="BB118" i="22"/>
  <c r="BB87" i="22"/>
  <c r="BB25" i="22"/>
  <c r="BB81" i="22"/>
  <c r="BB51" i="22"/>
  <c r="BB12" i="22"/>
  <c r="BB47" i="22"/>
  <c r="BB109" i="22"/>
  <c r="BB56" i="22"/>
  <c r="BB24" i="22"/>
  <c r="D131" i="22"/>
  <c r="D130" i="22"/>
  <c r="G97" i="18"/>
  <c r="J330" i="9"/>
  <c r="J329" i="9" s="1"/>
  <c r="AF97" i="5"/>
  <c r="AF29" i="5"/>
  <c r="G29" i="18"/>
  <c r="O229" i="8"/>
  <c r="O228" i="8" s="1"/>
  <c r="G111" i="18"/>
  <c r="O416" i="9"/>
  <c r="O415" i="9" s="1"/>
  <c r="AF111" i="5"/>
  <c r="J239" i="8"/>
  <c r="AF30" i="5"/>
  <c r="G30" i="18"/>
  <c r="G120" i="18"/>
  <c r="AF120" i="5"/>
  <c r="J40" i="14"/>
  <c r="J39" i="14" s="1"/>
  <c r="AF178" i="5"/>
  <c r="G178" i="18"/>
  <c r="G26" i="18"/>
  <c r="J211" i="8"/>
  <c r="AF26" i="5"/>
  <c r="D189" i="22"/>
  <c r="D191" i="22"/>
  <c r="D190" i="22"/>
  <c r="D53" i="22"/>
  <c r="D50" i="22"/>
  <c r="D52" i="22"/>
  <c r="D51" i="22"/>
  <c r="J262" i="9"/>
  <c r="J261" i="9" s="1"/>
  <c r="AF92" i="5"/>
  <c r="G92" i="18"/>
  <c r="J20" i="11"/>
  <c r="AF123" i="5"/>
  <c r="J240" i="9"/>
  <c r="J239" i="9" s="1"/>
  <c r="AF87" i="5"/>
  <c r="G87" i="18"/>
  <c r="O273" i="8"/>
  <c r="O272" i="8" s="1"/>
  <c r="AF34" i="5"/>
  <c r="G34" i="18"/>
  <c r="AF163" i="5"/>
  <c r="J137" i="13"/>
  <c r="J136" i="13" s="1"/>
  <c r="G163" i="18"/>
  <c r="AF56" i="5"/>
  <c r="G56" i="18"/>
  <c r="J438" i="8"/>
  <c r="G426" i="8" s="1"/>
  <c r="G156" i="18"/>
  <c r="J70" i="13"/>
  <c r="O69" i="13" s="1"/>
  <c r="AF156" i="5"/>
  <c r="AF57" i="5"/>
  <c r="G57" i="18"/>
  <c r="J449" i="8"/>
  <c r="I20" i="22"/>
  <c r="D65" i="22"/>
  <c r="D66" i="22"/>
  <c r="D67" i="22"/>
  <c r="AF145" i="5"/>
  <c r="G145" i="18"/>
  <c r="J154" i="8"/>
  <c r="AF22" i="5"/>
  <c r="G22" i="18"/>
  <c r="G135" i="18"/>
  <c r="AF135" i="5"/>
  <c r="AF159" i="5"/>
  <c r="G159" i="18"/>
  <c r="J112" i="13"/>
  <c r="O111" i="13" s="1"/>
  <c r="J306" i="8"/>
  <c r="AF39" i="5"/>
  <c r="G39" i="18"/>
  <c r="G110" i="18"/>
  <c r="J416" i="9"/>
  <c r="J415" i="9" s="1"/>
  <c r="AF110" i="5"/>
  <c r="O62" i="11"/>
  <c r="AF129" i="5"/>
  <c r="J142" i="8"/>
  <c r="AF19" i="5"/>
  <c r="G19" i="18"/>
  <c r="G181" i="18"/>
  <c r="AF181" i="5"/>
  <c r="J96" i="14"/>
  <c r="J95" i="14" s="1"/>
  <c r="G27" i="18"/>
  <c r="AF27" i="5"/>
  <c r="O218" i="9"/>
  <c r="O217" i="9" s="1"/>
  <c r="AF84" i="5"/>
  <c r="G84" i="18"/>
  <c r="AF180" i="5"/>
  <c r="G180" i="18"/>
  <c r="J86" i="14"/>
  <c r="J85" i="14" s="1"/>
  <c r="G45" i="18"/>
  <c r="AF45" i="5"/>
  <c r="J67" i="9"/>
  <c r="AF72" i="5"/>
  <c r="G72" i="18"/>
  <c r="O137" i="13"/>
  <c r="O136" i="13" s="1"/>
  <c r="AF164" i="5"/>
  <c r="G164" i="18"/>
  <c r="J99" i="10"/>
  <c r="AF119" i="5"/>
  <c r="G119" i="18"/>
  <c r="AF98" i="5"/>
  <c r="G98" i="18"/>
  <c r="J340" i="9"/>
  <c r="J339" i="9" s="1"/>
  <c r="N191" i="18"/>
  <c r="N172" i="18"/>
  <c r="N163" i="18"/>
  <c r="N193" i="18"/>
  <c r="N182" i="18"/>
  <c r="H182" i="18" s="1"/>
  <c r="N162" i="18"/>
  <c r="N146" i="18"/>
  <c r="H146" i="18" s="1"/>
  <c r="N187" i="18"/>
  <c r="N170" i="18"/>
  <c r="AH170" i="5" s="1"/>
  <c r="N189" i="18"/>
  <c r="N171" i="18"/>
  <c r="N154" i="18"/>
  <c r="N194" i="18"/>
  <c r="AH194" i="5" s="1"/>
  <c r="N167" i="18"/>
  <c r="N186" i="18"/>
  <c r="AH186" i="5" s="1"/>
  <c r="N166" i="18"/>
  <c r="N145" i="18"/>
  <c r="H145" i="18" s="1"/>
  <c r="N178" i="18"/>
  <c r="N159" i="18"/>
  <c r="N150" i="18"/>
  <c r="AH150" i="5" s="1"/>
  <c r="N180" i="18"/>
  <c r="H180" i="18" s="1"/>
  <c r="N164" i="18"/>
  <c r="N147" i="18"/>
  <c r="N140" i="18"/>
  <c r="H140" i="18" s="1"/>
  <c r="N128" i="18"/>
  <c r="N116" i="18"/>
  <c r="N101" i="18"/>
  <c r="AH101" i="5" s="1"/>
  <c r="N133" i="18"/>
  <c r="N115" i="18"/>
  <c r="N78" i="18"/>
  <c r="N124" i="18"/>
  <c r="N110" i="18"/>
  <c r="N97" i="18"/>
  <c r="N88" i="18"/>
  <c r="N84" i="18"/>
  <c r="N70" i="18"/>
  <c r="N109" i="18"/>
  <c r="N81" i="18"/>
  <c r="N92" i="18"/>
  <c r="N71" i="18"/>
  <c r="N45" i="18"/>
  <c r="N55" i="18"/>
  <c r="N34" i="18"/>
  <c r="N28" i="18"/>
  <c r="N23" i="18"/>
  <c r="N67" i="18"/>
  <c r="N56" i="18"/>
  <c r="N22" i="18"/>
  <c r="N60" i="18"/>
  <c r="N37" i="18"/>
  <c r="N15" i="18"/>
  <c r="N62" i="18"/>
  <c r="N53" i="18"/>
  <c r="N33" i="18"/>
  <c r="N12" i="18"/>
  <c r="N177" i="18"/>
  <c r="N149" i="18"/>
  <c r="N184" i="18"/>
  <c r="H184" i="18" s="1"/>
  <c r="N157" i="18"/>
  <c r="N144" i="18"/>
  <c r="AH144" i="5" s="1"/>
  <c r="N176" i="18"/>
  <c r="N156" i="18"/>
  <c r="N190" i="18"/>
  <c r="AH190" i="5" s="1"/>
  <c r="N175" i="18"/>
  <c r="N160" i="18"/>
  <c r="N141" i="18"/>
  <c r="H141" i="18" s="1"/>
  <c r="N136" i="18"/>
  <c r="N127" i="18"/>
  <c r="N114" i="18"/>
  <c r="N98" i="18"/>
  <c r="N129" i="18"/>
  <c r="N108" i="18"/>
  <c r="N76" i="18"/>
  <c r="N122" i="18"/>
  <c r="N107" i="18"/>
  <c r="N96" i="18"/>
  <c r="N87" i="18"/>
  <c r="N83" i="18"/>
  <c r="N138" i="18"/>
  <c r="N103" i="18"/>
  <c r="N119" i="18"/>
  <c r="N90" i="18"/>
  <c r="N69" i="18"/>
  <c r="N44" i="18"/>
  <c r="N50" i="18"/>
  <c r="N31" i="18"/>
  <c r="N27" i="18"/>
  <c r="N19" i="18"/>
  <c r="N64" i="18"/>
  <c r="AH64" i="5" s="1"/>
  <c r="N52" i="18"/>
  <c r="N21" i="18"/>
  <c r="AH21" i="5" s="1"/>
  <c r="N57" i="18"/>
  <c r="N36" i="18"/>
  <c r="AH36" i="5" s="1"/>
  <c r="N10" i="18"/>
  <c r="N61" i="18"/>
  <c r="N49" i="18"/>
  <c r="AH49" i="5" s="1"/>
  <c r="N25" i="18"/>
  <c r="N13" i="18"/>
  <c r="N173" i="18"/>
  <c r="N195" i="18"/>
  <c r="N181" i="18"/>
  <c r="H181" i="18" s="1"/>
  <c r="N153" i="18"/>
  <c r="N196" i="18"/>
  <c r="N165" i="18"/>
  <c r="N152" i="18"/>
  <c r="N188" i="18"/>
  <c r="N174" i="18"/>
  <c r="N158" i="18"/>
  <c r="N137" i="18"/>
  <c r="N132" i="18"/>
  <c r="N126" i="18"/>
  <c r="N111" i="18"/>
  <c r="N94" i="18"/>
  <c r="N121" i="18"/>
  <c r="N100" i="18"/>
  <c r="N72" i="18"/>
  <c r="N118" i="18"/>
  <c r="N106" i="18"/>
  <c r="N95" i="18"/>
  <c r="N86" i="18"/>
  <c r="N79" i="18"/>
  <c r="AH79" i="5" s="1"/>
  <c r="N130" i="18"/>
  <c r="N102" i="18"/>
  <c r="N113" i="18"/>
  <c r="N89" i="18"/>
  <c r="AH89" i="5" s="1"/>
  <c r="N47" i="18"/>
  <c r="N43" i="18"/>
  <c r="N38" i="18"/>
  <c r="N30" i="18"/>
  <c r="N26" i="18"/>
  <c r="N17" i="18"/>
  <c r="N63" i="18"/>
  <c r="N51" i="18"/>
  <c r="N74" i="18"/>
  <c r="AH74" i="5" s="1"/>
  <c r="N40" i="18"/>
  <c r="AH40" i="5" s="1"/>
  <c r="N32" i="18"/>
  <c r="N73" i="18"/>
  <c r="N58" i="18"/>
  <c r="N48" i="18"/>
  <c r="N20" i="18"/>
  <c r="N11" i="18"/>
  <c r="N192" i="18"/>
  <c r="N161" i="18"/>
  <c r="N155" i="18"/>
  <c r="N105" i="18"/>
  <c r="AH105" i="5" s="1"/>
  <c r="N134" i="18"/>
  <c r="N85" i="18"/>
  <c r="N93" i="18"/>
  <c r="AH93" i="5" s="1"/>
  <c r="N35" i="18"/>
  <c r="N59" i="18"/>
  <c r="AH59" i="5" s="1"/>
  <c r="N18" i="18"/>
  <c r="N14" i="18"/>
  <c r="AH14" i="5" s="1"/>
  <c r="N179" i="18"/>
  <c r="AH179" i="5" s="1"/>
  <c r="N151" i="18"/>
  <c r="N135" i="18"/>
  <c r="N139" i="18"/>
  <c r="AH139" i="5" s="1"/>
  <c r="AH138" i="5" s="1"/>
  <c r="N112" i="18"/>
  <c r="N77" i="18"/>
  <c r="N75" i="18"/>
  <c r="AH75" i="5" s="1"/>
  <c r="N29" i="18"/>
  <c r="N42" i="18"/>
  <c r="N66" i="18"/>
  <c r="N9" i="18"/>
  <c r="N148" i="18"/>
  <c r="N183" i="18"/>
  <c r="N131" i="18"/>
  <c r="N117" i="18"/>
  <c r="N104" i="18"/>
  <c r="N125" i="18"/>
  <c r="N46" i="18"/>
  <c r="N24" i="18"/>
  <c r="N65" i="18"/>
  <c r="N54" i="18"/>
  <c r="AH54" i="5" s="1"/>
  <c r="N185" i="18"/>
  <c r="N91" i="18"/>
  <c r="N39" i="18"/>
  <c r="N169" i="18"/>
  <c r="N82" i="18"/>
  <c r="AH82" i="5" s="1"/>
  <c r="N41" i="18"/>
  <c r="N168" i="18"/>
  <c r="N16" i="18"/>
  <c r="N123" i="18"/>
  <c r="N68" i="18"/>
  <c r="AH68" i="5" s="1"/>
  <c r="N80" i="18"/>
  <c r="D149" i="22"/>
  <c r="D150" i="22"/>
  <c r="D56" i="22"/>
  <c r="D57" i="22"/>
  <c r="D55" i="22"/>
  <c r="D58" i="22"/>
  <c r="D41" i="22"/>
  <c r="D43" i="22"/>
  <c r="D42" i="22"/>
  <c r="D127" i="22"/>
  <c r="D128" i="22"/>
  <c r="I151" i="22"/>
  <c r="I48" i="22"/>
  <c r="I9" i="22"/>
  <c r="D103" i="22"/>
  <c r="D102" i="22"/>
  <c r="I174" i="22"/>
  <c r="G95" i="18"/>
  <c r="J39" i="8"/>
  <c r="F40" i="8" s="1"/>
  <c r="AF13" i="5"/>
  <c r="AF130" i="5"/>
  <c r="AF94" i="5"/>
  <c r="J273" i="9"/>
  <c r="J272" i="9" s="1"/>
  <c r="G90" i="18"/>
  <c r="J252" i="9"/>
  <c r="J251" i="9" s="1"/>
  <c r="AF90" i="5"/>
  <c r="AF43" i="5"/>
  <c r="G43" i="18"/>
  <c r="J336" i="8"/>
  <c r="J335" i="8" s="1"/>
  <c r="G46" i="18"/>
  <c r="J359" i="8"/>
  <c r="AF46" i="5"/>
  <c r="G134" i="18"/>
  <c r="AF134" i="5"/>
  <c r="J235" i="14"/>
  <c r="J234" i="14" s="1"/>
  <c r="AF193" i="5"/>
  <c r="G193" i="18"/>
  <c r="I112" i="22"/>
  <c r="D12" i="22"/>
  <c r="D13" i="22"/>
  <c r="G65" i="18"/>
  <c r="J14" i="9"/>
  <c r="AF65" i="5"/>
  <c r="AF113" i="5"/>
  <c r="G113" i="18"/>
  <c r="J12" i="11"/>
  <c r="J12" i="10"/>
  <c r="AF169" i="5"/>
  <c r="G169" i="18"/>
  <c r="J188" i="13"/>
  <c r="O187" i="13" s="1"/>
  <c r="J361" i="9"/>
  <c r="AF102" i="5"/>
  <c r="G102" i="18"/>
  <c r="G58" i="18"/>
  <c r="J458" i="8"/>
  <c r="AF58" i="5"/>
  <c r="G191" i="18"/>
  <c r="J207" i="14"/>
  <c r="J206" i="14" s="1"/>
  <c r="AF191" i="5"/>
  <c r="AF11" i="5"/>
  <c r="J13" i="8"/>
  <c r="G11" i="18"/>
  <c r="D45" i="22"/>
  <c r="D46" i="22"/>
  <c r="D70" i="22"/>
  <c r="D73" i="22"/>
  <c r="D69" i="22"/>
  <c r="D71" i="22"/>
  <c r="D72" i="22"/>
  <c r="V183" i="22"/>
  <c r="V169" i="22"/>
  <c r="V156" i="22"/>
  <c r="V131" i="22"/>
  <c r="V186" i="22"/>
  <c r="V166" i="22"/>
  <c r="V152" i="22"/>
  <c r="V147" i="22"/>
  <c r="V142" i="22"/>
  <c r="V127" i="22"/>
  <c r="V188" i="22"/>
  <c r="V164" i="22"/>
  <c r="V136" i="22"/>
  <c r="V182" i="22"/>
  <c r="V170" i="22"/>
  <c r="V149" i="22"/>
  <c r="V129" i="22"/>
  <c r="V123" i="22"/>
  <c r="V105" i="22"/>
  <c r="V81" i="22"/>
  <c r="V194" i="22"/>
  <c r="V180" i="22"/>
  <c r="V167" i="22"/>
  <c r="V155" i="22"/>
  <c r="V130" i="22"/>
  <c r="V181" i="22"/>
  <c r="V163" i="22"/>
  <c r="V151" i="22"/>
  <c r="V146" i="22"/>
  <c r="V141" i="22"/>
  <c r="V192" i="22"/>
  <c r="V179" i="22"/>
  <c r="V160" i="22"/>
  <c r="V132" i="22"/>
  <c r="V174" i="22"/>
  <c r="V165" i="22"/>
  <c r="V143" i="22"/>
  <c r="V128" i="22"/>
  <c r="V121" i="22"/>
  <c r="V101" i="22"/>
  <c r="V190" i="22"/>
  <c r="V177" i="22"/>
  <c r="V162" i="22"/>
  <c r="V138" i="22"/>
  <c r="V193" i="22"/>
  <c r="V175" i="22"/>
  <c r="V159" i="22"/>
  <c r="V150" i="22"/>
  <c r="V145" i="22"/>
  <c r="V137" i="22"/>
  <c r="V191" i="22"/>
  <c r="V178" i="22"/>
  <c r="V153" i="22"/>
  <c r="V124" i="22"/>
  <c r="V173" i="22"/>
  <c r="V161" i="22"/>
  <c r="V140" i="22"/>
  <c r="V126" i="22"/>
  <c r="V134" i="22"/>
  <c r="V148" i="22"/>
  <c r="V171" i="22"/>
  <c r="V154" i="22"/>
  <c r="V111" i="22"/>
  <c r="V74" i="22"/>
  <c r="V63" i="22"/>
  <c r="V57" i="22"/>
  <c r="V49" i="22"/>
  <c r="V32" i="22"/>
  <c r="V23" i="22"/>
  <c r="V115" i="22"/>
  <c r="V91" i="22"/>
  <c r="V84" i="22"/>
  <c r="V47" i="22"/>
  <c r="V21" i="22"/>
  <c r="V109" i="22"/>
  <c r="V82" i="22"/>
  <c r="V66" i="22"/>
  <c r="V56" i="22"/>
  <c r="V41" i="22"/>
  <c r="V30" i="22"/>
  <c r="V20" i="22"/>
  <c r="V11" i="22"/>
  <c r="V108" i="22"/>
  <c r="V103" i="22"/>
  <c r="V92" i="22"/>
  <c r="V83" i="22"/>
  <c r="V70" i="22"/>
  <c r="V35" i="22"/>
  <c r="V18" i="22"/>
  <c r="V184" i="22"/>
  <c r="V187" i="22"/>
  <c r="V144" i="22"/>
  <c r="V139" i="22"/>
  <c r="V133" i="22"/>
  <c r="V98" i="22"/>
  <c r="V68" i="22"/>
  <c r="V62" i="22"/>
  <c r="V55" i="22"/>
  <c r="V40" i="22"/>
  <c r="V31" i="22"/>
  <c r="V17" i="22"/>
  <c r="V112" i="22"/>
  <c r="V89" i="22"/>
  <c r="V78" i="22"/>
  <c r="V45" i="22"/>
  <c r="V16" i="22"/>
  <c r="V100" i="22"/>
  <c r="V76" i="22"/>
  <c r="V64" i="22"/>
  <c r="V54" i="22"/>
  <c r="V38" i="22"/>
  <c r="V28" i="22"/>
  <c r="V19" i="22"/>
  <c r="V122" i="22"/>
  <c r="V107" i="22"/>
  <c r="V102" i="22"/>
  <c r="V90" i="22"/>
  <c r="V79" i="22"/>
  <c r="V69" i="22"/>
  <c r="V33" i="22"/>
  <c r="V10" i="22"/>
  <c r="V176" i="22"/>
  <c r="V168" i="22"/>
  <c r="V135" i="22"/>
  <c r="V185" i="22"/>
  <c r="V125" i="22"/>
  <c r="V94" i="22"/>
  <c r="V67" i="22"/>
  <c r="V61" i="22"/>
  <c r="V52" i="22"/>
  <c r="V39" i="22"/>
  <c r="V29" i="22"/>
  <c r="V117" i="22"/>
  <c r="V110" i="22"/>
  <c r="V88" i="22"/>
  <c r="V77" i="22"/>
  <c r="V43" i="22"/>
  <c r="V120" i="22"/>
  <c r="V99" i="22"/>
  <c r="V73" i="22"/>
  <c r="V60" i="22"/>
  <c r="V53" i="22"/>
  <c r="V36" i="22"/>
  <c r="V26" i="22"/>
  <c r="V15" i="22"/>
  <c r="V118" i="22"/>
  <c r="V106" i="22"/>
  <c r="V97" i="22"/>
  <c r="V87" i="22"/>
  <c r="V75" i="22"/>
  <c r="V46" i="22"/>
  <c r="V25" i="22"/>
  <c r="V157" i="22"/>
  <c r="V80" i="22"/>
  <c r="V37" i="22"/>
  <c r="V86" i="22"/>
  <c r="V96" i="22"/>
  <c r="V34" i="22"/>
  <c r="V104" i="22"/>
  <c r="V44" i="22"/>
  <c r="V189" i="22"/>
  <c r="V65" i="22"/>
  <c r="V27" i="22"/>
  <c r="V48" i="22"/>
  <c r="V72" i="22"/>
  <c r="V24" i="22"/>
  <c r="V93" i="22"/>
  <c r="V22" i="22"/>
  <c r="V114" i="22"/>
  <c r="V95" i="22"/>
  <c r="V50" i="22"/>
  <c r="V71" i="22"/>
  <c r="V172" i="22"/>
  <c r="V59" i="22"/>
  <c r="V116" i="22"/>
  <c r="V42" i="22"/>
  <c r="V58" i="22"/>
  <c r="V14" i="22"/>
  <c r="V85" i="22"/>
  <c r="V158" i="22"/>
  <c r="V51" i="22"/>
  <c r="V119" i="22"/>
  <c r="V113" i="22"/>
  <c r="J125" i="8"/>
  <c r="AF18" i="5"/>
  <c r="G18" i="18"/>
  <c r="J207" i="9"/>
  <c r="J206" i="9" s="1"/>
  <c r="AF80" i="5"/>
  <c r="G80" i="18"/>
  <c r="G12" i="18"/>
  <c r="AF12" i="5"/>
  <c r="J32" i="11"/>
  <c r="AF124" i="5"/>
  <c r="AF184" i="5"/>
  <c r="G184" i="18"/>
  <c r="G126" i="18"/>
  <c r="I124" i="18" s="1"/>
  <c r="D125" i="18" s="1"/>
  <c r="AF126" i="5"/>
  <c r="G151" i="18"/>
  <c r="J24" i="13"/>
  <c r="J23" i="13" s="1"/>
  <c r="AF151" i="5"/>
  <c r="G157" i="18"/>
  <c r="J86" i="13"/>
  <c r="O85" i="13" s="1"/>
  <c r="AF157" i="5"/>
  <c r="G116" i="18"/>
  <c r="J44" i="10"/>
  <c r="AF116" i="5"/>
  <c r="AF165" i="5"/>
  <c r="J146" i="13"/>
  <c r="J145" i="13" s="1"/>
  <c r="G165" i="18"/>
  <c r="G60" i="18"/>
  <c r="J469" i="8"/>
  <c r="J468" i="8" s="1"/>
  <c r="AF60" i="5"/>
  <c r="AF76" i="5"/>
  <c r="G76" i="18"/>
  <c r="J131" i="9"/>
  <c r="G195" i="18"/>
  <c r="J247" i="14"/>
  <c r="O246" i="14" s="1"/>
  <c r="AF195" i="5"/>
  <c r="G161" i="18"/>
  <c r="J128" i="13"/>
  <c r="J127" i="13" s="1"/>
  <c r="AF161" i="5"/>
  <c r="G132" i="18"/>
  <c r="AF132" i="5"/>
  <c r="G73" i="18"/>
  <c r="AF73" i="5"/>
  <c r="AF88" i="5"/>
  <c r="G88" i="18"/>
  <c r="O240" i="9"/>
  <c r="O239" i="9" s="1"/>
  <c r="G196" i="18"/>
  <c r="J266" i="14"/>
  <c r="O265" i="14" s="1"/>
  <c r="AF196" i="5"/>
  <c r="AF81" i="5"/>
  <c r="G81" i="18"/>
  <c r="O207" i="9"/>
  <c r="O206" i="9" s="1"/>
  <c r="J183" i="9"/>
  <c r="J182" i="9" s="1"/>
  <c r="AF77" i="5"/>
  <c r="G77" i="18"/>
  <c r="D180" i="22"/>
  <c r="D181" i="22"/>
  <c r="D178" i="22"/>
  <c r="D179" i="22"/>
  <c r="I62" i="22"/>
  <c r="D187" i="22"/>
  <c r="D185" i="22"/>
  <c r="D186" i="22"/>
  <c r="D164" i="22"/>
  <c r="D162" i="22"/>
  <c r="D160" i="22"/>
  <c r="D163" i="22"/>
  <c r="D161" i="22"/>
  <c r="D159" i="22"/>
  <c r="I183" i="22"/>
  <c r="I138" i="22"/>
  <c r="D80" i="22"/>
  <c r="D81" i="22"/>
  <c r="I10" i="22"/>
  <c r="I122" i="22"/>
  <c r="I131" i="22"/>
  <c r="G183" i="18"/>
  <c r="O98" i="6"/>
  <c r="D20" i="16" s="1"/>
  <c r="L98" i="6"/>
  <c r="E20" i="16" s="1"/>
  <c r="O95" i="6"/>
  <c r="D17" i="16" s="1"/>
  <c r="L95" i="6"/>
  <c r="E17" i="16" s="1"/>
  <c r="O94" i="6"/>
  <c r="D16" i="16" s="1"/>
  <c r="L94" i="6"/>
  <c r="E16" i="16" s="1"/>
  <c r="O97" i="6"/>
  <c r="D19" i="16" s="1"/>
  <c r="L97" i="6"/>
  <c r="E19" i="16" s="1"/>
  <c r="O96" i="6"/>
  <c r="D18" i="16" s="1"/>
  <c r="L96" i="6"/>
  <c r="E18" i="16" s="1"/>
  <c r="I36" i="18" l="1"/>
  <c r="K94" i="18"/>
  <c r="AA125" i="5"/>
  <c r="Z125" i="5" s="1"/>
  <c r="Q125" i="5" s="1"/>
  <c r="I44" i="18"/>
  <c r="D173" i="22"/>
  <c r="BB173" i="22" s="1"/>
  <c r="D148" i="22"/>
  <c r="J139" i="18"/>
  <c r="E143" i="18" s="1"/>
  <c r="AC143" i="5" s="1"/>
  <c r="J144" i="18"/>
  <c r="I144" i="18"/>
  <c r="I139" i="18"/>
  <c r="D143" i="18" s="1"/>
  <c r="U30" i="6"/>
  <c r="U29" i="6"/>
  <c r="U28" i="6"/>
  <c r="U26" i="6"/>
  <c r="U27" i="6"/>
  <c r="U34" i="6"/>
  <c r="U33" i="6"/>
  <c r="U32" i="6"/>
  <c r="I22" i="14"/>
  <c r="I25" i="14" s="1"/>
  <c r="I101" i="18"/>
  <c r="D103" i="18" s="1"/>
  <c r="D172" i="22"/>
  <c r="D145" i="22"/>
  <c r="I59" i="18"/>
  <c r="D61" i="18" s="1"/>
  <c r="D101" i="22"/>
  <c r="D104" i="22"/>
  <c r="D183" i="22"/>
  <c r="D40" i="22"/>
  <c r="D36" i="22"/>
  <c r="J145" i="22"/>
  <c r="D168" i="22"/>
  <c r="D47" i="22"/>
  <c r="I126" i="18"/>
  <c r="D128" i="18" s="1"/>
  <c r="D74" i="22"/>
  <c r="I89" i="18"/>
  <c r="D90" i="18" s="1"/>
  <c r="AA90" i="5" s="1"/>
  <c r="R90" i="5" s="1"/>
  <c r="J166" i="22"/>
  <c r="J63" i="22"/>
  <c r="E68" i="22" s="1"/>
  <c r="J122" i="22"/>
  <c r="E129" i="22" s="1"/>
  <c r="I190" i="18"/>
  <c r="D191" i="18" s="1"/>
  <c r="AA191" i="5" s="1"/>
  <c r="Z191" i="5" s="1"/>
  <c r="I64" i="18"/>
  <c r="D67" i="18" s="1"/>
  <c r="I150" i="18"/>
  <c r="D152" i="18" s="1"/>
  <c r="J48" i="22"/>
  <c r="E49" i="22" s="1"/>
  <c r="D60" i="22"/>
  <c r="D61" i="22"/>
  <c r="BC112" i="22"/>
  <c r="BA113" i="22" s="1"/>
  <c r="J138" i="22"/>
  <c r="E142" i="22" s="1"/>
  <c r="D166" i="22"/>
  <c r="D151" i="22"/>
  <c r="D146" i="22"/>
  <c r="E38" i="22"/>
  <c r="E39" i="22"/>
  <c r="E37" i="22"/>
  <c r="J146" i="22"/>
  <c r="J100" i="22"/>
  <c r="I186" i="18"/>
  <c r="D188" i="18" s="1"/>
  <c r="J112" i="22"/>
  <c r="D68" i="22"/>
  <c r="J89" i="22"/>
  <c r="J183" i="22"/>
  <c r="E163" i="22"/>
  <c r="E161" i="22"/>
  <c r="E159" i="22"/>
  <c r="E162" i="22"/>
  <c r="E160" i="22"/>
  <c r="E164" i="22"/>
  <c r="E26" i="22"/>
  <c r="E29" i="22"/>
  <c r="E24" i="22"/>
  <c r="E27" i="22"/>
  <c r="E28" i="22"/>
  <c r="E25" i="22"/>
  <c r="E23" i="22"/>
  <c r="E22" i="22"/>
  <c r="E131" i="22"/>
  <c r="E130" i="22"/>
  <c r="J121" i="22"/>
  <c r="E122" i="22" s="1"/>
  <c r="E125" i="22"/>
  <c r="E126" i="22"/>
  <c r="E140" i="22"/>
  <c r="E141" i="22"/>
  <c r="E149" i="22"/>
  <c r="E150" i="22"/>
  <c r="E86" i="22"/>
  <c r="E83" i="22"/>
  <c r="E84" i="22"/>
  <c r="E88" i="22"/>
  <c r="E85" i="22"/>
  <c r="E87" i="22"/>
  <c r="E103" i="22"/>
  <c r="E102" i="22"/>
  <c r="E178" i="22"/>
  <c r="E179" i="22"/>
  <c r="E180" i="22"/>
  <c r="E181" i="22"/>
  <c r="E191" i="22"/>
  <c r="E190" i="22"/>
  <c r="E189" i="22"/>
  <c r="E81" i="22"/>
  <c r="E80" i="22"/>
  <c r="J8" i="22"/>
  <c r="I74" i="18"/>
  <c r="J9" i="22"/>
  <c r="J10" i="22"/>
  <c r="E11" i="22" s="1"/>
  <c r="J20" i="22"/>
  <c r="D77" i="22"/>
  <c r="D75" i="22"/>
  <c r="E13" i="22"/>
  <c r="E12" i="22"/>
  <c r="E72" i="22"/>
  <c r="E73" i="22"/>
  <c r="E71" i="22"/>
  <c r="E70" i="22"/>
  <c r="E69" i="22"/>
  <c r="E127" i="22"/>
  <c r="E128" i="22"/>
  <c r="W189" i="22"/>
  <c r="W181" i="22"/>
  <c r="W163" i="22"/>
  <c r="W151" i="22"/>
  <c r="W146" i="22"/>
  <c r="W141" i="22"/>
  <c r="W192" i="22"/>
  <c r="W171" i="22"/>
  <c r="W139" i="22"/>
  <c r="W185" i="22"/>
  <c r="W173" i="22"/>
  <c r="W161" i="22"/>
  <c r="W140" i="22"/>
  <c r="W126" i="22"/>
  <c r="W177" i="22"/>
  <c r="W162" i="22"/>
  <c r="W138" i="22"/>
  <c r="W117" i="22"/>
  <c r="W110" i="22"/>
  <c r="W88" i="22"/>
  <c r="W77" i="22"/>
  <c r="W43" i="22"/>
  <c r="W120" i="22"/>
  <c r="W99" i="22"/>
  <c r="W73" i="22"/>
  <c r="W60" i="22"/>
  <c r="W53" i="22"/>
  <c r="W36" i="22"/>
  <c r="W26" i="22"/>
  <c r="W15" i="22"/>
  <c r="W122" i="22"/>
  <c r="W107" i="22"/>
  <c r="W102" i="22"/>
  <c r="W90" i="22"/>
  <c r="W79" i="22"/>
  <c r="W69" i="22"/>
  <c r="W33" i="22"/>
  <c r="W10" i="22"/>
  <c r="W105" i="22"/>
  <c r="W81" i="22"/>
  <c r="W67" i="22"/>
  <c r="W61" i="22"/>
  <c r="W52" i="22"/>
  <c r="W39" i="22"/>
  <c r="W29" i="22"/>
  <c r="W191" i="22"/>
  <c r="W179" i="22"/>
  <c r="W168" i="22"/>
  <c r="W157" i="22"/>
  <c r="W148" i="22"/>
  <c r="W144" i="22"/>
  <c r="W135" i="22"/>
  <c r="W194" i="22"/>
  <c r="W186" i="22"/>
  <c r="W166" i="22"/>
  <c r="W152" i="22"/>
  <c r="W147" i="22"/>
  <c r="W142" i="22"/>
  <c r="W127" i="22"/>
  <c r="W178" i="22"/>
  <c r="W153" i="22"/>
  <c r="W124" i="22"/>
  <c r="W193" i="22"/>
  <c r="W150" i="22"/>
  <c r="W184" i="22"/>
  <c r="W132" i="22"/>
  <c r="W172" i="22"/>
  <c r="W149" i="22"/>
  <c r="W128" i="22"/>
  <c r="W176" i="22"/>
  <c r="W156" i="22"/>
  <c r="W130" i="22"/>
  <c r="W95" i="22"/>
  <c r="W84" i="22"/>
  <c r="W45" i="22"/>
  <c r="W119" i="22"/>
  <c r="W82" i="22"/>
  <c r="W64" i="22"/>
  <c r="W50" i="22"/>
  <c r="W30" i="22"/>
  <c r="W19" i="22"/>
  <c r="W118" i="22"/>
  <c r="W104" i="22"/>
  <c r="W92" i="22"/>
  <c r="W75" i="22"/>
  <c r="W44" i="22"/>
  <c r="W18" i="22"/>
  <c r="W101" i="22"/>
  <c r="W74" i="22"/>
  <c r="W62" i="22"/>
  <c r="W51" i="22"/>
  <c r="W32" i="22"/>
  <c r="W17" i="22"/>
  <c r="W187" i="22"/>
  <c r="W145" i="22"/>
  <c r="W164" i="22"/>
  <c r="W183" i="22"/>
  <c r="W170" i="22"/>
  <c r="W143" i="22"/>
  <c r="W125" i="22"/>
  <c r="W169" i="22"/>
  <c r="W155" i="22"/>
  <c r="W116" i="22"/>
  <c r="W91" i="22"/>
  <c r="W78" i="22"/>
  <c r="W42" i="22"/>
  <c r="W109" i="22"/>
  <c r="W76" i="22"/>
  <c r="W58" i="22"/>
  <c r="W41" i="22"/>
  <c r="W28" i="22"/>
  <c r="W14" i="22"/>
  <c r="W113" i="22"/>
  <c r="W103" i="22"/>
  <c r="W87" i="22"/>
  <c r="W71" i="22"/>
  <c r="W35" i="22"/>
  <c r="W121" i="22"/>
  <c r="W98" i="22"/>
  <c r="W68" i="22"/>
  <c r="W59" i="22"/>
  <c r="W49" i="22"/>
  <c r="W31" i="22"/>
  <c r="W175" i="22"/>
  <c r="W137" i="22"/>
  <c r="W160" i="22"/>
  <c r="W182" i="22"/>
  <c r="W165" i="22"/>
  <c r="W133" i="22"/>
  <c r="W190" i="22"/>
  <c r="W167" i="22"/>
  <c r="W134" i="22"/>
  <c r="W115" i="22"/>
  <c r="W89" i="22"/>
  <c r="W48" i="22"/>
  <c r="W21" i="22"/>
  <c r="W100" i="22"/>
  <c r="W72" i="22"/>
  <c r="W56" i="22"/>
  <c r="W38" i="22"/>
  <c r="W24" i="22"/>
  <c r="W11" i="22"/>
  <c r="W108" i="22"/>
  <c r="W97" i="22"/>
  <c r="W85" i="22"/>
  <c r="W70" i="22"/>
  <c r="W25" i="22"/>
  <c r="W114" i="22"/>
  <c r="W94" i="22"/>
  <c r="W65" i="22"/>
  <c r="W57" i="22"/>
  <c r="W40" i="22"/>
  <c r="W27" i="22"/>
  <c r="W159" i="22"/>
  <c r="W188" i="22"/>
  <c r="W136" i="22"/>
  <c r="W174" i="22"/>
  <c r="W154" i="22"/>
  <c r="W129" i="22"/>
  <c r="W180" i="22"/>
  <c r="W158" i="22"/>
  <c r="W131" i="22"/>
  <c r="W112" i="22"/>
  <c r="W86" i="22"/>
  <c r="W47" i="22"/>
  <c r="W16" i="22"/>
  <c r="W96" i="22"/>
  <c r="W66" i="22"/>
  <c r="W54" i="22"/>
  <c r="W34" i="22"/>
  <c r="W20" i="22"/>
  <c r="W123" i="22"/>
  <c r="W106" i="22"/>
  <c r="W93" i="22"/>
  <c r="W83" i="22"/>
  <c r="W46" i="22"/>
  <c r="W22" i="22"/>
  <c r="W111" i="22"/>
  <c r="W80" i="22"/>
  <c r="W63" i="22"/>
  <c r="W55" i="22"/>
  <c r="W37" i="22"/>
  <c r="W23" i="22"/>
  <c r="E34" i="22"/>
  <c r="E33" i="22"/>
  <c r="E187" i="22"/>
  <c r="E185" i="22"/>
  <c r="E186" i="22"/>
  <c r="E110" i="22"/>
  <c r="E106" i="22"/>
  <c r="E107" i="22"/>
  <c r="E111" i="22"/>
  <c r="E109" i="22"/>
  <c r="E108" i="22"/>
  <c r="E50" i="22"/>
  <c r="E52" i="22"/>
  <c r="E51" i="22"/>
  <c r="E53" i="22"/>
  <c r="E16" i="22"/>
  <c r="E15" i="22"/>
  <c r="E18" i="22"/>
  <c r="E17" i="22"/>
  <c r="J59" i="22"/>
  <c r="E58" i="22"/>
  <c r="E56" i="22"/>
  <c r="E57" i="22"/>
  <c r="E55" i="22"/>
  <c r="J62" i="22"/>
  <c r="BC8" i="22"/>
  <c r="E143" i="22"/>
  <c r="E144" i="22"/>
  <c r="E95" i="22"/>
  <c r="E94" i="22"/>
  <c r="E97" i="22"/>
  <c r="E98" i="22"/>
  <c r="E96" i="22"/>
  <c r="E46" i="22"/>
  <c r="E45" i="22"/>
  <c r="J74" i="22"/>
  <c r="E171" i="22"/>
  <c r="E169" i="22"/>
  <c r="E170" i="22"/>
  <c r="J78" i="22"/>
  <c r="J174" i="22"/>
  <c r="E193" i="22"/>
  <c r="E194" i="22"/>
  <c r="I160" i="18"/>
  <c r="D163" i="18" s="1"/>
  <c r="AA163" i="5" s="1"/>
  <c r="R163" i="5" s="1"/>
  <c r="I170" i="18"/>
  <c r="D173" i="18" s="1"/>
  <c r="E43" i="22"/>
  <c r="E42" i="22"/>
  <c r="E41" i="22"/>
  <c r="J151" i="22"/>
  <c r="E119" i="22"/>
  <c r="E118" i="22"/>
  <c r="J172" i="22"/>
  <c r="J35" i="22"/>
  <c r="J131" i="22"/>
  <c r="E65" i="22"/>
  <c r="E66" i="22"/>
  <c r="E67" i="22"/>
  <c r="D126" i="18"/>
  <c r="BC62" i="22"/>
  <c r="BA78" i="22" s="1"/>
  <c r="I49" i="18"/>
  <c r="D52" i="18" s="1"/>
  <c r="AA52" i="5" s="1"/>
  <c r="R52" i="5" s="1"/>
  <c r="J126" i="11"/>
  <c r="H46" i="18"/>
  <c r="O359" i="8"/>
  <c r="AH46" i="5"/>
  <c r="H77" i="18"/>
  <c r="AH77" i="5"/>
  <c r="H134" i="18"/>
  <c r="AH134" i="5"/>
  <c r="H58" i="18"/>
  <c r="O458" i="8"/>
  <c r="J457" i="8" s="1"/>
  <c r="AH58" i="5"/>
  <c r="O211" i="8"/>
  <c r="J210" i="8" s="1"/>
  <c r="AH26" i="5"/>
  <c r="H26" i="18"/>
  <c r="H106" i="18"/>
  <c r="AH106" i="5"/>
  <c r="H52" i="18"/>
  <c r="O408" i="8"/>
  <c r="J407" i="8" s="1"/>
  <c r="AH52" i="5"/>
  <c r="H83" i="18"/>
  <c r="AH83" i="5"/>
  <c r="AH33" i="5"/>
  <c r="H33" i="18"/>
  <c r="AH32" i="5"/>
  <c r="H67" i="18"/>
  <c r="AH67" i="5"/>
  <c r="H88" i="18"/>
  <c r="AH88" i="5"/>
  <c r="H116" i="18"/>
  <c r="AH116" i="5"/>
  <c r="AH167" i="5"/>
  <c r="H167" i="18"/>
  <c r="AH189" i="5"/>
  <c r="H189" i="18"/>
  <c r="AH172" i="5"/>
  <c r="H172" i="18"/>
  <c r="D132" i="22"/>
  <c r="D134" i="22"/>
  <c r="D133" i="22"/>
  <c r="D135" i="22"/>
  <c r="D136" i="22"/>
  <c r="D78" i="22"/>
  <c r="D63" i="22"/>
  <c r="D100" i="22"/>
  <c r="I131" i="18"/>
  <c r="D182" i="22"/>
  <c r="D175" i="22"/>
  <c r="D177" i="22"/>
  <c r="D176" i="22"/>
  <c r="D59" i="22"/>
  <c r="D49" i="22"/>
  <c r="D54" i="22"/>
  <c r="H16" i="18"/>
  <c r="O91" i="8"/>
  <c r="AH16" i="5"/>
  <c r="H169" i="18"/>
  <c r="AH169" i="5"/>
  <c r="AH168" i="5" s="1"/>
  <c r="AH125" i="5"/>
  <c r="H125" i="18"/>
  <c r="H183" i="18"/>
  <c r="J179" i="18" s="1"/>
  <c r="AH180" i="5"/>
  <c r="H42" i="18"/>
  <c r="O326" i="8"/>
  <c r="J325" i="8" s="1"/>
  <c r="AH42" i="5"/>
  <c r="AH112" i="5"/>
  <c r="H112" i="18"/>
  <c r="H11" i="18"/>
  <c r="AH11" i="5"/>
  <c r="O13" i="8"/>
  <c r="J12" i="8" s="1"/>
  <c r="AH73" i="5"/>
  <c r="H73" i="18"/>
  <c r="AH51" i="5"/>
  <c r="H51" i="18"/>
  <c r="O399" i="8"/>
  <c r="J398" i="8" s="1"/>
  <c r="AH30" i="5"/>
  <c r="O239" i="8"/>
  <c r="J238" i="8" s="1"/>
  <c r="H30" i="18"/>
  <c r="AH78" i="5"/>
  <c r="AH118" i="5"/>
  <c r="H118" i="18"/>
  <c r="H94" i="18"/>
  <c r="AH94" i="5"/>
  <c r="H137" i="18"/>
  <c r="AH137" i="5"/>
  <c r="AH152" i="5"/>
  <c r="H152" i="18"/>
  <c r="H25" i="18"/>
  <c r="AH25" i="5"/>
  <c r="AH63" i="5"/>
  <c r="H50" i="18"/>
  <c r="O389" i="8"/>
  <c r="J388" i="8" s="1"/>
  <c r="AH50" i="5"/>
  <c r="H119" i="18"/>
  <c r="AH119" i="5"/>
  <c r="AH87" i="5"/>
  <c r="H87" i="18"/>
  <c r="AH76" i="5"/>
  <c r="H76" i="18"/>
  <c r="H149" i="18"/>
  <c r="AH149" i="5"/>
  <c r="AH148" i="5" s="1"/>
  <c r="H53" i="18"/>
  <c r="O417" i="8"/>
  <c r="J416" i="8" s="1"/>
  <c r="AH53" i="5"/>
  <c r="H60" i="18"/>
  <c r="AH60" i="5"/>
  <c r="H23" i="18"/>
  <c r="AH23" i="5"/>
  <c r="AH45" i="5"/>
  <c r="H45" i="18"/>
  <c r="AH109" i="5"/>
  <c r="H109" i="18"/>
  <c r="AH97" i="5"/>
  <c r="H97" i="18"/>
  <c r="H115" i="18"/>
  <c r="J114" i="18" s="1"/>
  <c r="E115" i="18" s="1"/>
  <c r="AC115" i="5" s="1"/>
  <c r="AB115" i="5" s="1"/>
  <c r="S115" i="5" s="1"/>
  <c r="AH115" i="5"/>
  <c r="AH114" i="5" s="1"/>
  <c r="H128" i="18"/>
  <c r="AH128" i="5"/>
  <c r="H191" i="18"/>
  <c r="AH191" i="5"/>
  <c r="I179" i="18"/>
  <c r="BC9" i="22"/>
  <c r="D79" i="22"/>
  <c r="D89" i="22"/>
  <c r="D82" i="22"/>
  <c r="D93" i="22"/>
  <c r="I40" i="18"/>
  <c r="I32" i="18"/>
  <c r="D35" i="22"/>
  <c r="D10" i="22"/>
  <c r="D20" i="22"/>
  <c r="D48" i="22"/>
  <c r="H123" i="18"/>
  <c r="AH123" i="5"/>
  <c r="AH131" i="5"/>
  <c r="H131" i="18"/>
  <c r="AH130" i="5"/>
  <c r="H130" i="18"/>
  <c r="H132" i="18"/>
  <c r="AH132" i="5"/>
  <c r="O39" i="8"/>
  <c r="AH13" i="5"/>
  <c r="H90" i="18"/>
  <c r="AH90" i="5"/>
  <c r="H98" i="18"/>
  <c r="AH98" i="5"/>
  <c r="H55" i="18"/>
  <c r="O428" i="8"/>
  <c r="J427" i="8" s="1"/>
  <c r="AH55" i="5"/>
  <c r="H164" i="18"/>
  <c r="AH164" i="5"/>
  <c r="H162" i="18"/>
  <c r="AH162" i="5"/>
  <c r="D21" i="22"/>
  <c r="D31" i="22"/>
  <c r="D30" i="22"/>
  <c r="D32" i="22"/>
  <c r="D90" i="22"/>
  <c r="D92" i="22"/>
  <c r="D91" i="22"/>
  <c r="D129" i="22"/>
  <c r="BB129" i="22" s="1"/>
  <c r="D138" i="22"/>
  <c r="D123" i="22"/>
  <c r="BB123" i="22" s="1"/>
  <c r="D124" i="22"/>
  <c r="D139" i="22"/>
  <c r="D142" i="22"/>
  <c r="I79" i="18"/>
  <c r="D114" i="22"/>
  <c r="D117" i="22"/>
  <c r="D113" i="22"/>
  <c r="D116" i="22"/>
  <c r="D157" i="22"/>
  <c r="D156" i="22"/>
  <c r="D154" i="22"/>
  <c r="D165" i="22"/>
  <c r="D158" i="22"/>
  <c r="D153" i="22"/>
  <c r="D152" i="22"/>
  <c r="D155" i="22"/>
  <c r="H80" i="18"/>
  <c r="AH80" i="5"/>
  <c r="O306" i="8"/>
  <c r="J305" i="8" s="1"/>
  <c r="AH39" i="5"/>
  <c r="H39" i="18"/>
  <c r="AH65" i="5"/>
  <c r="O14" i="9"/>
  <c r="J13" i="9" s="1"/>
  <c r="H65" i="18"/>
  <c r="O384" i="9"/>
  <c r="J383" i="9" s="1"/>
  <c r="AH104" i="5"/>
  <c r="AH100" i="5" s="1"/>
  <c r="H104" i="18"/>
  <c r="AH29" i="5"/>
  <c r="H29" i="18"/>
  <c r="AH155" i="5"/>
  <c r="H155" i="18"/>
  <c r="H38" i="18"/>
  <c r="J296" i="8"/>
  <c r="J295" i="8" s="1"/>
  <c r="AH38" i="5"/>
  <c r="H113" i="18"/>
  <c r="AH113" i="5"/>
  <c r="H86" i="18"/>
  <c r="AH86" i="5"/>
  <c r="H72" i="18"/>
  <c r="AH72" i="5"/>
  <c r="O67" i="9"/>
  <c r="J66" i="9" s="1"/>
  <c r="H111" i="18"/>
  <c r="AH111" i="5"/>
  <c r="H158" i="18"/>
  <c r="AH158" i="5"/>
  <c r="H165" i="18"/>
  <c r="AH165" i="5"/>
  <c r="H195" i="18"/>
  <c r="AH195" i="5"/>
  <c r="AH181" i="5"/>
  <c r="AH48" i="5"/>
  <c r="AH57" i="5"/>
  <c r="O449" i="8"/>
  <c r="J448" i="8" s="1"/>
  <c r="H57" i="18"/>
  <c r="H19" i="18"/>
  <c r="O142" i="8"/>
  <c r="J141" i="8" s="1"/>
  <c r="AH19" i="5"/>
  <c r="H44" i="18"/>
  <c r="O351" i="8"/>
  <c r="J350" i="8" s="1"/>
  <c r="AH44" i="5"/>
  <c r="AH103" i="5"/>
  <c r="H103" i="18"/>
  <c r="O372" i="9"/>
  <c r="J371" i="9" s="1"/>
  <c r="H96" i="18"/>
  <c r="AH96" i="5"/>
  <c r="H108" i="18"/>
  <c r="AH108" i="5"/>
  <c r="AH127" i="5"/>
  <c r="H127" i="18"/>
  <c r="AH175" i="5"/>
  <c r="H175" i="18"/>
  <c r="H177" i="18"/>
  <c r="AH177" i="5"/>
  <c r="H62" i="18"/>
  <c r="AH62" i="5"/>
  <c r="AH22" i="5"/>
  <c r="H22" i="18"/>
  <c r="O154" i="8"/>
  <c r="J153" i="8" s="1"/>
  <c r="H28" i="18"/>
  <c r="AH28" i="5"/>
  <c r="H71" i="18"/>
  <c r="AH71" i="5"/>
  <c r="H70" i="18"/>
  <c r="AH70" i="5"/>
  <c r="H110" i="18"/>
  <c r="AH110" i="5"/>
  <c r="AH133" i="5"/>
  <c r="H133" i="18"/>
  <c r="H166" i="18"/>
  <c r="AH166" i="5"/>
  <c r="AH154" i="5"/>
  <c r="H154" i="18"/>
  <c r="AH187" i="5"/>
  <c r="H187" i="18"/>
  <c r="AH193" i="5"/>
  <c r="H193" i="18"/>
  <c r="BC121" i="22"/>
  <c r="BC145" i="22"/>
  <c r="D9" i="22"/>
  <c r="D112" i="22"/>
  <c r="D62" i="22"/>
  <c r="I68" i="18"/>
  <c r="R115" i="5"/>
  <c r="H66" i="18"/>
  <c r="AH66" i="5"/>
  <c r="O25" i="9"/>
  <c r="J24" i="9" s="1"/>
  <c r="H151" i="18"/>
  <c r="AH151" i="5"/>
  <c r="H192" i="18"/>
  <c r="AH192" i="5"/>
  <c r="AH47" i="5"/>
  <c r="O370" i="8"/>
  <c r="J369" i="8" s="1"/>
  <c r="H47" i="18"/>
  <c r="H121" i="18"/>
  <c r="AH121" i="5"/>
  <c r="H188" i="18"/>
  <c r="AH188" i="5"/>
  <c r="AH31" i="5"/>
  <c r="H31" i="18"/>
  <c r="O256" i="8"/>
  <c r="J255" i="8" s="1"/>
  <c r="H122" i="18"/>
  <c r="AH122" i="5"/>
  <c r="H156" i="18"/>
  <c r="AH156" i="5"/>
  <c r="H37" i="18"/>
  <c r="O285" i="8"/>
  <c r="J284" i="8" s="1"/>
  <c r="AH37" i="5"/>
  <c r="H81" i="18"/>
  <c r="AH81" i="5"/>
  <c r="H178" i="18"/>
  <c r="AH178" i="5"/>
  <c r="D11" i="22"/>
  <c r="D14" i="22"/>
  <c r="D19" i="22"/>
  <c r="D192" i="22"/>
  <c r="D188" i="22"/>
  <c r="D184" i="22"/>
  <c r="I194" i="18"/>
  <c r="F42" i="8"/>
  <c r="W13" i="5"/>
  <c r="K13" i="18" s="1"/>
  <c r="G13" i="18" s="1"/>
  <c r="I11" i="18" s="1"/>
  <c r="D12" i="18" s="1"/>
  <c r="AA12" i="5" s="1"/>
  <c r="R12" i="5" s="1"/>
  <c r="F45" i="8"/>
  <c r="F44" i="8"/>
  <c r="F43" i="8"/>
  <c r="F41" i="8"/>
  <c r="AH41" i="5"/>
  <c r="H41" i="18"/>
  <c r="O317" i="8"/>
  <c r="J316" i="8" s="1"/>
  <c r="H91" i="18"/>
  <c r="AH91" i="5"/>
  <c r="O180" i="8"/>
  <c r="J179" i="8" s="1"/>
  <c r="AH24" i="5"/>
  <c r="H24" i="18"/>
  <c r="H9" i="18"/>
  <c r="AH9" i="5"/>
  <c r="H135" i="18"/>
  <c r="AH135" i="5"/>
  <c r="H18" i="18"/>
  <c r="O125" i="8"/>
  <c r="O124" i="8" s="1"/>
  <c r="AH18" i="5"/>
  <c r="AH85" i="5"/>
  <c r="H85" i="18"/>
  <c r="AH160" i="5"/>
  <c r="AH161" i="5"/>
  <c r="H161" i="18"/>
  <c r="H17" i="18"/>
  <c r="O108" i="8"/>
  <c r="O107" i="8" s="1"/>
  <c r="AH17" i="5"/>
  <c r="H43" i="18"/>
  <c r="AH43" i="5"/>
  <c r="O361" i="9"/>
  <c r="J360" i="9" s="1"/>
  <c r="AH102" i="5"/>
  <c r="H102" i="18"/>
  <c r="AH95" i="5"/>
  <c r="H95" i="18"/>
  <c r="AH126" i="5"/>
  <c r="H126" i="18"/>
  <c r="AH174" i="5"/>
  <c r="H174" i="18"/>
  <c r="AH196" i="5"/>
  <c r="AH182" i="5"/>
  <c r="H196" i="18"/>
  <c r="H173" i="18"/>
  <c r="AH173" i="5"/>
  <c r="H61" i="18"/>
  <c r="AH61" i="5"/>
  <c r="J220" i="8"/>
  <c r="J219" i="8" s="1"/>
  <c r="H27" i="18"/>
  <c r="AH27" i="5"/>
  <c r="O47" i="9"/>
  <c r="J46" i="9" s="1"/>
  <c r="AH69" i="5"/>
  <c r="H69" i="18"/>
  <c r="AH107" i="5"/>
  <c r="H107" i="18"/>
  <c r="AH129" i="5"/>
  <c r="H129" i="18"/>
  <c r="H136" i="18"/>
  <c r="AH136" i="5"/>
  <c r="AH157" i="5"/>
  <c r="H157" i="18"/>
  <c r="H12" i="18"/>
  <c r="AH12" i="5"/>
  <c r="AH15" i="5"/>
  <c r="H15" i="18"/>
  <c r="O74" i="8"/>
  <c r="H56" i="18"/>
  <c r="O438" i="8"/>
  <c r="J437" i="8" s="1"/>
  <c r="AH56" i="5"/>
  <c r="H34" i="18"/>
  <c r="AH34" i="5"/>
  <c r="AH92" i="5"/>
  <c r="H92" i="18"/>
  <c r="AH84" i="5"/>
  <c r="H84" i="18"/>
  <c r="AH124" i="5"/>
  <c r="H124" i="18"/>
  <c r="H147" i="18"/>
  <c r="AH147" i="5"/>
  <c r="H159" i="18"/>
  <c r="AH159" i="5"/>
  <c r="AH185" i="5"/>
  <c r="H171" i="18"/>
  <c r="AH171" i="5"/>
  <c r="H163" i="18"/>
  <c r="AH163" i="5"/>
  <c r="I82" i="18"/>
  <c r="I21" i="18"/>
  <c r="I54" i="18"/>
  <c r="I105" i="18"/>
  <c r="I117" i="18"/>
  <c r="BC172" i="22"/>
  <c r="AA173" i="5" l="1"/>
  <c r="Z173" i="5" s="1"/>
  <c r="Q173" i="5" s="1"/>
  <c r="AA188" i="5"/>
  <c r="Z188" i="5" s="1"/>
  <c r="AA67" i="5"/>
  <c r="Z67" i="5" s="1"/>
  <c r="AA103" i="5"/>
  <c r="Z103" i="5" s="1"/>
  <c r="Q103" i="5" s="1"/>
  <c r="AA152" i="5"/>
  <c r="Z152" i="5" s="1"/>
  <c r="Q152" i="5" s="1"/>
  <c r="AD28" i="23"/>
  <c r="AD128" i="23"/>
  <c r="Q191" i="5"/>
  <c r="AA128" i="5"/>
  <c r="Z128" i="5" s="1"/>
  <c r="Q128" i="5" s="1"/>
  <c r="T143" i="5"/>
  <c r="AB143" i="5"/>
  <c r="S143" i="5" s="1"/>
  <c r="R125" i="5"/>
  <c r="AA126" i="5"/>
  <c r="Z126" i="5" s="1"/>
  <c r="Q126" i="5" s="1"/>
  <c r="AA61" i="5"/>
  <c r="Z61" i="5" s="1"/>
  <c r="J44" i="18"/>
  <c r="AA143" i="5"/>
  <c r="Z143" i="5" s="1"/>
  <c r="Q143" i="5" s="1"/>
  <c r="E142" i="18"/>
  <c r="AC142" i="5" s="1"/>
  <c r="U35" i="6"/>
  <c r="D142" i="18"/>
  <c r="D60" i="18"/>
  <c r="D102" i="18"/>
  <c r="AA102" i="5" s="1"/>
  <c r="Z102" i="5" s="1"/>
  <c r="Q102" i="5" s="1"/>
  <c r="D13" i="18"/>
  <c r="AA13" i="5" s="1"/>
  <c r="R13" i="5" s="1"/>
  <c r="D187" i="18"/>
  <c r="D189" i="18"/>
  <c r="BA116" i="22"/>
  <c r="BA117" i="22"/>
  <c r="D53" i="18"/>
  <c r="AA53" i="5" s="1"/>
  <c r="R53" i="5" s="1"/>
  <c r="D92" i="18"/>
  <c r="AA92" i="5" s="1"/>
  <c r="R92" i="5" s="1"/>
  <c r="E124" i="22"/>
  <c r="E146" i="22"/>
  <c r="E151" i="22"/>
  <c r="E166" i="22"/>
  <c r="D91" i="18"/>
  <c r="AA91" i="5" s="1"/>
  <c r="R91" i="5" s="1"/>
  <c r="D127" i="18"/>
  <c r="E168" i="22"/>
  <c r="E167" i="22"/>
  <c r="E74" i="22"/>
  <c r="D65" i="18"/>
  <c r="AA65" i="5" s="1"/>
  <c r="Z65" i="5" s="1"/>
  <c r="Q65" i="5" s="1"/>
  <c r="E64" i="22"/>
  <c r="D66" i="18"/>
  <c r="E172" i="22"/>
  <c r="D192" i="18"/>
  <c r="D193" i="18"/>
  <c r="J126" i="18"/>
  <c r="E127" i="18" s="1"/>
  <c r="AC127" i="5" s="1"/>
  <c r="E139" i="22"/>
  <c r="E19" i="22"/>
  <c r="D151" i="18"/>
  <c r="AA151" i="5" s="1"/>
  <c r="Z151" i="5" s="1"/>
  <c r="Q151" i="5" s="1"/>
  <c r="E123" i="22"/>
  <c r="E138" i="22"/>
  <c r="E59" i="22"/>
  <c r="E54" i="22"/>
  <c r="E14" i="22"/>
  <c r="D171" i="18"/>
  <c r="D172" i="18"/>
  <c r="D145" i="18"/>
  <c r="AA145" i="5" s="1"/>
  <c r="Z145" i="5" s="1"/>
  <c r="Q145" i="5" s="1"/>
  <c r="D146" i="18"/>
  <c r="E116" i="22"/>
  <c r="E114" i="22"/>
  <c r="E117" i="22"/>
  <c r="E113" i="22"/>
  <c r="E91" i="22"/>
  <c r="E92" i="22"/>
  <c r="E90" i="22"/>
  <c r="E101" i="22"/>
  <c r="E104" i="22"/>
  <c r="E105" i="22"/>
  <c r="E147" i="22"/>
  <c r="E148" i="22"/>
  <c r="E188" i="22"/>
  <c r="E184" i="22"/>
  <c r="E192" i="22"/>
  <c r="D164" i="18"/>
  <c r="AA164" i="5" s="1"/>
  <c r="R164" i="5" s="1"/>
  <c r="D162" i="18"/>
  <c r="AA162" i="5" s="1"/>
  <c r="R162" i="5" s="1"/>
  <c r="E145" i="22"/>
  <c r="J68" i="18"/>
  <c r="E69" i="18" s="1"/>
  <c r="AC69" i="5" s="1"/>
  <c r="E9" i="22"/>
  <c r="E112" i="22"/>
  <c r="E62" i="22"/>
  <c r="J36" i="18"/>
  <c r="E37" i="18" s="1"/>
  <c r="AC37" i="5" s="1"/>
  <c r="AB37" i="5" s="1"/>
  <c r="S37" i="5" s="1"/>
  <c r="E32" i="22"/>
  <c r="E30" i="22"/>
  <c r="E21" i="22"/>
  <c r="E31" i="22"/>
  <c r="J14" i="18"/>
  <c r="E17" i="18" s="1"/>
  <c r="AC17" i="5" s="1"/>
  <c r="E48" i="22"/>
  <c r="E20" i="22"/>
  <c r="E35" i="22"/>
  <c r="E10" i="22"/>
  <c r="D77" i="18"/>
  <c r="AA77" i="5" s="1"/>
  <c r="R77" i="5" s="1"/>
  <c r="D76" i="18"/>
  <c r="D75" i="18"/>
  <c r="AA75" i="5" s="1"/>
  <c r="Z75" i="5" s="1"/>
  <c r="Q75" i="5" s="1"/>
  <c r="BA9" i="22"/>
  <c r="BA62" i="22"/>
  <c r="BA112" i="22"/>
  <c r="E47" i="22"/>
  <c r="E44" i="22"/>
  <c r="E40" i="22"/>
  <c r="E36" i="22"/>
  <c r="E152" i="22"/>
  <c r="E154" i="22"/>
  <c r="E158" i="22"/>
  <c r="E156" i="22"/>
  <c r="E153" i="22"/>
  <c r="E155" i="22"/>
  <c r="E157" i="22"/>
  <c r="E165" i="22"/>
  <c r="E176" i="22"/>
  <c r="E177" i="22"/>
  <c r="E182" i="22"/>
  <c r="E175" i="22"/>
  <c r="E78" i="22"/>
  <c r="E100" i="22"/>
  <c r="E63" i="22"/>
  <c r="E173" i="22"/>
  <c r="E174" i="22"/>
  <c r="E183" i="22"/>
  <c r="D166" i="18"/>
  <c r="AA166" i="5" s="1"/>
  <c r="R166" i="5" s="1"/>
  <c r="D161" i="18"/>
  <c r="AA161" i="5" s="1"/>
  <c r="E89" i="22"/>
  <c r="E82" i="22"/>
  <c r="E93" i="22"/>
  <c r="E79" i="22"/>
  <c r="E76" i="22"/>
  <c r="E75" i="22"/>
  <c r="E77" i="22"/>
  <c r="E60" i="22"/>
  <c r="E61" i="22"/>
  <c r="J170" i="18"/>
  <c r="E172" i="18" s="1"/>
  <c r="AC172" i="5" s="1"/>
  <c r="D165" i="18"/>
  <c r="AA165" i="5" s="1"/>
  <c r="R165" i="5" s="1"/>
  <c r="E133" i="22"/>
  <c r="E135" i="22"/>
  <c r="E134" i="22"/>
  <c r="E136" i="22"/>
  <c r="E132" i="22"/>
  <c r="J121" i="18"/>
  <c r="E174" i="18" s="1"/>
  <c r="AH176" i="5"/>
  <c r="D50" i="18"/>
  <c r="D51" i="18"/>
  <c r="AA51" i="5" s="1"/>
  <c r="R51" i="5" s="1"/>
  <c r="BA63" i="22"/>
  <c r="BA100" i="22"/>
  <c r="J49" i="18"/>
  <c r="E53" i="18" s="1"/>
  <c r="AC53" i="5" s="1"/>
  <c r="T53" i="5" s="1"/>
  <c r="E146" i="18"/>
  <c r="AC146" i="5" s="1"/>
  <c r="E145" i="18"/>
  <c r="AC145" i="5" s="1"/>
  <c r="AB145" i="5" s="1"/>
  <c r="S145" i="5" s="1"/>
  <c r="D88" i="18"/>
  <c r="D84" i="18"/>
  <c r="D85" i="18"/>
  <c r="D87" i="18"/>
  <c r="D83" i="18"/>
  <c r="AA83" i="5" s="1"/>
  <c r="Z83" i="5" s="1"/>
  <c r="D86" i="18"/>
  <c r="D55" i="18"/>
  <c r="AA55" i="5" s="1"/>
  <c r="Z55" i="5" s="1"/>
  <c r="Q55" i="5" s="1"/>
  <c r="D58" i="18"/>
  <c r="AA58" i="5" s="1"/>
  <c r="R58" i="5" s="1"/>
  <c r="D56" i="18"/>
  <c r="D57" i="18"/>
  <c r="J40" i="18"/>
  <c r="D195" i="18"/>
  <c r="AA195" i="5" s="1"/>
  <c r="Z195" i="5" s="1"/>
  <c r="Q195" i="5" s="1"/>
  <c r="D196" i="18"/>
  <c r="D70" i="18"/>
  <c r="D73" i="18"/>
  <c r="AA73" i="5" s="1"/>
  <c r="R73" i="5" s="1"/>
  <c r="D71" i="18"/>
  <c r="D72" i="18"/>
  <c r="D69" i="18"/>
  <c r="AA69" i="5" s="1"/>
  <c r="Z69" i="5" s="1"/>
  <c r="Q69" i="5" s="1"/>
  <c r="BA166" i="22"/>
  <c r="BA151" i="22"/>
  <c r="BA146" i="22"/>
  <c r="E141" i="18"/>
  <c r="AC141" i="5" s="1"/>
  <c r="E140" i="18"/>
  <c r="AC140" i="5" s="1"/>
  <c r="AB140" i="5" s="1"/>
  <c r="S140" i="5" s="1"/>
  <c r="J21" i="18"/>
  <c r="J79" i="18"/>
  <c r="J131" i="18"/>
  <c r="D181" i="18"/>
  <c r="D180" i="18"/>
  <c r="AA180" i="5" s="1"/>
  <c r="Z180" i="5" s="1"/>
  <c r="D183" i="18"/>
  <c r="D182" i="18"/>
  <c r="J93" i="18"/>
  <c r="D136" i="18"/>
  <c r="AA136" i="5" s="1"/>
  <c r="R136" i="5" s="1"/>
  <c r="D133" i="18"/>
  <c r="AA133" i="5" s="1"/>
  <c r="R133" i="5" s="1"/>
  <c r="D134" i="18"/>
  <c r="AA134" i="5" s="1"/>
  <c r="R134" i="5" s="1"/>
  <c r="D132" i="18"/>
  <c r="AA132" i="5" s="1"/>
  <c r="R132" i="5" s="1"/>
  <c r="D135" i="18"/>
  <c r="AA135" i="5" s="1"/>
  <c r="R135" i="5" s="1"/>
  <c r="D109" i="18"/>
  <c r="D111" i="18"/>
  <c r="D107" i="18"/>
  <c r="D110" i="18"/>
  <c r="D106" i="18"/>
  <c r="AA106" i="5" s="1"/>
  <c r="Z106" i="5" s="1"/>
  <c r="D108" i="18"/>
  <c r="J89" i="18"/>
  <c r="D37" i="18"/>
  <c r="D39" i="18"/>
  <c r="D38" i="18"/>
  <c r="T115" i="5"/>
  <c r="AC114" i="5"/>
  <c r="J8" i="18"/>
  <c r="J150" i="18"/>
  <c r="D140" i="18"/>
  <c r="AA140" i="5" s="1"/>
  <c r="Z140" i="5" s="1"/>
  <c r="Q140" i="5" s="1"/>
  <c r="D141" i="18"/>
  <c r="AH35" i="5"/>
  <c r="J194" i="18"/>
  <c r="J64" i="18"/>
  <c r="J129" i="18"/>
  <c r="D33" i="18"/>
  <c r="AA33" i="5" s="1"/>
  <c r="D34" i="18"/>
  <c r="AA34" i="5" s="1"/>
  <c r="R34" i="5" s="1"/>
  <c r="J59" i="18"/>
  <c r="J117" i="18"/>
  <c r="AH10" i="5"/>
  <c r="J82" i="18"/>
  <c r="J54" i="18"/>
  <c r="BA48" i="22"/>
  <c r="BA10" i="22"/>
  <c r="BA20" i="22"/>
  <c r="BA35" i="22"/>
  <c r="E181" i="18"/>
  <c r="AC181" i="5" s="1"/>
  <c r="E180" i="18"/>
  <c r="AC180" i="5" s="1"/>
  <c r="AB180" i="5" s="1"/>
  <c r="E183" i="18"/>
  <c r="AC183" i="5" s="1"/>
  <c r="E182" i="18"/>
  <c r="AC182" i="5" s="1"/>
  <c r="D45" i="18"/>
  <c r="D46" i="18"/>
  <c r="D118" i="18"/>
  <c r="AA118" i="5" s="1"/>
  <c r="Z118" i="5" s="1"/>
  <c r="Q118" i="5" s="1"/>
  <c r="D119" i="18"/>
  <c r="D22" i="18"/>
  <c r="AA22" i="5" s="1"/>
  <c r="Z22" i="5" s="1"/>
  <c r="D27" i="18"/>
  <c r="D25" i="18"/>
  <c r="D26" i="18"/>
  <c r="D29" i="18"/>
  <c r="D24" i="18"/>
  <c r="D28" i="18"/>
  <c r="D23" i="18"/>
  <c r="J101" i="18"/>
  <c r="J160" i="18"/>
  <c r="R191" i="5"/>
  <c r="BA145" i="22"/>
  <c r="BA122" i="22"/>
  <c r="J186" i="18"/>
  <c r="D81" i="18"/>
  <c r="D80" i="18"/>
  <c r="AA80" i="5" s="1"/>
  <c r="Z80" i="5" s="1"/>
  <c r="Q80" i="5" s="1"/>
  <c r="BC122" i="22"/>
  <c r="K40" i="8"/>
  <c r="J38" i="8"/>
  <c r="D41" i="18"/>
  <c r="AA41" i="5" s="1"/>
  <c r="D43" i="18"/>
  <c r="D42" i="18"/>
  <c r="J190" i="18"/>
  <c r="AH117" i="5"/>
  <c r="AH20" i="5"/>
  <c r="J124" i="18"/>
  <c r="AH153" i="5"/>
  <c r="J32" i="18"/>
  <c r="J105" i="18"/>
  <c r="BA172" i="22"/>
  <c r="BA183" i="22"/>
  <c r="BA174" i="22"/>
  <c r="BA173" i="22"/>
  <c r="R61" i="5" l="1"/>
  <c r="R67" i="5"/>
  <c r="R143" i="5"/>
  <c r="T69" i="5"/>
  <c r="AB69" i="5"/>
  <c r="S69" i="5" s="1"/>
  <c r="AE113" i="23"/>
  <c r="S180" i="5"/>
  <c r="AE50" i="23"/>
  <c r="AD103" i="23"/>
  <c r="Q22" i="5"/>
  <c r="AD174" i="23"/>
  <c r="AD9" i="23"/>
  <c r="AD34" i="23"/>
  <c r="AD67" i="23"/>
  <c r="T181" i="5"/>
  <c r="AB181" i="5"/>
  <c r="AA181" i="5"/>
  <c r="Z181" i="5" s="1"/>
  <c r="AA84" i="5"/>
  <c r="Z84" i="5" s="1"/>
  <c r="AA50" i="5"/>
  <c r="Z50" i="5" s="1"/>
  <c r="T127" i="5"/>
  <c r="AB127" i="5"/>
  <c r="S127" i="5" s="1"/>
  <c r="Q61" i="5"/>
  <c r="AD16" i="23"/>
  <c r="R128" i="5"/>
  <c r="AD45" i="23"/>
  <c r="AD23" i="23"/>
  <c r="Q67" i="5"/>
  <c r="AA25" i="5"/>
  <c r="Z25" i="5" s="1"/>
  <c r="AA141" i="5"/>
  <c r="Z141" i="5" s="1"/>
  <c r="Q141" i="5" s="1"/>
  <c r="AD113" i="23"/>
  <c r="Q180" i="5"/>
  <c r="AD50" i="23"/>
  <c r="AA71" i="5"/>
  <c r="Z71" i="5" s="1"/>
  <c r="AA23" i="5"/>
  <c r="Z23" i="5" s="1"/>
  <c r="Q23" i="5" s="1"/>
  <c r="AA119" i="5"/>
  <c r="Z119" i="5" s="1"/>
  <c r="Q119" i="5" s="1"/>
  <c r="AA108" i="5"/>
  <c r="Z108" i="5" s="1"/>
  <c r="T141" i="5"/>
  <c r="AB141" i="5"/>
  <c r="S141" i="5" s="1"/>
  <c r="AA70" i="5"/>
  <c r="Z70" i="5" s="1"/>
  <c r="Q70" i="5" s="1"/>
  <c r="AA88" i="5"/>
  <c r="Z88" i="5" s="1"/>
  <c r="T172" i="5"/>
  <c r="AB172" i="5"/>
  <c r="S172" i="5" s="1"/>
  <c r="AA193" i="5"/>
  <c r="Z193" i="5" s="1"/>
  <c r="AA60" i="5"/>
  <c r="Z60" i="5" s="1"/>
  <c r="Z59" i="5" s="1"/>
  <c r="T142" i="5"/>
  <c r="AB142" i="5"/>
  <c r="AA72" i="5"/>
  <c r="Z72" i="5" s="1"/>
  <c r="Q72" i="5" s="1"/>
  <c r="AA85" i="5"/>
  <c r="Z85" i="5" s="1"/>
  <c r="R103" i="5"/>
  <c r="AA42" i="5"/>
  <c r="Z42" i="5" s="1"/>
  <c r="AA81" i="5"/>
  <c r="Z81" i="5" s="1"/>
  <c r="Q81" i="5" s="1"/>
  <c r="AA28" i="5"/>
  <c r="Z28" i="5" s="1"/>
  <c r="Q28" i="5" s="1"/>
  <c r="Q106" i="5"/>
  <c r="AD148" i="23"/>
  <c r="AA196" i="5"/>
  <c r="Z196" i="5" s="1"/>
  <c r="Q196" i="5" s="1"/>
  <c r="AA192" i="5"/>
  <c r="Z192" i="5" s="1"/>
  <c r="Q192" i="5" s="1"/>
  <c r="Q188" i="5"/>
  <c r="AD126" i="23"/>
  <c r="AD26" i="23"/>
  <c r="AA183" i="5"/>
  <c r="Z183" i="5" s="1"/>
  <c r="AA76" i="5"/>
  <c r="Z76" i="5" s="1"/>
  <c r="AA142" i="5"/>
  <c r="Z142" i="5" s="1"/>
  <c r="AA43" i="5"/>
  <c r="Z43" i="5" s="1"/>
  <c r="Q43" i="5" s="1"/>
  <c r="AA24" i="5"/>
  <c r="Z24" i="5" s="1"/>
  <c r="T114" i="5"/>
  <c r="AB114" i="5"/>
  <c r="S114" i="5" s="1"/>
  <c r="H114" i="18" s="1"/>
  <c r="AA110" i="5"/>
  <c r="Z110" i="5" s="1"/>
  <c r="T146" i="5"/>
  <c r="AB146" i="5"/>
  <c r="S146" i="5" s="1"/>
  <c r="AA127" i="5"/>
  <c r="Z127" i="5" s="1"/>
  <c r="Q127" i="5" s="1"/>
  <c r="R126" i="5"/>
  <c r="R188" i="5"/>
  <c r="T183" i="5"/>
  <c r="AB183" i="5"/>
  <c r="AA109" i="5"/>
  <c r="Z109" i="5" s="1"/>
  <c r="AA87" i="5"/>
  <c r="Z87" i="5" s="1"/>
  <c r="AA171" i="5"/>
  <c r="Z171" i="5" s="1"/>
  <c r="Q171" i="5" s="1"/>
  <c r="AA29" i="5"/>
  <c r="Z29" i="5" s="1"/>
  <c r="Q29" i="5" s="1"/>
  <c r="AA107" i="5"/>
  <c r="Z107" i="5" s="1"/>
  <c r="AA86" i="5"/>
  <c r="Z86" i="5" s="1"/>
  <c r="AA146" i="5"/>
  <c r="Z146" i="5" s="1"/>
  <c r="Q146" i="5" s="1"/>
  <c r="AA66" i="5"/>
  <c r="Z66" i="5" s="1"/>
  <c r="Z64" i="5" s="1"/>
  <c r="AA56" i="5"/>
  <c r="Z56" i="5" s="1"/>
  <c r="Q56" i="5" s="1"/>
  <c r="AA172" i="5"/>
  <c r="Z172" i="5" s="1"/>
  <c r="Q172" i="5" s="1"/>
  <c r="AA187" i="5"/>
  <c r="Z187" i="5" s="1"/>
  <c r="AA27" i="5"/>
  <c r="Z27" i="5" s="1"/>
  <c r="Q27" i="5" s="1"/>
  <c r="AA26" i="5"/>
  <c r="Z26" i="5" s="1"/>
  <c r="Q26" i="5" s="1"/>
  <c r="T182" i="5"/>
  <c r="AB182" i="5"/>
  <c r="AA111" i="5"/>
  <c r="Z111" i="5" s="1"/>
  <c r="AA182" i="5"/>
  <c r="Z182" i="5" s="1"/>
  <c r="AA57" i="5"/>
  <c r="Z57" i="5" s="1"/>
  <c r="Q57" i="5" s="1"/>
  <c r="AD138" i="23"/>
  <c r="Q83" i="5"/>
  <c r="AD79" i="23"/>
  <c r="T17" i="5"/>
  <c r="AB17" i="5"/>
  <c r="S17" i="5" s="1"/>
  <c r="AA189" i="5"/>
  <c r="Z189" i="5" s="1"/>
  <c r="R152" i="5"/>
  <c r="R173" i="5"/>
  <c r="AA38" i="5"/>
  <c r="Z38" i="5" s="1"/>
  <c r="Q38" i="5" s="1"/>
  <c r="AA39" i="5"/>
  <c r="Z39" i="5" s="1"/>
  <c r="AA37" i="5"/>
  <c r="Z37" i="5" s="1"/>
  <c r="Q37" i="5" s="1"/>
  <c r="AA46" i="5"/>
  <c r="Z46" i="5" s="1"/>
  <c r="Q46" i="5" s="1"/>
  <c r="AA45" i="5"/>
  <c r="Z45" i="5" s="1"/>
  <c r="Q45" i="5" s="1"/>
  <c r="O35" i="6"/>
  <c r="D8" i="16" s="1"/>
  <c r="R102" i="5"/>
  <c r="Z101" i="5"/>
  <c r="K101" i="18" s="1"/>
  <c r="E51" i="18"/>
  <c r="AC51" i="5" s="1"/>
  <c r="T51" i="5" s="1"/>
  <c r="E38" i="18"/>
  <c r="AC38" i="5" s="1"/>
  <c r="E128" i="18"/>
  <c r="AC128" i="5" s="1"/>
  <c r="Z89" i="5"/>
  <c r="E18" i="18"/>
  <c r="AC18" i="5" s="1"/>
  <c r="R65" i="5"/>
  <c r="R151" i="5"/>
  <c r="Z150" i="5"/>
  <c r="K150" i="18" s="1"/>
  <c r="R145" i="5"/>
  <c r="E70" i="18"/>
  <c r="AC70" i="5" s="1"/>
  <c r="AB70" i="5" s="1"/>
  <c r="S70" i="5" s="1"/>
  <c r="E122" i="18"/>
  <c r="E39" i="18"/>
  <c r="AC39" i="5" s="1"/>
  <c r="E147" i="18"/>
  <c r="Z49" i="5"/>
  <c r="E15" i="18"/>
  <c r="AC15" i="5" s="1"/>
  <c r="E16" i="18"/>
  <c r="AC16" i="5" s="1"/>
  <c r="E71" i="18"/>
  <c r="AC71" i="5" s="1"/>
  <c r="E73" i="18"/>
  <c r="AC73" i="5" s="1"/>
  <c r="E72" i="18"/>
  <c r="AC72" i="5" s="1"/>
  <c r="R75" i="5"/>
  <c r="R161" i="5"/>
  <c r="Z160" i="5"/>
  <c r="Q160" i="5" s="1"/>
  <c r="G160" i="18" s="1"/>
  <c r="I153" i="18" s="1"/>
  <c r="E173" i="18"/>
  <c r="AC173" i="5" s="1"/>
  <c r="E171" i="18"/>
  <c r="AC171" i="5" s="1"/>
  <c r="AB171" i="5" s="1"/>
  <c r="S171" i="5" s="1"/>
  <c r="E50" i="18"/>
  <c r="AC50" i="5" s="1"/>
  <c r="E52" i="18"/>
  <c r="AC52" i="5" s="1"/>
  <c r="T52" i="5" s="1"/>
  <c r="T145" i="5"/>
  <c r="R41" i="5"/>
  <c r="E103" i="18"/>
  <c r="AC103" i="5" s="1"/>
  <c r="E102" i="18"/>
  <c r="AC102" i="5" s="1"/>
  <c r="AB102" i="5" s="1"/>
  <c r="S102" i="5" s="1"/>
  <c r="R22" i="5"/>
  <c r="E118" i="18"/>
  <c r="AC118" i="5" s="1"/>
  <c r="AB118" i="5" s="1"/>
  <c r="S118" i="5" s="1"/>
  <c r="E119" i="18"/>
  <c r="AC119" i="5" s="1"/>
  <c r="E131" i="18"/>
  <c r="E130" i="18"/>
  <c r="R140" i="5"/>
  <c r="E94" i="18"/>
  <c r="AC94" i="5" s="1"/>
  <c r="AB94" i="5" s="1"/>
  <c r="E95" i="18"/>
  <c r="AC95" i="5" s="1"/>
  <c r="E98" i="18"/>
  <c r="AC98" i="5" s="1"/>
  <c r="E96" i="18"/>
  <c r="AC96" i="5" s="1"/>
  <c r="E97" i="18"/>
  <c r="AC97" i="5" s="1"/>
  <c r="E107" i="18"/>
  <c r="AC107" i="5" s="1"/>
  <c r="E111" i="18"/>
  <c r="AC111" i="5" s="1"/>
  <c r="E106" i="18"/>
  <c r="AC106" i="5" s="1"/>
  <c r="AB106" i="5" s="1"/>
  <c r="E109" i="18"/>
  <c r="AC109" i="5" s="1"/>
  <c r="E108" i="18"/>
  <c r="AC108" i="5" s="1"/>
  <c r="E110" i="18"/>
  <c r="AC110" i="5" s="1"/>
  <c r="E192" i="18"/>
  <c r="AC192" i="5" s="1"/>
  <c r="AB192" i="5" s="1"/>
  <c r="S192" i="5" s="1"/>
  <c r="E191" i="18"/>
  <c r="AC191" i="5" s="1"/>
  <c r="AB191" i="5" s="1"/>
  <c r="E193" i="18"/>
  <c r="AC193" i="5" s="1"/>
  <c r="E57" i="18"/>
  <c r="AC57" i="5" s="1"/>
  <c r="E58" i="18"/>
  <c r="AC58" i="5" s="1"/>
  <c r="T58" i="5" s="1"/>
  <c r="E55" i="18"/>
  <c r="AC55" i="5" s="1"/>
  <c r="AB55" i="5" s="1"/>
  <c r="S55" i="5" s="1"/>
  <c r="E56" i="18"/>
  <c r="AC56" i="5" s="1"/>
  <c r="E61" i="18"/>
  <c r="AC61" i="5" s="1"/>
  <c r="E60" i="18"/>
  <c r="AC60" i="5" s="1"/>
  <c r="AB60" i="5" s="1"/>
  <c r="E195" i="18"/>
  <c r="AC195" i="5" s="1"/>
  <c r="AB195" i="5" s="1"/>
  <c r="S195" i="5" s="1"/>
  <c r="E196" i="18"/>
  <c r="AC196" i="5" s="1"/>
  <c r="E152" i="18"/>
  <c r="AC152" i="5" s="1"/>
  <c r="E151" i="18"/>
  <c r="AC151" i="5" s="1"/>
  <c r="AB151" i="5" s="1"/>
  <c r="S151" i="5" s="1"/>
  <c r="E90" i="18"/>
  <c r="AC90" i="5" s="1"/>
  <c r="E91" i="18"/>
  <c r="AC91" i="5" s="1"/>
  <c r="T91" i="5" s="1"/>
  <c r="E92" i="18"/>
  <c r="AC92" i="5" s="1"/>
  <c r="T92" i="5" s="1"/>
  <c r="E45" i="18"/>
  <c r="AC45" i="5" s="1"/>
  <c r="E46" i="18"/>
  <c r="AC46" i="5" s="1"/>
  <c r="T140" i="5"/>
  <c r="E42" i="18"/>
  <c r="AC42" i="5" s="1"/>
  <c r="E43" i="18"/>
  <c r="AC43" i="5" s="1"/>
  <c r="E41" i="18"/>
  <c r="AC41" i="5" s="1"/>
  <c r="R55" i="5"/>
  <c r="Z54" i="5"/>
  <c r="K54" i="18" s="1"/>
  <c r="E67" i="18"/>
  <c r="AC67" i="5" s="1"/>
  <c r="AB67" i="5" s="1"/>
  <c r="E66" i="18"/>
  <c r="AC66" i="5" s="1"/>
  <c r="E65" i="18"/>
  <c r="AC65" i="5" s="1"/>
  <c r="AB65" i="5" s="1"/>
  <c r="S65" i="5" s="1"/>
  <c r="E34" i="18"/>
  <c r="AC34" i="5" s="1"/>
  <c r="T34" i="5" s="1"/>
  <c r="E33" i="18"/>
  <c r="AC33" i="5" s="1"/>
  <c r="E125" i="18"/>
  <c r="AC125" i="5" s="1"/>
  <c r="E126" i="18"/>
  <c r="AC126" i="5" s="1"/>
  <c r="K43" i="8"/>
  <c r="K44" i="8"/>
  <c r="K41" i="8"/>
  <c r="K45" i="8"/>
  <c r="K42" i="8"/>
  <c r="X13" i="5"/>
  <c r="L13" i="18" s="1"/>
  <c r="H13" i="18" s="1"/>
  <c r="J11" i="18" s="1"/>
  <c r="E13" i="18" s="1"/>
  <c r="AC13" i="5" s="1"/>
  <c r="T13" i="5" s="1"/>
  <c r="E189" i="18"/>
  <c r="AC189" i="5" s="1"/>
  <c r="E187" i="18"/>
  <c r="AC187" i="5" s="1"/>
  <c r="AB187" i="5" s="1"/>
  <c r="E188" i="18"/>
  <c r="AC188" i="5" s="1"/>
  <c r="R118" i="5"/>
  <c r="T37" i="5"/>
  <c r="E88" i="18"/>
  <c r="AC88" i="5" s="1"/>
  <c r="E84" i="18"/>
  <c r="AC84" i="5" s="1"/>
  <c r="E87" i="18"/>
  <c r="AC87" i="5" s="1"/>
  <c r="E83" i="18"/>
  <c r="AC83" i="5" s="1"/>
  <c r="AB83" i="5" s="1"/>
  <c r="E86" i="18"/>
  <c r="AC86" i="5" s="1"/>
  <c r="E85" i="18"/>
  <c r="AC85" i="5" s="1"/>
  <c r="E9" i="18"/>
  <c r="E112" i="18"/>
  <c r="E62" i="18"/>
  <c r="R106" i="5"/>
  <c r="E132" i="18"/>
  <c r="AC132" i="5" s="1"/>
  <c r="T132" i="5" s="1"/>
  <c r="E133" i="18"/>
  <c r="AC133" i="5" s="1"/>
  <c r="T133" i="5" s="1"/>
  <c r="E135" i="18"/>
  <c r="AC135" i="5" s="1"/>
  <c r="T135" i="5" s="1"/>
  <c r="E134" i="18"/>
  <c r="AC134" i="5" s="1"/>
  <c r="T134" i="5" s="1"/>
  <c r="E136" i="18"/>
  <c r="AC136" i="5" s="1"/>
  <c r="T136" i="5" s="1"/>
  <c r="R69" i="5"/>
  <c r="R83" i="5"/>
  <c r="R80" i="5"/>
  <c r="Z79" i="5"/>
  <c r="K79" i="18" s="1"/>
  <c r="R180" i="5"/>
  <c r="E28" i="18"/>
  <c r="AC28" i="5" s="1"/>
  <c r="E23" i="18"/>
  <c r="AC23" i="5" s="1"/>
  <c r="E25" i="18"/>
  <c r="AC25" i="5" s="1"/>
  <c r="E26" i="18"/>
  <c r="AC26" i="5" s="1"/>
  <c r="E27" i="18"/>
  <c r="AC27" i="5" s="1"/>
  <c r="E22" i="18"/>
  <c r="AC22" i="5" s="1"/>
  <c r="AB22" i="5" s="1"/>
  <c r="E29" i="18"/>
  <c r="AC29" i="5" s="1"/>
  <c r="E24" i="18"/>
  <c r="AC24" i="5" s="1"/>
  <c r="Z194" i="5"/>
  <c r="K194" i="18" s="1"/>
  <c r="R195" i="5"/>
  <c r="BA123" i="22"/>
  <c r="BA138" i="22"/>
  <c r="BA124" i="22"/>
  <c r="E164" i="18"/>
  <c r="AC164" i="5" s="1"/>
  <c r="T164" i="5" s="1"/>
  <c r="E163" i="18"/>
  <c r="AC163" i="5" s="1"/>
  <c r="T163" i="5" s="1"/>
  <c r="E165" i="18"/>
  <c r="AC165" i="5" s="1"/>
  <c r="T165" i="5" s="1"/>
  <c r="E166" i="18"/>
  <c r="AC166" i="5" s="1"/>
  <c r="T166" i="5" s="1"/>
  <c r="E161" i="18"/>
  <c r="AC161" i="5" s="1"/>
  <c r="E162" i="18"/>
  <c r="AC162" i="5" s="1"/>
  <c r="T162" i="5" s="1"/>
  <c r="T180" i="5"/>
  <c r="Z32" i="5"/>
  <c r="Q32" i="5" s="1"/>
  <c r="G32" i="18" s="1"/>
  <c r="R33" i="5"/>
  <c r="E81" i="18"/>
  <c r="AC81" i="5" s="1"/>
  <c r="E80" i="18"/>
  <c r="AC80" i="5" s="1"/>
  <c r="AB80" i="5" s="1"/>
  <c r="S80" i="5" s="1"/>
  <c r="BA129" i="22"/>
  <c r="Z190" i="5" l="1"/>
  <c r="R196" i="5"/>
  <c r="Z40" i="5"/>
  <c r="Z170" i="5"/>
  <c r="Z179" i="5"/>
  <c r="R56" i="5"/>
  <c r="R42" i="5"/>
  <c r="Z36" i="5"/>
  <c r="Q36" i="5" s="1"/>
  <c r="R26" i="5"/>
  <c r="R50" i="5"/>
  <c r="R193" i="5"/>
  <c r="Z144" i="5"/>
  <c r="Q144" i="5" s="1"/>
  <c r="R85" i="5"/>
  <c r="R109" i="5"/>
  <c r="AB144" i="5"/>
  <c r="S144" i="5" s="1"/>
  <c r="R107" i="5"/>
  <c r="R28" i="5"/>
  <c r="R84" i="5"/>
  <c r="R189" i="5"/>
  <c r="R43" i="5"/>
  <c r="R192" i="5"/>
  <c r="R81" i="5"/>
  <c r="R181" i="5"/>
  <c r="Z117" i="5"/>
  <c r="Q117" i="5" s="1"/>
  <c r="R141" i="5"/>
  <c r="R71" i="5"/>
  <c r="Q59" i="5"/>
  <c r="K59" i="18"/>
  <c r="T71" i="5"/>
  <c r="AB71" i="5"/>
  <c r="Q89" i="5"/>
  <c r="K89" i="18"/>
  <c r="Q111" i="5"/>
  <c r="AD153" i="23"/>
  <c r="AD125" i="23"/>
  <c r="AD25" i="23"/>
  <c r="Q187" i="5"/>
  <c r="Q76" i="5"/>
  <c r="AD17" i="23"/>
  <c r="AD54" i="23"/>
  <c r="S142" i="5"/>
  <c r="AE60" i="23"/>
  <c r="Q88" i="5"/>
  <c r="AD143" i="23"/>
  <c r="AD84" i="23"/>
  <c r="T28" i="5"/>
  <c r="AB28" i="5"/>
  <c r="S28" i="5" s="1"/>
  <c r="Z68" i="5"/>
  <c r="T88" i="5"/>
  <c r="AB88" i="5"/>
  <c r="T43" i="5"/>
  <c r="AB43" i="5"/>
  <c r="S43" i="5" s="1"/>
  <c r="S106" i="5"/>
  <c r="AE148" i="23"/>
  <c r="AF148" i="23" s="1"/>
  <c r="AG148" i="23" s="1"/>
  <c r="Z148" i="23" s="1"/>
  <c r="AI148" i="23" s="1"/>
  <c r="T173" i="5"/>
  <c r="AB173" i="5"/>
  <c r="S173" i="5" s="1"/>
  <c r="T16" i="5"/>
  <c r="AB16" i="5"/>
  <c r="S16" i="5" s="1"/>
  <c r="T128" i="5"/>
  <c r="AB128" i="5"/>
  <c r="S128" i="5" s="1"/>
  <c r="R60" i="5"/>
  <c r="R111" i="5"/>
  <c r="R187" i="5"/>
  <c r="R146" i="5"/>
  <c r="R171" i="5"/>
  <c r="R76" i="5"/>
  <c r="Q42" i="5"/>
  <c r="AD19" i="23"/>
  <c r="R88" i="5"/>
  <c r="R119" i="5"/>
  <c r="AD164" i="23"/>
  <c r="AD53" i="23"/>
  <c r="AD112" i="23"/>
  <c r="Q181" i="5"/>
  <c r="T84" i="5"/>
  <c r="AB84" i="5"/>
  <c r="S182" i="5"/>
  <c r="AE109" i="23"/>
  <c r="AD68" i="23"/>
  <c r="AD10" i="23"/>
  <c r="AD175" i="23"/>
  <c r="AD104" i="23"/>
  <c r="AD35" i="23"/>
  <c r="Q24" i="5"/>
  <c r="R172" i="5"/>
  <c r="R86" i="5"/>
  <c r="R87" i="5"/>
  <c r="R127" i="5"/>
  <c r="R183" i="5"/>
  <c r="R70" i="5"/>
  <c r="R23" i="5"/>
  <c r="Q25" i="5"/>
  <c r="AD176" i="23"/>
  <c r="AD11" i="23"/>
  <c r="AE164" i="23"/>
  <c r="AF164" i="23" s="1"/>
  <c r="AG164" i="23" s="1"/>
  <c r="Z164" i="23" s="1"/>
  <c r="AI164" i="23" s="1"/>
  <c r="AE112" i="23"/>
  <c r="AF112" i="23" s="1"/>
  <c r="AG112" i="23" s="1"/>
  <c r="Z112" i="23" s="1"/>
  <c r="AI112" i="23" s="1"/>
  <c r="AE53" i="23"/>
  <c r="S181" i="5"/>
  <c r="AF50" i="23"/>
  <c r="AG50" i="23" s="1"/>
  <c r="Z50" i="23" s="1"/>
  <c r="AE94" i="23"/>
  <c r="AE116" i="23"/>
  <c r="S94" i="5"/>
  <c r="AE179" i="23"/>
  <c r="Q179" i="5"/>
  <c r="G179" i="18" s="1"/>
  <c r="I176" i="18" s="1"/>
  <c r="D184" i="18" s="1"/>
  <c r="K179" i="18"/>
  <c r="T42" i="5"/>
  <c r="AB42" i="5"/>
  <c r="AB40" i="5" s="1"/>
  <c r="T111" i="5"/>
  <c r="AB111" i="5"/>
  <c r="T38" i="5"/>
  <c r="AB38" i="5"/>
  <c r="S38" i="5" s="1"/>
  <c r="AD162" i="23"/>
  <c r="Q183" i="5"/>
  <c r="T29" i="5"/>
  <c r="AB29" i="5"/>
  <c r="S29" i="5" s="1"/>
  <c r="T196" i="5"/>
  <c r="AB196" i="5"/>
  <c r="S196" i="5" s="1"/>
  <c r="T107" i="5"/>
  <c r="AB107" i="5"/>
  <c r="R24" i="5"/>
  <c r="AE102" i="23"/>
  <c r="AE34" i="23"/>
  <c r="AF34" i="23" s="1"/>
  <c r="AG34" i="23" s="1"/>
  <c r="Z34" i="23" s="1"/>
  <c r="AI34" i="23" s="1"/>
  <c r="AE174" i="23"/>
  <c r="AF174" i="23" s="1"/>
  <c r="AG174" i="23" s="1"/>
  <c r="Z174" i="23" s="1"/>
  <c r="AI174" i="23" s="1"/>
  <c r="AE67" i="23"/>
  <c r="AF67" i="23" s="1"/>
  <c r="AG67" i="23" s="1"/>
  <c r="Z67" i="23" s="1"/>
  <c r="AI67" i="23" s="1"/>
  <c r="S22" i="5"/>
  <c r="AE9" i="23"/>
  <c r="AF9" i="23" s="1"/>
  <c r="AG9" i="23" s="1"/>
  <c r="Z9" i="23" s="1"/>
  <c r="T85" i="5"/>
  <c r="AB85" i="5"/>
  <c r="T66" i="5"/>
  <c r="AB66" i="5"/>
  <c r="S191" i="5"/>
  <c r="AE128" i="23"/>
  <c r="AF128" i="23" s="1"/>
  <c r="AG128" i="23" s="1"/>
  <c r="Z128" i="23" s="1"/>
  <c r="AI128" i="23" s="1"/>
  <c r="AE28" i="23"/>
  <c r="AF28" i="23" s="1"/>
  <c r="AG28" i="23" s="1"/>
  <c r="Z28" i="23" s="1"/>
  <c r="AI28" i="23" s="1"/>
  <c r="T97" i="5"/>
  <c r="AB97" i="5"/>
  <c r="Q40" i="5"/>
  <c r="K40" i="18"/>
  <c r="G40" i="18" s="1"/>
  <c r="Z186" i="5"/>
  <c r="Q107" i="5"/>
  <c r="AD149" i="23"/>
  <c r="AD151" i="23"/>
  <c r="Q109" i="5"/>
  <c r="Q85" i="5"/>
  <c r="AD81" i="23"/>
  <c r="AD140" i="23"/>
  <c r="AD29" i="23"/>
  <c r="AD129" i="23"/>
  <c r="Q193" i="5"/>
  <c r="Q71" i="5"/>
  <c r="AD90" i="23"/>
  <c r="R25" i="5"/>
  <c r="T109" i="5"/>
  <c r="AB109" i="5"/>
  <c r="T57" i="5"/>
  <c r="AB57" i="5"/>
  <c r="S57" i="5" s="1"/>
  <c r="T15" i="5"/>
  <c r="AB15" i="5"/>
  <c r="S15" i="5" s="1"/>
  <c r="K10" i="6"/>
  <c r="K111" i="6"/>
  <c r="AD161" i="23"/>
  <c r="Q60" i="5"/>
  <c r="T193" i="5"/>
  <c r="AB193" i="5"/>
  <c r="Q49" i="5"/>
  <c r="K49" i="18"/>
  <c r="G49" i="18" s="1"/>
  <c r="E12" i="18"/>
  <c r="AC12" i="5" s="1"/>
  <c r="T12" i="5" s="1"/>
  <c r="T27" i="5"/>
  <c r="AB27" i="5"/>
  <c r="S27" i="5" s="1"/>
  <c r="T86" i="5"/>
  <c r="AB86" i="5"/>
  <c r="T188" i="5"/>
  <c r="AB188" i="5"/>
  <c r="T67" i="5"/>
  <c r="AE161" i="23"/>
  <c r="S60" i="5"/>
  <c r="T96" i="5"/>
  <c r="AB96" i="5"/>
  <c r="T119" i="5"/>
  <c r="AB119" i="5"/>
  <c r="S119" i="5" s="1"/>
  <c r="Z74" i="5"/>
  <c r="Q190" i="5"/>
  <c r="K190" i="18"/>
  <c r="AD27" i="23"/>
  <c r="AD127" i="23"/>
  <c r="Q189" i="5"/>
  <c r="R57" i="5"/>
  <c r="Q50" i="5"/>
  <c r="AD38" i="23"/>
  <c r="AD106" i="23"/>
  <c r="AD71" i="23"/>
  <c r="AD15" i="23"/>
  <c r="AF113" i="23"/>
  <c r="AG113" i="23" s="1"/>
  <c r="Z113" i="23" s="1"/>
  <c r="AI113" i="23" s="1"/>
  <c r="T24" i="5"/>
  <c r="AB24" i="5"/>
  <c r="T103" i="5"/>
  <c r="AB103" i="5"/>
  <c r="S103" i="5" s="1"/>
  <c r="AD82" i="23"/>
  <c r="Q86" i="5"/>
  <c r="AD141" i="23"/>
  <c r="S187" i="5"/>
  <c r="AE125" i="23"/>
  <c r="AE25" i="23"/>
  <c r="AF25" i="23" s="1"/>
  <c r="AG25" i="23" s="1"/>
  <c r="Z25" i="23" s="1"/>
  <c r="T126" i="5"/>
  <c r="AB126" i="5"/>
  <c r="S126" i="5" s="1"/>
  <c r="T61" i="5"/>
  <c r="AB61" i="5"/>
  <c r="AB59" i="5" s="1"/>
  <c r="T98" i="5"/>
  <c r="AB98" i="5"/>
  <c r="T72" i="5"/>
  <c r="AB72" i="5"/>
  <c r="S72" i="5" s="1"/>
  <c r="AB139" i="5"/>
  <c r="Q182" i="5"/>
  <c r="AD109" i="23"/>
  <c r="Q66" i="5"/>
  <c r="AD92" i="23"/>
  <c r="S183" i="5"/>
  <c r="AE162" i="23"/>
  <c r="Q142" i="5"/>
  <c r="AD60" i="23"/>
  <c r="AD150" i="23"/>
  <c r="Q108" i="5"/>
  <c r="T23" i="5"/>
  <c r="AB23" i="5"/>
  <c r="S23" i="5" s="1"/>
  <c r="T81" i="5"/>
  <c r="AB81" i="5"/>
  <c r="S81" i="5" s="1"/>
  <c r="T152" i="5"/>
  <c r="AB152" i="5"/>
  <c r="S152" i="5" s="1"/>
  <c r="Q170" i="5"/>
  <c r="K170" i="18"/>
  <c r="AD142" i="23"/>
  <c r="AD83" i="23"/>
  <c r="Q87" i="5"/>
  <c r="AB179" i="5"/>
  <c r="T26" i="5"/>
  <c r="AB26" i="5"/>
  <c r="S26" i="5" s="1"/>
  <c r="S83" i="5"/>
  <c r="AE138" i="23"/>
  <c r="AF138" i="23" s="1"/>
  <c r="AG138" i="23" s="1"/>
  <c r="Z138" i="23" s="1"/>
  <c r="AI138" i="23" s="1"/>
  <c r="AE79" i="23"/>
  <c r="AF79" i="23" s="1"/>
  <c r="AG79" i="23" s="1"/>
  <c r="Z79" i="23" s="1"/>
  <c r="AI79" i="23" s="1"/>
  <c r="T110" i="5"/>
  <c r="AB110" i="5"/>
  <c r="T39" i="5"/>
  <c r="AB39" i="5"/>
  <c r="Q64" i="5"/>
  <c r="K64" i="18"/>
  <c r="Q110" i="5"/>
  <c r="AD152" i="23"/>
  <c r="T25" i="5"/>
  <c r="AB25" i="5"/>
  <c r="Z82" i="5"/>
  <c r="Z105" i="5"/>
  <c r="T87" i="5"/>
  <c r="AB87" i="5"/>
  <c r="T189" i="5"/>
  <c r="AB189" i="5"/>
  <c r="AB186" i="5" s="1"/>
  <c r="T125" i="5"/>
  <c r="AB125" i="5"/>
  <c r="S125" i="5" s="1"/>
  <c r="T56" i="5"/>
  <c r="AB56" i="5"/>
  <c r="S56" i="5" s="1"/>
  <c r="T108" i="5"/>
  <c r="AB108" i="5"/>
  <c r="T95" i="5"/>
  <c r="AB95" i="5"/>
  <c r="Z21" i="5"/>
  <c r="T50" i="5"/>
  <c r="AB50" i="5"/>
  <c r="T18" i="5"/>
  <c r="AB18" i="5"/>
  <c r="S18" i="5" s="1"/>
  <c r="Z139" i="5"/>
  <c r="R182" i="5"/>
  <c r="R27" i="5"/>
  <c r="R66" i="5"/>
  <c r="R29" i="5"/>
  <c r="R110" i="5"/>
  <c r="R142" i="5"/>
  <c r="R72" i="5"/>
  <c r="R108" i="5"/>
  <c r="AD80" i="23"/>
  <c r="Q84" i="5"/>
  <c r="AD139" i="23"/>
  <c r="AD105" i="23"/>
  <c r="Q39" i="5"/>
  <c r="AD69" i="23"/>
  <c r="AD36" i="23"/>
  <c r="AD18" i="23"/>
  <c r="R39" i="5"/>
  <c r="R37" i="5"/>
  <c r="R38" i="5"/>
  <c r="T45" i="5"/>
  <c r="AB45" i="5"/>
  <c r="S45" i="5" s="1"/>
  <c r="T46" i="5"/>
  <c r="AB46" i="5"/>
  <c r="S46" i="5" s="1"/>
  <c r="R45" i="5"/>
  <c r="R46" i="5"/>
  <c r="M111" i="20"/>
  <c r="N111" i="20" s="1"/>
  <c r="N121" i="20" s="1"/>
  <c r="AD62" i="23"/>
  <c r="AE62" i="23"/>
  <c r="Q101" i="5"/>
  <c r="G101" i="18" s="1"/>
  <c r="AD43" i="23"/>
  <c r="AD49" i="23"/>
  <c r="Q150" i="5"/>
  <c r="G150" i="18" s="1"/>
  <c r="I148" i="18" s="1"/>
  <c r="AB49" i="5"/>
  <c r="T171" i="5"/>
  <c r="D159" i="18"/>
  <c r="D167" i="18"/>
  <c r="AA167" i="5" s="1"/>
  <c r="R167" i="5" s="1"/>
  <c r="D156" i="18"/>
  <c r="D154" i="18"/>
  <c r="AA154" i="5" s="1"/>
  <c r="Z154" i="5" s="1"/>
  <c r="D160" i="18"/>
  <c r="AA160" i="5" s="1"/>
  <c r="R160" i="5" s="1"/>
  <c r="D157" i="18"/>
  <c r="D155" i="18"/>
  <c r="D158" i="18"/>
  <c r="T83" i="5"/>
  <c r="T118" i="5"/>
  <c r="AC117" i="5"/>
  <c r="T117" i="5" s="1"/>
  <c r="AB160" i="5"/>
  <c r="S160" i="5" s="1"/>
  <c r="H160" i="18" s="1"/>
  <c r="J153" i="18" s="1"/>
  <c r="T161" i="5"/>
  <c r="T187" i="5"/>
  <c r="T33" i="5"/>
  <c r="AB32" i="5"/>
  <c r="S32" i="5" s="1"/>
  <c r="H32" i="18" s="1"/>
  <c r="AD107" i="23"/>
  <c r="AD37" i="23"/>
  <c r="Q54" i="5"/>
  <c r="G54" i="18" s="1"/>
  <c r="AD13" i="23"/>
  <c r="AD70" i="23"/>
  <c r="T94" i="5"/>
  <c r="T80" i="5"/>
  <c r="AB79" i="5"/>
  <c r="L79" i="18" s="1"/>
  <c r="T22" i="5"/>
  <c r="Q79" i="5"/>
  <c r="G79" i="18" s="1"/>
  <c r="AD178" i="23"/>
  <c r="AD93" i="23"/>
  <c r="AD115" i="23"/>
  <c r="T65" i="5"/>
  <c r="T90" i="5"/>
  <c r="AB89" i="5"/>
  <c r="T195" i="5"/>
  <c r="T55" i="5"/>
  <c r="T191" i="5"/>
  <c r="Q194" i="5"/>
  <c r="G194" i="18" s="1"/>
  <c r="AD130" i="23"/>
  <c r="AD30" i="23"/>
  <c r="T41" i="5"/>
  <c r="T151" i="5"/>
  <c r="T60" i="5"/>
  <c r="T106" i="5"/>
  <c r="T102" i="5"/>
  <c r="AB101" i="5"/>
  <c r="L101" i="18" s="1"/>
  <c r="AB170" i="5" l="1"/>
  <c r="AB36" i="5"/>
  <c r="D178" i="18"/>
  <c r="AB21" i="5"/>
  <c r="AF125" i="23"/>
  <c r="AG125" i="23" s="1"/>
  <c r="Z125" i="23" s="1"/>
  <c r="AI125" i="23" s="1"/>
  <c r="D177" i="18"/>
  <c r="AB150" i="5"/>
  <c r="L150" i="18" s="1"/>
  <c r="K36" i="18"/>
  <c r="G36" i="18" s="1"/>
  <c r="I35" i="18" s="1"/>
  <c r="D40" i="18" s="1"/>
  <c r="AA40" i="5" s="1"/>
  <c r="R40" i="5" s="1"/>
  <c r="G190" i="18"/>
  <c r="D179" i="18"/>
  <c r="AA179" i="5" s="1"/>
  <c r="R179" i="5" s="1"/>
  <c r="AB105" i="5"/>
  <c r="S105" i="5" s="1"/>
  <c r="AF162" i="23"/>
  <c r="AG162" i="23" s="1"/>
  <c r="Z162" i="23" s="1"/>
  <c r="AI162" i="23" s="1"/>
  <c r="K162" i="23" s="1"/>
  <c r="AB54" i="5"/>
  <c r="L54" i="18" s="1"/>
  <c r="AB93" i="5"/>
  <c r="AF161" i="23"/>
  <c r="AG161" i="23" s="1"/>
  <c r="Z161" i="23" s="1"/>
  <c r="AI161" i="23" s="1"/>
  <c r="K144" i="18"/>
  <c r="G144" i="18" s="1"/>
  <c r="AB117" i="5"/>
  <c r="L117" i="18" s="1"/>
  <c r="K117" i="18" s="1"/>
  <c r="G117" i="18" s="1"/>
  <c r="L144" i="18"/>
  <c r="H144" i="18" s="1"/>
  <c r="S93" i="5"/>
  <c r="L93" i="18"/>
  <c r="S59" i="5"/>
  <c r="L59" i="18"/>
  <c r="AE26" i="23"/>
  <c r="AF26" i="23" s="1"/>
  <c r="AG26" i="23" s="1"/>
  <c r="Z26" i="23" s="1"/>
  <c r="AI26" i="23" s="1"/>
  <c r="AE126" i="23"/>
  <c r="AF126" i="23" s="1"/>
  <c r="AG126" i="23" s="1"/>
  <c r="Z126" i="23" s="1"/>
  <c r="AI126" i="23" s="1"/>
  <c r="S188" i="5"/>
  <c r="I128" i="23"/>
  <c r="K128" i="23"/>
  <c r="J128" i="23"/>
  <c r="AJ67" i="23"/>
  <c r="AL67" i="23" s="1"/>
  <c r="N67" i="23" s="1"/>
  <c r="J67" i="23"/>
  <c r="I67" i="23"/>
  <c r="K67" i="23"/>
  <c r="AE153" i="23"/>
  <c r="AF153" i="23" s="1"/>
  <c r="AG153" i="23" s="1"/>
  <c r="Z153" i="23" s="1"/>
  <c r="AI153" i="23" s="1"/>
  <c r="S111" i="5"/>
  <c r="I138" i="23"/>
  <c r="J138" i="23"/>
  <c r="AJ138" i="23"/>
  <c r="AL138" i="23" s="1"/>
  <c r="K138" i="23"/>
  <c r="S67" i="5"/>
  <c r="AE45" i="23"/>
  <c r="AF45" i="23" s="1"/>
  <c r="AG45" i="23" s="1"/>
  <c r="Z45" i="23" s="1"/>
  <c r="AI45" i="23" s="1"/>
  <c r="AE23" i="23"/>
  <c r="AF23" i="23" s="1"/>
  <c r="AG23" i="23" s="1"/>
  <c r="Z23" i="23" s="1"/>
  <c r="K13" i="6"/>
  <c r="K12" i="6"/>
  <c r="K26" i="6"/>
  <c r="L26" i="6" s="1"/>
  <c r="K11" i="6"/>
  <c r="K18" i="6"/>
  <c r="K17" i="6"/>
  <c r="K16" i="6"/>
  <c r="K14" i="6"/>
  <c r="K15" i="6"/>
  <c r="L10" i="6"/>
  <c r="S170" i="5"/>
  <c r="L170" i="18"/>
  <c r="I28" i="23"/>
  <c r="J28" i="23"/>
  <c r="K28" i="23"/>
  <c r="AF109" i="23"/>
  <c r="AG109" i="23" s="1"/>
  <c r="Z109" i="23" s="1"/>
  <c r="S139" i="5"/>
  <c r="L139" i="18"/>
  <c r="S39" i="5"/>
  <c r="AE104" i="23"/>
  <c r="AF104" i="23" s="1"/>
  <c r="AG104" i="23" s="1"/>
  <c r="Z104" i="23" s="1"/>
  <c r="AI104" i="23" s="1"/>
  <c r="AE69" i="23"/>
  <c r="AF69" i="23" s="1"/>
  <c r="AG69" i="23" s="1"/>
  <c r="Z69" i="23" s="1"/>
  <c r="AI69" i="23" s="1"/>
  <c r="AE36" i="23"/>
  <c r="AF36" i="23" s="1"/>
  <c r="AG36" i="23" s="1"/>
  <c r="Z36" i="23" s="1"/>
  <c r="AI36" i="23" s="1"/>
  <c r="AE18" i="23"/>
  <c r="J174" i="23"/>
  <c r="AJ174" i="23"/>
  <c r="AL174" i="23" s="1"/>
  <c r="N174" i="23" s="1"/>
  <c r="K174" i="23"/>
  <c r="I174" i="23"/>
  <c r="AE80" i="23"/>
  <c r="AF80" i="23" s="1"/>
  <c r="AG80" i="23" s="1"/>
  <c r="Z80" i="23" s="1"/>
  <c r="AI80" i="23" s="1"/>
  <c r="AE139" i="23"/>
  <c r="AF139" i="23" s="1"/>
  <c r="AG139" i="23" s="1"/>
  <c r="Z139" i="23" s="1"/>
  <c r="AI139" i="23" s="1"/>
  <c r="S84" i="5"/>
  <c r="AB68" i="5"/>
  <c r="AI50" i="23"/>
  <c r="G89" i="18"/>
  <c r="S21" i="5"/>
  <c r="L21" i="18"/>
  <c r="Q139" i="5"/>
  <c r="K139" i="18"/>
  <c r="G139" i="18" s="1"/>
  <c r="G170" i="18"/>
  <c r="I168" i="18" s="1"/>
  <c r="Q74" i="5"/>
  <c r="K74" i="18"/>
  <c r="S40" i="5"/>
  <c r="L40" i="18"/>
  <c r="S49" i="5"/>
  <c r="L49" i="18"/>
  <c r="G64" i="18"/>
  <c r="S36" i="5"/>
  <c r="L36" i="18"/>
  <c r="Q105" i="5"/>
  <c r="K105" i="18"/>
  <c r="AI25" i="23"/>
  <c r="AE35" i="23"/>
  <c r="AF35" i="23" s="1"/>
  <c r="AG35" i="23" s="1"/>
  <c r="Z35" i="23" s="1"/>
  <c r="AI35" i="23" s="1"/>
  <c r="AE10" i="23"/>
  <c r="AF10" i="23" s="1"/>
  <c r="AG10" i="23" s="1"/>
  <c r="Z10" i="23" s="1"/>
  <c r="AI10" i="23" s="1"/>
  <c r="S24" i="5"/>
  <c r="AE175" i="23"/>
  <c r="AF175" i="23" s="1"/>
  <c r="AG175" i="23" s="1"/>
  <c r="Z175" i="23" s="1"/>
  <c r="AI175" i="23" s="1"/>
  <c r="AE103" i="23"/>
  <c r="AF103" i="23" s="1"/>
  <c r="AG103" i="23" s="1"/>
  <c r="Z103" i="23" s="1"/>
  <c r="AI103" i="23" s="1"/>
  <c r="AE68" i="23"/>
  <c r="AF68" i="23" s="1"/>
  <c r="AG68" i="23" s="1"/>
  <c r="Z68" i="23" s="1"/>
  <c r="AI68" i="23" s="1"/>
  <c r="AE129" i="23"/>
  <c r="AF129" i="23" s="1"/>
  <c r="AG129" i="23" s="1"/>
  <c r="Z129" i="23" s="1"/>
  <c r="AI129" i="23" s="1"/>
  <c r="AJ128" i="23" s="1"/>
  <c r="AL128" i="23" s="1"/>
  <c r="N128" i="23" s="1"/>
  <c r="S193" i="5"/>
  <c r="AE29" i="23"/>
  <c r="AF29" i="23" s="1"/>
  <c r="AG29" i="23" s="1"/>
  <c r="Z29" i="23" s="1"/>
  <c r="AI29" i="23" s="1"/>
  <c r="S89" i="5"/>
  <c r="L89" i="18"/>
  <c r="H89" i="18" s="1"/>
  <c r="Q154" i="5"/>
  <c r="AD73" i="23"/>
  <c r="AD155" i="23"/>
  <c r="S50" i="5"/>
  <c r="AE15" i="23"/>
  <c r="AF15" i="23" s="1"/>
  <c r="AG15" i="23" s="1"/>
  <c r="Z15" i="23" s="1"/>
  <c r="AI15" i="23" s="1"/>
  <c r="AE38" i="23"/>
  <c r="AF38" i="23" s="1"/>
  <c r="AG38" i="23" s="1"/>
  <c r="Z38" i="23" s="1"/>
  <c r="AI38" i="23" s="1"/>
  <c r="AE71" i="23"/>
  <c r="AF71" i="23" s="1"/>
  <c r="AG71" i="23" s="1"/>
  <c r="Z71" i="23" s="1"/>
  <c r="AI71" i="23" s="1"/>
  <c r="AE106" i="23"/>
  <c r="AF106" i="23" s="1"/>
  <c r="AG106" i="23" s="1"/>
  <c r="Z106" i="23" s="1"/>
  <c r="AI106" i="23" s="1"/>
  <c r="Q82" i="5"/>
  <c r="K82" i="18"/>
  <c r="S179" i="5"/>
  <c r="L179" i="18"/>
  <c r="J34" i="23"/>
  <c r="K34" i="23"/>
  <c r="AJ34" i="23"/>
  <c r="AL34" i="23" s="1"/>
  <c r="N34" i="23" s="1"/>
  <c r="I34" i="23"/>
  <c r="S42" i="5"/>
  <c r="AE19" i="23"/>
  <c r="AF19" i="23" s="1"/>
  <c r="AG19" i="23" s="1"/>
  <c r="AA156" i="5"/>
  <c r="Z156" i="5" s="1"/>
  <c r="AB14" i="5"/>
  <c r="S25" i="5"/>
  <c r="AE11" i="23"/>
  <c r="AF11" i="23" s="1"/>
  <c r="AG11" i="23" s="1"/>
  <c r="Z11" i="23" s="1"/>
  <c r="AI11" i="23" s="1"/>
  <c r="AE176" i="23"/>
  <c r="AF176" i="23" s="1"/>
  <c r="AG176" i="23" s="1"/>
  <c r="Z176" i="23" s="1"/>
  <c r="AI176" i="23" s="1"/>
  <c r="AE152" i="23"/>
  <c r="AF152" i="23" s="1"/>
  <c r="AG152" i="23" s="1"/>
  <c r="Z152" i="23" s="1"/>
  <c r="AI152" i="23" s="1"/>
  <c r="S110" i="5"/>
  <c r="S98" i="5"/>
  <c r="AE98" i="23"/>
  <c r="AE183" i="23"/>
  <c r="AE120" i="23"/>
  <c r="J113" i="23"/>
  <c r="AJ113" i="23"/>
  <c r="AL113" i="23" s="1"/>
  <c r="N113" i="23" s="1"/>
  <c r="I113" i="23"/>
  <c r="K113" i="23"/>
  <c r="AE151" i="23"/>
  <c r="AF151" i="23" s="1"/>
  <c r="AG151" i="23" s="1"/>
  <c r="Z151" i="23" s="1"/>
  <c r="AI151" i="23" s="1"/>
  <c r="S109" i="5"/>
  <c r="S71" i="5"/>
  <c r="AE90" i="23"/>
  <c r="AF90" i="23" s="1"/>
  <c r="AG90" i="23" s="1"/>
  <c r="Z90" i="23" s="1"/>
  <c r="Q68" i="5"/>
  <c r="K68" i="18"/>
  <c r="AB194" i="5"/>
  <c r="L194" i="18" s="1"/>
  <c r="AA157" i="5"/>
  <c r="Z157" i="5" s="1"/>
  <c r="J148" i="23"/>
  <c r="AJ148" i="23"/>
  <c r="AL148" i="23" s="1"/>
  <c r="I148" i="23"/>
  <c r="K148" i="23"/>
  <c r="J125" i="23"/>
  <c r="I125" i="23"/>
  <c r="K125" i="23"/>
  <c r="S96" i="5"/>
  <c r="AE181" i="23"/>
  <c r="AE63" i="23"/>
  <c r="AE118" i="23"/>
  <c r="AE96" i="23"/>
  <c r="AE82" i="23"/>
  <c r="AF82" i="23" s="1"/>
  <c r="AG82" i="23" s="1"/>
  <c r="Z82" i="23" s="1"/>
  <c r="AI82" i="23" s="1"/>
  <c r="S86" i="5"/>
  <c r="AE141" i="23"/>
  <c r="AF141" i="23" s="1"/>
  <c r="AG141" i="23" s="1"/>
  <c r="Z141" i="23" s="1"/>
  <c r="AI141" i="23" s="1"/>
  <c r="Q186" i="5"/>
  <c r="K186" i="18"/>
  <c r="S66" i="5"/>
  <c r="AE92" i="23"/>
  <c r="AF92" i="23" s="1"/>
  <c r="AG92" i="23" s="1"/>
  <c r="Z92" i="23" s="1"/>
  <c r="AB190" i="5"/>
  <c r="AB64" i="5"/>
  <c r="AB82" i="5"/>
  <c r="Q21" i="5"/>
  <c r="K21" i="18"/>
  <c r="S85" i="5"/>
  <c r="AE140" i="23"/>
  <c r="AF140" i="23" s="1"/>
  <c r="AG140" i="23" s="1"/>
  <c r="Z140" i="23" s="1"/>
  <c r="AI140" i="23" s="1"/>
  <c r="AE81" i="23"/>
  <c r="AF81" i="23" s="1"/>
  <c r="AG81" i="23" s="1"/>
  <c r="Z81" i="23" s="1"/>
  <c r="AI81" i="23" s="1"/>
  <c r="AF53" i="23"/>
  <c r="AG53" i="23" s="1"/>
  <c r="Z53" i="23" s="1"/>
  <c r="AA158" i="5"/>
  <c r="Z158" i="5" s="1"/>
  <c r="AA155" i="5"/>
  <c r="Z155" i="5" s="1"/>
  <c r="AF18" i="23"/>
  <c r="AG18" i="23" s="1"/>
  <c r="Z18" i="23" s="1"/>
  <c r="AI18" i="23" s="1"/>
  <c r="I18" i="23" s="1"/>
  <c r="S108" i="5"/>
  <c r="AE150" i="23"/>
  <c r="AF150" i="23" s="1"/>
  <c r="AG150" i="23" s="1"/>
  <c r="Z150" i="23" s="1"/>
  <c r="AI150" i="23" s="1"/>
  <c r="AE83" i="23"/>
  <c r="AF83" i="23" s="1"/>
  <c r="AG83" i="23" s="1"/>
  <c r="Z83" i="23" s="1"/>
  <c r="AI83" i="23" s="1"/>
  <c r="S87" i="5"/>
  <c r="AE142" i="23"/>
  <c r="AF142" i="23" s="1"/>
  <c r="AG142" i="23" s="1"/>
  <c r="Z142" i="23" s="1"/>
  <c r="AI142" i="23" s="1"/>
  <c r="S186" i="5"/>
  <c r="L186" i="18"/>
  <c r="AA159" i="5"/>
  <c r="Z159" i="5" s="1"/>
  <c r="AE180" i="23"/>
  <c r="S95" i="5"/>
  <c r="AE55" i="23"/>
  <c r="AE117" i="23"/>
  <c r="AE95" i="23"/>
  <c r="S189" i="5"/>
  <c r="AE27" i="23"/>
  <c r="AF27" i="23" s="1"/>
  <c r="AG27" i="23" s="1"/>
  <c r="Z27" i="23" s="1"/>
  <c r="AI27" i="23" s="1"/>
  <c r="AE127" i="23"/>
  <c r="AF127" i="23" s="1"/>
  <c r="AG127" i="23" s="1"/>
  <c r="Z127" i="23" s="1"/>
  <c r="AI127" i="23" s="1"/>
  <c r="J79" i="23"/>
  <c r="AJ79" i="23"/>
  <c r="AL79" i="23" s="1"/>
  <c r="I79" i="23"/>
  <c r="K79" i="23"/>
  <c r="AE16" i="23"/>
  <c r="AF16" i="23" s="1"/>
  <c r="AG16" i="23" s="1"/>
  <c r="Z16" i="23" s="1"/>
  <c r="AI16" i="23" s="1"/>
  <c r="S61" i="5"/>
  <c r="K161" i="23"/>
  <c r="I161" i="23"/>
  <c r="AJ161" i="23"/>
  <c r="AL161" i="23" s="1"/>
  <c r="N161" i="23" s="1"/>
  <c r="J161" i="23"/>
  <c r="K113" i="6"/>
  <c r="L113" i="6" s="1"/>
  <c r="K116" i="6"/>
  <c r="L116" i="6" s="1"/>
  <c r="K112" i="6"/>
  <c r="L112" i="6" s="1"/>
  <c r="K119" i="6"/>
  <c r="L119" i="6" s="1"/>
  <c r="K117" i="6"/>
  <c r="L117" i="6" s="1"/>
  <c r="L111" i="6"/>
  <c r="K115" i="6"/>
  <c r="L115" i="6" s="1"/>
  <c r="K118" i="6"/>
  <c r="L118" i="6" s="1"/>
  <c r="K114" i="6"/>
  <c r="L114" i="6" s="1"/>
  <c r="AE182" i="23"/>
  <c r="S97" i="5"/>
  <c r="AE119" i="23"/>
  <c r="AE97" i="23"/>
  <c r="AE149" i="23"/>
  <c r="AF149" i="23" s="1"/>
  <c r="AG149" i="23" s="1"/>
  <c r="Z149" i="23" s="1"/>
  <c r="AI149" i="23" s="1"/>
  <c r="S107" i="5"/>
  <c r="I162" i="23"/>
  <c r="AJ162" i="23"/>
  <c r="AL162" i="23" s="1"/>
  <c r="N162" i="23" s="1"/>
  <c r="J112" i="23"/>
  <c r="K112" i="23"/>
  <c r="I112" i="23"/>
  <c r="AJ112" i="23"/>
  <c r="AL112" i="23" s="1"/>
  <c r="N112" i="23" s="1"/>
  <c r="AE84" i="23"/>
  <c r="AF84" i="23" s="1"/>
  <c r="AG84" i="23" s="1"/>
  <c r="Z84" i="23" s="1"/>
  <c r="AI84" i="23" s="1"/>
  <c r="S88" i="5"/>
  <c r="AE143" i="23"/>
  <c r="AF143" i="23" s="1"/>
  <c r="AG143" i="23" s="1"/>
  <c r="Z143" i="23" s="1"/>
  <c r="AI143" i="23" s="1"/>
  <c r="AF60" i="23"/>
  <c r="AG60" i="23" s="1"/>
  <c r="Z60" i="23" s="1"/>
  <c r="AI9" i="23"/>
  <c r="I164" i="23"/>
  <c r="J164" i="23"/>
  <c r="K164" i="23"/>
  <c r="AJ164" i="23"/>
  <c r="AL164" i="23" s="1"/>
  <c r="N164" i="23" s="1"/>
  <c r="G59" i="18"/>
  <c r="I48" i="18" s="1"/>
  <c r="AA177" i="5"/>
  <c r="Z177" i="5" s="1"/>
  <c r="AA184" i="5"/>
  <c r="R184" i="5" s="1"/>
  <c r="AA178" i="5"/>
  <c r="Z178" i="5" s="1"/>
  <c r="N80" i="20"/>
  <c r="I132" i="6" s="1"/>
  <c r="N128" i="20"/>
  <c r="I147" i="6" s="1"/>
  <c r="I139" i="6"/>
  <c r="D149" i="18"/>
  <c r="D150" i="18"/>
  <c r="R154" i="5"/>
  <c r="S150" i="5"/>
  <c r="H150" i="18" s="1"/>
  <c r="J148" i="18" s="1"/>
  <c r="AE49" i="23"/>
  <c r="AF49" i="23" s="1"/>
  <c r="AG49" i="23" s="1"/>
  <c r="Z49" i="23" s="1"/>
  <c r="AI49" i="23" s="1"/>
  <c r="AD117" i="5"/>
  <c r="U117" i="5" s="1"/>
  <c r="AE70" i="23"/>
  <c r="AF70" i="23" s="1"/>
  <c r="AG70" i="23" s="1"/>
  <c r="Z70" i="23" s="1"/>
  <c r="AI70" i="23" s="1"/>
  <c r="AE105" i="23"/>
  <c r="AF105" i="23" s="1"/>
  <c r="AG105" i="23" s="1"/>
  <c r="Z105" i="23" s="1"/>
  <c r="AI105" i="23" s="1"/>
  <c r="S54" i="5"/>
  <c r="H54" i="18" s="1"/>
  <c r="AE13" i="23"/>
  <c r="AF13" i="23" s="1"/>
  <c r="AG13" i="23" s="1"/>
  <c r="AE37" i="23"/>
  <c r="AF37" i="23" s="1"/>
  <c r="AG37" i="23" s="1"/>
  <c r="Z37" i="23" s="1"/>
  <c r="AI37" i="23" s="1"/>
  <c r="H93" i="18"/>
  <c r="E159" i="18"/>
  <c r="AC159" i="5" s="1"/>
  <c r="E167" i="18"/>
  <c r="AC167" i="5" s="1"/>
  <c r="E156" i="18"/>
  <c r="AC156" i="5" s="1"/>
  <c r="E154" i="18"/>
  <c r="AC154" i="5" s="1"/>
  <c r="AB154" i="5" s="1"/>
  <c r="E155" i="18"/>
  <c r="AC155" i="5" s="1"/>
  <c r="E160" i="18"/>
  <c r="AC160" i="5" s="1"/>
  <c r="T160" i="5" s="1"/>
  <c r="E157" i="18"/>
  <c r="AC157" i="5" s="1"/>
  <c r="E158" i="18"/>
  <c r="AC158" i="5" s="1"/>
  <c r="S101" i="5"/>
  <c r="H101" i="18" s="1"/>
  <c r="AE43" i="23"/>
  <c r="AF43" i="23" s="1"/>
  <c r="AG43" i="23" s="1"/>
  <c r="Z43" i="23" s="1"/>
  <c r="AI43" i="23" s="1"/>
  <c r="S194" i="5"/>
  <c r="H194" i="18" s="1"/>
  <c r="AE130" i="23"/>
  <c r="AF130" i="23" s="1"/>
  <c r="AG130" i="23" s="1"/>
  <c r="Z130" i="23" s="1"/>
  <c r="AI130" i="23" s="1"/>
  <c r="AE30" i="23"/>
  <c r="AF30" i="23" s="1"/>
  <c r="AG30" i="23" s="1"/>
  <c r="Z30" i="23" s="1"/>
  <c r="AI30" i="23" s="1"/>
  <c r="AE178" i="23"/>
  <c r="AF178" i="23" s="1"/>
  <c r="AG178" i="23" s="1"/>
  <c r="AE115" i="23"/>
  <c r="AF115" i="23" s="1"/>
  <c r="AG115" i="23" s="1"/>
  <c r="S79" i="5"/>
  <c r="AE93" i="23"/>
  <c r="AF93" i="23" s="1"/>
  <c r="AG93" i="23" s="1"/>
  <c r="AJ69" i="23" l="1"/>
  <c r="AL69" i="23" s="1"/>
  <c r="N69" i="23" s="1"/>
  <c r="K69" i="23"/>
  <c r="I69" i="23"/>
  <c r="J69" i="23"/>
  <c r="I36" i="23"/>
  <c r="K36" i="23"/>
  <c r="AJ36" i="23"/>
  <c r="AL36" i="23" s="1"/>
  <c r="N36" i="23" s="1"/>
  <c r="R178" i="5"/>
  <c r="R156" i="5"/>
  <c r="G105" i="18"/>
  <c r="I100" i="18" s="1"/>
  <c r="H40" i="18"/>
  <c r="H139" i="18"/>
  <c r="L105" i="18"/>
  <c r="H105" i="18" s="1"/>
  <c r="J100" i="18" s="1"/>
  <c r="J162" i="23"/>
  <c r="H49" i="18"/>
  <c r="J48" i="18" s="1"/>
  <c r="H59" i="18"/>
  <c r="S117" i="5"/>
  <c r="H117" i="18" s="1"/>
  <c r="J112" i="18" s="1"/>
  <c r="D44" i="18"/>
  <c r="H21" i="18"/>
  <c r="J20" i="18" s="1"/>
  <c r="E31" i="18" s="1"/>
  <c r="AC31" i="5" s="1"/>
  <c r="J138" i="18"/>
  <c r="E144" i="18" s="1"/>
  <c r="AC144" i="5" s="1"/>
  <c r="T144" i="5" s="1"/>
  <c r="D36" i="18"/>
  <c r="AA36" i="5" s="1"/>
  <c r="Z153" i="5"/>
  <c r="Q153" i="5" s="1"/>
  <c r="G74" i="18"/>
  <c r="D47" i="18"/>
  <c r="L126" i="6"/>
  <c r="R157" i="5"/>
  <c r="R158" i="5"/>
  <c r="J36" i="23"/>
  <c r="D54" i="18"/>
  <c r="AA54" i="5" s="1"/>
  <c r="R54" i="5" s="1"/>
  <c r="D49" i="18"/>
  <c r="D59" i="18"/>
  <c r="AA59" i="5" s="1"/>
  <c r="R59" i="5" s="1"/>
  <c r="D101" i="18"/>
  <c r="D104" i="18"/>
  <c r="AA104" i="5" s="1"/>
  <c r="Z104" i="5" s="1"/>
  <c r="D105" i="18"/>
  <c r="AA105" i="5" s="1"/>
  <c r="R105" i="5" s="1"/>
  <c r="T158" i="5"/>
  <c r="AB158" i="5"/>
  <c r="AJ81" i="23"/>
  <c r="AL81" i="23" s="1"/>
  <c r="N81" i="23" s="1"/>
  <c r="I81" i="23"/>
  <c r="J81" i="23"/>
  <c r="K81" i="23"/>
  <c r="J26" i="23"/>
  <c r="I26" i="23"/>
  <c r="K26" i="23"/>
  <c r="T157" i="5"/>
  <c r="AB157" i="5"/>
  <c r="J27" i="23"/>
  <c r="I27" i="23"/>
  <c r="K27" i="23"/>
  <c r="R159" i="5"/>
  <c r="AJ140" i="23"/>
  <c r="AL140" i="23" s="1"/>
  <c r="N140" i="23" s="1"/>
  <c r="K140" i="23"/>
  <c r="I140" i="23"/>
  <c r="J140" i="23"/>
  <c r="G68" i="18"/>
  <c r="I11" i="23"/>
  <c r="K11" i="23"/>
  <c r="J11" i="23"/>
  <c r="G82" i="18"/>
  <c r="I175" i="23"/>
  <c r="AJ175" i="23"/>
  <c r="AL175" i="23" s="1"/>
  <c r="N175" i="23" s="1"/>
  <c r="J175" i="23"/>
  <c r="K175" i="23"/>
  <c r="H170" i="18"/>
  <c r="J168" i="18" s="1"/>
  <c r="K127" i="23"/>
  <c r="I127" i="23"/>
  <c r="J127" i="23"/>
  <c r="AD78" i="23"/>
  <c r="AD159" i="23"/>
  <c r="Q159" i="5"/>
  <c r="K28" i="6"/>
  <c r="L12" i="6"/>
  <c r="AJ18" i="23"/>
  <c r="AL18" i="23" s="1"/>
  <c r="N18" i="23" s="1"/>
  <c r="I71" i="23"/>
  <c r="K71" i="23"/>
  <c r="J71" i="23"/>
  <c r="AJ71" i="23"/>
  <c r="AL71" i="23" s="1"/>
  <c r="N71" i="23" s="1"/>
  <c r="K50" i="23"/>
  <c r="J50" i="23"/>
  <c r="I50" i="23"/>
  <c r="AJ50" i="23"/>
  <c r="AL50" i="23" s="1"/>
  <c r="K18" i="23"/>
  <c r="R155" i="5"/>
  <c r="G21" i="18"/>
  <c r="I20" i="18" s="1"/>
  <c r="S14" i="5"/>
  <c r="L14" i="18"/>
  <c r="J38" i="23"/>
  <c r="I38" i="23"/>
  <c r="AJ38" i="23"/>
  <c r="AL38" i="23" s="1"/>
  <c r="N38" i="23" s="1"/>
  <c r="K38" i="23"/>
  <c r="J29" i="23"/>
  <c r="I29" i="23"/>
  <c r="K29" i="23"/>
  <c r="J35" i="23"/>
  <c r="I35" i="23"/>
  <c r="AJ35" i="23"/>
  <c r="AL35" i="23" s="1"/>
  <c r="N35" i="23" s="1"/>
  <c r="K35" i="23"/>
  <c r="I138" i="18"/>
  <c r="S68" i="5"/>
  <c r="L68" i="18"/>
  <c r="K30" i="6"/>
  <c r="L14" i="6"/>
  <c r="AI23" i="23"/>
  <c r="J149" i="23"/>
  <c r="K149" i="23"/>
  <c r="AJ149" i="23"/>
  <c r="AL149" i="23" s="1"/>
  <c r="N149" i="23" s="1"/>
  <c r="I149" i="23"/>
  <c r="J103" i="23"/>
  <c r="I103" i="23"/>
  <c r="K103" i="23"/>
  <c r="N138" i="23"/>
  <c r="AJ9" i="23"/>
  <c r="AL9" i="23" s="1"/>
  <c r="N9" i="23" s="1"/>
  <c r="J9" i="23"/>
  <c r="I9" i="23"/>
  <c r="K9" i="23"/>
  <c r="AI90" i="23"/>
  <c r="Z13" i="23"/>
  <c r="AI13" i="23" s="1"/>
  <c r="K16" i="23"/>
  <c r="I16" i="23"/>
  <c r="J16" i="23"/>
  <c r="AJ16" i="23"/>
  <c r="AL16" i="23" s="1"/>
  <c r="N16" i="23" s="1"/>
  <c r="G186" i="18"/>
  <c r="I185" i="18" s="1"/>
  <c r="AI109" i="23"/>
  <c r="K31" i="6"/>
  <c r="L15" i="6"/>
  <c r="J141" i="23"/>
  <c r="K141" i="23"/>
  <c r="AJ141" i="23"/>
  <c r="AL141" i="23" s="1"/>
  <c r="N141" i="23" s="1"/>
  <c r="I141" i="23"/>
  <c r="T156" i="5"/>
  <c r="AB156" i="5"/>
  <c r="J18" i="23"/>
  <c r="I142" i="23"/>
  <c r="K142" i="23"/>
  <c r="AJ142" i="23"/>
  <c r="AL142" i="23" s="1"/>
  <c r="N142" i="23" s="1"/>
  <c r="J142" i="23"/>
  <c r="AD77" i="23"/>
  <c r="AD187" i="23"/>
  <c r="AD191" i="23"/>
  <c r="AD146" i="23"/>
  <c r="Q158" i="5"/>
  <c r="S82" i="5"/>
  <c r="L82" i="18"/>
  <c r="Q157" i="5"/>
  <c r="AD158" i="23"/>
  <c r="AD76" i="23"/>
  <c r="I151" i="23"/>
  <c r="AJ151" i="23"/>
  <c r="AL151" i="23" s="1"/>
  <c r="N151" i="23" s="1"/>
  <c r="K151" i="23"/>
  <c r="J151" i="23"/>
  <c r="Q156" i="5"/>
  <c r="AD157" i="23"/>
  <c r="AD75" i="23"/>
  <c r="I15" i="23"/>
  <c r="AJ15" i="23"/>
  <c r="AL15" i="23" s="1"/>
  <c r="N15" i="23" s="1"/>
  <c r="J15" i="23"/>
  <c r="K15" i="23"/>
  <c r="K32" i="6"/>
  <c r="L32" i="6" s="1"/>
  <c r="L16" i="6"/>
  <c r="I45" i="23"/>
  <c r="AJ45" i="23"/>
  <c r="AL45" i="23" s="1"/>
  <c r="N45" i="23" s="1"/>
  <c r="K45" i="23"/>
  <c r="J45" i="23"/>
  <c r="J153" i="23"/>
  <c r="I153" i="23"/>
  <c r="AJ153" i="23"/>
  <c r="AL153" i="23" s="1"/>
  <c r="N153" i="23" s="1"/>
  <c r="K153" i="23"/>
  <c r="I150" i="23"/>
  <c r="K150" i="23"/>
  <c r="AJ150" i="23"/>
  <c r="AL150" i="23" s="1"/>
  <c r="N150" i="23" s="1"/>
  <c r="J150" i="23"/>
  <c r="AI92" i="23"/>
  <c r="Z19" i="23"/>
  <c r="AI19" i="23" s="1"/>
  <c r="N148" i="23"/>
  <c r="T155" i="5"/>
  <c r="AB155" i="5"/>
  <c r="AD74" i="23"/>
  <c r="AD156" i="23"/>
  <c r="Q155" i="5"/>
  <c r="H36" i="18"/>
  <c r="J35" i="18" s="1"/>
  <c r="E47" i="18" s="1"/>
  <c r="AC47" i="5" s="1"/>
  <c r="AB47" i="5" s="1"/>
  <c r="K29" i="6"/>
  <c r="L13" i="6"/>
  <c r="I143" i="23"/>
  <c r="K143" i="23"/>
  <c r="AJ143" i="23"/>
  <c r="AL143" i="23" s="1"/>
  <c r="N143" i="23" s="1"/>
  <c r="J143" i="23"/>
  <c r="Z176" i="5"/>
  <c r="Q176" i="5" s="1"/>
  <c r="K84" i="23"/>
  <c r="I84" i="23"/>
  <c r="J84" i="23"/>
  <c r="AJ84" i="23"/>
  <c r="AL84" i="23" s="1"/>
  <c r="N84" i="23" s="1"/>
  <c r="N79" i="23"/>
  <c r="S64" i="5"/>
  <c r="L64" i="18"/>
  <c r="AJ82" i="23"/>
  <c r="AL82" i="23" s="1"/>
  <c r="N82" i="23" s="1"/>
  <c r="K82" i="23"/>
  <c r="I82" i="23"/>
  <c r="J82" i="23"/>
  <c r="AJ125" i="23"/>
  <c r="AL125" i="23" s="1"/>
  <c r="N125" i="23" s="1"/>
  <c r="K129" i="23"/>
  <c r="J129" i="23"/>
  <c r="I129" i="23"/>
  <c r="K25" i="23"/>
  <c r="AJ25" i="23"/>
  <c r="AL25" i="23" s="1"/>
  <c r="N25" i="23" s="1"/>
  <c r="I25" i="23"/>
  <c r="J25" i="23"/>
  <c r="AJ139" i="23"/>
  <c r="AL139" i="23" s="1"/>
  <c r="N139" i="23" s="1"/>
  <c r="I139" i="23"/>
  <c r="K139" i="23"/>
  <c r="J139" i="23"/>
  <c r="AJ28" i="23"/>
  <c r="AL28" i="23" s="1"/>
  <c r="N28" i="23" s="1"/>
  <c r="K33" i="6"/>
  <c r="L17" i="6"/>
  <c r="K176" i="23"/>
  <c r="I176" i="23"/>
  <c r="J176" i="23"/>
  <c r="K27" i="6"/>
  <c r="L27" i="6" s="1"/>
  <c r="L11" i="6"/>
  <c r="K106" i="23"/>
  <c r="I106" i="23"/>
  <c r="J106" i="23"/>
  <c r="AI60" i="23"/>
  <c r="H186" i="18"/>
  <c r="AJ10" i="23"/>
  <c r="AL10" i="23" s="1"/>
  <c r="N10" i="23" s="1"/>
  <c r="I10" i="23"/>
  <c r="J10" i="23"/>
  <c r="K10" i="23"/>
  <c r="D169" i="18"/>
  <c r="AA169" i="5" s="1"/>
  <c r="Z169" i="5" s="1"/>
  <c r="AD132" i="23" s="1"/>
  <c r="D170" i="18"/>
  <c r="AA170" i="5" s="1"/>
  <c r="R170" i="5" s="1"/>
  <c r="S154" i="5"/>
  <c r="AE155" i="23"/>
  <c r="AF155" i="23" s="1"/>
  <c r="AG155" i="23" s="1"/>
  <c r="Z155" i="23" s="1"/>
  <c r="AI155" i="23" s="1"/>
  <c r="AE73" i="23"/>
  <c r="AF73" i="23" s="1"/>
  <c r="AG73" i="23" s="1"/>
  <c r="Z73" i="23" s="1"/>
  <c r="AI73" i="23" s="1"/>
  <c r="T159" i="5"/>
  <c r="AB159" i="5"/>
  <c r="R177" i="5"/>
  <c r="I83" i="23"/>
  <c r="AJ83" i="23"/>
  <c r="AL83" i="23" s="1"/>
  <c r="N83" i="23" s="1"/>
  <c r="J83" i="23"/>
  <c r="K83" i="23"/>
  <c r="AI53" i="23"/>
  <c r="S190" i="5"/>
  <c r="L190" i="18"/>
  <c r="I152" i="23"/>
  <c r="J152" i="23"/>
  <c r="AJ152" i="23"/>
  <c r="AL152" i="23" s="1"/>
  <c r="N152" i="23" s="1"/>
  <c r="K152" i="23"/>
  <c r="H179" i="18"/>
  <c r="J176" i="18" s="1"/>
  <c r="J68" i="23"/>
  <c r="AJ68" i="23"/>
  <c r="AL68" i="23" s="1"/>
  <c r="N68" i="23" s="1"/>
  <c r="K68" i="23"/>
  <c r="I68" i="23"/>
  <c r="J80" i="23"/>
  <c r="AJ80" i="23"/>
  <c r="AL80" i="23" s="1"/>
  <c r="N80" i="23" s="1"/>
  <c r="I80" i="23"/>
  <c r="K80" i="23"/>
  <c r="K104" i="23"/>
  <c r="J104" i="23"/>
  <c r="I104" i="23"/>
  <c r="K34" i="6"/>
  <c r="L34" i="6" s="1"/>
  <c r="L18" i="6"/>
  <c r="I126" i="23"/>
  <c r="J126" i="23"/>
  <c r="K126" i="23"/>
  <c r="AD111" i="23"/>
  <c r="Q177" i="5"/>
  <c r="AD165" i="23"/>
  <c r="AD171" i="23"/>
  <c r="AD31" i="23"/>
  <c r="AD131" i="23"/>
  <c r="Q178" i="5"/>
  <c r="AA149" i="5"/>
  <c r="Z149" i="5" s="1"/>
  <c r="AA150" i="5"/>
  <c r="R150" i="5" s="1"/>
  <c r="AA101" i="5"/>
  <c r="R101" i="5" s="1"/>
  <c r="AA49" i="5"/>
  <c r="R49" i="5" s="1"/>
  <c r="AA44" i="5"/>
  <c r="Z44" i="5" s="1"/>
  <c r="Q44" i="5" s="1"/>
  <c r="T47" i="5"/>
  <c r="AA47" i="5"/>
  <c r="Z47" i="5" s="1"/>
  <c r="Z178" i="23"/>
  <c r="AI178" i="23" s="1"/>
  <c r="K178" i="23" s="1"/>
  <c r="Z115" i="23"/>
  <c r="AI115" i="23" s="1"/>
  <c r="K115" i="23" s="1"/>
  <c r="Z93" i="23"/>
  <c r="AI93" i="23" s="1"/>
  <c r="AJ93" i="23" s="1"/>
  <c r="AL93" i="23" s="1"/>
  <c r="E79" i="17"/>
  <c r="E80" i="17"/>
  <c r="E40" i="18"/>
  <c r="AC40" i="5" s="1"/>
  <c r="T40" i="5" s="1"/>
  <c r="E44" i="18"/>
  <c r="AC44" i="5" s="1"/>
  <c r="E36" i="18"/>
  <c r="AC36" i="5" s="1"/>
  <c r="T167" i="5"/>
  <c r="AC153" i="5"/>
  <c r="T153" i="5" s="1"/>
  <c r="Y51" i="4"/>
  <c r="Z51" i="4" s="1"/>
  <c r="Y51" i="24"/>
  <c r="Z51" i="24" s="1"/>
  <c r="K105" i="23"/>
  <c r="J105" i="23"/>
  <c r="I105" i="23"/>
  <c r="E117" i="18"/>
  <c r="E116" i="18"/>
  <c r="AC116" i="5" s="1"/>
  <c r="E114" i="18"/>
  <c r="E113" i="18"/>
  <c r="AC113" i="5" s="1"/>
  <c r="J49" i="23"/>
  <c r="K49" i="23"/>
  <c r="I49" i="23"/>
  <c r="AJ49" i="23"/>
  <c r="AL49" i="23" s="1"/>
  <c r="N49" i="23" s="1"/>
  <c r="H75" i="18"/>
  <c r="J74" i="18" s="1"/>
  <c r="H79" i="18"/>
  <c r="T154" i="5"/>
  <c r="K37" i="23"/>
  <c r="AJ37" i="23"/>
  <c r="AL37" i="23" s="1"/>
  <c r="I37" i="23"/>
  <c r="J37" i="23"/>
  <c r="J70" i="23"/>
  <c r="K70" i="23"/>
  <c r="I70" i="23"/>
  <c r="AJ70" i="23"/>
  <c r="AL70" i="23" s="1"/>
  <c r="N70" i="23" s="1"/>
  <c r="E150" i="18"/>
  <c r="AC150" i="5" s="1"/>
  <c r="T150" i="5" s="1"/>
  <c r="E149" i="18"/>
  <c r="AC149" i="5" s="1"/>
  <c r="AB149" i="5" s="1"/>
  <c r="I63" i="18" l="1"/>
  <c r="R149" i="5"/>
  <c r="E59" i="18"/>
  <c r="AC59" i="5" s="1"/>
  <c r="T59" i="5" s="1"/>
  <c r="E49" i="18"/>
  <c r="AC49" i="5" s="1"/>
  <c r="T49" i="5" s="1"/>
  <c r="E101" i="18"/>
  <c r="AC101" i="5" s="1"/>
  <c r="AC100" i="5" s="1"/>
  <c r="T100" i="5" s="1"/>
  <c r="E104" i="18"/>
  <c r="AC104" i="5" s="1"/>
  <c r="E105" i="18"/>
  <c r="AC105" i="5" s="1"/>
  <c r="T105" i="5" s="1"/>
  <c r="AB153" i="5"/>
  <c r="L153" i="18" s="1"/>
  <c r="K153" i="18" s="1"/>
  <c r="G153" i="18" s="1"/>
  <c r="AJ178" i="23"/>
  <c r="AL178" i="23" s="1"/>
  <c r="N178" i="23" s="1"/>
  <c r="Q104" i="5"/>
  <c r="Z100" i="5"/>
  <c r="Q100" i="5" s="1"/>
  <c r="R36" i="5"/>
  <c r="Z35" i="5"/>
  <c r="E32" i="18"/>
  <c r="AC32" i="5" s="1"/>
  <c r="T32" i="5" s="1"/>
  <c r="E30" i="18"/>
  <c r="AC30" i="5" s="1"/>
  <c r="E139" i="18"/>
  <c r="AC139" i="5" s="1"/>
  <c r="E21" i="18"/>
  <c r="AC21" i="5" s="1"/>
  <c r="T21" i="5" s="1"/>
  <c r="Z148" i="5"/>
  <c r="Q148" i="5" s="1"/>
  <c r="H64" i="18"/>
  <c r="L105" i="6"/>
  <c r="AJ115" i="23"/>
  <c r="AL115" i="23" s="1"/>
  <c r="N115" i="23" s="1"/>
  <c r="K13" i="23"/>
  <c r="I13" i="23"/>
  <c r="J13" i="23"/>
  <c r="AJ13" i="23"/>
  <c r="AL13" i="23" s="1"/>
  <c r="N13" i="23" s="1"/>
  <c r="H35" i="6"/>
  <c r="Z168" i="5"/>
  <c r="Q168" i="5" s="1"/>
  <c r="S155" i="5"/>
  <c r="AE74" i="23"/>
  <c r="AF74" i="23" s="1"/>
  <c r="AG74" i="23" s="1"/>
  <c r="Z74" i="23" s="1"/>
  <c r="AI74" i="23" s="1"/>
  <c r="AE156" i="23"/>
  <c r="AF156" i="23" s="1"/>
  <c r="AG156" i="23" s="1"/>
  <c r="Z156" i="23" s="1"/>
  <c r="AI156" i="23" s="1"/>
  <c r="K92" i="23"/>
  <c r="I92" i="23"/>
  <c r="AJ92" i="23"/>
  <c r="AL92" i="23" s="1"/>
  <c r="J92" i="23"/>
  <c r="H14" i="18"/>
  <c r="J10" i="18" s="1"/>
  <c r="AM79" i="23"/>
  <c r="H82" i="18"/>
  <c r="J78" i="18" s="1"/>
  <c r="AD32" i="23"/>
  <c r="AD167" i="23"/>
  <c r="H190" i="18"/>
  <c r="J185" i="18" s="1"/>
  <c r="S159" i="5"/>
  <c r="AE159" i="23"/>
  <c r="AF159" i="23" s="1"/>
  <c r="AG159" i="23" s="1"/>
  <c r="Z159" i="23" s="1"/>
  <c r="AI159" i="23" s="1"/>
  <c r="AE78" i="23"/>
  <c r="AF78" i="23" s="1"/>
  <c r="AG78" i="23" s="1"/>
  <c r="Z78" i="23" s="1"/>
  <c r="AI78" i="23" s="1"/>
  <c r="H68" i="18"/>
  <c r="E170" i="18"/>
  <c r="AC170" i="5" s="1"/>
  <c r="T170" i="5" s="1"/>
  <c r="E169" i="18"/>
  <c r="AC169" i="5" s="1"/>
  <c r="AM50" i="23"/>
  <c r="N50" i="23"/>
  <c r="R169" i="5"/>
  <c r="Q169" i="5"/>
  <c r="S156" i="5"/>
  <c r="AE157" i="23"/>
  <c r="AF157" i="23" s="1"/>
  <c r="AG157" i="23" s="1"/>
  <c r="Z157" i="23" s="1"/>
  <c r="AI157" i="23" s="1"/>
  <c r="AE75" i="23"/>
  <c r="AF75" i="23" s="1"/>
  <c r="AG75" i="23" s="1"/>
  <c r="Z75" i="23" s="1"/>
  <c r="AI75" i="23" s="1"/>
  <c r="D144" i="18"/>
  <c r="AA144" i="5" s="1"/>
  <c r="R144" i="5" s="1"/>
  <c r="D139" i="18"/>
  <c r="AA139" i="5" s="1"/>
  <c r="R139" i="5" s="1"/>
  <c r="D31" i="18"/>
  <c r="AA31" i="5" s="1"/>
  <c r="Z31" i="5" s="1"/>
  <c r="Q31" i="5" s="1"/>
  <c r="D32" i="18"/>
  <c r="AA32" i="5" s="1"/>
  <c r="R32" i="5" s="1"/>
  <c r="D30" i="18"/>
  <c r="AA30" i="5" s="1"/>
  <c r="Z30" i="5" s="1"/>
  <c r="D21" i="18"/>
  <c r="AA21" i="5" s="1"/>
  <c r="E177" i="18"/>
  <c r="AC177" i="5" s="1"/>
  <c r="E179" i="18"/>
  <c r="AC179" i="5" s="1"/>
  <c r="T179" i="5" s="1"/>
  <c r="E184" i="18"/>
  <c r="AC184" i="5" s="1"/>
  <c r="E178" i="18"/>
  <c r="AC178" i="5" s="1"/>
  <c r="AJ53" i="23"/>
  <c r="AL53" i="23" s="1"/>
  <c r="K53" i="23"/>
  <c r="I53" i="23"/>
  <c r="J53" i="23"/>
  <c r="K73" i="23"/>
  <c r="J73" i="23"/>
  <c r="I73" i="23"/>
  <c r="AJ73" i="23"/>
  <c r="AL73" i="23" s="1"/>
  <c r="AM148" i="23"/>
  <c r="K109" i="23"/>
  <c r="J109" i="23"/>
  <c r="I109" i="23"/>
  <c r="AJ109" i="23"/>
  <c r="AL109" i="23" s="1"/>
  <c r="AM138" i="23"/>
  <c r="D64" i="18"/>
  <c r="AA64" i="5" s="1"/>
  <c r="D74" i="18"/>
  <c r="AA74" i="5" s="1"/>
  <c r="R74" i="5" s="1"/>
  <c r="D68" i="18"/>
  <c r="AA68" i="5" s="1"/>
  <c r="R68" i="5" s="1"/>
  <c r="E54" i="18"/>
  <c r="AC54" i="5" s="1"/>
  <c r="T54" i="5" s="1"/>
  <c r="AJ155" i="23"/>
  <c r="AL155" i="23" s="1"/>
  <c r="J155" i="23"/>
  <c r="I155" i="23"/>
  <c r="K155" i="23"/>
  <c r="S157" i="5"/>
  <c r="AE158" i="23"/>
  <c r="AF158" i="23" s="1"/>
  <c r="AG158" i="23" s="1"/>
  <c r="Z158" i="23" s="1"/>
  <c r="AI158" i="23" s="1"/>
  <c r="AE76" i="23"/>
  <c r="AF76" i="23" s="1"/>
  <c r="AG76" i="23" s="1"/>
  <c r="Z76" i="23" s="1"/>
  <c r="AI76" i="23" s="1"/>
  <c r="AJ60" i="23"/>
  <c r="AL60" i="23" s="1"/>
  <c r="I60" i="23"/>
  <c r="J60" i="23"/>
  <c r="K60" i="23"/>
  <c r="K19" i="23"/>
  <c r="J19" i="23"/>
  <c r="I19" i="23"/>
  <c r="AJ19" i="23"/>
  <c r="AL19" i="23" s="1"/>
  <c r="N19" i="23" s="1"/>
  <c r="D186" i="18"/>
  <c r="AA186" i="5" s="1"/>
  <c r="D190" i="18"/>
  <c r="AA190" i="5" s="1"/>
  <c r="R190" i="5" s="1"/>
  <c r="D194" i="18"/>
  <c r="AA194" i="5" s="1"/>
  <c r="R194" i="5" s="1"/>
  <c r="K90" i="23"/>
  <c r="I90" i="23"/>
  <c r="J90" i="23"/>
  <c r="AJ90" i="23"/>
  <c r="AL90" i="23" s="1"/>
  <c r="AJ23" i="23"/>
  <c r="AL23" i="23" s="1"/>
  <c r="I23" i="23"/>
  <c r="J23" i="23"/>
  <c r="K23" i="23"/>
  <c r="AE77" i="23"/>
  <c r="AF77" i="23" s="1"/>
  <c r="AG77" i="23" s="1"/>
  <c r="Z77" i="23" s="1"/>
  <c r="AI77" i="23" s="1"/>
  <c r="AE187" i="23"/>
  <c r="AF187" i="23" s="1"/>
  <c r="AG187" i="23" s="1"/>
  <c r="Z187" i="23" s="1"/>
  <c r="AI187" i="23" s="1"/>
  <c r="AE191" i="23"/>
  <c r="AF191" i="23" s="1"/>
  <c r="AG191" i="23" s="1"/>
  <c r="Z191" i="23" s="1"/>
  <c r="S158" i="5"/>
  <c r="AE146" i="23"/>
  <c r="AF146" i="23" s="1"/>
  <c r="AG146" i="23" s="1"/>
  <c r="Z146" i="23" s="1"/>
  <c r="AI146" i="23" s="1"/>
  <c r="Q149" i="5"/>
  <c r="AD160" i="23"/>
  <c r="AD48" i="23"/>
  <c r="S149" i="5"/>
  <c r="AE160" i="23"/>
  <c r="AE48" i="23"/>
  <c r="T104" i="5"/>
  <c r="AB104" i="5"/>
  <c r="S104" i="5" s="1"/>
  <c r="R104" i="5"/>
  <c r="Z48" i="5"/>
  <c r="Q48" i="5" s="1"/>
  <c r="R47" i="5"/>
  <c r="T113" i="5"/>
  <c r="AB113" i="5"/>
  <c r="T116" i="5"/>
  <c r="AB116" i="5"/>
  <c r="R21" i="5"/>
  <c r="T44" i="5"/>
  <c r="AB44" i="5"/>
  <c r="S44" i="5" s="1"/>
  <c r="AE20" i="23"/>
  <c r="S47" i="5"/>
  <c r="R44" i="5"/>
  <c r="Q47" i="5"/>
  <c r="AD20" i="23"/>
  <c r="AD14" i="23"/>
  <c r="T31" i="5"/>
  <c r="AB31" i="5"/>
  <c r="T30" i="5"/>
  <c r="AB30" i="5"/>
  <c r="I178" i="23"/>
  <c r="J115" i="23"/>
  <c r="K93" i="23"/>
  <c r="J178" i="23"/>
  <c r="I115" i="23"/>
  <c r="N37" i="23"/>
  <c r="I93" i="23"/>
  <c r="J93" i="23"/>
  <c r="N93" i="23"/>
  <c r="AC35" i="5"/>
  <c r="T35" i="5" s="1"/>
  <c r="T36" i="5"/>
  <c r="AB48" i="5"/>
  <c r="J30" i="23"/>
  <c r="I30" i="23"/>
  <c r="K30" i="23"/>
  <c r="AJ30" i="23"/>
  <c r="AL30" i="23" s="1"/>
  <c r="E77" i="18"/>
  <c r="AC77" i="5" s="1"/>
  <c r="T77" i="5" s="1"/>
  <c r="E76" i="18"/>
  <c r="AC76" i="5" s="1"/>
  <c r="E75" i="18"/>
  <c r="AC75" i="5" s="1"/>
  <c r="AB75" i="5" s="1"/>
  <c r="S75" i="5" s="1"/>
  <c r="AM49" i="23"/>
  <c r="AB148" i="5"/>
  <c r="L148" i="18" s="1"/>
  <c r="AC148" i="5"/>
  <c r="T148" i="5" s="1"/>
  <c r="T149" i="5"/>
  <c r="T101" i="5"/>
  <c r="K130" i="23"/>
  <c r="I130" i="23"/>
  <c r="J130" i="23"/>
  <c r="AJ130" i="23"/>
  <c r="AL130" i="23" s="1"/>
  <c r="N130" i="23" s="1"/>
  <c r="AJ43" i="23"/>
  <c r="AL43" i="23" s="1"/>
  <c r="N43" i="23" s="1"/>
  <c r="K43" i="23"/>
  <c r="J43" i="23"/>
  <c r="I43" i="23"/>
  <c r="R31" i="5" l="1"/>
  <c r="S153" i="5"/>
  <c r="H153" i="18" s="1"/>
  <c r="AD12" i="23"/>
  <c r="AD153" i="5"/>
  <c r="U153" i="5" s="1"/>
  <c r="AD177" i="23"/>
  <c r="Z20" i="5"/>
  <c r="Q20" i="5" s="1"/>
  <c r="Q30" i="5"/>
  <c r="K148" i="18"/>
  <c r="G148" i="18" s="1"/>
  <c r="R30" i="5"/>
  <c r="AM90" i="23"/>
  <c r="N90" i="23"/>
  <c r="AB138" i="5"/>
  <c r="AC138" i="5"/>
  <c r="T138" i="5" s="1"/>
  <c r="T139" i="5"/>
  <c r="AC20" i="5"/>
  <c r="T20" i="5" s="1"/>
  <c r="AB100" i="5"/>
  <c r="L100" i="18" s="1"/>
  <c r="K100" i="18" s="1"/>
  <c r="G100" i="18" s="1"/>
  <c r="AC48" i="5"/>
  <c r="T48" i="5" s="1"/>
  <c r="AM92" i="23"/>
  <c r="N92" i="23"/>
  <c r="E93" i="18"/>
  <c r="AC93" i="5" s="1"/>
  <c r="T93" i="5" s="1"/>
  <c r="E79" i="18"/>
  <c r="AC79" i="5" s="1"/>
  <c r="E82" i="18"/>
  <c r="AC82" i="5" s="1"/>
  <c r="T82" i="5" s="1"/>
  <c r="E89" i="18"/>
  <c r="AC89" i="5" s="1"/>
  <c r="T89" i="5" s="1"/>
  <c r="AF160" i="23"/>
  <c r="AG160" i="23" s="1"/>
  <c r="Z160" i="23" s="1"/>
  <c r="AI160" i="23" s="1"/>
  <c r="J160" i="23" s="1"/>
  <c r="AM60" i="23"/>
  <c r="N60" i="23"/>
  <c r="J159" i="23"/>
  <c r="AJ159" i="23"/>
  <c r="AL159" i="23" s="1"/>
  <c r="N159" i="23" s="1"/>
  <c r="K159" i="23"/>
  <c r="I159" i="23"/>
  <c r="E19" i="18"/>
  <c r="AC19" i="5" s="1"/>
  <c r="E11" i="18"/>
  <c r="AC11" i="5" s="1"/>
  <c r="E14" i="18"/>
  <c r="AC14" i="5" s="1"/>
  <c r="T14" i="5" s="1"/>
  <c r="N73" i="23"/>
  <c r="E194" i="18"/>
  <c r="AC194" i="5" s="1"/>
  <c r="T194" i="5" s="1"/>
  <c r="E186" i="18"/>
  <c r="AC186" i="5" s="1"/>
  <c r="E190" i="18"/>
  <c r="AC190" i="5" s="1"/>
  <c r="T190" i="5" s="1"/>
  <c r="AI191" i="23"/>
  <c r="I76" i="23"/>
  <c r="AJ76" i="23"/>
  <c r="AL76" i="23" s="1"/>
  <c r="N76" i="23" s="1"/>
  <c r="J76" i="23"/>
  <c r="K76" i="23"/>
  <c r="AM53" i="23"/>
  <c r="N53" i="23"/>
  <c r="R31" i="6"/>
  <c r="R34" i="6"/>
  <c r="R33" i="6"/>
  <c r="R28" i="6"/>
  <c r="R29" i="6"/>
  <c r="F103" i="6"/>
  <c r="R26" i="6"/>
  <c r="R30" i="6"/>
  <c r="R32" i="6"/>
  <c r="R27" i="6"/>
  <c r="I187" i="23"/>
  <c r="J187" i="23"/>
  <c r="K187" i="23"/>
  <c r="AJ187" i="23"/>
  <c r="AL187" i="23" s="1"/>
  <c r="AJ75" i="23"/>
  <c r="AL75" i="23" s="1"/>
  <c r="N75" i="23" s="1"/>
  <c r="I75" i="23"/>
  <c r="K75" i="23"/>
  <c r="J75" i="23"/>
  <c r="AB169" i="5"/>
  <c r="AC168" i="5"/>
  <c r="T168" i="5" s="1"/>
  <c r="T169" i="5"/>
  <c r="T178" i="5"/>
  <c r="AB178" i="5"/>
  <c r="AM109" i="23"/>
  <c r="N109" i="23"/>
  <c r="AB177" i="5"/>
  <c r="T177" i="5"/>
  <c r="AJ157" i="23"/>
  <c r="AL157" i="23" s="1"/>
  <c r="N157" i="23" s="1"/>
  <c r="I157" i="23"/>
  <c r="J157" i="23"/>
  <c r="K157" i="23"/>
  <c r="I156" i="23"/>
  <c r="J156" i="23"/>
  <c r="AJ156" i="23"/>
  <c r="AL156" i="23" s="1"/>
  <c r="N156" i="23" s="1"/>
  <c r="K156" i="23"/>
  <c r="T76" i="5"/>
  <c r="AB76" i="5"/>
  <c r="Z138" i="5"/>
  <c r="Q138" i="5" s="1"/>
  <c r="R186" i="5"/>
  <c r="Z185" i="5"/>
  <c r="Q185" i="5" s="1"/>
  <c r="J74" i="23"/>
  <c r="AJ74" i="23"/>
  <c r="AL74" i="23" s="1"/>
  <c r="N74" i="23" s="1"/>
  <c r="I74" i="23"/>
  <c r="K74" i="23"/>
  <c r="AJ158" i="23"/>
  <c r="AL158" i="23" s="1"/>
  <c r="N158" i="23" s="1"/>
  <c r="K158" i="23"/>
  <c r="I158" i="23"/>
  <c r="J158" i="23"/>
  <c r="K77" i="23"/>
  <c r="I77" i="23"/>
  <c r="J77" i="23"/>
  <c r="AJ77" i="23"/>
  <c r="AL77" i="23" s="1"/>
  <c r="N77" i="23" s="1"/>
  <c r="R64" i="5"/>
  <c r="Z63" i="5"/>
  <c r="Q63" i="5" s="1"/>
  <c r="T184" i="5"/>
  <c r="AC176" i="5"/>
  <c r="T176" i="5" s="1"/>
  <c r="AF48" i="23"/>
  <c r="AG48" i="23" s="1"/>
  <c r="Z48" i="23" s="1"/>
  <c r="AI48" i="23" s="1"/>
  <c r="J146" i="23"/>
  <c r="K146" i="23"/>
  <c r="AJ146" i="23"/>
  <c r="AL146" i="23" s="1"/>
  <c r="I146" i="23"/>
  <c r="AM23" i="23"/>
  <c r="N23" i="23"/>
  <c r="N155" i="23"/>
  <c r="AJ78" i="23"/>
  <c r="AL78" i="23" s="1"/>
  <c r="N78" i="23" s="1"/>
  <c r="K78" i="23"/>
  <c r="J78" i="23"/>
  <c r="I78" i="23"/>
  <c r="AD48" i="5"/>
  <c r="U48" i="5" s="1"/>
  <c r="S52" i="24" s="1"/>
  <c r="T52" i="24" s="1"/>
  <c r="L48" i="18"/>
  <c r="K48" i="18" s="1"/>
  <c r="Q35" i="5"/>
  <c r="AF20" i="23"/>
  <c r="AG20" i="23" s="1"/>
  <c r="Z20" i="23" s="1"/>
  <c r="AI20" i="23" s="1"/>
  <c r="I20" i="23" s="1"/>
  <c r="AB35" i="5"/>
  <c r="L35" i="18" s="1"/>
  <c r="K35" i="18" s="1"/>
  <c r="G35" i="18" s="1"/>
  <c r="S116" i="5"/>
  <c r="AE193" i="23"/>
  <c r="AE123" i="23"/>
  <c r="S113" i="5"/>
  <c r="AE185" i="23"/>
  <c r="AE124" i="23"/>
  <c r="S30" i="5"/>
  <c r="AE14" i="23"/>
  <c r="AF14" i="23" s="1"/>
  <c r="AG14" i="23" s="1"/>
  <c r="Z14" i="23" s="1"/>
  <c r="AI14" i="23" s="1"/>
  <c r="AB20" i="5"/>
  <c r="L20" i="18" s="1"/>
  <c r="K20" i="18" s="1"/>
  <c r="S31" i="5"/>
  <c r="AE177" i="23"/>
  <c r="AF177" i="23" s="1"/>
  <c r="AG177" i="23" s="1"/>
  <c r="Z177" i="23" s="1"/>
  <c r="AI177" i="23" s="1"/>
  <c r="AE12" i="23"/>
  <c r="AF12" i="23" s="1"/>
  <c r="AG12" i="23" s="1"/>
  <c r="Z12" i="23" s="1"/>
  <c r="AI12" i="23" s="1"/>
  <c r="N30" i="23"/>
  <c r="AF62" i="23"/>
  <c r="AG62" i="23" s="1"/>
  <c r="S48" i="5"/>
  <c r="AB78" i="5"/>
  <c r="L78" i="18" s="1"/>
  <c r="T79" i="5"/>
  <c r="AM43" i="23"/>
  <c r="S100" i="5"/>
  <c r="H100" i="18" s="1"/>
  <c r="V61" i="4"/>
  <c r="W61" i="4" s="1"/>
  <c r="V61" i="24"/>
  <c r="W61" i="24" s="1"/>
  <c r="S148" i="5"/>
  <c r="H148" i="18" s="1"/>
  <c r="AD148" i="5"/>
  <c r="AB74" i="5"/>
  <c r="T75" i="5"/>
  <c r="AC78" i="5" l="1"/>
  <c r="T78" i="5" s="1"/>
  <c r="S20" i="5"/>
  <c r="L138" i="18"/>
  <c r="K138" i="18" s="1"/>
  <c r="G138" i="18" s="1"/>
  <c r="AE163" i="23"/>
  <c r="S138" i="5"/>
  <c r="H138" i="18" s="1"/>
  <c r="J122" i="18" s="1"/>
  <c r="H35" i="18"/>
  <c r="AD20" i="5"/>
  <c r="U20" i="5" s="1"/>
  <c r="AD100" i="5"/>
  <c r="U100" i="5" s="1"/>
  <c r="V51" i="24" s="1"/>
  <c r="W51" i="24" s="1"/>
  <c r="G48" i="18"/>
  <c r="AJ20" i="23"/>
  <c r="AL20" i="23" s="1"/>
  <c r="AM154" i="23"/>
  <c r="AJ191" i="23"/>
  <c r="AL191" i="23" s="1"/>
  <c r="J191" i="23"/>
  <c r="K191" i="23"/>
  <c r="I191" i="23"/>
  <c r="I160" i="23"/>
  <c r="AE111" i="23"/>
  <c r="AF111" i="23" s="1"/>
  <c r="AG111" i="23" s="1"/>
  <c r="Z111" i="23" s="1"/>
  <c r="S177" i="5"/>
  <c r="AE165" i="23"/>
  <c r="AF165" i="23" s="1"/>
  <c r="AG165" i="23" s="1"/>
  <c r="Z165" i="23" s="1"/>
  <c r="AI165" i="23" s="1"/>
  <c r="AB11" i="5"/>
  <c r="AC10" i="5"/>
  <c r="T10" i="5" s="1"/>
  <c r="T11" i="5"/>
  <c r="S52" i="4"/>
  <c r="T52" i="4" s="1"/>
  <c r="AD35" i="5"/>
  <c r="U35" i="5" s="1"/>
  <c r="S51" i="4" s="1"/>
  <c r="T51" i="4" s="1"/>
  <c r="S35" i="5"/>
  <c r="AD163" i="23"/>
  <c r="AF163" i="23" s="1"/>
  <c r="AG163" i="23" s="1"/>
  <c r="AD138" i="5"/>
  <c r="U138" i="5" s="1"/>
  <c r="AE31" i="23"/>
  <c r="AF31" i="23" s="1"/>
  <c r="AG31" i="23" s="1"/>
  <c r="Z31" i="23" s="1"/>
  <c r="AI31" i="23" s="1"/>
  <c r="S178" i="5"/>
  <c r="AE171" i="23"/>
  <c r="AF171" i="23" s="1"/>
  <c r="AG171" i="23" s="1"/>
  <c r="Z171" i="23" s="1"/>
  <c r="AI171" i="23" s="1"/>
  <c r="K171" i="23" s="1"/>
  <c r="AE131" i="23"/>
  <c r="AF131" i="23" s="1"/>
  <c r="AG131" i="23" s="1"/>
  <c r="Z131" i="23" s="1"/>
  <c r="AI131" i="23" s="1"/>
  <c r="AB19" i="5"/>
  <c r="S19" i="5" s="1"/>
  <c r="T19" i="5"/>
  <c r="AE17" i="23"/>
  <c r="AF17" i="23" s="1"/>
  <c r="AG17" i="23" s="1"/>
  <c r="Z17" i="23" s="1"/>
  <c r="AI17" i="23" s="1"/>
  <c r="AE54" i="23"/>
  <c r="AF54" i="23" s="1"/>
  <c r="AG54" i="23" s="1"/>
  <c r="Z54" i="23" s="1"/>
  <c r="S76" i="5"/>
  <c r="N187" i="23"/>
  <c r="AM187" i="23"/>
  <c r="R35" i="6"/>
  <c r="T186" i="5"/>
  <c r="AB185" i="5"/>
  <c r="AC185" i="5"/>
  <c r="T185" i="5" s="1"/>
  <c r="AJ160" i="23"/>
  <c r="AL160" i="23" s="1"/>
  <c r="N160" i="23" s="1"/>
  <c r="N146" i="23"/>
  <c r="AM146" i="23"/>
  <c r="I101" i="6"/>
  <c r="L101" i="6" s="1"/>
  <c r="I123" i="6"/>
  <c r="L123" i="6" s="1"/>
  <c r="I124" i="6"/>
  <c r="L124" i="6" s="1"/>
  <c r="I102" i="6"/>
  <c r="L102" i="6" s="1"/>
  <c r="K160" i="23"/>
  <c r="AM73" i="23"/>
  <c r="S74" i="5"/>
  <c r="L74" i="18"/>
  <c r="AB176" i="5"/>
  <c r="AE167" i="23"/>
  <c r="AF167" i="23" s="1"/>
  <c r="AG167" i="23" s="1"/>
  <c r="Z167" i="23" s="1"/>
  <c r="AI167" i="23" s="1"/>
  <c r="AE132" i="23"/>
  <c r="AF132" i="23" s="1"/>
  <c r="AG132" i="23" s="1"/>
  <c r="Z132" i="23" s="1"/>
  <c r="AI132" i="23" s="1"/>
  <c r="AB168" i="5"/>
  <c r="S169" i="5"/>
  <c r="AE32" i="23"/>
  <c r="AF32" i="23" s="1"/>
  <c r="AG32" i="23" s="1"/>
  <c r="Z32" i="23" s="1"/>
  <c r="AI32" i="23" s="1"/>
  <c r="K48" i="23"/>
  <c r="AJ48" i="23"/>
  <c r="AL48" i="23" s="1"/>
  <c r="I48" i="23"/>
  <c r="J48" i="23"/>
  <c r="K20" i="23"/>
  <c r="J20" i="23"/>
  <c r="N20" i="23"/>
  <c r="AM18" i="23"/>
  <c r="I177" i="23"/>
  <c r="AJ176" i="23"/>
  <c r="AL176" i="23" s="1"/>
  <c r="K177" i="23"/>
  <c r="J177" i="23"/>
  <c r="AJ14" i="23"/>
  <c r="AL14" i="23" s="1"/>
  <c r="I14" i="23"/>
  <c r="J14" i="23"/>
  <c r="K14" i="23"/>
  <c r="AJ11" i="23"/>
  <c r="AL11" i="23" s="1"/>
  <c r="I12" i="23"/>
  <c r="J12" i="23"/>
  <c r="K12" i="23"/>
  <c r="Z163" i="23"/>
  <c r="AI163" i="23" s="1"/>
  <c r="AJ163" i="23" s="1"/>
  <c r="AL163" i="23" s="1"/>
  <c r="Z62" i="23"/>
  <c r="AI62" i="23" s="1"/>
  <c r="AJ62" i="23" s="1"/>
  <c r="AL62" i="23" s="1"/>
  <c r="N62" i="23" s="1"/>
  <c r="H48" i="18"/>
  <c r="G20" i="18"/>
  <c r="H20" i="18"/>
  <c r="S50" i="4"/>
  <c r="T50" i="4" s="1"/>
  <c r="S50" i="24"/>
  <c r="T50" i="24" s="1"/>
  <c r="AK205" i="23"/>
  <c r="AL205" i="23"/>
  <c r="AD42" i="24" s="1"/>
  <c r="S78" i="5"/>
  <c r="U148" i="5"/>
  <c r="J171" i="23" l="1"/>
  <c r="I171" i="23"/>
  <c r="V51" i="4"/>
  <c r="W51" i="4" s="1"/>
  <c r="E138" i="18"/>
  <c r="E123" i="18"/>
  <c r="AC123" i="5" s="1"/>
  <c r="E129" i="18"/>
  <c r="AC129" i="5" s="1"/>
  <c r="E124" i="18"/>
  <c r="AC124" i="5" s="1"/>
  <c r="AJ171" i="23"/>
  <c r="AL171" i="23" s="1"/>
  <c r="AM171" i="23" s="1"/>
  <c r="S51" i="24"/>
  <c r="T51" i="24" s="1"/>
  <c r="E36" i="16"/>
  <c r="L127" i="6"/>
  <c r="L153" i="6" s="1"/>
  <c r="E35" i="16" s="1"/>
  <c r="H103" i="6"/>
  <c r="L35" i="6"/>
  <c r="E8" i="16" s="1"/>
  <c r="AJ131" i="23"/>
  <c r="AL131" i="23" s="1"/>
  <c r="J131" i="23"/>
  <c r="I131" i="23"/>
  <c r="K131" i="23"/>
  <c r="E10" i="16"/>
  <c r="L106" i="6"/>
  <c r="L152" i="6" s="1"/>
  <c r="E9" i="16" s="1"/>
  <c r="AI111" i="23"/>
  <c r="J32" i="23"/>
  <c r="K32" i="23"/>
  <c r="I32" i="23"/>
  <c r="AJ32" i="23"/>
  <c r="AL32" i="23" s="1"/>
  <c r="N32" i="23" s="1"/>
  <c r="L168" i="18"/>
  <c r="K168" i="18" s="1"/>
  <c r="G168" i="18" s="1"/>
  <c r="I147" i="18" s="1"/>
  <c r="S168" i="5"/>
  <c r="AD168" i="5"/>
  <c r="U168" i="5" s="1"/>
  <c r="AI54" i="23"/>
  <c r="S63" i="24"/>
  <c r="T63" i="24" s="1"/>
  <c r="S63" i="4"/>
  <c r="T63" i="4" s="1"/>
  <c r="I132" i="23"/>
  <c r="AJ132" i="23"/>
  <c r="AL132" i="23" s="1"/>
  <c r="N132" i="23" s="1"/>
  <c r="J132" i="23"/>
  <c r="K132" i="23"/>
  <c r="K17" i="23"/>
  <c r="AJ17" i="23"/>
  <c r="AL17" i="23" s="1"/>
  <c r="N17" i="23" s="1"/>
  <c r="J17" i="23"/>
  <c r="I17" i="23"/>
  <c r="K167" i="23"/>
  <c r="AJ167" i="23"/>
  <c r="AL167" i="23" s="1"/>
  <c r="N167" i="23" s="1"/>
  <c r="I167" i="23"/>
  <c r="J167" i="23"/>
  <c r="L185" i="18"/>
  <c r="K185" i="18" s="1"/>
  <c r="G185" i="18" s="1"/>
  <c r="S185" i="5"/>
  <c r="AD185" i="5"/>
  <c r="U185" i="5" s="1"/>
  <c r="S11" i="5"/>
  <c r="AB10" i="5"/>
  <c r="I31" i="23"/>
  <c r="AJ31" i="23"/>
  <c r="AL31" i="23" s="1"/>
  <c r="J31" i="23"/>
  <c r="K31" i="23"/>
  <c r="L176" i="18"/>
  <c r="K176" i="18" s="1"/>
  <c r="G176" i="18" s="1"/>
  <c r="S176" i="5"/>
  <c r="AD176" i="5"/>
  <c r="U176" i="5" s="1"/>
  <c r="J165" i="23"/>
  <c r="K165" i="23"/>
  <c r="I165" i="23"/>
  <c r="AJ165" i="23"/>
  <c r="AL165" i="23" s="1"/>
  <c r="AM191" i="23"/>
  <c r="N191" i="23"/>
  <c r="AM48" i="23"/>
  <c r="N48" i="23"/>
  <c r="N14" i="23"/>
  <c r="N11" i="23"/>
  <c r="AM9" i="23"/>
  <c r="N176" i="23"/>
  <c r="AM174" i="23"/>
  <c r="I163" i="23"/>
  <c r="J163" i="23"/>
  <c r="K163" i="23"/>
  <c r="N163" i="23"/>
  <c r="AM160" i="23"/>
  <c r="K62" i="23"/>
  <c r="J62" i="23"/>
  <c r="I62" i="23"/>
  <c r="AM62" i="23"/>
  <c r="H74" i="18"/>
  <c r="J63" i="18" s="1"/>
  <c r="H78" i="18"/>
  <c r="V60" i="4"/>
  <c r="W60" i="4" s="1"/>
  <c r="V60" i="24"/>
  <c r="W60" i="24" s="1"/>
  <c r="H168" i="18" l="1"/>
  <c r="J147" i="18" s="1"/>
  <c r="T124" i="5"/>
  <c r="AB124" i="5"/>
  <c r="N171" i="23"/>
  <c r="AB129" i="5"/>
  <c r="T129" i="5"/>
  <c r="H176" i="18"/>
  <c r="J174" i="18" s="1"/>
  <c r="AB123" i="5"/>
  <c r="T123" i="5"/>
  <c r="H185" i="18"/>
  <c r="AM13" i="23"/>
  <c r="L10" i="18"/>
  <c r="AE107" i="23"/>
  <c r="AF107" i="23" s="1"/>
  <c r="AG107" i="23" s="1"/>
  <c r="Z107" i="23" s="1"/>
  <c r="AI107" i="23" s="1"/>
  <c r="AE21" i="23"/>
  <c r="AE72" i="23"/>
  <c r="AE39" i="23"/>
  <c r="S10" i="5"/>
  <c r="N131" i="23"/>
  <c r="AM125" i="23"/>
  <c r="J54" i="23"/>
  <c r="I54" i="23"/>
  <c r="K54" i="23"/>
  <c r="AJ54" i="23"/>
  <c r="AL54" i="23" s="1"/>
  <c r="N165" i="23"/>
  <c r="AM164" i="23"/>
  <c r="V62" i="4"/>
  <c r="W62" i="4" s="1"/>
  <c r="V62" i="24"/>
  <c r="W62" i="24" s="1"/>
  <c r="J111" i="23"/>
  <c r="AJ111" i="23"/>
  <c r="AL111" i="23" s="1"/>
  <c r="K111" i="23"/>
  <c r="I111" i="23"/>
  <c r="Y62" i="24"/>
  <c r="Z62" i="24" s="1"/>
  <c r="Y62" i="4"/>
  <c r="Z62" i="4" s="1"/>
  <c r="Y61" i="24"/>
  <c r="Z61" i="24" s="1"/>
  <c r="Y61" i="4"/>
  <c r="Z61" i="4" s="1"/>
  <c r="N31" i="23"/>
  <c r="AM25" i="23"/>
  <c r="E148" i="18"/>
  <c r="E168" i="18"/>
  <c r="E153" i="18"/>
  <c r="H23" i="14"/>
  <c r="H26" i="14" s="1"/>
  <c r="S41" i="4"/>
  <c r="S41" i="24" s="1"/>
  <c r="I23" i="14"/>
  <c r="I26" i="14" s="1"/>
  <c r="T41" i="4"/>
  <c r="T41" i="24" s="1"/>
  <c r="D148" i="18"/>
  <c r="AA148" i="5" s="1"/>
  <c r="D153" i="18"/>
  <c r="AA153" i="5" s="1"/>
  <c r="R153" i="5" s="1"/>
  <c r="D168" i="18"/>
  <c r="AA168" i="5" s="1"/>
  <c r="R168" i="5" s="1"/>
  <c r="E64" i="18"/>
  <c r="AC64" i="5" s="1"/>
  <c r="E74" i="18"/>
  <c r="AC74" i="5" s="1"/>
  <c r="T74" i="5" s="1"/>
  <c r="E68" i="18"/>
  <c r="AC68" i="5" s="1"/>
  <c r="T68" i="5" s="1"/>
  <c r="H10" i="18" l="1"/>
  <c r="J9" i="18" s="1"/>
  <c r="E10" i="18" s="1"/>
  <c r="S123" i="5"/>
  <c r="AE56" i="23"/>
  <c r="S129" i="5"/>
  <c r="AE58" i="23"/>
  <c r="S124" i="5"/>
  <c r="AE57" i="23"/>
  <c r="E48" i="18"/>
  <c r="E20" i="18"/>
  <c r="E175" i="18"/>
  <c r="AC175" i="5" s="1"/>
  <c r="E176" i="18"/>
  <c r="E185" i="18"/>
  <c r="AM54" i="23"/>
  <c r="N54" i="23"/>
  <c r="AM111" i="23"/>
  <c r="N111" i="23"/>
  <c r="R148" i="5"/>
  <c r="AD147" i="5"/>
  <c r="J107" i="23"/>
  <c r="I107" i="23"/>
  <c r="K107" i="23"/>
  <c r="E35" i="18"/>
  <c r="T64" i="5"/>
  <c r="AB63" i="5"/>
  <c r="L63" i="18" s="1"/>
  <c r="K63" i="18" s="1"/>
  <c r="AC63" i="5"/>
  <c r="T63" i="5" s="1"/>
  <c r="T175" i="5" l="1"/>
  <c r="AB175" i="5"/>
  <c r="W57" i="24"/>
  <c r="U147" i="5"/>
  <c r="W57" i="4"/>
  <c r="AD63" i="5"/>
  <c r="U63" i="5" s="1"/>
  <c r="S63" i="5"/>
  <c r="K147" i="18" l="1"/>
  <c r="G147" i="18" s="1"/>
  <c r="V57" i="24"/>
  <c r="V57" i="4"/>
  <c r="AE168" i="23"/>
  <c r="AE65" i="23"/>
  <c r="AE170" i="23"/>
  <c r="S175" i="5"/>
  <c r="V49" i="24"/>
  <c r="W49" i="24" s="1"/>
  <c r="V49" i="4"/>
  <c r="W49" i="4" s="1"/>
  <c r="G63" i="18"/>
  <c r="H63" i="18"/>
  <c r="J62" i="18" s="1"/>
  <c r="K54" i="24" l="1"/>
  <c r="Z11" i="24"/>
  <c r="K54" i="4"/>
  <c r="Z11" i="4"/>
  <c r="E63" i="18"/>
  <c r="E78" i="18"/>
  <c r="E100" i="18"/>
  <c r="J47" i="20" l="1"/>
  <c r="N47" i="20"/>
  <c r="M47" i="20"/>
  <c r="V23" i="20" s="1"/>
  <c r="L47" i="20"/>
  <c r="K47" i="20"/>
  <c r="J65" i="11" l="1"/>
  <c r="V21" i="20"/>
  <c r="J66" i="11"/>
  <c r="V22" i="20"/>
  <c r="V24" i="20"/>
  <c r="M22" i="20" s="1"/>
  <c r="J64" i="11"/>
  <c r="V20" i="20"/>
  <c r="U17" i="20" l="1"/>
  <c r="U18" i="20"/>
  <c r="W20" i="20"/>
  <c r="X20" i="20" s="1"/>
  <c r="W23" i="20"/>
  <c r="X23" i="20" s="1"/>
  <c r="W22" i="20"/>
  <c r="X22" i="20" s="1"/>
  <c r="W21" i="20"/>
  <c r="X21" i="20" s="1"/>
  <c r="X18" i="20" l="1"/>
  <c r="W18" i="20"/>
  <c r="X17" i="20"/>
  <c r="W17" i="20"/>
  <c r="M20" i="20" l="1"/>
  <c r="M21" i="20"/>
  <c r="J36" i="20" s="1"/>
  <c r="G63" i="11" l="1"/>
  <c r="G67" i="11" s="1"/>
  <c r="G66" i="11" l="1"/>
  <c r="G65" i="11"/>
  <c r="G64" i="11"/>
  <c r="G68" i="11"/>
  <c r="Q130" i="5"/>
  <c r="G130" i="18" s="1"/>
  <c r="U153" i="15" l="1"/>
  <c r="I177" i="15" s="1"/>
  <c r="K116" i="20" s="1"/>
  <c r="N114" i="20" s="1"/>
  <c r="N123" i="20" s="1"/>
  <c r="L116" i="20"/>
  <c r="P114" i="20" s="1"/>
  <c r="I134" i="6" l="1"/>
  <c r="E81" i="17" s="1"/>
  <c r="I140" i="6"/>
  <c r="H134" i="6"/>
  <c r="E89" i="17" l="1"/>
  <c r="E63" i="16"/>
  <c r="D63" i="16"/>
  <c r="R7" i="3" l="1"/>
  <c r="D5" i="3" s="1"/>
  <c r="I95" i="15" l="1"/>
  <c r="D67" i="16" s="1"/>
  <c r="E86" i="17" l="1"/>
  <c r="I96" i="15"/>
  <c r="E90" i="17" s="1"/>
  <c r="E92" i="17" s="1"/>
  <c r="E85" i="17"/>
  <c r="E84" i="17" l="1"/>
  <c r="E52" i="16" s="1"/>
  <c r="N121" i="15"/>
  <c r="S137" i="15" s="1"/>
  <c r="L98" i="20" s="1"/>
  <c r="E82" i="17"/>
  <c r="S132" i="15" l="1"/>
  <c r="L93" i="20" s="1"/>
  <c r="S140" i="15"/>
  <c r="L101" i="20" s="1"/>
  <c r="S124" i="15"/>
  <c r="L85" i="20" s="1"/>
  <c r="S131" i="15"/>
  <c r="L92" i="20" s="1"/>
  <c r="S136" i="15"/>
  <c r="L97" i="20" s="1"/>
  <c r="S141" i="15"/>
  <c r="L102" i="20" s="1"/>
  <c r="S134" i="15"/>
  <c r="L95" i="20" s="1"/>
  <c r="S143" i="15"/>
  <c r="J134" i="6" s="1"/>
  <c r="J140" i="6" s="1"/>
  <c r="L140" i="6" s="1"/>
  <c r="S144" i="15"/>
  <c r="J135" i="6" s="1"/>
  <c r="L135" i="6" s="1"/>
  <c r="E83" i="17"/>
  <c r="E51" i="16" s="1"/>
  <c r="S135" i="15"/>
  <c r="L96" i="20" s="1"/>
  <c r="S142" i="15"/>
  <c r="S138" i="15"/>
  <c r="L99" i="20" s="1"/>
  <c r="S123" i="15"/>
  <c r="L84" i="20" s="1"/>
  <c r="S128" i="15"/>
  <c r="L89" i="20" s="1"/>
  <c r="S129" i="15"/>
  <c r="L90" i="20" s="1"/>
  <c r="S145" i="15"/>
  <c r="S125" i="15"/>
  <c r="L86" i="20" s="1"/>
  <c r="S127" i="15"/>
  <c r="L88" i="20" s="1"/>
  <c r="S126" i="15"/>
  <c r="L87" i="20" s="1"/>
  <c r="S133" i="15"/>
  <c r="L94" i="20" s="1"/>
  <c r="S139" i="15"/>
  <c r="L100" i="20" s="1"/>
  <c r="S130" i="15"/>
  <c r="L91" i="20" s="1"/>
  <c r="L103" i="20" l="1"/>
  <c r="J132" i="6" s="1"/>
  <c r="J147" i="6" s="1"/>
  <c r="L147" i="6" s="1"/>
  <c r="L134" i="6"/>
  <c r="O135" i="6"/>
  <c r="J141" i="6"/>
  <c r="L141" i="6" s="1"/>
  <c r="D66" i="16"/>
  <c r="O134" i="6"/>
  <c r="O132" i="6" l="1"/>
  <c r="O130" i="6" s="1"/>
  <c r="D48" i="16" s="1"/>
  <c r="U40" i="4" s="1"/>
  <c r="U40" i="24" s="1"/>
  <c r="J139" i="6"/>
  <c r="L139" i="6" s="1"/>
  <c r="L137" i="6" s="1"/>
  <c r="L154" i="6" s="1"/>
  <c r="L155" i="6" s="1"/>
  <c r="D65" i="16"/>
  <c r="L145" i="6"/>
  <c r="E54" i="16" s="1"/>
  <c r="E61" i="16" s="1"/>
  <c r="W43" i="4" s="1"/>
  <c r="L132" i="6"/>
  <c r="L130" i="6" s="1"/>
  <c r="E48" i="16" s="1"/>
  <c r="U41" i="4" s="1"/>
  <c r="Z40" i="4" l="1"/>
  <c r="Z40" i="24" s="1"/>
  <c r="J22" i="14"/>
  <c r="K22" i="14" s="1"/>
  <c r="E49" i="16"/>
  <c r="E60" i="16" s="1"/>
  <c r="V42" i="4" s="1"/>
  <c r="Z42" i="4" s="1"/>
  <c r="O154" i="6"/>
  <c r="O155" i="6" s="1"/>
  <c r="W43" i="24"/>
  <c r="Z43" i="4"/>
  <c r="Z43" i="24" s="1"/>
  <c r="U41" i="24"/>
  <c r="Z41" i="4"/>
  <c r="Z41" i="24" s="1"/>
  <c r="J25" i="14" l="1"/>
  <c r="K25" i="14" s="1"/>
  <c r="J23" i="14"/>
  <c r="J26" i="14" s="1"/>
  <c r="K26" i="14" s="1"/>
  <c r="Y42" i="4"/>
  <c r="Y42" i="24" s="1"/>
  <c r="X43" i="4"/>
  <c r="X43" i="24" s="1"/>
  <c r="V42" i="24"/>
  <c r="Y43" i="4"/>
  <c r="Y43" i="24" s="1"/>
  <c r="Y41" i="4"/>
  <c r="Y41" i="24" s="1"/>
  <c r="Z42" i="24"/>
  <c r="L26" i="14" l="1"/>
  <c r="X12" i="14" s="1"/>
  <c r="AA12" i="14" s="1"/>
  <c r="K23" i="14"/>
  <c r="L23" i="14" s="1"/>
  <c r="T12" i="14" s="1"/>
  <c r="V12" i="14" s="1"/>
  <c r="T36" i="24"/>
  <c r="S36" i="24" s="1"/>
  <c r="S37" i="24" s="1"/>
  <c r="T36" i="4"/>
  <c r="S36" i="4" s="1"/>
  <c r="S37" i="4" s="1"/>
  <c r="Z12" i="14" l="1"/>
  <c r="W12" i="14"/>
  <c r="O22" i="14" s="1"/>
  <c r="O25" i="14" l="1"/>
  <c r="F13" i="14" s="1"/>
  <c r="J11" i="14" s="1"/>
  <c r="F17" i="14" l="1"/>
  <c r="F18" i="14"/>
  <c r="F16" i="14"/>
  <c r="F14" i="14"/>
  <c r="F15" i="14"/>
  <c r="W175" i="5"/>
  <c r="K175" i="18" l="1"/>
  <c r="L15" i="3" l="1"/>
  <c r="D15" i="3"/>
  <c r="O95" i="15" l="1"/>
  <c r="V96" i="15" s="1"/>
  <c r="E93" i="17"/>
  <c r="G77" i="11"/>
  <c r="F63" i="11" s="1"/>
  <c r="G78" i="11" l="1"/>
  <c r="Q131" i="5"/>
  <c r="G131" i="18" s="1"/>
  <c r="I129" i="18" s="1"/>
  <c r="G81" i="11"/>
  <c r="G79" i="11"/>
  <c r="G82" i="11"/>
  <c r="G80" i="11"/>
  <c r="W129" i="5" l="1"/>
  <c r="K129" i="18" s="1"/>
  <c r="F64" i="11"/>
  <c r="J60" i="11"/>
  <c r="F67" i="11"/>
  <c r="F65" i="11"/>
  <c r="F68" i="11"/>
  <c r="F66" i="11"/>
  <c r="D131" i="18"/>
  <c r="D130" i="18"/>
  <c r="AA131" i="5" l="1"/>
  <c r="Z131" i="5" s="1"/>
  <c r="AA130" i="5"/>
  <c r="Z130" i="5" s="1"/>
  <c r="G15" i="18"/>
  <c r="I14" i="18" s="1"/>
  <c r="R130" i="5" l="1"/>
  <c r="R131" i="5"/>
  <c r="D18" i="18"/>
  <c r="D15" i="18"/>
  <c r="AA15" i="5" s="1"/>
  <c r="Z15" i="5" s="1"/>
  <c r="D16" i="18"/>
  <c r="D17" i="18"/>
  <c r="AA17" i="5" l="1"/>
  <c r="Z17" i="5" s="1"/>
  <c r="Q17" i="5" s="1"/>
  <c r="AA18" i="5"/>
  <c r="Z18" i="5" s="1"/>
  <c r="Q18" i="5" s="1"/>
  <c r="AA16" i="5"/>
  <c r="Z16" i="5" s="1"/>
  <c r="Q16" i="5" s="1"/>
  <c r="R15" i="5"/>
  <c r="Q15" i="5"/>
  <c r="R18" i="5" l="1"/>
  <c r="Z14" i="5"/>
  <c r="R16" i="5"/>
  <c r="R17" i="5"/>
  <c r="K14" i="18" l="1"/>
  <c r="G14" i="18" s="1"/>
  <c r="I10" i="18" s="1"/>
  <c r="Q14" i="5"/>
  <c r="D14" i="18" l="1"/>
  <c r="AA14" i="5" s="1"/>
  <c r="R14" i="5" s="1"/>
  <c r="D11" i="18"/>
  <c r="AA11" i="5" s="1"/>
  <c r="D19" i="18"/>
  <c r="AA19" i="5" s="1"/>
  <c r="Z19" i="5" l="1"/>
  <c r="Q19" i="5" s="1"/>
  <c r="R19" i="5"/>
  <c r="Z11" i="5"/>
  <c r="R11" i="5"/>
  <c r="Q11" i="5" l="1"/>
  <c r="Z10" i="5"/>
  <c r="K10" i="18" s="1"/>
  <c r="G10" i="18" s="1"/>
  <c r="I9" i="18" s="1"/>
  <c r="D48" i="18" l="1"/>
  <c r="AA48" i="5" s="1"/>
  <c r="R48" i="5" s="1"/>
  <c r="D10" i="18"/>
  <c r="AA10" i="5" s="1"/>
  <c r="R10" i="5" s="1"/>
  <c r="D20" i="18"/>
  <c r="AA20" i="5" s="1"/>
  <c r="R20" i="5" s="1"/>
  <c r="D35" i="18"/>
  <c r="AA35" i="5" s="1"/>
  <c r="R35" i="5" s="1"/>
  <c r="AD21" i="23"/>
  <c r="AF21" i="23" s="1"/>
  <c r="AG21" i="23" s="1"/>
  <c r="Z21" i="23" s="1"/>
  <c r="Q10" i="5"/>
  <c r="AD39" i="23"/>
  <c r="AF39" i="23" s="1"/>
  <c r="AG39" i="23" s="1"/>
  <c r="Z39" i="23" s="1"/>
  <c r="AD10" i="5"/>
  <c r="AD72" i="23"/>
  <c r="AF72" i="23" s="1"/>
  <c r="AG72" i="23" s="1"/>
  <c r="Z72" i="23" s="1"/>
  <c r="AD102" i="23"/>
  <c r="AF102" i="23" s="1"/>
  <c r="AG102" i="23" s="1"/>
  <c r="Z102" i="23" s="1"/>
  <c r="AI72" i="23" l="1"/>
  <c r="U10" i="5"/>
  <c r="AD9" i="5"/>
  <c r="AI39" i="23"/>
  <c r="AI102" i="23"/>
  <c r="AI21" i="23"/>
  <c r="I102" i="23" l="1"/>
  <c r="K102" i="23"/>
  <c r="J102" i="23"/>
  <c r="AJ102" i="23"/>
  <c r="AL102" i="23" s="1"/>
  <c r="S49" i="24"/>
  <c r="S49" i="4"/>
  <c r="I39" i="23"/>
  <c r="K39" i="23"/>
  <c r="J39" i="23"/>
  <c r="AJ39" i="23"/>
  <c r="AL39" i="23" s="1"/>
  <c r="T46" i="4"/>
  <c r="T46" i="24"/>
  <c r="U9" i="5"/>
  <c r="I21" i="23"/>
  <c r="AJ21" i="23"/>
  <c r="AL21" i="23" s="1"/>
  <c r="J21" i="23"/>
  <c r="K21" i="23"/>
  <c r="K72" i="23"/>
  <c r="AJ72" i="23"/>
  <c r="AL72" i="23" s="1"/>
  <c r="I72" i="23"/>
  <c r="J72" i="23"/>
  <c r="AM21" i="23" l="1"/>
  <c r="N21" i="23"/>
  <c r="R54" i="4"/>
  <c r="T49" i="4"/>
  <c r="K9" i="18"/>
  <c r="G9" i="18" s="1"/>
  <c r="S46" i="24"/>
  <c r="S46" i="4"/>
  <c r="R54" i="24"/>
  <c r="T49" i="24"/>
  <c r="AM34" i="23"/>
  <c r="N39" i="23"/>
  <c r="AM102" i="23"/>
  <c r="N102" i="23"/>
  <c r="AM67" i="23"/>
  <c r="N72" i="23"/>
  <c r="AK208" i="23" l="1"/>
  <c r="AL208" i="23"/>
  <c r="AD45" i="24" s="1"/>
  <c r="G43" i="24"/>
  <c r="Z13" i="24"/>
  <c r="AK204" i="23"/>
  <c r="AL204" i="23"/>
  <c r="AD41" i="24" s="1"/>
  <c r="Z13" i="4"/>
  <c r="G43" i="4"/>
  <c r="AL203" i="23"/>
  <c r="AD40" i="24" s="1"/>
  <c r="AK203" i="23"/>
  <c r="G129" i="18"/>
  <c r="G124" i="18"/>
  <c r="I122" i="18" s="1"/>
  <c r="G175" i="18"/>
  <c r="I174" i="18" s="1"/>
  <c r="D176" i="18" l="1"/>
  <c r="D185" i="18"/>
  <c r="D138" i="18"/>
  <c r="AA138" i="5" s="1"/>
  <c r="R138" i="5" s="1"/>
  <c r="D123" i="18"/>
  <c r="AA123" i="5" s="1"/>
  <c r="D129" i="18"/>
  <c r="AA129" i="5" s="1"/>
  <c r="D124" i="18"/>
  <c r="AA124" i="5" s="1"/>
  <c r="R124" i="5" s="1"/>
  <c r="D175" i="18"/>
  <c r="AA176" i="5"/>
  <c r="R176" i="5" s="1"/>
  <c r="AA185" i="5" l="1"/>
  <c r="R185" i="5" s="1"/>
  <c r="AA175" i="5"/>
  <c r="Z175" i="5" s="1"/>
  <c r="AD170" i="23" s="1"/>
  <c r="AF170" i="23" s="1"/>
  <c r="AG170" i="23" s="1"/>
  <c r="Z170" i="23" s="1"/>
  <c r="Z129" i="5"/>
  <c r="R129" i="5"/>
  <c r="Z124" i="5"/>
  <c r="AD57" i="23" s="1"/>
  <c r="AF57" i="23" s="1"/>
  <c r="AG57" i="23" s="1"/>
  <c r="Z57" i="23" s="1"/>
  <c r="Z123" i="5"/>
  <c r="R123" i="5"/>
  <c r="AD124" i="5"/>
  <c r="Q124" i="5" l="1"/>
  <c r="AD65" i="23"/>
  <c r="AF65" i="23" s="1"/>
  <c r="AG65" i="23" s="1"/>
  <c r="Z65" i="23" s="1"/>
  <c r="AI65" i="23" s="1"/>
  <c r="AD168" i="23"/>
  <c r="AF168" i="23" s="1"/>
  <c r="AG168" i="23" s="1"/>
  <c r="Z168" i="23" s="1"/>
  <c r="AI168" i="23" s="1"/>
  <c r="Q175" i="5"/>
  <c r="R175" i="5"/>
  <c r="AD175" i="5"/>
  <c r="U175" i="5" s="1"/>
  <c r="AD56" i="23"/>
  <c r="AF56" i="23" s="1"/>
  <c r="AG56" i="23" s="1"/>
  <c r="Z56" i="23" s="1"/>
  <c r="AI56" i="23" s="1"/>
  <c r="AD123" i="5"/>
  <c r="U123" i="5" s="1"/>
  <c r="Q123" i="5"/>
  <c r="AD129" i="5"/>
  <c r="U129" i="5" s="1"/>
  <c r="Q129" i="5"/>
  <c r="AD58" i="23"/>
  <c r="AF58" i="23" s="1"/>
  <c r="AG58" i="23" s="1"/>
  <c r="Z58" i="23" s="1"/>
  <c r="AI58" i="23" s="1"/>
  <c r="U124" i="5"/>
  <c r="AI57" i="23"/>
  <c r="AI170" i="23"/>
  <c r="AD122" i="5" l="1"/>
  <c r="AD174" i="5"/>
  <c r="U174" i="5" s="1"/>
  <c r="I58" i="23"/>
  <c r="J58" i="23"/>
  <c r="K58" i="23"/>
  <c r="AJ58" i="23"/>
  <c r="AL58" i="23" s="1"/>
  <c r="N58" i="23" s="1"/>
  <c r="S62" i="24"/>
  <c r="T62" i="24" s="1"/>
  <c r="S62" i="4"/>
  <c r="T62" i="4" s="1"/>
  <c r="S60" i="24"/>
  <c r="T60" i="24" s="1"/>
  <c r="S60" i="4"/>
  <c r="T60" i="4" s="1"/>
  <c r="I56" i="23"/>
  <c r="J56" i="23"/>
  <c r="K56" i="23"/>
  <c r="AJ56" i="23"/>
  <c r="AL56" i="23" s="1"/>
  <c r="N56" i="23" s="1"/>
  <c r="U122" i="5"/>
  <c r="T57" i="4"/>
  <c r="T57" i="24"/>
  <c r="AJ57" i="23"/>
  <c r="AL57" i="23" s="1"/>
  <c r="J57" i="23"/>
  <c r="I57" i="23"/>
  <c r="K57" i="23"/>
  <c r="S61" i="24"/>
  <c r="T61" i="24" s="1"/>
  <c r="S61" i="4"/>
  <c r="T61" i="4" s="1"/>
  <c r="Z57" i="24"/>
  <c r="Y60" i="24"/>
  <c r="Z60" i="24" s="1"/>
  <c r="Y60" i="4"/>
  <c r="Z60" i="4" s="1"/>
  <c r="J170" i="23"/>
  <c r="AJ170" i="23"/>
  <c r="AL170" i="23" s="1"/>
  <c r="I170" i="23"/>
  <c r="K170" i="23"/>
  <c r="AJ168" i="23"/>
  <c r="AL168" i="23" s="1"/>
  <c r="J168" i="23"/>
  <c r="K168" i="23"/>
  <c r="I168" i="23"/>
  <c r="AJ65" i="23"/>
  <c r="AL65" i="23" s="1"/>
  <c r="K65" i="23"/>
  <c r="I65" i="23"/>
  <c r="J65" i="23"/>
  <c r="Z57" i="4" l="1"/>
  <c r="K122" i="18"/>
  <c r="G122" i="18" s="1"/>
  <c r="S57" i="4"/>
  <c r="S57" i="24"/>
  <c r="N57" i="23"/>
  <c r="AM56" i="23"/>
  <c r="AM168" i="23"/>
  <c r="N168" i="23"/>
  <c r="AM65" i="23"/>
  <c r="N65" i="23"/>
  <c r="K174" i="18"/>
  <c r="G174" i="18" s="1"/>
  <c r="I121" i="18" s="1"/>
  <c r="Y57" i="4"/>
  <c r="Y57" i="24"/>
  <c r="AM170" i="23"/>
  <c r="N170" i="23"/>
  <c r="Z12" i="24" l="1"/>
  <c r="G54" i="24"/>
  <c r="Z12" i="4"/>
  <c r="G54" i="4"/>
  <c r="Z10" i="4"/>
  <c r="O54" i="4"/>
  <c r="D174" i="18"/>
  <c r="D122" i="18"/>
  <c r="D147" i="18"/>
  <c r="O54" i="24"/>
  <c r="Z10" i="24"/>
  <c r="AK211" i="23"/>
  <c r="AL211" i="23"/>
  <c r="AD48" i="24" s="1"/>
  <c r="AA147" i="5" l="1"/>
  <c r="R147" i="5" s="1"/>
  <c r="AA174" i="5"/>
  <c r="R174" i="5" s="1"/>
  <c r="AA122" i="5"/>
  <c r="AD121" i="5" l="1"/>
  <c r="R122" i="5"/>
  <c r="S8" i="24" l="1"/>
  <c r="S10" i="24" s="1"/>
  <c r="S8" i="4"/>
  <c r="S10" i="4" s="1"/>
  <c r="U121" i="5"/>
  <c r="N52" i="4" l="1"/>
  <c r="K121" i="18"/>
  <c r="G121" i="18" s="1"/>
  <c r="N52" i="24"/>
  <c r="T24" i="4"/>
  <c r="T24" i="24"/>
  <c r="T26" i="24" l="1"/>
  <c r="S26" i="24"/>
  <c r="T26" i="4"/>
  <c r="S26" i="4"/>
  <c r="G94" i="18" l="1"/>
  <c r="G96" i="18"/>
  <c r="G114" i="18"/>
  <c r="I112" i="18"/>
  <c r="D114" i="18" s="1"/>
  <c r="AA114" i="5" s="1"/>
  <c r="I93" i="18" l="1"/>
  <c r="D117" i="18"/>
  <c r="AA117" i="5" s="1"/>
  <c r="R117" i="5" s="1"/>
  <c r="D116" i="18"/>
  <c r="AA116" i="5" s="1"/>
  <c r="Z114" i="5"/>
  <c r="R114" i="5"/>
  <c r="D113" i="18"/>
  <c r="AA113" i="5" s="1"/>
  <c r="D95" i="18"/>
  <c r="AA95" i="5" s="1"/>
  <c r="D96" i="18"/>
  <c r="AA96" i="5" s="1"/>
  <c r="D97" i="18"/>
  <c r="AA97" i="5" s="1"/>
  <c r="D98" i="18"/>
  <c r="AA98" i="5" s="1"/>
  <c r="D94" i="18"/>
  <c r="AA94" i="5" s="1"/>
  <c r="R116" i="5" l="1"/>
  <c r="Z116" i="5"/>
  <c r="R113" i="5"/>
  <c r="Z113" i="5"/>
  <c r="AD114" i="5"/>
  <c r="Q114" i="5"/>
  <c r="R94" i="5"/>
  <c r="Z94" i="5"/>
  <c r="R98" i="5"/>
  <c r="Z98" i="5"/>
  <c r="Z97" i="5"/>
  <c r="R97" i="5"/>
  <c r="Z96" i="5"/>
  <c r="R96" i="5"/>
  <c r="R95" i="5"/>
  <c r="Z95" i="5"/>
  <c r="Q116" i="5" l="1"/>
  <c r="AD123" i="23"/>
  <c r="AF123" i="23" s="1"/>
  <c r="AG123" i="23" s="1"/>
  <c r="Z123" i="23" s="1"/>
  <c r="AI123" i="23" s="1"/>
  <c r="AD116" i="5"/>
  <c r="U116" i="5" s="1"/>
  <c r="AD193" i="23"/>
  <c r="AF193" i="23" s="1"/>
  <c r="AG193" i="23" s="1"/>
  <c r="Z193" i="23" s="1"/>
  <c r="AI193" i="23" s="1"/>
  <c r="U114" i="5"/>
  <c r="AD113" i="5"/>
  <c r="U113" i="5" s="1"/>
  <c r="Q113" i="5"/>
  <c r="AD185" i="23"/>
  <c r="AF185" i="23" s="1"/>
  <c r="AG185" i="23" s="1"/>
  <c r="Z185" i="23" s="1"/>
  <c r="AI185" i="23" s="1"/>
  <c r="AD124" i="23"/>
  <c r="AF124" i="23" s="1"/>
  <c r="AG124" i="23" s="1"/>
  <c r="Z124" i="23" s="1"/>
  <c r="Q96" i="5"/>
  <c r="AD63" i="23"/>
  <c r="AF63" i="23" s="1"/>
  <c r="AG63" i="23" s="1"/>
  <c r="Z63" i="23" s="1"/>
  <c r="AI63" i="23" s="1"/>
  <c r="AD181" i="23"/>
  <c r="AF181" i="23" s="1"/>
  <c r="AG181" i="23" s="1"/>
  <c r="Z181" i="23" s="1"/>
  <c r="AI181" i="23" s="1"/>
  <c r="AD118" i="23"/>
  <c r="AF118" i="23" s="1"/>
  <c r="AG118" i="23" s="1"/>
  <c r="Z118" i="23" s="1"/>
  <c r="AI118" i="23" s="1"/>
  <c r="AD96" i="23"/>
  <c r="AF96" i="23" s="1"/>
  <c r="AG96" i="23" s="1"/>
  <c r="Z96" i="23" s="1"/>
  <c r="AI96" i="23" s="1"/>
  <c r="AD119" i="23"/>
  <c r="AF119" i="23" s="1"/>
  <c r="AG119" i="23" s="1"/>
  <c r="Z119" i="23" s="1"/>
  <c r="Q97" i="5"/>
  <c r="AD97" i="23"/>
  <c r="AF97" i="23" s="1"/>
  <c r="AG97" i="23" s="1"/>
  <c r="Z97" i="23" s="1"/>
  <c r="AI97" i="23" s="1"/>
  <c r="AD182" i="23"/>
  <c r="AF182" i="23" s="1"/>
  <c r="AG182" i="23" s="1"/>
  <c r="Z182" i="23" s="1"/>
  <c r="AI182" i="23" s="1"/>
  <c r="AD183" i="23"/>
  <c r="AF183" i="23" s="1"/>
  <c r="AG183" i="23" s="1"/>
  <c r="Z183" i="23" s="1"/>
  <c r="AI183" i="23" s="1"/>
  <c r="AD98" i="23"/>
  <c r="AF98" i="23" s="1"/>
  <c r="AG98" i="23" s="1"/>
  <c r="Z98" i="23" s="1"/>
  <c r="AI98" i="23" s="1"/>
  <c r="Q98" i="5"/>
  <c r="AD120" i="23"/>
  <c r="AF120" i="23" s="1"/>
  <c r="AG120" i="23" s="1"/>
  <c r="Z120" i="23" s="1"/>
  <c r="AI120" i="23" s="1"/>
  <c r="AD117" i="23"/>
  <c r="AF117" i="23" s="1"/>
  <c r="AG117" i="23" s="1"/>
  <c r="Z117" i="23" s="1"/>
  <c r="AI117" i="23" s="1"/>
  <c r="AD55" i="23"/>
  <c r="AF55" i="23" s="1"/>
  <c r="AG55" i="23" s="1"/>
  <c r="Z55" i="23" s="1"/>
  <c r="AD95" i="23"/>
  <c r="AF95" i="23" s="1"/>
  <c r="AG95" i="23" s="1"/>
  <c r="Z95" i="23" s="1"/>
  <c r="AI95" i="23" s="1"/>
  <c r="AD180" i="23"/>
  <c r="AF180" i="23" s="1"/>
  <c r="AG180" i="23" s="1"/>
  <c r="Z180" i="23" s="1"/>
  <c r="AI180" i="23" s="1"/>
  <c r="Q95" i="5"/>
  <c r="AD94" i="23"/>
  <c r="AF94" i="23" s="1"/>
  <c r="AG94" i="23" s="1"/>
  <c r="Z94" i="23" s="1"/>
  <c r="AD116" i="23"/>
  <c r="AF116" i="23" s="1"/>
  <c r="AG116" i="23" s="1"/>
  <c r="Z116" i="23" s="1"/>
  <c r="AI116" i="23" s="1"/>
  <c r="Q94" i="5"/>
  <c r="Z93" i="5"/>
  <c r="AD179" i="23"/>
  <c r="AF179" i="23" s="1"/>
  <c r="AG179" i="23" s="1"/>
  <c r="Z179" i="23" s="1"/>
  <c r="J193" i="23" l="1"/>
  <c r="K193" i="23"/>
  <c r="AJ193" i="23"/>
  <c r="AL193" i="23" s="1"/>
  <c r="AM193" i="23" s="1"/>
  <c r="AK214" i="23" s="1"/>
  <c r="I193" i="23"/>
  <c r="Y50" i="24"/>
  <c r="Z50" i="24" s="1"/>
  <c r="Y50" i="4"/>
  <c r="Z50" i="4" s="1"/>
  <c r="AJ123" i="23"/>
  <c r="AL123" i="23" s="1"/>
  <c r="AM123" i="23" s="1"/>
  <c r="J123" i="23"/>
  <c r="I123" i="23"/>
  <c r="K123" i="23"/>
  <c r="AJ185" i="23"/>
  <c r="AL185" i="23" s="1"/>
  <c r="AM185" i="23" s="1"/>
  <c r="AL213" i="23" s="1"/>
  <c r="AD50" i="24" s="1"/>
  <c r="J185" i="23"/>
  <c r="K185" i="23"/>
  <c r="I185" i="23"/>
  <c r="AI124" i="23"/>
  <c r="Y49" i="24"/>
  <c r="Z49" i="24" s="1"/>
  <c r="Y49" i="4"/>
  <c r="Z49" i="4" s="1"/>
  <c r="AD112" i="5"/>
  <c r="J95" i="23"/>
  <c r="I95" i="23"/>
  <c r="AJ95" i="23"/>
  <c r="AL95" i="23" s="1"/>
  <c r="K95" i="23"/>
  <c r="AJ97" i="23"/>
  <c r="AL97" i="23" s="1"/>
  <c r="N97" i="23" s="1"/>
  <c r="I97" i="23"/>
  <c r="K97" i="23"/>
  <c r="J97" i="23"/>
  <c r="AI179" i="23"/>
  <c r="AI55" i="23"/>
  <c r="AJ117" i="23"/>
  <c r="AL117" i="23" s="1"/>
  <c r="N117" i="23" s="1"/>
  <c r="K117" i="23"/>
  <c r="I117" i="23"/>
  <c r="J117" i="23"/>
  <c r="AI119" i="23"/>
  <c r="I120" i="23"/>
  <c r="J120" i="23"/>
  <c r="K120" i="23"/>
  <c r="AJ120" i="23"/>
  <c r="AL120" i="23" s="1"/>
  <c r="N120" i="23" s="1"/>
  <c r="J96" i="23"/>
  <c r="K96" i="23"/>
  <c r="I96" i="23"/>
  <c r="AJ96" i="23"/>
  <c r="AL96" i="23" s="1"/>
  <c r="N96" i="23" s="1"/>
  <c r="J116" i="23"/>
  <c r="I116" i="23"/>
  <c r="K116" i="23"/>
  <c r="AJ116" i="23"/>
  <c r="AL116" i="23" s="1"/>
  <c r="I118" i="23"/>
  <c r="J118" i="23"/>
  <c r="AJ118" i="23"/>
  <c r="AL118" i="23" s="1"/>
  <c r="N118" i="23" s="1"/>
  <c r="K118" i="23"/>
  <c r="AI94" i="23"/>
  <c r="AJ98" i="23"/>
  <c r="AL98" i="23" s="1"/>
  <c r="N98" i="23" s="1"/>
  <c r="I98" i="23"/>
  <c r="J98" i="23"/>
  <c r="K98" i="23"/>
  <c r="K181" i="23"/>
  <c r="J181" i="23"/>
  <c r="AJ181" i="23"/>
  <c r="AL181" i="23" s="1"/>
  <c r="N181" i="23" s="1"/>
  <c r="I181" i="23"/>
  <c r="I183" i="23"/>
  <c r="J183" i="23"/>
  <c r="AJ183" i="23"/>
  <c r="AL183" i="23" s="1"/>
  <c r="N183" i="23" s="1"/>
  <c r="K183" i="23"/>
  <c r="I63" i="23"/>
  <c r="K63" i="23"/>
  <c r="J63" i="23"/>
  <c r="AJ63" i="23"/>
  <c r="AL63" i="23" s="1"/>
  <c r="Q93" i="5"/>
  <c r="K93" i="18"/>
  <c r="G93" i="18" s="1"/>
  <c r="I78" i="18" s="1"/>
  <c r="N95" i="23"/>
  <c r="I180" i="23"/>
  <c r="AJ180" i="23"/>
  <c r="AL180" i="23" s="1"/>
  <c r="N180" i="23" s="1"/>
  <c r="J180" i="23"/>
  <c r="K180" i="23"/>
  <c r="K182" i="23"/>
  <c r="I182" i="23"/>
  <c r="AJ182" i="23"/>
  <c r="AL182" i="23" s="1"/>
  <c r="N182" i="23" s="1"/>
  <c r="J182" i="23"/>
  <c r="AL214" i="23" l="1"/>
  <c r="AD51" i="24" s="1"/>
  <c r="AK213" i="23"/>
  <c r="N185" i="23"/>
  <c r="N193" i="23"/>
  <c r="N123" i="23"/>
  <c r="I124" i="23"/>
  <c r="J124" i="23"/>
  <c r="AJ124" i="23"/>
  <c r="AL124" i="23" s="1"/>
  <c r="K124" i="23"/>
  <c r="U112" i="5"/>
  <c r="Z46" i="4"/>
  <c r="Z46" i="24"/>
  <c r="D79" i="18"/>
  <c r="AA79" i="5" s="1"/>
  <c r="D82" i="18"/>
  <c r="AA82" i="5" s="1"/>
  <c r="R82" i="5" s="1"/>
  <c r="D89" i="18"/>
  <c r="AA89" i="5" s="1"/>
  <c r="R89" i="5" s="1"/>
  <c r="D93" i="18"/>
  <c r="AA93" i="5" s="1"/>
  <c r="R93" i="5" s="1"/>
  <c r="N116" i="23"/>
  <c r="N63" i="23"/>
  <c r="AM63" i="23"/>
  <c r="AJ94" i="23"/>
  <c r="AL94" i="23" s="1"/>
  <c r="J94" i="23"/>
  <c r="I94" i="23"/>
  <c r="K94" i="23"/>
  <c r="AJ55" i="23"/>
  <c r="AL55" i="23" s="1"/>
  <c r="K55" i="23"/>
  <c r="I55" i="23"/>
  <c r="J55" i="23"/>
  <c r="AJ119" i="23"/>
  <c r="AL119" i="23" s="1"/>
  <c r="N119" i="23" s="1"/>
  <c r="K119" i="23"/>
  <c r="I119" i="23"/>
  <c r="J119" i="23"/>
  <c r="AJ179" i="23"/>
  <c r="AL179" i="23" s="1"/>
  <c r="I179" i="23"/>
  <c r="K179" i="23"/>
  <c r="J179" i="23"/>
  <c r="AM115" i="23" l="1"/>
  <c r="K112" i="18"/>
  <c r="G112" i="18" s="1"/>
  <c r="Y46" i="4"/>
  <c r="Y46" i="24"/>
  <c r="AM124" i="23"/>
  <c r="AK210" i="23" s="1"/>
  <c r="N124" i="23"/>
  <c r="AL207" i="23"/>
  <c r="AD44" i="24" s="1"/>
  <c r="AK207" i="23"/>
  <c r="AM55" i="23"/>
  <c r="N55" i="23"/>
  <c r="AM178" i="23"/>
  <c r="N179" i="23"/>
  <c r="AM93" i="23"/>
  <c r="N94" i="23"/>
  <c r="R79" i="5"/>
  <c r="Z78" i="5"/>
  <c r="AL210" i="23" l="1"/>
  <c r="AD47" i="24" s="1"/>
  <c r="Z9" i="24"/>
  <c r="O43" i="24"/>
  <c r="Z9" i="4"/>
  <c r="O43" i="4"/>
  <c r="AK212" i="23"/>
  <c r="AL212" i="23"/>
  <c r="AD49" i="24" s="1"/>
  <c r="AK206" i="23"/>
  <c r="AL206" i="23"/>
  <c r="AD43" i="24" s="1"/>
  <c r="K78" i="18"/>
  <c r="G78" i="18" s="1"/>
  <c r="I62" i="18" s="1"/>
  <c r="Q78" i="5"/>
  <c r="AD78" i="5"/>
  <c r="U78" i="5" s="1"/>
  <c r="AL209" i="23"/>
  <c r="AD46" i="24" s="1"/>
  <c r="AK209" i="23"/>
  <c r="AK201" i="23" l="1"/>
  <c r="AM201" i="23" s="1"/>
  <c r="V50" i="4"/>
  <c r="W50" i="4" s="1"/>
  <c r="V50" i="24"/>
  <c r="W50" i="24" s="1"/>
  <c r="D63" i="18"/>
  <c r="AA63" i="5" s="1"/>
  <c r="D100" i="18"/>
  <c r="AA100" i="5" s="1"/>
  <c r="R100" i="5" s="1"/>
  <c r="D78" i="18"/>
  <c r="AA78" i="5" s="1"/>
  <c r="R78" i="5" s="1"/>
  <c r="AN201" i="23" l="1"/>
  <c r="AK43" i="24" s="1"/>
  <c r="AK44" i="24" s="1"/>
  <c r="AK45" i="24" s="1"/>
  <c r="AD62" i="5"/>
  <c r="R63" i="5"/>
  <c r="W46" i="4" l="1"/>
  <c r="W46" i="24"/>
  <c r="U62" i="5"/>
  <c r="K62" i="18" l="1"/>
  <c r="G62" i="18" s="1"/>
  <c r="I8" i="18" s="1"/>
  <c r="V46" i="4"/>
  <c r="V46" i="24"/>
  <c r="K43" i="4" l="1"/>
  <c r="Z8" i="4"/>
  <c r="K43" i="24"/>
  <c r="Z8" i="24"/>
  <c r="D9" i="18"/>
  <c r="AA9" i="5" s="1"/>
  <c r="D112" i="18"/>
  <c r="AA112" i="5" s="1"/>
  <c r="R112" i="5" s="1"/>
  <c r="D62" i="18"/>
  <c r="AA62" i="5" s="1"/>
  <c r="R62" i="5" s="1"/>
  <c r="R9" i="5" l="1"/>
  <c r="AD8" i="5"/>
  <c r="U8" i="5" l="1"/>
  <c r="S7" i="4"/>
  <c r="S9" i="4" s="1"/>
  <c r="S7" i="24"/>
  <c r="S9" i="24" s="1"/>
  <c r="S11" i="24" l="1"/>
  <c r="S12" i="24" s="1"/>
  <c r="C25" i="24" s="1"/>
  <c r="T25" i="24"/>
  <c r="S11" i="4"/>
  <c r="S12" i="4" s="1"/>
  <c r="C25" i="4" s="1"/>
  <c r="T25" i="4"/>
  <c r="N41" i="4"/>
  <c r="N41" i="24"/>
  <c r="S13" i="24" l="1"/>
  <c r="S14" i="24" s="1"/>
  <c r="S13" i="4"/>
  <c r="S14" i="4" s="1"/>
  <c r="T27" i="4"/>
  <c r="U27" i="4"/>
  <c r="T27" i="24"/>
  <c r="U27" i="24"/>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Junko ENDO</author>
    <author xml:space="preserve">日建設計 </author>
  </authors>
  <commentList>
    <comment ref="B41" authorId="0" shapeId="0" xr:uid="{D9BB5CFF-8BCB-4CA0-8F77-4A4526855813}">
      <text>
        <r>
          <rPr>
            <sz val="9"/>
            <color indexed="81"/>
            <rFont val="ＭＳ Ｐゴシック"/>
            <family val="3"/>
            <charset val="128"/>
          </rPr>
          <t>Fill in if the assessment is confirmed by third party.</t>
        </r>
      </text>
    </comment>
    <comment ref="F71" authorId="1" shapeId="0" xr:uid="{E73CDDE6-124B-459C-B230-7860E55FB0CA}">
      <text>
        <r>
          <rPr>
            <sz val="9"/>
            <color indexed="81"/>
            <rFont val="ＭＳ Ｐゴシック"/>
            <family val="3"/>
            <charset val="128"/>
          </rPr>
          <t>Input the ratio, in the range 0.00-1.00</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JUNKO</author>
  </authors>
  <commentList>
    <comment ref="H197" authorId="0" shapeId="0" xr:uid="{00000000-0006-0000-0900-000001000000}">
      <text>
        <r>
          <rPr>
            <b/>
            <sz val="9"/>
            <color indexed="81"/>
            <rFont val="ＭＳ Ｐゴシック"/>
            <family val="3"/>
            <charset val="128"/>
          </rPr>
          <t>Max. or Ave. of all dwelling units</t>
        </r>
      </text>
    </comment>
    <comment ref="J197" authorId="0" shapeId="0" xr:uid="{00000000-0006-0000-0900-000002000000}">
      <text>
        <r>
          <rPr>
            <b/>
            <sz val="9"/>
            <color indexed="81"/>
            <rFont val="ＭＳ Ｐゴシック"/>
            <family val="3"/>
            <charset val="128"/>
          </rPr>
          <t>Max. or Ave. of all dwelling units</t>
        </r>
      </text>
    </comment>
    <comment ref="L197" authorId="0" shapeId="0" xr:uid="{00000000-0006-0000-0900-000003000000}">
      <text>
        <r>
          <rPr>
            <b/>
            <sz val="9"/>
            <color indexed="81"/>
            <rFont val="ＭＳ Ｐゴシック"/>
            <family val="3"/>
            <charset val="128"/>
          </rPr>
          <t>Max. (worst) of all dwelling units</t>
        </r>
      </text>
    </comment>
    <comment ref="N197" authorId="0" shapeId="0" xr:uid="{00000000-0006-0000-0900-000004000000}">
      <text>
        <r>
          <rPr>
            <b/>
            <sz val="9"/>
            <color indexed="81"/>
            <rFont val="ＭＳ Ｐゴシック"/>
            <family val="3"/>
            <charset val="128"/>
          </rPr>
          <t>Min. (worst) of all dwelling units</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JUNKO</author>
  </authors>
  <commentList>
    <comment ref="I114" authorId="0" shapeId="0" xr:uid="{00000000-0006-0000-0B00-000001000000}">
      <text>
        <r>
          <rPr>
            <b/>
            <sz val="9"/>
            <color indexed="81"/>
            <rFont val="ＭＳ Ｐゴシック"/>
            <family val="3"/>
            <charset val="128"/>
          </rPr>
          <t>Site area</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uthor>
  </authors>
  <commentList>
    <comment ref="F21" authorId="0" shapeId="0" xr:uid="{00000000-0006-0000-0C00-000001000000}">
      <text>
        <r>
          <rPr>
            <b/>
            <sz val="9"/>
            <color indexed="81"/>
            <rFont val="ＭＳ Ｐゴシック"/>
            <family val="3"/>
            <charset val="128"/>
          </rPr>
          <t>住宅部分と非住宅部分の床面積による加重平均（小数第2位で切捨）</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Junko ENDO</author>
  </authors>
  <commentList>
    <comment ref="G21" authorId="0" shapeId="0" xr:uid="{87F41F59-0FF4-47ED-8866-E6C0DE1D8DF2}">
      <text>
        <r>
          <rPr>
            <b/>
            <sz val="9"/>
            <color indexed="81"/>
            <rFont val="MS P ゴシック"/>
            <family val="3"/>
            <charset val="128"/>
          </rPr>
          <t>入力するＢＥＩ（オンサイトの再生可能エネルギーを含む）は、レベル３未満の場合は自己消費分で評価する。レベル３以上の場合は総量（売電分含む）で評価してよい。</t>
        </r>
      </text>
    </comment>
    <comment ref="H117" authorId="0" shapeId="0" xr:uid="{7784EBDE-3934-4C69-9D47-D2481431063B}">
      <text>
        <r>
          <rPr>
            <b/>
            <sz val="9"/>
            <color indexed="81"/>
            <rFont val="MS P ゴシック"/>
            <family val="3"/>
            <charset val="128"/>
          </rPr>
          <t>Enter the BEI* (dwelling area, common area, or entire building) used to calculate the primary energy consumption of common areas</t>
        </r>
      </text>
    </comment>
    <comment ref="H124" authorId="0" shapeId="0" xr:uid="{C1DF0F8E-059F-4E0C-88EF-55FF0EA70041}">
      <text>
        <r>
          <rPr>
            <b/>
            <sz val="9"/>
            <color indexed="81"/>
            <rFont val="MS P ゴシック"/>
            <family val="3"/>
            <charset val="128"/>
          </rPr>
          <t>Enter the BEI (dwelling area, common area, or entire building) used to calculate the primary energy consumption of common areas</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JUNKO</author>
  </authors>
  <commentList>
    <comment ref="I55" authorId="0" shapeId="0" xr:uid="{00000000-0006-0000-0F00-000001000000}">
      <text>
        <r>
          <rPr>
            <b/>
            <sz val="9"/>
            <color indexed="81"/>
            <rFont val="ＭＳ Ｐゴシック"/>
            <family val="3"/>
            <charset val="128"/>
          </rPr>
          <t>敷地面積</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 xml:space="preserve"> </author>
  </authors>
  <commentList>
    <comment ref="D50" authorId="0" shapeId="0" xr:uid="{00000000-0006-0000-1300-000001000000}">
      <text>
        <r>
          <rPr>
            <sz val="9"/>
            <color indexed="81"/>
            <rFont val="ＭＳ Ｐゴシック"/>
            <family val="3"/>
            <charset val="128"/>
          </rPr>
          <t>See &lt;Ref.&gt; below, and the value [1] can be referred.</t>
        </r>
      </text>
    </comment>
    <comment ref="D58" authorId="0" shapeId="0" xr:uid="{00000000-0006-0000-1300-000002000000}">
      <text>
        <r>
          <rPr>
            <sz val="9"/>
            <color indexed="81"/>
            <rFont val="ＭＳ Ｐゴシック"/>
            <family val="3"/>
            <charset val="128"/>
          </rPr>
          <t>See &lt;Ref.&gt; below, and the value [2] can be referred.</t>
        </r>
      </text>
    </comment>
  </commentList>
</comments>
</file>

<file path=xl/sharedStrings.xml><?xml version="1.0" encoding="utf-8"?>
<sst xmlns="http://schemas.openxmlformats.org/spreadsheetml/2006/main" count="14218" uniqueCount="5033">
  <si>
    <t>内装計画</t>
    <rPh sb="0" eb="2">
      <t>ナイソウ</t>
    </rPh>
    <rPh sb="2" eb="4">
      <t>ケイカク</t>
    </rPh>
    <phoneticPr fontId="26"/>
  </si>
  <si>
    <t>維持管理</t>
    <rPh sb="0" eb="2">
      <t>イジ</t>
    </rPh>
    <rPh sb="2" eb="4">
      <t>カンリ</t>
    </rPh>
    <phoneticPr fontId="26"/>
  </si>
  <si>
    <t>維持管理に配慮した設計</t>
  </si>
  <si>
    <t>維持管理用機能の確保</t>
  </si>
  <si>
    <t>衛生管理業務</t>
    <rPh sb="0" eb="2">
      <t>エイセイ</t>
    </rPh>
    <rPh sb="2" eb="4">
      <t>カンリ</t>
    </rPh>
    <rPh sb="4" eb="6">
      <t>ギョウム</t>
    </rPh>
    <phoneticPr fontId="26"/>
  </si>
  <si>
    <t>耐用性・信頼性</t>
    <rPh sb="0" eb="3">
      <t>ﾀｲﾖｳｾｲ</t>
    </rPh>
    <rPh sb="4" eb="6">
      <t>ｼﾝﾗｲ</t>
    </rPh>
    <rPh sb="6" eb="7">
      <t>ｾｲ</t>
    </rPh>
    <phoneticPr fontId="35" type="noConversion"/>
  </si>
  <si>
    <t>躯体材料以外におけるリサイクル材の使用</t>
    <rPh sb="0" eb="2">
      <t>クタイ</t>
    </rPh>
    <rPh sb="2" eb="4">
      <t>ザイリョウ</t>
    </rPh>
    <rPh sb="4" eb="6">
      <t>イガイ</t>
    </rPh>
    <rPh sb="15" eb="16">
      <t>ザイ</t>
    </rPh>
    <rPh sb="17" eb="19">
      <t>シヨウ</t>
    </rPh>
    <phoneticPr fontId="26"/>
  </si>
  <si>
    <t>屋上（屋根）・外壁仕上げ材の更新</t>
    <rPh sb="0" eb="2">
      <t>オクジョウ</t>
    </rPh>
    <rPh sb="3" eb="5">
      <t>ヤネ</t>
    </rPh>
    <rPh sb="7" eb="9">
      <t>ガイヘキ</t>
    </rPh>
    <rPh sb="9" eb="11">
      <t>シア</t>
    </rPh>
    <rPh sb="12" eb="13">
      <t>ザイ</t>
    </rPh>
    <rPh sb="14" eb="16">
      <t>コウシン</t>
    </rPh>
    <phoneticPr fontId="26"/>
  </si>
  <si>
    <t>配管・配線材の更新</t>
    <rPh sb="0" eb="2">
      <t>ハイカン</t>
    </rPh>
    <rPh sb="3" eb="5">
      <t>ハイセン</t>
    </rPh>
    <rPh sb="5" eb="6">
      <t>ザイ</t>
    </rPh>
    <rPh sb="7" eb="9">
      <t>コウシン</t>
    </rPh>
    <phoneticPr fontId="26"/>
  </si>
  <si>
    <t>主用設備機器の更新</t>
    <rPh sb="0" eb="2">
      <t>シュヨウ</t>
    </rPh>
    <rPh sb="2" eb="4">
      <t>セツビ</t>
    </rPh>
    <rPh sb="4" eb="6">
      <t>キキ</t>
    </rPh>
    <rPh sb="7" eb="9">
      <t>コウシン</t>
    </rPh>
    <phoneticPr fontId="26"/>
  </si>
  <si>
    <t>信頼性</t>
    <rPh sb="0" eb="3">
      <t>シンライセイ</t>
    </rPh>
    <phoneticPr fontId="26"/>
  </si>
  <si>
    <t>空調・換気設備</t>
    <rPh sb="0" eb="2">
      <t>クウチョウ</t>
    </rPh>
    <rPh sb="3" eb="5">
      <t>カンキ</t>
    </rPh>
    <rPh sb="5" eb="7">
      <t>セツビ</t>
    </rPh>
    <phoneticPr fontId="26"/>
  </si>
  <si>
    <t>給排水・衛生設備</t>
    <rPh sb="0" eb="3">
      <t>キュウハイスイ</t>
    </rPh>
    <rPh sb="4" eb="6">
      <t>エイセイ</t>
    </rPh>
    <rPh sb="6" eb="8">
      <t>セツビ</t>
    </rPh>
    <phoneticPr fontId="26"/>
  </si>
  <si>
    <t>電気設備</t>
    <rPh sb="0" eb="2">
      <t>デンキ</t>
    </rPh>
    <rPh sb="2" eb="4">
      <t>セツビ</t>
    </rPh>
    <phoneticPr fontId="26"/>
  </si>
  <si>
    <t>地域性・文化</t>
    <rPh sb="0" eb="3">
      <t>チイキセイ</t>
    </rPh>
    <rPh sb="4" eb="6">
      <t>ブンカ</t>
    </rPh>
    <phoneticPr fontId="26"/>
  </si>
  <si>
    <t>空気質環境</t>
    <rPh sb="3" eb="5">
      <t>カンキョウ</t>
    </rPh>
    <phoneticPr fontId="26"/>
  </si>
  <si>
    <t/>
  </si>
  <si>
    <t xml:space="preserve"> </t>
    <phoneticPr fontId="26"/>
  </si>
  <si>
    <t>消火剤</t>
    <rPh sb="0" eb="3">
      <t>ショウカザイ</t>
    </rPh>
    <phoneticPr fontId="26"/>
  </si>
  <si>
    <t>発泡剤（断熱材等）</t>
    <rPh sb="0" eb="2">
      <t>ハッポウ</t>
    </rPh>
    <rPh sb="2" eb="3">
      <t>ザイ</t>
    </rPh>
    <rPh sb="4" eb="7">
      <t>ダンネツザイ</t>
    </rPh>
    <rPh sb="7" eb="8">
      <t>トウ</t>
    </rPh>
    <phoneticPr fontId="26"/>
  </si>
  <si>
    <t>冷媒</t>
    <rPh sb="0" eb="2">
      <t>レイバイ</t>
    </rPh>
    <phoneticPr fontId="26"/>
  </si>
  <si>
    <t>対応性・更新性</t>
  </si>
  <si>
    <t xml:space="preserve"> Q2 3</t>
  </si>
  <si>
    <t xml:space="preserve"> Q2 3.1</t>
  </si>
  <si>
    <t>階高のゆとり</t>
  </si>
  <si>
    <t>空間の形状・自由さ</t>
  </si>
  <si>
    <t xml:space="preserve"> Q2 3.3</t>
  </si>
  <si>
    <t>空調配管の更新性</t>
  </si>
  <si>
    <t>給排水管の更新性</t>
  </si>
  <si>
    <t>電気配線の更新性</t>
  </si>
  <si>
    <t>通信配線の更新性</t>
  </si>
  <si>
    <t>設備機器の更新性</t>
  </si>
  <si>
    <t xml:space="preserve"> Q3</t>
  </si>
  <si>
    <t>生物資源の保全と創出</t>
    <rPh sb="2" eb="4">
      <t>シゲン</t>
    </rPh>
    <phoneticPr fontId="26"/>
  </si>
  <si>
    <t xml:space="preserve"> Q3 3</t>
  </si>
  <si>
    <t xml:space="preserve"> </t>
  </si>
  <si>
    <t>建築物の環境負荷低減性</t>
    <rPh sb="0" eb="3">
      <t>ケンチクブツ</t>
    </rPh>
    <rPh sb="4" eb="6">
      <t>カンキョウ</t>
    </rPh>
    <rPh sb="6" eb="8">
      <t>フカ</t>
    </rPh>
    <rPh sb="8" eb="10">
      <t>テイゲン</t>
    </rPh>
    <rPh sb="10" eb="11">
      <t>セイ</t>
    </rPh>
    <phoneticPr fontId="26"/>
  </si>
  <si>
    <t>LR</t>
  </si>
  <si>
    <t>LR1 2</t>
  </si>
  <si>
    <t>ERRによる評価</t>
    <rPh sb="6" eb="8">
      <t>ﾋｮｳｶ</t>
    </rPh>
    <phoneticPr fontId="35" type="noConversion"/>
  </si>
  <si>
    <t>ERR以外による評価</t>
    <rPh sb="3" eb="5">
      <t>イガイ</t>
    </rPh>
    <phoneticPr fontId="26"/>
  </si>
  <si>
    <t>LR1 4</t>
  </si>
  <si>
    <t>LR2 1</t>
  </si>
  <si>
    <t>雨水利用・雑排水再利用</t>
    <rPh sb="0" eb="2">
      <t>ｳｽｲ</t>
    </rPh>
    <rPh sb="2" eb="4">
      <t>ﾘﾖｳ</t>
    </rPh>
    <rPh sb="5" eb="8">
      <t>ｻﾞﾂﾊｲｽｲ</t>
    </rPh>
    <rPh sb="8" eb="9">
      <t>ｻｲ</t>
    </rPh>
    <rPh sb="9" eb="11">
      <t>ﾘﾖｳ</t>
    </rPh>
    <phoneticPr fontId="35" type="noConversion"/>
  </si>
  <si>
    <t>LR2 1.2</t>
  </si>
  <si>
    <t>雑排水等再利用システム導入の有無</t>
  </si>
  <si>
    <t>LR2 2</t>
  </si>
  <si>
    <t>LR2 3</t>
  </si>
  <si>
    <t>フロン・ハロンの回避</t>
  </si>
  <si>
    <t>-</t>
    <phoneticPr fontId="26"/>
  </si>
  <si>
    <t>Q</t>
    <phoneticPr fontId="26"/>
  </si>
  <si>
    <t xml:space="preserve"> Q</t>
    <phoneticPr fontId="26"/>
  </si>
  <si>
    <t>Q</t>
    <phoneticPr fontId="26"/>
  </si>
  <si>
    <t>Q1</t>
    <phoneticPr fontId="35" type="noConversion"/>
  </si>
  <si>
    <t>1.2.1</t>
    <phoneticPr fontId="26"/>
  </si>
  <si>
    <t>1.2.2</t>
    <phoneticPr fontId="26"/>
  </si>
  <si>
    <t>1.2.3</t>
    <phoneticPr fontId="26"/>
  </si>
  <si>
    <t>1.2.4</t>
    <phoneticPr fontId="26"/>
  </si>
  <si>
    <t>2.1.1</t>
    <phoneticPr fontId="26"/>
  </si>
  <si>
    <t>2.3.1</t>
    <phoneticPr fontId="26"/>
  </si>
  <si>
    <t>2.3.1</t>
    <phoneticPr fontId="26"/>
  </si>
  <si>
    <t>2.3.2</t>
    <phoneticPr fontId="26"/>
  </si>
  <si>
    <t>2.3.2</t>
    <phoneticPr fontId="26"/>
  </si>
  <si>
    <t>時間外空調に対する配慮</t>
    <rPh sb="0" eb="3">
      <t>ジカンガイ</t>
    </rPh>
    <rPh sb="3" eb="5">
      <t>クウチョウ</t>
    </rPh>
    <rPh sb="6" eb="7">
      <t>タイ</t>
    </rPh>
    <rPh sb="9" eb="11">
      <t>ハイリョ</t>
    </rPh>
    <phoneticPr fontId="26"/>
  </si>
  <si>
    <t>監視システム</t>
    <rPh sb="0" eb="2">
      <t>カンシ</t>
    </rPh>
    <phoneticPr fontId="26"/>
  </si>
  <si>
    <t>湿度制御</t>
    <rPh sb="0" eb="2">
      <t>ｼﾂﾄﾞ</t>
    </rPh>
    <rPh sb="2" eb="4">
      <t>ｾｲｷﾞｮ</t>
    </rPh>
    <phoneticPr fontId="35" type="noConversion"/>
  </si>
  <si>
    <t>空調方式</t>
    <rPh sb="0" eb="2">
      <t>クウチョウ</t>
    </rPh>
    <rPh sb="2" eb="4">
      <t>ホウシキ</t>
    </rPh>
    <phoneticPr fontId="26"/>
  </si>
  <si>
    <t>上下温度差</t>
    <rPh sb="0" eb="2">
      <t>ジョウゲ</t>
    </rPh>
    <rPh sb="2" eb="5">
      <t>オンドサ</t>
    </rPh>
    <phoneticPr fontId="26"/>
  </si>
  <si>
    <t>2.1.7 時間外空調に対する配慮</t>
    <phoneticPr fontId="26"/>
  </si>
  <si>
    <r>
      <t xml:space="preserve">2.3.1 </t>
    </r>
    <r>
      <rPr>
        <b/>
        <sz val="10"/>
        <rFont val="ＭＳ Ｐゴシック"/>
        <family val="3"/>
        <charset val="128"/>
      </rPr>
      <t>屋上（屋根）・外壁仕上げ材の更新</t>
    </r>
    <phoneticPr fontId="26"/>
  </si>
  <si>
    <r>
      <t xml:space="preserve">2.3.2 </t>
    </r>
    <r>
      <rPr>
        <b/>
        <sz val="10"/>
        <rFont val="ＭＳ Ｐゴシック"/>
        <family val="3"/>
        <charset val="128"/>
      </rPr>
      <t>配管・配線材の更新</t>
    </r>
    <phoneticPr fontId="26"/>
  </si>
  <si>
    <t>-</t>
    <phoneticPr fontId="26"/>
  </si>
  <si>
    <r>
      <t xml:space="preserve">2.3.3 </t>
    </r>
    <r>
      <rPr>
        <b/>
        <sz val="10"/>
        <rFont val="ＭＳ Ｐゴシック"/>
        <family val="3"/>
        <charset val="128"/>
      </rPr>
      <t>主要設備機器の更新</t>
    </r>
    <phoneticPr fontId="26"/>
  </si>
  <si>
    <t>簡易評価</t>
    <rPh sb="0" eb="2">
      <t>カンイ</t>
    </rPh>
    <rPh sb="2" eb="4">
      <t>ヒョウカ</t>
    </rPh>
    <phoneticPr fontId="26"/>
  </si>
  <si>
    <t>省エネルギー計画書による評価</t>
    <rPh sb="0" eb="1">
      <t>ショウ</t>
    </rPh>
    <rPh sb="6" eb="9">
      <t>ケイカクショ</t>
    </rPh>
    <rPh sb="12" eb="14">
      <t>ヒョウカ</t>
    </rPh>
    <phoneticPr fontId="26"/>
  </si>
  <si>
    <t>事務所</t>
  </si>
  <si>
    <t>学校</t>
  </si>
  <si>
    <t>物販店</t>
  </si>
  <si>
    <t>飲食店</t>
  </si>
  <si>
    <t>病院</t>
  </si>
  <si>
    <t>ホテル</t>
    <phoneticPr fontId="26"/>
  </si>
  <si>
    <t>集合住宅</t>
  </si>
  <si>
    <t>工場</t>
    <rPh sb="0" eb="2">
      <t>コウジョウ</t>
    </rPh>
    <phoneticPr fontId="26"/>
  </si>
  <si>
    <t>共用部</t>
    <rPh sb="0" eb="3">
      <t>キョウヨウブ</t>
    </rPh>
    <phoneticPr fontId="26"/>
  </si>
  <si>
    <t xml:space="preserve"> Q1 2.1</t>
  </si>
  <si>
    <t>室温設定</t>
  </si>
  <si>
    <t>2.1.2</t>
  </si>
  <si>
    <t>負荷変動・追従制御性</t>
  </si>
  <si>
    <t>2.1.3</t>
  </si>
  <si>
    <t>外皮性能</t>
  </si>
  <si>
    <t>-</t>
    <phoneticPr fontId="26"/>
  </si>
  <si>
    <t>人・時間あたり指標</t>
    <rPh sb="0" eb="1">
      <t>ニン</t>
    </rPh>
    <rPh sb="2" eb="4">
      <t>ジカン</t>
    </rPh>
    <rPh sb="7" eb="9">
      <t>シヒョウ</t>
    </rPh>
    <phoneticPr fontId="26"/>
  </si>
  <si>
    <t>事務所</t>
    <phoneticPr fontId="26"/>
  </si>
  <si>
    <t>Rank(red star)</t>
    <phoneticPr fontId="26"/>
  </si>
  <si>
    <t>(blank star)</t>
    <phoneticPr fontId="26"/>
  </si>
  <si>
    <t>改修工事期間</t>
  </si>
  <si>
    <t>改修対象項目</t>
  </si>
  <si>
    <t>躯体</t>
  </si>
  <si>
    <t>改修目的</t>
  </si>
  <si>
    <t>外装</t>
  </si>
  <si>
    <t>改修後の想定使用年数</t>
    <rPh sb="6" eb="8">
      <t>シヨウ</t>
    </rPh>
    <phoneticPr fontId="26"/>
  </si>
  <si>
    <t>内装</t>
  </si>
  <si>
    <t>現在までの主な改修履歴</t>
  </si>
  <si>
    <t>設備</t>
  </si>
  <si>
    <t>基準</t>
    <rPh sb="0" eb="2">
      <t>キジュン</t>
    </rPh>
    <phoneticPr fontId="26"/>
  </si>
  <si>
    <t>評価</t>
    <rPh sb="0" eb="2">
      <t>ヒョウカ</t>
    </rPh>
    <phoneticPr fontId="26"/>
  </si>
  <si>
    <t>原点</t>
    <rPh sb="0" eb="2">
      <t>ゲンテン</t>
    </rPh>
    <phoneticPr fontId="26"/>
  </si>
  <si>
    <r>
      <t>BEE</t>
    </r>
    <r>
      <rPr>
        <sz val="11"/>
        <rFont val="ＭＳ Ｐゴシック"/>
        <family val="3"/>
        <charset val="128"/>
      </rPr>
      <t>の分母側</t>
    </r>
    <r>
      <rPr>
        <sz val="11"/>
        <rFont val="Arial"/>
        <family val="2"/>
      </rPr>
      <t>(L)</t>
    </r>
    <rPh sb="4" eb="6">
      <t>ブンボ</t>
    </rPh>
    <rPh sb="6" eb="7">
      <t>ガワ</t>
    </rPh>
    <phoneticPr fontId="26"/>
  </si>
  <si>
    <t>X目盛線</t>
    <rPh sb="1" eb="3">
      <t>メモ</t>
    </rPh>
    <rPh sb="3" eb="4">
      <t>セン</t>
    </rPh>
    <phoneticPr fontId="26"/>
  </si>
  <si>
    <t>Y目盛線</t>
    <rPh sb="1" eb="3">
      <t>メモ</t>
    </rPh>
    <rPh sb="3" eb="4">
      <t>セン</t>
    </rPh>
    <phoneticPr fontId="26"/>
  </si>
  <si>
    <r>
      <t>BEE</t>
    </r>
    <r>
      <rPr>
        <sz val="11"/>
        <rFont val="ＭＳ Ｐゴシック"/>
        <family val="3"/>
        <charset val="128"/>
      </rPr>
      <t>の分子側</t>
    </r>
    <r>
      <rPr>
        <sz val="11"/>
        <rFont val="Arial"/>
        <family val="2"/>
      </rPr>
      <t>(Q)</t>
    </r>
    <rPh sb="4" eb="6">
      <t>ブンシ</t>
    </rPh>
    <rPh sb="6" eb="7">
      <t>ガワ</t>
    </rPh>
    <phoneticPr fontId="26"/>
  </si>
  <si>
    <t>地球温暖化への配慮</t>
    <rPh sb="0" eb="2">
      <t>ﾁｷｭｳ</t>
    </rPh>
    <rPh sb="2" eb="5">
      <t>ｵﾝﾀﾞﾝｶ</t>
    </rPh>
    <rPh sb="7" eb="9">
      <t>ﾊｲﾘｮ</t>
    </rPh>
    <phoneticPr fontId="35" type="noConversion"/>
  </si>
  <si>
    <t>地域環境への配慮</t>
    <rPh sb="0" eb="2">
      <t>ﾁｲｷ</t>
    </rPh>
    <rPh sb="2" eb="4">
      <t>ｶﾝｷｮｳ</t>
    </rPh>
    <rPh sb="6" eb="8">
      <t>ﾊｲﾘｮ</t>
    </rPh>
    <phoneticPr fontId="35" type="noConversion"/>
  </si>
  <si>
    <t>大気汚染防止</t>
    <rPh sb="0" eb="2">
      <t>ﾀｲｷ</t>
    </rPh>
    <rPh sb="2" eb="4">
      <t>ｵｾﾝ</t>
    </rPh>
    <rPh sb="4" eb="6">
      <t>ﾎﾞｳｼ</t>
    </rPh>
    <phoneticPr fontId="35" type="noConversion"/>
  </si>
  <si>
    <t>地域インフラへの負荷抑制</t>
    <rPh sb="0" eb="2">
      <t>チイキ</t>
    </rPh>
    <rPh sb="8" eb="10">
      <t>フカ</t>
    </rPh>
    <rPh sb="10" eb="12">
      <t>ヨクセイ</t>
    </rPh>
    <phoneticPr fontId="26"/>
  </si>
  <si>
    <t>交通負荷抑制</t>
    <rPh sb="0" eb="2">
      <t>ｺｳﾂｳ</t>
    </rPh>
    <rPh sb="2" eb="4">
      <t>ﾌｶ</t>
    </rPh>
    <rPh sb="4" eb="6">
      <t>ﾖｸｾｲ</t>
    </rPh>
    <phoneticPr fontId="35" type="noConversion"/>
  </si>
  <si>
    <t>XXX</t>
    <phoneticPr fontId="26"/>
  </si>
  <si>
    <t>XX</t>
    <phoneticPr fontId="26"/>
  </si>
  <si>
    <t>XXX</t>
    <phoneticPr fontId="26"/>
  </si>
  <si>
    <r>
      <t>c</t>
    </r>
    <r>
      <rPr>
        <sz val="11"/>
        <rFont val="ＭＳ Ｐゴシック"/>
        <family val="3"/>
        <charset val="128"/>
      </rPr>
      <t>ommon</t>
    </r>
    <phoneticPr fontId="26"/>
  </si>
  <si>
    <t>Residential</t>
    <phoneticPr fontId="26"/>
  </si>
  <si>
    <t>Ref</t>
    <phoneticPr fontId="26"/>
  </si>
  <si>
    <t>Subjest1</t>
    <phoneticPr fontId="26"/>
  </si>
  <si>
    <t>Subjest2</t>
    <phoneticPr fontId="26"/>
  </si>
  <si>
    <t>Subjest3</t>
    <phoneticPr fontId="26"/>
  </si>
  <si>
    <t>Score</t>
    <phoneticPr fontId="26"/>
  </si>
  <si>
    <t>界壁遮音性能</t>
  </si>
  <si>
    <t>界床遮音性能（軽量衝撃源）</t>
  </si>
  <si>
    <t>界床遮音性能（重量衝撃源）</t>
  </si>
  <si>
    <t>吸音</t>
  </si>
  <si>
    <t>温熱環境</t>
    <rPh sb="0" eb="2">
      <t>ｵﾝﾈﾂ</t>
    </rPh>
    <rPh sb="2" eb="4">
      <t>ｶﾝｷｮｳ</t>
    </rPh>
    <phoneticPr fontId="35" type="noConversion"/>
  </si>
  <si>
    <t>室温制御</t>
    <rPh sb="0" eb="2">
      <t>ｼﾂｵﾝ</t>
    </rPh>
    <rPh sb="2" eb="4">
      <t>ｾｲｷﾞｮ</t>
    </rPh>
    <phoneticPr fontId="35" type="noConversion"/>
  </si>
  <si>
    <t>外皮性能</t>
    <rPh sb="0" eb="2">
      <t>ガイヒ</t>
    </rPh>
    <rPh sb="2" eb="4">
      <t>セイノウ</t>
    </rPh>
    <phoneticPr fontId="26"/>
  </si>
  <si>
    <t>ゾーン別制御性</t>
    <rPh sb="3" eb="4">
      <t>ベツ</t>
    </rPh>
    <rPh sb="4" eb="7">
      <t>セイギョセイ</t>
    </rPh>
    <phoneticPr fontId="26"/>
  </si>
  <si>
    <t>個別制御</t>
    <rPh sb="0" eb="2">
      <t>コベツ</t>
    </rPh>
    <rPh sb="2" eb="4">
      <t>セイギョ</t>
    </rPh>
    <phoneticPr fontId="26"/>
  </si>
  <si>
    <t>風害・砂塵、日照阻害の抑制</t>
  </si>
  <si>
    <t>Q</t>
    <phoneticPr fontId="26"/>
  </si>
  <si>
    <t>Q3</t>
    <phoneticPr fontId="26"/>
  </si>
  <si>
    <t>BEE(Round)</t>
    <phoneticPr fontId="26"/>
  </si>
  <si>
    <t>LR1</t>
    <phoneticPr fontId="26"/>
  </si>
  <si>
    <t>Q1</t>
    <phoneticPr fontId="26"/>
  </si>
  <si>
    <r>
      <t>BEE</t>
    </r>
    <r>
      <rPr>
        <sz val="11"/>
        <rFont val="ＭＳ Ｐゴシック"/>
        <family val="3"/>
        <charset val="128"/>
      </rPr>
      <t>グラフ</t>
    </r>
    <phoneticPr fontId="26"/>
  </si>
  <si>
    <t>BEE</t>
    <phoneticPr fontId="26"/>
  </si>
  <si>
    <t>X</t>
    <phoneticPr fontId="26"/>
  </si>
  <si>
    <t>S</t>
    <phoneticPr fontId="26"/>
  </si>
  <si>
    <t>A</t>
    <phoneticPr fontId="26"/>
  </si>
  <si>
    <t>B+</t>
    <phoneticPr fontId="26"/>
  </si>
  <si>
    <t>B</t>
    <phoneticPr fontId="26"/>
  </si>
  <si>
    <t>B-</t>
    <phoneticPr fontId="26"/>
  </si>
  <si>
    <t>Rank(green star)</t>
    <phoneticPr fontId="26"/>
  </si>
  <si>
    <t>既存学校版</t>
    <rPh sb="0" eb="2">
      <t>キソン</t>
    </rPh>
    <rPh sb="2" eb="4">
      <t>ガッコウ</t>
    </rPh>
    <rPh sb="4" eb="5">
      <t>バン</t>
    </rPh>
    <phoneticPr fontId="26"/>
  </si>
  <si>
    <t>躯体材料の耐用年数</t>
    <rPh sb="0" eb="2">
      <t>クタイ</t>
    </rPh>
    <rPh sb="2" eb="4">
      <t>ザイリョウ</t>
    </rPh>
    <rPh sb="5" eb="7">
      <t>タイヨウ</t>
    </rPh>
    <rPh sb="7" eb="9">
      <t>ネンスウ</t>
    </rPh>
    <phoneticPr fontId="26"/>
  </si>
  <si>
    <t>外壁仕上げ材の補修必要間隔</t>
    <rPh sb="0" eb="2">
      <t>ガイヘキ</t>
    </rPh>
    <rPh sb="2" eb="4">
      <t>シア</t>
    </rPh>
    <rPh sb="5" eb="6">
      <t>ザイ</t>
    </rPh>
    <rPh sb="7" eb="9">
      <t>ホシュウ</t>
    </rPh>
    <rPh sb="9" eb="11">
      <t>ヒツヨウ</t>
    </rPh>
    <rPh sb="11" eb="13">
      <t>カンカク</t>
    </rPh>
    <phoneticPr fontId="26"/>
  </si>
  <si>
    <t>主要内装仕上げ材の更新必要間隔</t>
    <rPh sb="0" eb="2">
      <t>シュヨウ</t>
    </rPh>
    <rPh sb="2" eb="4">
      <t>ナイソウ</t>
    </rPh>
    <rPh sb="4" eb="6">
      <t>シア</t>
    </rPh>
    <rPh sb="7" eb="8">
      <t>ザイ</t>
    </rPh>
    <rPh sb="9" eb="11">
      <t>コウシン</t>
    </rPh>
    <rPh sb="11" eb="13">
      <t>ヒツヨウ</t>
    </rPh>
    <rPh sb="13" eb="15">
      <t>カンカク</t>
    </rPh>
    <phoneticPr fontId="26"/>
  </si>
  <si>
    <t>空調換気ダクトの更新必要間隔</t>
    <rPh sb="0" eb="2">
      <t>クウチョウ</t>
    </rPh>
    <rPh sb="2" eb="4">
      <t>カンキ</t>
    </rPh>
    <rPh sb="8" eb="10">
      <t>コウシン</t>
    </rPh>
    <rPh sb="10" eb="12">
      <t>ヒツヨウ</t>
    </rPh>
    <rPh sb="12" eb="14">
      <t>カンカク</t>
    </rPh>
    <phoneticPr fontId="26"/>
  </si>
  <si>
    <t>空調・給排水配管の更新必要間隔</t>
    <rPh sb="0" eb="2">
      <t>クウチョウ</t>
    </rPh>
    <rPh sb="3" eb="4">
      <t>キュウ</t>
    </rPh>
    <rPh sb="4" eb="6">
      <t>ハイスイ</t>
    </rPh>
    <rPh sb="6" eb="8">
      <t>ハイカン</t>
    </rPh>
    <rPh sb="9" eb="11">
      <t>コウシン</t>
    </rPh>
    <rPh sb="11" eb="13">
      <t>ヒツヨウ</t>
    </rPh>
    <rPh sb="13" eb="15">
      <t>カンカク</t>
    </rPh>
    <phoneticPr fontId="26"/>
  </si>
  <si>
    <t>主要設備機器の更新必要間隔</t>
    <rPh sb="0" eb="2">
      <t>シュヨウ</t>
    </rPh>
    <rPh sb="2" eb="4">
      <t>セツビ</t>
    </rPh>
    <rPh sb="4" eb="6">
      <t>キキ</t>
    </rPh>
    <rPh sb="7" eb="9">
      <t>コウシン</t>
    </rPh>
    <rPh sb="9" eb="11">
      <t>ヒツヨウ</t>
    </rPh>
    <rPh sb="11" eb="13">
      <t>カンカク</t>
    </rPh>
    <phoneticPr fontId="26"/>
  </si>
  <si>
    <t>適切な更新</t>
    <rPh sb="0" eb="2">
      <t>テキセツ</t>
    </rPh>
    <rPh sb="3" eb="5">
      <t>コウシン</t>
    </rPh>
    <phoneticPr fontId="26"/>
  </si>
  <si>
    <t>広さ感・景観</t>
    <rPh sb="0" eb="1">
      <t>ヒロ</t>
    </rPh>
    <rPh sb="2" eb="3">
      <t>カン</t>
    </rPh>
    <rPh sb="4" eb="6">
      <t>ケイカン</t>
    </rPh>
    <phoneticPr fontId="26"/>
  </si>
  <si>
    <r>
      <t xml:space="preserve">3.2.1 </t>
    </r>
    <r>
      <rPr>
        <b/>
        <sz val="10"/>
        <rFont val="ＭＳ Ｐゴシック"/>
        <family val="3"/>
        <charset val="128"/>
      </rPr>
      <t>照明器具のグレア</t>
    </r>
    <rPh sb="6" eb="8">
      <t>ショウメイ</t>
    </rPh>
    <rPh sb="8" eb="10">
      <t>キグ</t>
    </rPh>
    <phoneticPr fontId="26"/>
  </si>
  <si>
    <t>室温</t>
    <rPh sb="0" eb="2">
      <t>シツオン</t>
    </rPh>
    <phoneticPr fontId="26"/>
  </si>
  <si>
    <t>建物全体・共用部</t>
    <rPh sb="0" eb="2">
      <t>タテモノ</t>
    </rPh>
    <rPh sb="2" eb="4">
      <t>ゼンタイ</t>
    </rPh>
    <rPh sb="5" eb="7">
      <t>キョウヨウ</t>
    </rPh>
    <rPh sb="7" eb="8">
      <t>ブ</t>
    </rPh>
    <phoneticPr fontId="26"/>
  </si>
  <si>
    <t>小中高</t>
    <rPh sb="0" eb="3">
      <t>ショウチュウコウ</t>
    </rPh>
    <phoneticPr fontId="26"/>
  </si>
  <si>
    <t>住居・宿泊部</t>
    <rPh sb="0" eb="2">
      <t>ジュウキョ</t>
    </rPh>
    <rPh sb="3" eb="5">
      <t>シュクハク</t>
    </rPh>
    <rPh sb="5" eb="6">
      <t>ブ</t>
    </rPh>
    <phoneticPr fontId="26"/>
  </si>
  <si>
    <t>全体・共有</t>
    <rPh sb="0" eb="2">
      <t>ゼンタイ</t>
    </rPh>
    <rPh sb="3" eb="5">
      <t>キョウユウ</t>
    </rPh>
    <phoneticPr fontId="26"/>
  </si>
  <si>
    <t>住居・宿泊</t>
    <rPh sb="0" eb="2">
      <t>ジュウキョ</t>
    </rPh>
    <rPh sb="3" eb="5">
      <t>シュクハク</t>
    </rPh>
    <phoneticPr fontId="26"/>
  </si>
  <si>
    <t>項目名</t>
    <rPh sb="0" eb="2">
      <t>コウモク</t>
    </rPh>
    <rPh sb="2" eb="3">
      <t>メイ</t>
    </rPh>
    <phoneticPr fontId="26"/>
  </si>
  <si>
    <t>延面積</t>
    <rPh sb="0" eb="1">
      <t>ノ</t>
    </rPh>
    <rPh sb="1" eb="3">
      <t>メンセキ</t>
    </rPh>
    <phoneticPr fontId="26"/>
  </si>
  <si>
    <t>延面積比率</t>
    <rPh sb="0" eb="1">
      <t>ノ</t>
    </rPh>
    <rPh sb="1" eb="3">
      <t>メンセキ</t>
    </rPh>
    <rPh sb="3" eb="5">
      <t>ヒリツ</t>
    </rPh>
    <phoneticPr fontId="26"/>
  </si>
  <si>
    <t>音環境</t>
  </si>
  <si>
    <t>機能性</t>
    <rPh sb="0" eb="3">
      <t>キノウセイ</t>
    </rPh>
    <phoneticPr fontId="26"/>
  </si>
  <si>
    <t>生物資源</t>
    <rPh sb="0" eb="2">
      <t>セイブツ</t>
    </rPh>
    <rPh sb="2" eb="4">
      <t>シゲン</t>
    </rPh>
    <phoneticPr fontId="26"/>
  </si>
  <si>
    <t>温熱環境</t>
  </si>
  <si>
    <t>耐用性・信頼性</t>
    <rPh sb="1" eb="2">
      <t>ヨウ</t>
    </rPh>
    <rPh sb="4" eb="7">
      <t>シンライセイ</t>
    </rPh>
    <phoneticPr fontId="26"/>
  </si>
  <si>
    <t>光・視環境</t>
  </si>
  <si>
    <t>対応性･更新性</t>
    <rPh sb="0" eb="3">
      <t>タイオウセイ</t>
    </rPh>
    <rPh sb="4" eb="6">
      <t>コウシン</t>
    </rPh>
    <rPh sb="6" eb="7">
      <t>セイ</t>
    </rPh>
    <phoneticPr fontId="26"/>
  </si>
  <si>
    <t>建築物の環境品質</t>
    <rPh sb="0" eb="3">
      <t>ケンチクブツ</t>
    </rPh>
    <rPh sb="4" eb="6">
      <t>カンキョウ</t>
    </rPh>
    <rPh sb="6" eb="8">
      <t>ヒンシツ</t>
    </rPh>
    <phoneticPr fontId="26"/>
  </si>
  <si>
    <t>住居宿泊・共用部面積比率</t>
    <rPh sb="0" eb="2">
      <t>ジュウキョ</t>
    </rPh>
    <rPh sb="2" eb="4">
      <t>シュクハク</t>
    </rPh>
    <rPh sb="5" eb="7">
      <t>キョウヨウ</t>
    </rPh>
    <rPh sb="7" eb="8">
      <t>ブ</t>
    </rPh>
    <rPh sb="8" eb="10">
      <t>メンセキ</t>
    </rPh>
    <rPh sb="10" eb="12">
      <t>ヒリツ</t>
    </rPh>
    <phoneticPr fontId="26"/>
  </si>
  <si>
    <t xml:space="preserve"> Q</t>
  </si>
  <si>
    <t xml:space="preserve"> Q1</t>
  </si>
  <si>
    <t xml:space="preserve"> Q1 1</t>
  </si>
  <si>
    <t>1.1.1</t>
  </si>
  <si>
    <t xml:space="preserve"> Q1 1.1</t>
  </si>
  <si>
    <t>室内騒音レベル</t>
    <rPh sb="0" eb="2">
      <t>シツナイ</t>
    </rPh>
    <rPh sb="2" eb="4">
      <t>ソウオン</t>
    </rPh>
    <phoneticPr fontId="26"/>
  </si>
  <si>
    <t>1.1.2</t>
  </si>
  <si>
    <t>設備騒音対策</t>
  </si>
  <si>
    <t xml:space="preserve"> Q1 1.2</t>
  </si>
  <si>
    <t xml:space="preserve"> Q1 2</t>
  </si>
  <si>
    <t>年間延床面積あたり削減量</t>
    <rPh sb="0" eb="2">
      <t>ネンカン</t>
    </rPh>
    <rPh sb="2" eb="3">
      <t>ノ</t>
    </rPh>
    <rPh sb="3" eb="6">
      <t>ユカメンセキ</t>
    </rPh>
    <rPh sb="9" eb="11">
      <t>サクゲン</t>
    </rPh>
    <rPh sb="11" eb="12">
      <t>リョウ</t>
    </rPh>
    <phoneticPr fontId="26"/>
  </si>
  <si>
    <t>削減率　％</t>
    <rPh sb="0" eb="2">
      <t>サクゲン</t>
    </rPh>
    <rPh sb="2" eb="3">
      <t>リツ</t>
    </rPh>
    <phoneticPr fontId="26"/>
  </si>
  <si>
    <t>%</t>
    <phoneticPr fontId="26"/>
  </si>
  <si>
    <t>運用エネルギー消費量</t>
    <rPh sb="0" eb="2">
      <t>ｳﾝﾖｳ</t>
    </rPh>
    <rPh sb="7" eb="10">
      <t>ｼｮｳﾋﾘｮｳ</t>
    </rPh>
    <phoneticPr fontId="35" type="noConversion"/>
  </si>
  <si>
    <r>
      <t>ＭＪ</t>
    </r>
    <r>
      <rPr>
        <sz val="10"/>
        <rFont val="Arial"/>
        <family val="2"/>
      </rPr>
      <t>/</t>
    </r>
    <r>
      <rPr>
        <sz val="10"/>
        <rFont val="ＭＳ Ｐゴシック"/>
        <family val="3"/>
        <charset val="128"/>
      </rPr>
      <t>年㎡</t>
    </r>
    <rPh sb="3" eb="4">
      <t>ネン</t>
    </rPh>
    <phoneticPr fontId="26"/>
  </si>
  <si>
    <r>
      <t>ＭＪ</t>
    </r>
    <r>
      <rPr>
        <sz val="10"/>
        <rFont val="Arial"/>
        <family val="2"/>
      </rPr>
      <t>/</t>
    </r>
    <r>
      <rPr>
        <sz val="10"/>
        <rFont val="ＭＳ Ｐゴシック"/>
        <family val="3"/>
        <charset val="128"/>
      </rPr>
      <t>人時</t>
    </r>
    <rPh sb="3" eb="4">
      <t>ニン</t>
    </rPh>
    <rPh sb="4" eb="5">
      <t>ジ</t>
    </rPh>
    <phoneticPr fontId="26"/>
  </si>
  <si>
    <r>
      <t>運用</t>
    </r>
    <r>
      <rPr>
        <sz val="10"/>
        <rFont val="Arial"/>
        <family val="2"/>
      </rPr>
      <t>CO</t>
    </r>
    <r>
      <rPr>
        <vertAlign val="subscript"/>
        <sz val="10"/>
        <rFont val="Arial"/>
        <family val="2"/>
      </rPr>
      <t>2</t>
    </r>
    <r>
      <rPr>
        <sz val="10"/>
        <rFont val="ＭＳ Ｐゴシック"/>
        <family val="3"/>
        <charset val="128"/>
      </rPr>
      <t>排出量</t>
    </r>
    <rPh sb="0" eb="2">
      <t>ｳﾝﾖｳ</t>
    </rPh>
    <rPh sb="5" eb="7">
      <t>ﾊｲｼｭﾂ</t>
    </rPh>
    <rPh sb="7" eb="8">
      <t>ﾘｮｳ</t>
    </rPh>
    <phoneticPr fontId="35" type="noConversion"/>
  </si>
  <si>
    <r>
      <t>kg-CO</t>
    </r>
    <r>
      <rPr>
        <vertAlign val="subscript"/>
        <sz val="10"/>
        <rFont val="Arial"/>
        <family val="2"/>
      </rPr>
      <t>2</t>
    </r>
    <r>
      <rPr>
        <sz val="10"/>
        <rFont val="Arial"/>
        <family val="2"/>
      </rPr>
      <t>/</t>
    </r>
    <r>
      <rPr>
        <sz val="10"/>
        <rFont val="ＭＳ Ｐゴシック"/>
        <family val="3"/>
        <charset val="128"/>
      </rPr>
      <t>年㎡</t>
    </r>
    <rPh sb="7" eb="8">
      <t>ネン</t>
    </rPh>
    <phoneticPr fontId="26"/>
  </si>
  <si>
    <r>
      <t>kg-CO</t>
    </r>
    <r>
      <rPr>
        <vertAlign val="subscript"/>
        <sz val="10"/>
        <rFont val="Arial"/>
        <family val="2"/>
      </rPr>
      <t>2</t>
    </r>
    <r>
      <rPr>
        <sz val="10"/>
        <rFont val="Arial"/>
        <family val="2"/>
      </rPr>
      <t>/</t>
    </r>
    <r>
      <rPr>
        <sz val="10"/>
        <rFont val="ＭＳ Ｐゴシック"/>
        <family val="3"/>
        <charset val="128"/>
      </rPr>
      <t>人時</t>
    </r>
    <rPh sb="7" eb="8">
      <t>ニン</t>
    </rPh>
    <rPh sb="8" eb="9">
      <t>ジ</t>
    </rPh>
    <phoneticPr fontId="26"/>
  </si>
  <si>
    <t>水消費量</t>
    <rPh sb="0" eb="1">
      <t>ﾐｽﾞ</t>
    </rPh>
    <rPh sb="1" eb="4">
      <t>ｼｮｳﾋﾘｮｳ</t>
    </rPh>
    <phoneticPr fontId="35" type="noConversion"/>
  </si>
  <si>
    <r>
      <t>m</t>
    </r>
    <r>
      <rPr>
        <vertAlign val="superscript"/>
        <sz val="10"/>
        <rFont val="Arial"/>
        <family val="2"/>
      </rPr>
      <t>3</t>
    </r>
    <r>
      <rPr>
        <sz val="10"/>
        <rFont val="Arial"/>
        <family val="2"/>
      </rPr>
      <t>/</t>
    </r>
    <r>
      <rPr>
        <sz val="10"/>
        <rFont val="ＭＳ Ｐゴシック"/>
        <family val="3"/>
        <charset val="128"/>
      </rPr>
      <t>年㎡</t>
    </r>
    <rPh sb="3" eb="4">
      <t>ネン</t>
    </rPh>
    <phoneticPr fontId="26"/>
  </si>
  <si>
    <r>
      <t>m</t>
    </r>
    <r>
      <rPr>
        <vertAlign val="superscript"/>
        <sz val="10"/>
        <rFont val="Arial"/>
        <family val="2"/>
      </rPr>
      <t>3</t>
    </r>
    <r>
      <rPr>
        <sz val="10"/>
        <rFont val="Arial"/>
        <family val="2"/>
      </rPr>
      <t>/</t>
    </r>
    <r>
      <rPr>
        <sz val="10"/>
        <rFont val="ＭＳ Ｐゴシック"/>
        <family val="3"/>
        <charset val="128"/>
      </rPr>
      <t>人時</t>
    </r>
    <rPh sb="3" eb="4">
      <t>ニン</t>
    </rPh>
    <rPh sb="4" eb="5">
      <t>ジ</t>
    </rPh>
    <phoneticPr fontId="26"/>
  </si>
  <si>
    <r>
      <t>LCCO</t>
    </r>
    <r>
      <rPr>
        <vertAlign val="subscript"/>
        <sz val="10"/>
        <rFont val="Arial"/>
        <family val="2"/>
      </rPr>
      <t>2</t>
    </r>
    <r>
      <rPr>
        <sz val="10"/>
        <rFont val="ＭＳ Ｐゴシック"/>
        <family val="3"/>
        <charset val="128"/>
      </rPr>
      <t>排出量</t>
    </r>
    <rPh sb="5" eb="7">
      <t>ハイシュツ</t>
    </rPh>
    <rPh sb="7" eb="8">
      <t>リョウ</t>
    </rPh>
    <phoneticPr fontId="26"/>
  </si>
  <si>
    <r>
      <t>LC</t>
    </r>
    <r>
      <rPr>
        <sz val="10"/>
        <rFont val="ＭＳ Ｐゴシック"/>
        <family val="3"/>
        <charset val="128"/>
      </rPr>
      <t>廃棄物量</t>
    </r>
    <rPh sb="2" eb="5">
      <t>ハイキブツ</t>
    </rPh>
    <rPh sb="5" eb="6">
      <t>リョウ</t>
    </rPh>
    <phoneticPr fontId="26"/>
  </si>
  <si>
    <r>
      <t>ｔ</t>
    </r>
    <r>
      <rPr>
        <sz val="10"/>
        <rFont val="Arial"/>
        <family val="2"/>
      </rPr>
      <t>/</t>
    </r>
    <r>
      <rPr>
        <sz val="10"/>
        <rFont val="ＭＳ Ｐゴシック"/>
        <family val="3"/>
        <charset val="128"/>
      </rPr>
      <t>年㎡</t>
    </r>
    <rPh sb="2" eb="3">
      <t>ネン</t>
    </rPh>
    <phoneticPr fontId="26"/>
  </si>
  <si>
    <r>
      <t>ｔ</t>
    </r>
    <r>
      <rPr>
        <sz val="10"/>
        <rFont val="Arial"/>
        <family val="2"/>
      </rPr>
      <t>/</t>
    </r>
    <r>
      <rPr>
        <sz val="10"/>
        <rFont val="ＭＳ Ｐゴシック"/>
        <family val="3"/>
        <charset val="128"/>
      </rPr>
      <t>人時</t>
    </r>
    <rPh sb="2" eb="3">
      <t>ニン</t>
    </rPh>
    <rPh sb="3" eb="4">
      <t>ジ</t>
    </rPh>
    <phoneticPr fontId="26"/>
  </si>
  <si>
    <r>
      <t>LC</t>
    </r>
    <r>
      <rPr>
        <sz val="10"/>
        <rFont val="ＭＳ Ｐゴシック"/>
        <family val="3"/>
        <charset val="128"/>
      </rPr>
      <t>資源消費量</t>
    </r>
    <rPh sb="2" eb="4">
      <t>シゲン</t>
    </rPh>
    <rPh sb="4" eb="6">
      <t>ショウヒ</t>
    </rPh>
    <rPh sb="6" eb="7">
      <t>リョウ</t>
    </rPh>
    <phoneticPr fontId="26"/>
  </si>
  <si>
    <r>
      <t>（</t>
    </r>
    <r>
      <rPr>
        <b/>
        <sz val="12"/>
        <color indexed="9"/>
        <rFont val="Arial"/>
        <family val="2"/>
      </rPr>
      <t>3</t>
    </r>
    <r>
      <rPr>
        <b/>
        <sz val="12"/>
        <color indexed="9"/>
        <rFont val="ＭＳ Ｐゴシック"/>
        <family val="3"/>
        <charset val="128"/>
      </rPr>
      <t>）</t>
    </r>
    <r>
      <rPr>
        <b/>
        <sz val="12"/>
        <color indexed="9"/>
        <rFont val="Arial"/>
        <family val="2"/>
      </rPr>
      <t>-2</t>
    </r>
    <r>
      <rPr>
        <b/>
        <sz val="12"/>
        <color indexed="9"/>
        <rFont val="ＭＳ Ｐゴシック"/>
        <family val="3"/>
        <charset val="128"/>
      </rPr>
      <t>　デザインプロセスの評価</t>
    </r>
    <rPh sb="15" eb="17">
      <t>ﾋｮｳｶ</t>
    </rPh>
    <phoneticPr fontId="35" type="noConversion"/>
  </si>
  <si>
    <t>設計段階</t>
    <rPh sb="0" eb="2">
      <t>ｾｯｹｲ</t>
    </rPh>
    <rPh sb="2" eb="4">
      <t>ﾀﾞﾝｶｲ</t>
    </rPh>
    <phoneticPr fontId="35" type="noConversion"/>
  </si>
  <si>
    <t>建設段階</t>
    <rPh sb="0" eb="2">
      <t>ｹﾝｾﾂ</t>
    </rPh>
    <rPh sb="2" eb="4">
      <t>ﾀﾞﾝｶｲ</t>
    </rPh>
    <phoneticPr fontId="35" type="noConversion"/>
  </si>
  <si>
    <t>有資格者による設計</t>
    <rPh sb="0" eb="4">
      <t>ﾕｳｼｶｸｼｬ</t>
    </rPh>
    <rPh sb="7" eb="9">
      <t>ｾｯｹｲ</t>
    </rPh>
    <phoneticPr fontId="35" type="noConversion"/>
  </si>
  <si>
    <t>環境管理計画</t>
    <rPh sb="0" eb="2">
      <t>ｶﾝｷｮｳ</t>
    </rPh>
    <rPh sb="2" eb="4">
      <t>ｶﾝﾘ</t>
    </rPh>
    <rPh sb="4" eb="6">
      <t>ｹｲｶｸ</t>
    </rPh>
    <phoneticPr fontId="35" type="noConversion"/>
  </si>
  <si>
    <r>
      <t>凡例　　　　　</t>
    </r>
    <r>
      <rPr>
        <sz val="8"/>
        <color indexed="10"/>
        <rFont val="Arial"/>
        <family val="2"/>
      </rPr>
      <t>Q</t>
    </r>
    <r>
      <rPr>
        <sz val="8"/>
        <color indexed="10"/>
        <rFont val="ＭＳ Ｐゴシック"/>
        <family val="3"/>
        <charset val="128"/>
      </rPr>
      <t>：</t>
    </r>
    <rPh sb="0" eb="2">
      <t>ハンレイ</t>
    </rPh>
    <phoneticPr fontId="26"/>
  </si>
  <si>
    <t>-</t>
    <phoneticPr fontId="26"/>
  </si>
  <si>
    <t>映り込み対策</t>
    <rPh sb="0" eb="1">
      <t>ウツ</t>
    </rPh>
    <rPh sb="2" eb="3">
      <t>コ</t>
    </rPh>
    <rPh sb="4" eb="6">
      <t>タイサク</t>
    </rPh>
    <phoneticPr fontId="26"/>
  </si>
  <si>
    <t>照度</t>
    <rPh sb="0" eb="2">
      <t>ｼｮｳﾄﾞ</t>
    </rPh>
    <phoneticPr fontId="35" type="noConversion"/>
  </si>
  <si>
    <t>照度</t>
    <rPh sb="0" eb="2">
      <t>ショウド</t>
    </rPh>
    <phoneticPr fontId="26"/>
  </si>
  <si>
    <t>照度均斉度</t>
    <rPh sb="0" eb="2">
      <t>ショウド</t>
    </rPh>
    <rPh sb="2" eb="3">
      <t>タモツ</t>
    </rPh>
    <rPh sb="3" eb="4">
      <t>サイ</t>
    </rPh>
    <rPh sb="4" eb="5">
      <t>タビ</t>
    </rPh>
    <phoneticPr fontId="26"/>
  </si>
  <si>
    <t>照明制御</t>
    <rPh sb="0" eb="2">
      <t>ショウメイ</t>
    </rPh>
    <rPh sb="2" eb="4">
      <t>セイギョ</t>
    </rPh>
    <phoneticPr fontId="26"/>
  </si>
  <si>
    <t>空気質環境</t>
    <rPh sb="0" eb="2">
      <t>クウキ</t>
    </rPh>
    <rPh sb="2" eb="3">
      <t>シツ</t>
    </rPh>
    <rPh sb="3" eb="5">
      <t>カンキョウ</t>
    </rPh>
    <phoneticPr fontId="26"/>
  </si>
  <si>
    <t>発生源対策</t>
    <rPh sb="0" eb="3">
      <t>ﾊｯｾｲｹﾞﾝ</t>
    </rPh>
    <rPh sb="3" eb="5">
      <t>ﾀｲｻｸ</t>
    </rPh>
    <phoneticPr fontId="35" type="noConversion"/>
  </si>
  <si>
    <t>化学汚染物質</t>
    <rPh sb="0" eb="2">
      <t>カガク</t>
    </rPh>
    <rPh sb="4" eb="6">
      <t>ブッシツ</t>
    </rPh>
    <phoneticPr fontId="26"/>
  </si>
  <si>
    <t>アスベスト対策</t>
    <rPh sb="5" eb="7">
      <t>タイサク</t>
    </rPh>
    <phoneticPr fontId="26"/>
  </si>
  <si>
    <t>ダニ・カビ等</t>
    <rPh sb="5" eb="6">
      <t>ナド</t>
    </rPh>
    <phoneticPr fontId="26"/>
  </si>
  <si>
    <t>レジオネラ対策</t>
    <rPh sb="5" eb="7">
      <t>タイサク</t>
    </rPh>
    <phoneticPr fontId="26"/>
  </si>
  <si>
    <t>換気</t>
    <rPh sb="0" eb="2">
      <t>ｶﾝｷ</t>
    </rPh>
    <phoneticPr fontId="35" type="noConversion"/>
  </si>
  <si>
    <t>換気量</t>
    <rPh sb="0" eb="3">
      <t>カンキリョウ</t>
    </rPh>
    <phoneticPr fontId="26"/>
  </si>
  <si>
    <t>廃棄物処理負荷抑制</t>
    <rPh sb="0" eb="3">
      <t>ﾊｲｷﾌﾞﾂ</t>
    </rPh>
    <rPh sb="3" eb="5">
      <t>ｼｮﾘ</t>
    </rPh>
    <rPh sb="5" eb="7">
      <t>ﾌｶ</t>
    </rPh>
    <rPh sb="7" eb="9">
      <t>ﾖｸｾｲ</t>
    </rPh>
    <phoneticPr fontId="35" type="noConversion"/>
  </si>
  <si>
    <t>周辺環境への配慮</t>
    <rPh sb="0" eb="2">
      <t>ｼｭｳﾍﾝ</t>
    </rPh>
    <rPh sb="2" eb="4">
      <t>ｶﾝｷｮｳ</t>
    </rPh>
    <rPh sb="6" eb="8">
      <t>ﾊｲﾘｮ</t>
    </rPh>
    <phoneticPr fontId="35" type="noConversion"/>
  </si>
  <si>
    <t>騒音・振動・悪臭の防止</t>
    <rPh sb="0" eb="2">
      <t>ｿｳｵﾝ</t>
    </rPh>
    <rPh sb="3" eb="5">
      <t>ｼﾝﾄﾞｳ</t>
    </rPh>
    <rPh sb="6" eb="8">
      <t>ｱｸｼｭｳ</t>
    </rPh>
    <rPh sb="9" eb="11">
      <t>ﾎﾞｳｼ</t>
    </rPh>
    <phoneticPr fontId="35" type="noConversion"/>
  </si>
  <si>
    <t>騒音</t>
    <rPh sb="0" eb="2">
      <t>ｿｳｵﾝ</t>
    </rPh>
    <phoneticPr fontId="35" type="noConversion"/>
  </si>
  <si>
    <t>砂塵の抑制</t>
    <rPh sb="0" eb="2">
      <t>ｻｼﾞﾝ</t>
    </rPh>
    <rPh sb="3" eb="5">
      <t>ﾖｸｾｲ</t>
    </rPh>
    <phoneticPr fontId="35" type="noConversion"/>
  </si>
  <si>
    <t>光害の抑制</t>
    <rPh sb="0" eb="2">
      <t>ﾋｶﾘｶﾞｲ</t>
    </rPh>
    <rPh sb="3" eb="5">
      <t>ﾖｸｾｲ</t>
    </rPh>
    <phoneticPr fontId="35" type="noConversion"/>
  </si>
  <si>
    <t>屋外照明及び屋内照明のうち外に漏れる光への対策</t>
    <rPh sb="0" eb="2">
      <t>ｵｸｶﾞｲ</t>
    </rPh>
    <rPh sb="2" eb="4">
      <t>ｼｮｳﾒｲ</t>
    </rPh>
    <rPh sb="4" eb="5">
      <t>ｵﾖ</t>
    </rPh>
    <rPh sb="6" eb="8">
      <t>ｵｸﾅｲ</t>
    </rPh>
    <rPh sb="8" eb="10">
      <t>ｼｮｳﾒｲ</t>
    </rPh>
    <rPh sb="13" eb="14">
      <t>ｿﾄ</t>
    </rPh>
    <rPh sb="15" eb="16">
      <t>ﾓ</t>
    </rPh>
    <rPh sb="18" eb="19">
      <t>ﾋｶﾘ</t>
    </rPh>
    <rPh sb="21" eb="23">
      <t>ﾀｲｻｸ</t>
    </rPh>
    <phoneticPr fontId="35" type="noConversion"/>
  </si>
  <si>
    <t>モニタリング</t>
    <phoneticPr fontId="26"/>
  </si>
  <si>
    <t>定性評価</t>
    <rPh sb="0" eb="2">
      <t>テイセイ</t>
    </rPh>
    <rPh sb="2" eb="4">
      <t>ヒョウカ</t>
    </rPh>
    <phoneticPr fontId="26"/>
  </si>
  <si>
    <t>定量評価</t>
    <rPh sb="0" eb="2">
      <t>テイリョウ</t>
    </rPh>
    <rPh sb="2" eb="4">
      <t>ヒョウカ</t>
    </rPh>
    <phoneticPr fontId="26"/>
  </si>
  <si>
    <t>モニタリング</t>
    <phoneticPr fontId="8"/>
  </si>
  <si>
    <t>運用管理体制</t>
    <rPh sb="0" eb="2">
      <t>ウンヨウ</t>
    </rPh>
    <rPh sb="2" eb="4">
      <t>カンリ</t>
    </rPh>
    <rPh sb="4" eb="6">
      <t>タイセイ</t>
    </rPh>
    <phoneticPr fontId="26"/>
  </si>
  <si>
    <t>-</t>
    <phoneticPr fontId="26"/>
  </si>
  <si>
    <t>3.1.1</t>
    <phoneticPr fontId="26"/>
  </si>
  <si>
    <t>3.1.2</t>
    <phoneticPr fontId="26"/>
  </si>
  <si>
    <t>3.1.3</t>
    <phoneticPr fontId="26"/>
  </si>
  <si>
    <t>3.2.1</t>
    <phoneticPr fontId="26"/>
  </si>
  <si>
    <t>3.2.2</t>
    <phoneticPr fontId="26"/>
  </si>
  <si>
    <t>3.2.3</t>
    <phoneticPr fontId="26"/>
  </si>
  <si>
    <t>3.2.3</t>
    <phoneticPr fontId="26"/>
  </si>
  <si>
    <t>1.2.1</t>
    <phoneticPr fontId="26"/>
  </si>
  <si>
    <t>1.2.2</t>
    <phoneticPr fontId="26"/>
  </si>
  <si>
    <t>-</t>
    <phoneticPr fontId="26"/>
  </si>
  <si>
    <t>-</t>
    <phoneticPr fontId="26"/>
  </si>
  <si>
    <t>-</t>
    <phoneticPr fontId="26"/>
  </si>
  <si>
    <t>-</t>
    <phoneticPr fontId="26"/>
  </si>
  <si>
    <t>-</t>
    <phoneticPr fontId="26"/>
  </si>
  <si>
    <t>重み係数</t>
    <rPh sb="0" eb="1">
      <t>オモ</t>
    </rPh>
    <rPh sb="2" eb="4">
      <t>ケイスウ</t>
    </rPh>
    <phoneticPr fontId="26"/>
  </si>
  <si>
    <t>重み係数（既定）</t>
    <rPh sb="0" eb="1">
      <t>オモ</t>
    </rPh>
    <rPh sb="2" eb="4">
      <t>ケイスウ</t>
    </rPh>
    <rPh sb="5" eb="7">
      <t>キテイ</t>
    </rPh>
    <phoneticPr fontId="26"/>
  </si>
  <si>
    <t>0.　既存</t>
    <rPh sb="3" eb="5">
      <t>キソン</t>
    </rPh>
    <phoneticPr fontId="26"/>
  </si>
  <si>
    <t>１．基本設計</t>
    <rPh sb="2" eb="4">
      <t>キホン</t>
    </rPh>
    <rPh sb="4" eb="6">
      <t>セッケイ</t>
    </rPh>
    <phoneticPr fontId="26"/>
  </si>
  <si>
    <t>２．実施・竣工段階</t>
    <rPh sb="2" eb="4">
      <t>ジッシ</t>
    </rPh>
    <rPh sb="5" eb="7">
      <t>シュンコウ</t>
    </rPh>
    <rPh sb="7" eb="9">
      <t>ダンカイ</t>
    </rPh>
    <phoneticPr fontId="26"/>
  </si>
  <si>
    <t>補正後</t>
    <rPh sb="0" eb="2">
      <t>ホセイ</t>
    </rPh>
    <rPh sb="2" eb="3">
      <t>ゴ</t>
    </rPh>
    <phoneticPr fontId="26"/>
  </si>
  <si>
    <t>補正前</t>
    <rPh sb="0" eb="2">
      <t>ホセイ</t>
    </rPh>
    <rPh sb="2" eb="3">
      <t>マエ</t>
    </rPh>
    <phoneticPr fontId="26"/>
  </si>
  <si>
    <t>補正前計</t>
    <rPh sb="0" eb="2">
      <t>ホセイ</t>
    </rPh>
    <rPh sb="2" eb="3">
      <t>マエ</t>
    </rPh>
    <rPh sb="3" eb="4">
      <t>ケイ</t>
    </rPh>
    <phoneticPr fontId="26"/>
  </si>
  <si>
    <t>対象外の選択</t>
    <rPh sb="0" eb="3">
      <t>タイショウガイ</t>
    </rPh>
    <rPh sb="4" eb="6">
      <t>センタク</t>
    </rPh>
    <phoneticPr fontId="26"/>
  </si>
  <si>
    <t>既定重み</t>
    <rPh sb="0" eb="2">
      <t>キテイ</t>
    </rPh>
    <rPh sb="2" eb="3">
      <t>オモ</t>
    </rPh>
    <phoneticPr fontId="26"/>
  </si>
  <si>
    <t>N.A.</t>
    <phoneticPr fontId="26"/>
  </si>
  <si>
    <t>機械・配管支持方法</t>
    <rPh sb="0" eb="2">
      <t>キカイ</t>
    </rPh>
    <rPh sb="3" eb="5">
      <t>ハイカン</t>
    </rPh>
    <rPh sb="5" eb="7">
      <t>シジ</t>
    </rPh>
    <rPh sb="7" eb="9">
      <t>ホウホウ</t>
    </rPh>
    <phoneticPr fontId="26"/>
  </si>
  <si>
    <t>通信・情報設備</t>
    <rPh sb="0" eb="2">
      <t>ツウシン</t>
    </rPh>
    <rPh sb="3" eb="5">
      <t>ジョウホウ</t>
    </rPh>
    <rPh sb="5" eb="7">
      <t>セツビ</t>
    </rPh>
    <phoneticPr fontId="26"/>
  </si>
  <si>
    <t>対応性・更新性</t>
    <rPh sb="0" eb="3">
      <t>タイオウセイ</t>
    </rPh>
    <rPh sb="4" eb="6">
      <t>コウシン</t>
    </rPh>
    <rPh sb="6" eb="7">
      <t>セイ</t>
    </rPh>
    <phoneticPr fontId="26"/>
  </si>
  <si>
    <t>空間のゆとり</t>
  </si>
  <si>
    <t>階高のゆとり</t>
    <rPh sb="0" eb="1">
      <t>カイ</t>
    </rPh>
    <rPh sb="1" eb="2">
      <t>ダカ</t>
    </rPh>
    <phoneticPr fontId="26"/>
  </si>
  <si>
    <t>空間の形状・自由さ</t>
    <rPh sb="0" eb="2">
      <t>クウカン</t>
    </rPh>
    <rPh sb="3" eb="5">
      <t>ケイジョウ</t>
    </rPh>
    <rPh sb="6" eb="8">
      <t>ジユウ</t>
    </rPh>
    <phoneticPr fontId="26"/>
  </si>
  <si>
    <t>荷重のゆとり</t>
  </si>
  <si>
    <t>設備の更新性</t>
  </si>
  <si>
    <t>給排水管の更新性</t>
    <rPh sb="0" eb="1">
      <t>キュウ</t>
    </rPh>
    <rPh sb="1" eb="4">
      <t>ハイスイカン</t>
    </rPh>
    <rPh sb="5" eb="7">
      <t>コウシン</t>
    </rPh>
    <rPh sb="7" eb="8">
      <t>セイ</t>
    </rPh>
    <phoneticPr fontId="26"/>
  </si>
  <si>
    <t>電気配線の更新性</t>
    <rPh sb="0" eb="2">
      <t>デンキ</t>
    </rPh>
    <rPh sb="2" eb="4">
      <t>ハイセン</t>
    </rPh>
    <rPh sb="5" eb="7">
      <t>コウシン</t>
    </rPh>
    <rPh sb="7" eb="8">
      <t>セイ</t>
    </rPh>
    <phoneticPr fontId="26"/>
  </si>
  <si>
    <t>通信配線の更新性</t>
    <rPh sb="0" eb="2">
      <t>ツウシン</t>
    </rPh>
    <rPh sb="2" eb="4">
      <t>ハイセン</t>
    </rPh>
    <rPh sb="5" eb="7">
      <t>コウシン</t>
    </rPh>
    <rPh sb="7" eb="8">
      <t>セイ</t>
    </rPh>
    <phoneticPr fontId="26"/>
  </si>
  <si>
    <t>設備機器の更新性</t>
    <rPh sb="0" eb="2">
      <t>セツビ</t>
    </rPh>
    <rPh sb="2" eb="4">
      <t>キキ</t>
    </rPh>
    <rPh sb="5" eb="7">
      <t>コウシン</t>
    </rPh>
    <rPh sb="7" eb="8">
      <t>セイ</t>
    </rPh>
    <phoneticPr fontId="26"/>
  </si>
  <si>
    <t>バックアップスペースの確保</t>
    <rPh sb="11" eb="13">
      <t>カクホ</t>
    </rPh>
    <phoneticPr fontId="26"/>
  </si>
  <si>
    <t>生物環境の保全と創出</t>
    <rPh sb="0" eb="2">
      <t>セイブツ</t>
    </rPh>
    <rPh sb="2" eb="4">
      <t>カンキョウ</t>
    </rPh>
    <rPh sb="5" eb="7">
      <t>ホゼン</t>
    </rPh>
    <rPh sb="8" eb="10">
      <t>ソウシュツ</t>
    </rPh>
    <phoneticPr fontId="26"/>
  </si>
  <si>
    <t>まちなみ・景観への配慮</t>
    <rPh sb="5" eb="7">
      <t>ケイカン</t>
    </rPh>
    <rPh sb="9" eb="11">
      <t>ハイリョ</t>
    </rPh>
    <phoneticPr fontId="26"/>
  </si>
  <si>
    <t>地域性・アメニティへの配慮</t>
    <rPh sb="0" eb="3">
      <t>ﾁｲｷｾｲ</t>
    </rPh>
    <rPh sb="11" eb="13">
      <t>ﾊｲﾘｮ</t>
    </rPh>
    <phoneticPr fontId="35" type="noConversion"/>
  </si>
  <si>
    <t>地域性への配慮、快適性の向上</t>
  </si>
  <si>
    <t>敷地内温熱環境の向上</t>
    <rPh sb="0" eb="2">
      <t>シキチ</t>
    </rPh>
    <rPh sb="2" eb="3">
      <t>ナイ</t>
    </rPh>
    <rPh sb="3" eb="5">
      <t>オンネツ</t>
    </rPh>
    <rPh sb="8" eb="10">
      <t>コウジョウ</t>
    </rPh>
    <phoneticPr fontId="26"/>
  </si>
  <si>
    <t>LR1</t>
    <phoneticPr fontId="35" type="noConversion"/>
  </si>
  <si>
    <t>自然エネルギー利用</t>
    <rPh sb="0" eb="2">
      <t>ｼｾﾞﾝ</t>
    </rPh>
    <rPh sb="7" eb="9">
      <t>ﾘﾖｳ</t>
    </rPh>
    <phoneticPr fontId="35" type="noConversion"/>
  </si>
  <si>
    <t>実施・竣工</t>
    <rPh sb="0" eb="2">
      <t>ジッシ</t>
    </rPh>
    <rPh sb="3" eb="5">
      <t>シュンコウ</t>
    </rPh>
    <phoneticPr fontId="26"/>
  </si>
  <si>
    <t>基本</t>
    <rPh sb="0" eb="2">
      <t>キホン</t>
    </rPh>
    <phoneticPr fontId="26"/>
  </si>
  <si>
    <t>自然エネルギーの直接利用</t>
  </si>
  <si>
    <t>自然エネルギーの変換利用</t>
  </si>
  <si>
    <t>設備システムの高効率化</t>
    <rPh sb="0" eb="2">
      <t>ｾﾂﾋﾞ</t>
    </rPh>
    <rPh sb="7" eb="8">
      <t>ｺｳ</t>
    </rPh>
    <rPh sb="8" eb="10">
      <t>ｺｳﾘﾂ</t>
    </rPh>
    <rPh sb="10" eb="11">
      <t>ｶ</t>
    </rPh>
    <phoneticPr fontId="35" type="noConversion"/>
  </si>
  <si>
    <t>空調設備</t>
  </si>
  <si>
    <t>換気設備</t>
  </si>
  <si>
    <t>照明設備</t>
  </si>
  <si>
    <t>給湯設備</t>
  </si>
  <si>
    <t>昇降機設備</t>
  </si>
  <si>
    <t>効率的運用</t>
    <rPh sb="0" eb="3">
      <t>ｺｳﾘﾂﾃｷ</t>
    </rPh>
    <rPh sb="3" eb="5">
      <t>ｳﾝﾖｳ</t>
    </rPh>
    <phoneticPr fontId="35" type="noConversion"/>
  </si>
  <si>
    <t>運用管理体制</t>
    <rPh sb="0" eb="2">
      <t>ｳﾝﾖｳ</t>
    </rPh>
    <rPh sb="2" eb="4">
      <t>ｶﾝﾘ</t>
    </rPh>
    <rPh sb="4" eb="6">
      <t>ﾀｲｾｲ</t>
    </rPh>
    <phoneticPr fontId="35" type="noConversion"/>
  </si>
  <si>
    <t>水資源保護</t>
    <rPh sb="0" eb="1">
      <t>ﾐｽﾞ</t>
    </rPh>
    <rPh sb="1" eb="3">
      <t>ｼｹﾞﾝ</t>
    </rPh>
    <rPh sb="3" eb="5">
      <t>ﾎｺﾞ</t>
    </rPh>
    <phoneticPr fontId="35" type="noConversion"/>
  </si>
  <si>
    <t>節水</t>
    <rPh sb="0" eb="2">
      <t>ｾｯｽｲ</t>
    </rPh>
    <phoneticPr fontId="35" type="noConversion"/>
  </si>
  <si>
    <t>雨水利用・雑排水等の利用</t>
    <rPh sb="0" eb="2">
      <t>ｳｽｲ</t>
    </rPh>
    <rPh sb="2" eb="4">
      <t>ﾘﾖｳ</t>
    </rPh>
    <rPh sb="5" eb="8">
      <t>ｻﾞﾂﾊｲｽｲ</t>
    </rPh>
    <rPh sb="8" eb="9">
      <t>ﾄｳ</t>
    </rPh>
    <rPh sb="10" eb="12">
      <t>ﾘﾖｳ</t>
    </rPh>
    <phoneticPr fontId="35" type="noConversion"/>
  </si>
  <si>
    <t>雨水利用システム導入の有無</t>
    <rPh sb="0" eb="2">
      <t>ウスイ</t>
    </rPh>
    <rPh sb="2" eb="4">
      <t>リヨウ</t>
    </rPh>
    <rPh sb="8" eb="10">
      <t>ドウニュウ</t>
    </rPh>
    <rPh sb="11" eb="13">
      <t>ウム</t>
    </rPh>
    <phoneticPr fontId="26"/>
  </si>
  <si>
    <t>雑排水等利用システム導入の有無</t>
  </si>
  <si>
    <t>非再生性資源の使用量削減</t>
    <rPh sb="0" eb="1">
      <t>ヒ</t>
    </rPh>
    <rPh sb="1" eb="3">
      <t>サイセイ</t>
    </rPh>
    <rPh sb="3" eb="4">
      <t>セイ</t>
    </rPh>
    <rPh sb="4" eb="6">
      <t>シゲン</t>
    </rPh>
    <rPh sb="7" eb="10">
      <t>シヨウリョウ</t>
    </rPh>
    <rPh sb="10" eb="12">
      <t>サクゲン</t>
    </rPh>
    <phoneticPr fontId="26"/>
  </si>
  <si>
    <t>材料使用量の削減</t>
    <rPh sb="0" eb="2">
      <t>ザイリョウ</t>
    </rPh>
    <rPh sb="2" eb="4">
      <t>シヨウ</t>
    </rPh>
    <rPh sb="4" eb="5">
      <t>リョウ</t>
    </rPh>
    <rPh sb="6" eb="8">
      <t>サクゲン</t>
    </rPh>
    <phoneticPr fontId="26"/>
  </si>
  <si>
    <t>既存建築躯体等の継続使用</t>
    <rPh sb="6" eb="7">
      <t>トウ</t>
    </rPh>
    <rPh sb="8" eb="10">
      <t>ケイゾク</t>
    </rPh>
    <rPh sb="10" eb="12">
      <t>シヨウ</t>
    </rPh>
    <phoneticPr fontId="26"/>
  </si>
  <si>
    <t>躯体材料におけるリサイクル材の使用</t>
    <rPh sb="0" eb="2">
      <t>クタイ</t>
    </rPh>
    <rPh sb="2" eb="4">
      <t>ザイリョウ</t>
    </rPh>
    <rPh sb="13" eb="14">
      <t>ザイ</t>
    </rPh>
    <rPh sb="15" eb="17">
      <t>シヨウ</t>
    </rPh>
    <phoneticPr fontId="26"/>
  </si>
  <si>
    <t>持続可能な森林から産出された木材</t>
  </si>
  <si>
    <t>部材の再利用可能性向上への取組み</t>
    <rPh sb="9" eb="11">
      <t>コウジョウ</t>
    </rPh>
    <rPh sb="13" eb="15">
      <t>トリク</t>
    </rPh>
    <phoneticPr fontId="26"/>
  </si>
  <si>
    <t>汚染物質含有材料の使用回避</t>
    <rPh sb="0" eb="2">
      <t>オセン</t>
    </rPh>
    <rPh sb="2" eb="4">
      <t>ブッシツ</t>
    </rPh>
    <rPh sb="4" eb="6">
      <t>ガンユウ</t>
    </rPh>
    <rPh sb="6" eb="8">
      <t>ザイリョウ</t>
    </rPh>
    <rPh sb="9" eb="11">
      <t>シヨウ</t>
    </rPh>
    <rPh sb="11" eb="13">
      <t>カイヒ</t>
    </rPh>
    <phoneticPr fontId="26"/>
  </si>
  <si>
    <t>有害物質を含まない材料の使用</t>
    <rPh sb="0" eb="2">
      <t>ユウガイ</t>
    </rPh>
    <rPh sb="2" eb="4">
      <t>ブッシツ</t>
    </rPh>
    <rPh sb="5" eb="6">
      <t>フク</t>
    </rPh>
    <rPh sb="12" eb="14">
      <t>シヨウ</t>
    </rPh>
    <phoneticPr fontId="26"/>
  </si>
  <si>
    <t>フロン・ハロンの回避</t>
    <rPh sb="8" eb="10">
      <t>カイヒ</t>
    </rPh>
    <phoneticPr fontId="26"/>
  </si>
  <si>
    <t>地域区分Ⅱ</t>
  </si>
  <si>
    <r>
      <t xml:space="preserve">1.3.1 </t>
    </r>
    <r>
      <rPr>
        <b/>
        <sz val="10"/>
        <rFont val="ＭＳ Ｐゴシック"/>
        <family val="3"/>
        <charset val="128"/>
      </rPr>
      <t>維持管理に配慮した設計</t>
    </r>
    <rPh sb="6" eb="8">
      <t>イジ</t>
    </rPh>
    <rPh sb="8" eb="10">
      <t>カンリ</t>
    </rPh>
    <rPh sb="11" eb="13">
      <t>ハイリョ</t>
    </rPh>
    <rPh sb="15" eb="17">
      <t>セッケイ</t>
    </rPh>
    <phoneticPr fontId="26"/>
  </si>
  <si>
    <r>
      <t>（</t>
    </r>
    <r>
      <rPr>
        <b/>
        <sz val="12"/>
        <color indexed="9"/>
        <rFont val="Arial"/>
        <family val="2"/>
      </rPr>
      <t>3</t>
    </r>
    <r>
      <rPr>
        <b/>
        <sz val="12"/>
        <color indexed="9"/>
        <rFont val="ＭＳ Ｐゴシック"/>
        <family val="3"/>
        <charset val="128"/>
      </rPr>
      <t>）</t>
    </r>
    <r>
      <rPr>
        <b/>
        <sz val="12"/>
        <color indexed="9"/>
        <rFont val="Arial"/>
        <family val="2"/>
      </rPr>
      <t>-1</t>
    </r>
    <r>
      <rPr>
        <b/>
        <sz val="12"/>
        <color indexed="9"/>
        <rFont val="ＭＳ Ｐゴシック"/>
        <family val="3"/>
        <charset val="128"/>
      </rPr>
      <t>　建築物の代表的な環境負荷に関する定量的な評価指標</t>
    </r>
    <rPh sb="6" eb="9">
      <t>ｹﾝﾁｸﾌﾞﾂ</t>
    </rPh>
    <rPh sb="10" eb="13">
      <t>ﾀﾞｲﾋｮｳﾃｷ</t>
    </rPh>
    <rPh sb="14" eb="16">
      <t>ｶﾝｷｮｳ</t>
    </rPh>
    <rPh sb="16" eb="18">
      <t>ﾌｶ</t>
    </rPh>
    <rPh sb="19" eb="20">
      <t>ｶﾝ</t>
    </rPh>
    <rPh sb="22" eb="25">
      <t>ﾃｲﾘｮｳﾃｷ</t>
    </rPh>
    <rPh sb="26" eb="28">
      <t>ﾋｮｳｶ</t>
    </rPh>
    <rPh sb="28" eb="30">
      <t>ｼﾋｮｳ</t>
    </rPh>
    <phoneticPr fontId="35" type="noConversion"/>
  </si>
  <si>
    <t>年間延床面積あたり指標</t>
    <rPh sb="0" eb="2">
      <t>ネンカン</t>
    </rPh>
    <rPh sb="2" eb="3">
      <t>ノ</t>
    </rPh>
    <rPh sb="3" eb="6">
      <t>ユカメンセキ</t>
    </rPh>
    <rPh sb="9" eb="11">
      <t>シヒョウ</t>
    </rPh>
    <phoneticPr fontId="26"/>
  </si>
  <si>
    <t>小中（北海道）</t>
    <rPh sb="0" eb="1">
      <t>ショウ</t>
    </rPh>
    <rPh sb="1" eb="2">
      <t>チュウ</t>
    </rPh>
    <rPh sb="3" eb="6">
      <t>ホッカイドウ</t>
    </rPh>
    <phoneticPr fontId="26"/>
  </si>
  <si>
    <t>小中（その他）</t>
    <rPh sb="0" eb="2">
      <t>ショウチュウ</t>
    </rPh>
    <rPh sb="5" eb="6">
      <t>ホカ</t>
    </rPh>
    <phoneticPr fontId="26"/>
  </si>
  <si>
    <t>ratio</t>
    <phoneticPr fontId="26"/>
  </si>
  <si>
    <t>2.3.2</t>
    <phoneticPr fontId="26"/>
  </si>
  <si>
    <t>2.3.3</t>
    <phoneticPr fontId="26"/>
  </si>
  <si>
    <t xml:space="preserve"> Q2 2.3</t>
    <phoneticPr fontId="26"/>
  </si>
  <si>
    <t>2.3.3</t>
    <phoneticPr fontId="26"/>
  </si>
  <si>
    <t>2.4.1</t>
    <phoneticPr fontId="26"/>
  </si>
  <si>
    <t>3.1.1</t>
    <phoneticPr fontId="26"/>
  </si>
  <si>
    <t>3.1.2</t>
    <phoneticPr fontId="26"/>
  </si>
  <si>
    <t>3.3.1</t>
    <phoneticPr fontId="26"/>
  </si>
  <si>
    <t>3.3.2</t>
    <phoneticPr fontId="26"/>
  </si>
  <si>
    <t>3.3.3</t>
    <phoneticPr fontId="26"/>
  </si>
  <si>
    <t>3.3.4</t>
    <phoneticPr fontId="26"/>
  </si>
  <si>
    <t>3.3.5</t>
    <phoneticPr fontId="26"/>
  </si>
  <si>
    <t>3.3.6</t>
    <phoneticPr fontId="26"/>
  </si>
  <si>
    <t>Q3</t>
    <phoneticPr fontId="26"/>
  </si>
  <si>
    <t>3.1</t>
    <phoneticPr fontId="26"/>
  </si>
  <si>
    <t>3.2</t>
    <phoneticPr fontId="26"/>
  </si>
  <si>
    <t>LR</t>
    <phoneticPr fontId="35" type="noConversion"/>
  </si>
  <si>
    <t>LR</t>
    <phoneticPr fontId="35" type="noConversion"/>
  </si>
  <si>
    <t>LR1</t>
    <phoneticPr fontId="35" type="noConversion"/>
  </si>
  <si>
    <t>LR</t>
    <phoneticPr fontId="26"/>
  </si>
  <si>
    <t>2.1</t>
    <phoneticPr fontId="26"/>
  </si>
  <si>
    <t>2.2</t>
    <phoneticPr fontId="26"/>
  </si>
  <si>
    <t>3a</t>
    <phoneticPr fontId="26"/>
  </si>
  <si>
    <t>LR1 3</t>
    <phoneticPr fontId="26"/>
  </si>
  <si>
    <t>LR1 3b</t>
    <phoneticPr fontId="26"/>
  </si>
  <si>
    <t>LR</t>
    <phoneticPr fontId="26"/>
  </si>
  <si>
    <t>地域区分Ⅰ</t>
    <phoneticPr fontId="26"/>
  </si>
  <si>
    <t>2.6</t>
    <phoneticPr fontId="26"/>
  </si>
  <si>
    <t>3.1</t>
    <phoneticPr fontId="26"/>
  </si>
  <si>
    <t>3.1</t>
    <phoneticPr fontId="26"/>
  </si>
  <si>
    <t>3.2</t>
    <phoneticPr fontId="26"/>
  </si>
  <si>
    <t>3.2.1</t>
    <phoneticPr fontId="26"/>
  </si>
  <si>
    <t>消火剤</t>
    <phoneticPr fontId="26"/>
  </si>
  <si>
    <t>3.2.2</t>
    <phoneticPr fontId="26"/>
  </si>
  <si>
    <t>発泡剤（断熱材等）</t>
    <phoneticPr fontId="26"/>
  </si>
  <si>
    <t>(blank star)</t>
    <phoneticPr fontId="26"/>
  </si>
  <si>
    <t>％</t>
    <phoneticPr fontId="26"/>
  </si>
  <si>
    <t>Sum</t>
    <phoneticPr fontId="26"/>
  </si>
  <si>
    <t>NA</t>
    <phoneticPr fontId="26"/>
  </si>
  <si>
    <t>まちなみ景観</t>
    <phoneticPr fontId="26"/>
  </si>
  <si>
    <t>Score</t>
    <phoneticPr fontId="26"/>
  </si>
  <si>
    <t>NA</t>
    <phoneticPr fontId="26"/>
  </si>
  <si>
    <t>-</t>
    <phoneticPr fontId="26"/>
  </si>
  <si>
    <t>ホ</t>
    <phoneticPr fontId="26"/>
  </si>
  <si>
    <t>集合住宅の評価</t>
    <rPh sb="0" eb="2">
      <t>シュウゴウ</t>
    </rPh>
    <rPh sb="2" eb="4">
      <t>ジュウタク</t>
    </rPh>
    <rPh sb="5" eb="7">
      <t>ヒョウカ</t>
    </rPh>
    <phoneticPr fontId="26"/>
  </si>
  <si>
    <t>LR2</t>
  </si>
  <si>
    <t>LR3</t>
  </si>
  <si>
    <t>住まい方の提示</t>
    <rPh sb="5" eb="7">
      <t>テイジ</t>
    </rPh>
    <phoneticPr fontId="8"/>
  </si>
  <si>
    <t>エネルギーの管理と制御</t>
  </si>
  <si>
    <t>4.1.1</t>
    <phoneticPr fontId="26"/>
  </si>
  <si>
    <t>4.1.2</t>
    <phoneticPr fontId="26"/>
  </si>
  <si>
    <t>4.2.1</t>
    <phoneticPr fontId="26"/>
  </si>
  <si>
    <t>4.2.2</t>
    <phoneticPr fontId="26"/>
  </si>
  <si>
    <t>LR1 4.1</t>
    <phoneticPr fontId="26"/>
  </si>
  <si>
    <t>LR1 4.1</t>
    <phoneticPr fontId="26"/>
  </si>
  <si>
    <t>LR1 4.2</t>
    <phoneticPr fontId="26"/>
  </si>
  <si>
    <t>躯体材料以外におけるリサイクル材の使用</t>
  </si>
  <si>
    <t>LPG</t>
  </si>
  <si>
    <t>LPG</t>
    <phoneticPr fontId="26"/>
  </si>
  <si>
    <t>3.2.3</t>
    <phoneticPr fontId="26"/>
  </si>
  <si>
    <t>LR3</t>
    <phoneticPr fontId="35" type="noConversion"/>
  </si>
  <si>
    <t>LR</t>
    <phoneticPr fontId="26"/>
  </si>
  <si>
    <t>敷地外環境</t>
    <phoneticPr fontId="26"/>
  </si>
  <si>
    <t>2.1</t>
    <phoneticPr fontId="26"/>
  </si>
  <si>
    <t>2.1</t>
    <phoneticPr fontId="26"/>
  </si>
  <si>
    <t>2.2</t>
    <phoneticPr fontId="26"/>
  </si>
  <si>
    <t>2.3</t>
    <phoneticPr fontId="26"/>
  </si>
  <si>
    <t>2.3</t>
    <phoneticPr fontId="26"/>
  </si>
  <si>
    <t>2.3.1</t>
    <phoneticPr fontId="26"/>
  </si>
  <si>
    <t>2.3.2</t>
    <phoneticPr fontId="26"/>
  </si>
  <si>
    <t>2.3.3</t>
    <phoneticPr fontId="26"/>
  </si>
  <si>
    <t>2.3.3</t>
    <phoneticPr fontId="26"/>
  </si>
  <si>
    <t>2.3.4</t>
    <phoneticPr fontId="26"/>
  </si>
  <si>
    <t>2.3.4</t>
    <phoneticPr fontId="26"/>
  </si>
  <si>
    <t>3.1</t>
    <phoneticPr fontId="26"/>
  </si>
  <si>
    <t>3.1</t>
    <phoneticPr fontId="26"/>
  </si>
  <si>
    <t>3.1.1</t>
    <phoneticPr fontId="26"/>
  </si>
  <si>
    <t>3.1.1</t>
    <phoneticPr fontId="26"/>
  </si>
  <si>
    <t>3.1.2</t>
    <phoneticPr fontId="26"/>
  </si>
  <si>
    <t>3.1.3</t>
    <phoneticPr fontId="26"/>
  </si>
  <si>
    <t>3.2</t>
    <phoneticPr fontId="26"/>
  </si>
  <si>
    <t>3.2.1</t>
    <phoneticPr fontId="26"/>
  </si>
  <si>
    <t>風害の抑制</t>
    <phoneticPr fontId="35" type="noConversion"/>
  </si>
  <si>
    <t>3.2.2</t>
    <phoneticPr fontId="26"/>
  </si>
  <si>
    <t>LR3 3.2</t>
    <phoneticPr fontId="26"/>
  </si>
  <si>
    <t>3.2.3</t>
    <phoneticPr fontId="26"/>
  </si>
  <si>
    <t>3.3</t>
    <phoneticPr fontId="26"/>
  </si>
  <si>
    <t>3.3.1</t>
    <phoneticPr fontId="26"/>
  </si>
  <si>
    <t>屋外照明及び屋内照明のうち外に漏れる光への対策</t>
    <phoneticPr fontId="35" type="noConversion"/>
  </si>
  <si>
    <t>LR1</t>
  </si>
  <si>
    <t>事務所</t>
    <rPh sb="0" eb="2">
      <t>ジム</t>
    </rPh>
    <rPh sb="2" eb="3">
      <t>ショ</t>
    </rPh>
    <phoneticPr fontId="26"/>
  </si>
  <si>
    <t>学校</t>
    <rPh sb="0" eb="2">
      <t>ガッコウ</t>
    </rPh>
    <phoneticPr fontId="26"/>
  </si>
  <si>
    <t>LR3</t>
    <phoneticPr fontId="26"/>
  </si>
  <si>
    <t>平均気流速度</t>
    <rPh sb="0" eb="2">
      <t>ヘイキン</t>
    </rPh>
    <rPh sb="2" eb="4">
      <t>キリュウ</t>
    </rPh>
    <rPh sb="4" eb="6">
      <t>ソクド</t>
    </rPh>
    <phoneticPr fontId="26"/>
  </si>
  <si>
    <t>光・視環境</t>
    <rPh sb="0" eb="1">
      <t>ﾋｶﾘ</t>
    </rPh>
    <rPh sb="2" eb="3">
      <t>ｼ</t>
    </rPh>
    <rPh sb="3" eb="5">
      <t>ｶﾝｷｮｳ</t>
    </rPh>
    <phoneticPr fontId="35" type="noConversion"/>
  </si>
  <si>
    <t>昼光利用</t>
    <rPh sb="0" eb="1">
      <t>ﾋﾙ</t>
    </rPh>
    <rPh sb="1" eb="2">
      <t>ﾋｶﾘ</t>
    </rPh>
    <rPh sb="2" eb="4">
      <t>ﾘﾖｳ</t>
    </rPh>
    <phoneticPr fontId="35" type="noConversion"/>
  </si>
  <si>
    <t>昼光率</t>
    <rPh sb="0" eb="1">
      <t>ヒル</t>
    </rPh>
    <rPh sb="1" eb="2">
      <t>ヒカリ</t>
    </rPh>
    <rPh sb="2" eb="3">
      <t>リツ</t>
    </rPh>
    <phoneticPr fontId="26"/>
  </si>
  <si>
    <t>方位別開口</t>
    <rPh sb="0" eb="2">
      <t>ホウイ</t>
    </rPh>
    <rPh sb="2" eb="3">
      <t>ベツ</t>
    </rPh>
    <rPh sb="3" eb="5">
      <t>カイコウ</t>
    </rPh>
    <phoneticPr fontId="26"/>
  </si>
  <si>
    <t>昼光利用設備</t>
    <rPh sb="0" eb="1">
      <t>ヒル</t>
    </rPh>
    <rPh sb="1" eb="2">
      <t>ヒカリ</t>
    </rPh>
    <rPh sb="2" eb="4">
      <t>リヨウ</t>
    </rPh>
    <rPh sb="4" eb="6">
      <t>セツビ</t>
    </rPh>
    <phoneticPr fontId="26"/>
  </si>
  <si>
    <t>グレア対策</t>
    <rPh sb="3" eb="5">
      <t>ﾀｲｻｸ</t>
    </rPh>
    <phoneticPr fontId="35" type="noConversion"/>
  </si>
  <si>
    <t>照明器具のグレア</t>
    <rPh sb="0" eb="2">
      <t>ショウメイ</t>
    </rPh>
    <rPh sb="2" eb="4">
      <t>キグ</t>
    </rPh>
    <phoneticPr fontId="26"/>
  </si>
  <si>
    <t>昼光制御</t>
    <rPh sb="0" eb="1">
      <t>ヒル</t>
    </rPh>
    <rPh sb="1" eb="2">
      <t>ヒカリ</t>
    </rPh>
    <rPh sb="2" eb="4">
      <t>セイギョ</t>
    </rPh>
    <phoneticPr fontId="26"/>
  </si>
  <si>
    <r>
      <t xml:space="preserve">2.1.5 </t>
    </r>
    <r>
      <rPr>
        <b/>
        <sz val="10"/>
        <rFont val="ＭＳ Ｐゴシック"/>
        <family val="3"/>
        <charset val="128"/>
      </rPr>
      <t>温度・湿度制御</t>
    </r>
    <rPh sb="6" eb="8">
      <t>オンド</t>
    </rPh>
    <rPh sb="9" eb="11">
      <t>シツド</t>
    </rPh>
    <rPh sb="11" eb="13">
      <t>セイギョ</t>
    </rPh>
    <phoneticPr fontId="26"/>
  </si>
  <si>
    <r>
      <t xml:space="preserve">2.1.6 </t>
    </r>
    <r>
      <rPr>
        <b/>
        <sz val="10"/>
        <rFont val="ＭＳ Ｐゴシック"/>
        <family val="3"/>
        <charset val="128"/>
      </rPr>
      <t>個別制御</t>
    </r>
    <rPh sb="6" eb="8">
      <t>コベツ</t>
    </rPh>
    <rPh sb="8" eb="10">
      <t>セイギョ</t>
    </rPh>
    <phoneticPr fontId="26"/>
  </si>
  <si>
    <r>
      <t xml:space="preserve">2.1.8 </t>
    </r>
    <r>
      <rPr>
        <b/>
        <sz val="10"/>
        <rFont val="ＭＳ Ｐゴシック"/>
        <family val="3"/>
        <charset val="128"/>
      </rPr>
      <t>監視システム</t>
    </r>
    <rPh sb="6" eb="8">
      <t>カンシ</t>
    </rPh>
    <phoneticPr fontId="26"/>
  </si>
  <si>
    <t>＜実施設計段階、竣工段階で詳細な評価を行う場合に記入＞</t>
    <phoneticPr fontId="26"/>
  </si>
  <si>
    <t>Quality</t>
    <phoneticPr fontId="26"/>
  </si>
  <si>
    <r>
      <t>L</t>
    </r>
    <r>
      <rPr>
        <sz val="8"/>
        <color indexed="10"/>
        <rFont val="ＭＳ Ｐゴシック"/>
        <family val="3"/>
        <charset val="128"/>
      </rPr>
      <t>：</t>
    </r>
    <r>
      <rPr>
        <sz val="8"/>
        <color indexed="10"/>
        <rFont val="Arial"/>
        <family val="2"/>
      </rPr>
      <t>Load</t>
    </r>
    <phoneticPr fontId="26"/>
  </si>
  <si>
    <r>
      <t>LR</t>
    </r>
    <r>
      <rPr>
        <sz val="8"/>
        <color indexed="10"/>
        <rFont val="ＭＳ Ｐゴシック"/>
        <family val="3"/>
        <charset val="128"/>
      </rPr>
      <t>：</t>
    </r>
    <r>
      <rPr>
        <sz val="8"/>
        <color indexed="10"/>
        <rFont val="Arial"/>
        <family val="2"/>
      </rPr>
      <t>Load Reduction</t>
    </r>
    <phoneticPr fontId="26"/>
  </si>
  <si>
    <r>
      <t>SQ</t>
    </r>
    <r>
      <rPr>
        <sz val="8"/>
        <color indexed="10"/>
        <rFont val="ＭＳ Ｐゴシック"/>
        <family val="3"/>
        <charset val="128"/>
      </rPr>
      <t>：</t>
    </r>
    <r>
      <rPr>
        <sz val="8"/>
        <color indexed="10"/>
        <rFont val="Arial"/>
        <family val="2"/>
      </rPr>
      <t>Score of Q category</t>
    </r>
    <phoneticPr fontId="26"/>
  </si>
  <si>
    <r>
      <t>SLR</t>
    </r>
    <r>
      <rPr>
        <sz val="8"/>
        <color indexed="10"/>
        <rFont val="ＭＳ Ｐゴシック"/>
        <family val="3"/>
        <charset val="128"/>
      </rPr>
      <t>：</t>
    </r>
    <r>
      <rPr>
        <sz val="8"/>
        <color indexed="10"/>
        <rFont val="Arial"/>
        <family val="2"/>
      </rPr>
      <t>Score of LR category</t>
    </r>
    <phoneticPr fontId="26"/>
  </si>
  <si>
    <r>
      <t>BEE</t>
    </r>
    <r>
      <rPr>
        <sz val="8"/>
        <color indexed="10"/>
        <rFont val="ＭＳ Ｐゴシック"/>
        <family val="3"/>
        <charset val="128"/>
      </rPr>
      <t>：</t>
    </r>
    <r>
      <rPr>
        <sz val="8"/>
        <color indexed="10"/>
        <rFont val="Arial"/>
        <family val="2"/>
      </rPr>
      <t>Building Environmental Efficiency</t>
    </r>
    <phoneticPr fontId="26"/>
  </si>
  <si>
    <t>(3)の評価はオプションとし、実施設計段階および竣工段階で可能な範囲で記入する。</t>
    <phoneticPr fontId="26"/>
  </si>
  <si>
    <t>weight(set)</t>
    <phoneticPr fontId="26"/>
  </si>
  <si>
    <t>Q2</t>
    <phoneticPr fontId="35" type="noConversion"/>
  </si>
  <si>
    <t>サービス性能</t>
    <phoneticPr fontId="26"/>
  </si>
  <si>
    <t>3b</t>
    <phoneticPr fontId="26"/>
  </si>
  <si>
    <t>エネルギー利用効率化設備</t>
    <phoneticPr fontId="26"/>
  </si>
  <si>
    <t>モニタリング</t>
    <phoneticPr fontId="35" type="noConversion"/>
  </si>
  <si>
    <t>LR2</t>
    <phoneticPr fontId="35" type="noConversion"/>
  </si>
  <si>
    <t>資源・マテリアル</t>
    <phoneticPr fontId="26"/>
  </si>
  <si>
    <t>温熱環境悪化の改善</t>
    <phoneticPr fontId="26"/>
  </si>
  <si>
    <t>雨水排水負荷低減</t>
    <phoneticPr fontId="35" type="noConversion"/>
  </si>
  <si>
    <t>汚水処理負荷抑制</t>
    <phoneticPr fontId="35" type="noConversion"/>
  </si>
  <si>
    <t>振動</t>
    <phoneticPr fontId="35" type="noConversion"/>
  </si>
  <si>
    <t>悪臭</t>
    <phoneticPr fontId="35" type="noConversion"/>
  </si>
  <si>
    <t>日照阻害の抑制</t>
    <phoneticPr fontId="35" type="noConversion"/>
  </si>
  <si>
    <t>N.A.</t>
    <phoneticPr fontId="26"/>
  </si>
  <si>
    <t>dB(A)</t>
    <phoneticPr fontId="26"/>
  </si>
  <si>
    <t>物販店</t>
    <rPh sb="0" eb="3">
      <t>ブッパンテン</t>
    </rPh>
    <phoneticPr fontId="26"/>
  </si>
  <si>
    <t>デパート・スーパー</t>
  </si>
  <si>
    <t>集会所</t>
    <rPh sb="0" eb="2">
      <t>シュウカイ</t>
    </rPh>
    <rPh sb="2" eb="3">
      <t>ジョ</t>
    </rPh>
    <phoneticPr fontId="26"/>
  </si>
  <si>
    <t>病院</t>
    <rPh sb="0" eb="2">
      <t>ビョウイン</t>
    </rPh>
    <phoneticPr fontId="26"/>
  </si>
  <si>
    <r>
      <t xml:space="preserve">4.1.3 </t>
    </r>
    <r>
      <rPr>
        <b/>
        <sz val="10"/>
        <rFont val="ＭＳ Ｐゴシック"/>
        <family val="3"/>
        <charset val="128"/>
      </rPr>
      <t>ダニ・カビ等</t>
    </r>
    <rPh sb="11" eb="12">
      <t>トウ</t>
    </rPh>
    <phoneticPr fontId="26"/>
  </si>
  <si>
    <r>
      <t xml:space="preserve">4.1.4 </t>
    </r>
    <r>
      <rPr>
        <b/>
        <sz val="10"/>
        <rFont val="ＭＳ Ｐゴシック"/>
        <family val="3"/>
        <charset val="128"/>
      </rPr>
      <t>レジオネラ対策</t>
    </r>
    <rPh sb="11" eb="13">
      <t>タイサク</t>
    </rPh>
    <phoneticPr fontId="26"/>
  </si>
  <si>
    <t>Dr-45</t>
  </si>
  <si>
    <t>学</t>
    <rPh sb="0" eb="1">
      <t>ガク</t>
    </rPh>
    <phoneticPr fontId="26"/>
  </si>
  <si>
    <t>耐用性・信頼性</t>
    <rPh sb="4" eb="6">
      <t>シンライ</t>
    </rPh>
    <rPh sb="6" eb="7">
      <t>セイ</t>
    </rPh>
    <phoneticPr fontId="6"/>
  </si>
  <si>
    <t>耐震･免震</t>
    <rPh sb="0" eb="2">
      <t>タイシン</t>
    </rPh>
    <rPh sb="3" eb="4">
      <t>メン</t>
    </rPh>
    <rPh sb="4" eb="5">
      <t>フル</t>
    </rPh>
    <phoneticPr fontId="6"/>
  </si>
  <si>
    <t>免震・制振性能</t>
    <rPh sb="5" eb="7">
      <t>セイノウ</t>
    </rPh>
    <phoneticPr fontId="6"/>
  </si>
  <si>
    <t>部品・部材の耐用年数</t>
    <rPh sb="0" eb="2">
      <t>ブヒン</t>
    </rPh>
    <rPh sb="3" eb="4">
      <t>ブ</t>
    </rPh>
    <rPh sb="4" eb="5">
      <t>ザイ</t>
    </rPh>
    <rPh sb="6" eb="8">
      <t>タイヨウ</t>
    </rPh>
    <rPh sb="8" eb="10">
      <t>ネンスウ</t>
    </rPh>
    <phoneticPr fontId="6"/>
  </si>
  <si>
    <t>躯体材料の耐用年数</t>
    <rPh sb="0" eb="2">
      <t>クタイ</t>
    </rPh>
    <rPh sb="2" eb="4">
      <t>ザイリョウ</t>
    </rPh>
    <rPh sb="5" eb="7">
      <t>タイヨウ</t>
    </rPh>
    <rPh sb="7" eb="9">
      <t>ネンスウ</t>
    </rPh>
    <phoneticPr fontId="6"/>
  </si>
  <si>
    <t>空調換気ダクトの更新必要間隔</t>
    <rPh sb="0" eb="2">
      <t>クウチョウ</t>
    </rPh>
    <rPh sb="2" eb="4">
      <t>カンキ</t>
    </rPh>
    <phoneticPr fontId="6"/>
  </si>
  <si>
    <t>空調・給排水配管の更新必要間隔</t>
    <rPh sb="0" eb="2">
      <t>クウチョウ</t>
    </rPh>
    <rPh sb="3" eb="4">
      <t>キュウ</t>
    </rPh>
    <rPh sb="4" eb="6">
      <t>ハイスイ</t>
    </rPh>
    <rPh sb="6" eb="8">
      <t>ハイカン</t>
    </rPh>
    <phoneticPr fontId="6"/>
  </si>
  <si>
    <t>適切な更新</t>
    <rPh sb="0" eb="2">
      <t>テキセツ</t>
    </rPh>
    <rPh sb="3" eb="5">
      <t>コウシン</t>
    </rPh>
    <phoneticPr fontId="6"/>
  </si>
  <si>
    <t>屋上（屋根）・外壁仕上げ材の更新</t>
    <rPh sb="0" eb="2">
      <t>オクジョウ</t>
    </rPh>
    <rPh sb="3" eb="5">
      <t>ヤネ</t>
    </rPh>
    <rPh sb="7" eb="9">
      <t>ガイヘキ</t>
    </rPh>
    <rPh sb="9" eb="11">
      <t>シア</t>
    </rPh>
    <rPh sb="12" eb="13">
      <t>ザイ</t>
    </rPh>
    <rPh sb="14" eb="16">
      <t>コウシン</t>
    </rPh>
    <phoneticPr fontId="6"/>
  </si>
  <si>
    <t>配管・配線材の更新</t>
    <rPh sb="0" eb="2">
      <t>ハイカン</t>
    </rPh>
    <rPh sb="3" eb="5">
      <t>ハイセン</t>
    </rPh>
    <rPh sb="5" eb="6">
      <t>ザイ</t>
    </rPh>
    <rPh sb="7" eb="9">
      <t>コウシン</t>
    </rPh>
    <phoneticPr fontId="6"/>
  </si>
  <si>
    <t>主要設備機器の更新</t>
    <rPh sb="0" eb="2">
      <t>シュヨウ</t>
    </rPh>
    <rPh sb="2" eb="4">
      <t>セツビ</t>
    </rPh>
    <rPh sb="4" eb="6">
      <t>キキ</t>
    </rPh>
    <rPh sb="7" eb="9">
      <t>コウシン</t>
    </rPh>
    <phoneticPr fontId="6"/>
  </si>
  <si>
    <t>信頼性</t>
    <rPh sb="0" eb="3">
      <t>シンライセイ</t>
    </rPh>
    <phoneticPr fontId="6"/>
  </si>
  <si>
    <t>バックアップスペースの確保</t>
    <rPh sb="11" eb="13">
      <t>カクホ</t>
    </rPh>
    <phoneticPr fontId="6"/>
  </si>
  <si>
    <t xml:space="preserve"> Q2 1.3</t>
  </si>
  <si>
    <t>総合的な取組み</t>
    <rPh sb="0" eb="3">
      <t>ソウゴウテキ</t>
    </rPh>
    <rPh sb="4" eb="5">
      <t>ト</t>
    </rPh>
    <rPh sb="5" eb="6">
      <t>ク</t>
    </rPh>
    <phoneticPr fontId="26"/>
  </si>
  <si>
    <t>維持管理に配慮した設計</t>
    <rPh sb="0" eb="2">
      <t>イジ</t>
    </rPh>
    <rPh sb="2" eb="4">
      <t>カンリ</t>
    </rPh>
    <rPh sb="5" eb="7">
      <t>ハイリョ</t>
    </rPh>
    <rPh sb="9" eb="11">
      <t>セッケイ</t>
    </rPh>
    <phoneticPr fontId="26"/>
  </si>
  <si>
    <t>1.3.2</t>
  </si>
  <si>
    <t>清掃管理業務</t>
    <rPh sb="0" eb="2">
      <t>セイソウ</t>
    </rPh>
    <rPh sb="2" eb="4">
      <t>カンリ</t>
    </rPh>
    <rPh sb="4" eb="6">
      <t>ギョウム</t>
    </rPh>
    <phoneticPr fontId="26"/>
  </si>
  <si>
    <t>維持管理用機能の確保</t>
    <rPh sb="0" eb="2">
      <t>イジ</t>
    </rPh>
    <rPh sb="2" eb="5">
      <t>カンリヨウ</t>
    </rPh>
    <rPh sb="5" eb="7">
      <t>キノウ</t>
    </rPh>
    <rPh sb="8" eb="10">
      <t>カクホ</t>
    </rPh>
    <phoneticPr fontId="26"/>
  </si>
  <si>
    <t>1.3.3</t>
  </si>
  <si>
    <t>耐用性・信頼性</t>
    <rPh sb="4" eb="6">
      <t>シンライ</t>
    </rPh>
    <rPh sb="6" eb="7">
      <t>セイ</t>
    </rPh>
    <phoneticPr fontId="26"/>
  </si>
  <si>
    <t xml:space="preserve"> Q2 2</t>
  </si>
  <si>
    <t xml:space="preserve"> Q2 2.1</t>
  </si>
  <si>
    <t>耐震性</t>
  </si>
  <si>
    <t>免震・制振性能</t>
    <rPh sb="5" eb="7">
      <t>セイノウ</t>
    </rPh>
    <phoneticPr fontId="26"/>
  </si>
  <si>
    <t xml:space="preserve"> Q2 2.2</t>
  </si>
  <si>
    <t>外壁仕上げ材の補修必要間隔</t>
  </si>
  <si>
    <t>主要内装仕上げ材の更新必要間隔</t>
  </si>
  <si>
    <t>空調換気ダクトの更新必要間隔</t>
    <rPh sb="0" eb="2">
      <t>クウチョウ</t>
    </rPh>
    <rPh sb="2" eb="4">
      <t>カンキ</t>
    </rPh>
    <phoneticPr fontId="26"/>
  </si>
  <si>
    <t>空調・給排水配管の更新必要間隔</t>
    <rPh sb="0" eb="2">
      <t>クウチョウ</t>
    </rPh>
    <rPh sb="3" eb="4">
      <t>キュウ</t>
    </rPh>
    <rPh sb="4" eb="6">
      <t>ハイスイ</t>
    </rPh>
    <rPh sb="6" eb="8">
      <t>ハイカン</t>
    </rPh>
    <phoneticPr fontId="26"/>
  </si>
  <si>
    <t>主要設備機器の更新必要間隔</t>
  </si>
  <si>
    <t xml:space="preserve"> Q2 2.3</t>
  </si>
  <si>
    <t>主要設備機器の更新</t>
    <rPh sb="0" eb="2">
      <t>シュヨウ</t>
    </rPh>
    <rPh sb="2" eb="4">
      <t>セツビ</t>
    </rPh>
    <rPh sb="4" eb="6">
      <t>キキ</t>
    </rPh>
    <rPh sb="7" eb="9">
      <t>コウシン</t>
    </rPh>
    <phoneticPr fontId="26"/>
  </si>
  <si>
    <t xml:space="preserve"> Q2 2.4</t>
  </si>
  <si>
    <t>空調・換気設備</t>
  </si>
  <si>
    <t>2.4.2</t>
  </si>
  <si>
    <t>給排水・衛生設備</t>
  </si>
  <si>
    <t>2.4.3</t>
  </si>
  <si>
    <t>電気設備</t>
  </si>
  <si>
    <t>2.4.4</t>
  </si>
  <si>
    <t>機械・配管支持方法</t>
  </si>
  <si>
    <t>2.4.5</t>
  </si>
  <si>
    <t>通信・情報設備</t>
  </si>
  <si>
    <t>飲食店</t>
    <rPh sb="0" eb="2">
      <t>インショク</t>
    </rPh>
    <rPh sb="2" eb="3">
      <t>テン</t>
    </rPh>
    <phoneticPr fontId="26"/>
  </si>
  <si>
    <t>集合住宅</t>
    <rPh sb="0" eb="2">
      <t>シュウゴウ</t>
    </rPh>
    <rPh sb="2" eb="4">
      <t>ジュウタク</t>
    </rPh>
    <phoneticPr fontId="26"/>
  </si>
  <si>
    <t>地域区分Ⅲ</t>
  </si>
  <si>
    <t>地域区分Ⅳ</t>
  </si>
  <si>
    <t>地域区分Ⅴ</t>
  </si>
  <si>
    <t>地域区分Ⅵ</t>
  </si>
  <si>
    <t>3.3.1</t>
    <phoneticPr fontId="26"/>
  </si>
  <si>
    <t>3.3.2</t>
    <phoneticPr fontId="26"/>
  </si>
  <si>
    <t>評価点</t>
    <rPh sb="0" eb="3">
      <t>ヒョウカテン</t>
    </rPh>
    <phoneticPr fontId="26"/>
  </si>
  <si>
    <t>室内環境</t>
  </si>
  <si>
    <t>音環境</t>
    <rPh sb="0" eb="1">
      <t>ｵﾄ</t>
    </rPh>
    <rPh sb="1" eb="3">
      <t>ｶﾝｷｮｳ</t>
    </rPh>
    <phoneticPr fontId="35" type="noConversion"/>
  </si>
  <si>
    <t>遮音</t>
  </si>
  <si>
    <t>項目</t>
    <rPh sb="0" eb="2">
      <t>コウモク</t>
    </rPh>
    <phoneticPr fontId="26"/>
  </si>
  <si>
    <t>広さ・収納性</t>
    <rPh sb="0" eb="1">
      <t>ヒロ</t>
    </rPh>
    <rPh sb="3" eb="5">
      <t>シュウノウ</t>
    </rPh>
    <rPh sb="5" eb="6">
      <t>セイ</t>
    </rPh>
    <phoneticPr fontId="26"/>
  </si>
  <si>
    <t>高度情報通信設備対応</t>
    <rPh sb="0" eb="2">
      <t>コウド</t>
    </rPh>
    <rPh sb="2" eb="4">
      <t>ジョウホウ</t>
    </rPh>
    <rPh sb="4" eb="6">
      <t>ツウシン</t>
    </rPh>
    <rPh sb="6" eb="8">
      <t>セツビ</t>
    </rPh>
    <rPh sb="8" eb="10">
      <t>タイオウ</t>
    </rPh>
    <phoneticPr fontId="26"/>
  </si>
  <si>
    <t>バリアフリー計画</t>
    <rPh sb="6" eb="8">
      <t>ケイカク</t>
    </rPh>
    <phoneticPr fontId="26"/>
  </si>
  <si>
    <t>-</t>
    <phoneticPr fontId="26"/>
  </si>
  <si>
    <t>建物外皮の熱負荷抑制</t>
    <rPh sb="0" eb="2">
      <t>タテモノ</t>
    </rPh>
    <rPh sb="2" eb="4">
      <t>ガイヒ</t>
    </rPh>
    <rPh sb="5" eb="6">
      <t>ネツ</t>
    </rPh>
    <rPh sb="6" eb="8">
      <t>フカ</t>
    </rPh>
    <rPh sb="8" eb="10">
      <t>ヨクセイ</t>
    </rPh>
    <phoneticPr fontId="26"/>
  </si>
  <si>
    <t>悪臭</t>
    <rPh sb="0" eb="2">
      <t>アクシュウ</t>
    </rPh>
    <phoneticPr fontId="26"/>
  </si>
  <si>
    <t>LR3 3.2</t>
  </si>
  <si>
    <t>LR3 3.3</t>
  </si>
  <si>
    <t>光害の抑制</t>
    <rPh sb="0" eb="1">
      <t>ﾋｶﾘ</t>
    </rPh>
    <phoneticPr fontId="35" type="noConversion"/>
  </si>
  <si>
    <t>耐震･免震</t>
    <rPh sb="0" eb="2">
      <t>タイシン</t>
    </rPh>
    <rPh sb="3" eb="4">
      <t>メン</t>
    </rPh>
    <rPh sb="4" eb="5">
      <t>フル</t>
    </rPh>
    <phoneticPr fontId="26"/>
  </si>
  <si>
    <t>部品・部材の耐用年数</t>
    <rPh sb="0" eb="2">
      <t>ブヒン</t>
    </rPh>
    <rPh sb="3" eb="4">
      <t>ブ</t>
    </rPh>
    <rPh sb="4" eb="5">
      <t>ザイ</t>
    </rPh>
    <rPh sb="6" eb="8">
      <t>タイヨウ</t>
    </rPh>
    <rPh sb="8" eb="10">
      <t>ネンスウ</t>
    </rPh>
    <phoneticPr fontId="26"/>
  </si>
  <si>
    <r>
      <t xml:space="preserve">4.2.4 </t>
    </r>
    <r>
      <rPr>
        <b/>
        <sz val="10"/>
        <rFont val="ＭＳ Ｐゴシック"/>
        <family val="3"/>
        <charset val="128"/>
      </rPr>
      <t>給気計画</t>
    </r>
    <rPh sb="6" eb="7">
      <t>キュウ</t>
    </rPh>
    <rPh sb="7" eb="8">
      <t>キ</t>
    </rPh>
    <rPh sb="8" eb="10">
      <t>ケイカク</t>
    </rPh>
    <phoneticPr fontId="26"/>
  </si>
  <si>
    <t>BEE rank</t>
    <phoneticPr fontId="26"/>
  </si>
  <si>
    <t>radar chart</t>
  </si>
  <si>
    <t>L</t>
    <phoneticPr fontId="26"/>
  </si>
  <si>
    <t>BEE</t>
    <phoneticPr fontId="26"/>
  </si>
  <si>
    <t>-</t>
    <phoneticPr fontId="26"/>
  </si>
  <si>
    <t>官公庁</t>
  </si>
  <si>
    <t>物販店舗等</t>
    <rPh sb="0" eb="2">
      <t>ブッパン</t>
    </rPh>
    <rPh sb="2" eb="4">
      <t>テンポ</t>
    </rPh>
    <rPh sb="4" eb="5">
      <t>トウ</t>
    </rPh>
    <phoneticPr fontId="26"/>
  </si>
  <si>
    <t>その他物販</t>
  </si>
  <si>
    <t>ホテル・旅館</t>
  </si>
  <si>
    <t>学校等</t>
    <rPh sb="0" eb="2">
      <t>ガッコウ</t>
    </rPh>
    <rPh sb="2" eb="3">
      <t>トウ</t>
    </rPh>
    <phoneticPr fontId="26"/>
  </si>
  <si>
    <t>幼稚園・保育園</t>
  </si>
  <si>
    <t>高校</t>
  </si>
  <si>
    <t>大学・専門学校</t>
  </si>
  <si>
    <t>集会所等</t>
    <rPh sb="0" eb="3">
      <t>シュウカイジョ</t>
    </rPh>
    <rPh sb="3" eb="4">
      <t>トウ</t>
    </rPh>
    <phoneticPr fontId="26"/>
  </si>
  <si>
    <t>劇場・ホール</t>
  </si>
  <si>
    <t>展示施設</t>
  </si>
  <si>
    <t>スポーツ施設</t>
  </si>
  <si>
    <t>-</t>
  </si>
  <si>
    <t>専有部</t>
    <rPh sb="0" eb="2">
      <t>センユウ</t>
    </rPh>
    <rPh sb="2" eb="3">
      <t>ブ</t>
    </rPh>
    <phoneticPr fontId="26"/>
  </si>
  <si>
    <t>自然換気性能</t>
    <rPh sb="0" eb="2">
      <t>シゼン</t>
    </rPh>
    <rPh sb="2" eb="4">
      <t>カンキ</t>
    </rPh>
    <rPh sb="4" eb="6">
      <t>セイノウ</t>
    </rPh>
    <phoneticPr fontId="26"/>
  </si>
  <si>
    <t>取り入れ外気への配慮</t>
    <rPh sb="0" eb="1">
      <t>ト</t>
    </rPh>
    <rPh sb="2" eb="3">
      <t>イ</t>
    </rPh>
    <rPh sb="4" eb="6">
      <t>ガイキ</t>
    </rPh>
    <rPh sb="8" eb="10">
      <t>ハイリョ</t>
    </rPh>
    <phoneticPr fontId="26"/>
  </si>
  <si>
    <t>給気計画</t>
    <rPh sb="0" eb="1">
      <t>キュウ</t>
    </rPh>
    <rPh sb="1" eb="2">
      <t>キ</t>
    </rPh>
    <rPh sb="2" eb="4">
      <t>ケイカク</t>
    </rPh>
    <phoneticPr fontId="26"/>
  </si>
  <si>
    <t>運用管理</t>
    <rPh sb="0" eb="2">
      <t>ウンヨウ</t>
    </rPh>
    <rPh sb="2" eb="4">
      <t>カンリ</t>
    </rPh>
    <phoneticPr fontId="26"/>
  </si>
  <si>
    <r>
      <t>CO</t>
    </r>
    <r>
      <rPr>
        <vertAlign val="subscript"/>
        <sz val="10"/>
        <rFont val="ＭＳ Ｐゴシック"/>
        <family val="3"/>
        <charset val="128"/>
      </rPr>
      <t>2</t>
    </r>
    <r>
      <rPr>
        <sz val="10"/>
        <rFont val="ＭＳ Ｐゴシック"/>
        <family val="3"/>
        <charset val="128"/>
      </rPr>
      <t>の監視</t>
    </r>
    <rPh sb="4" eb="6">
      <t>カンシ</t>
    </rPh>
    <phoneticPr fontId="26"/>
  </si>
  <si>
    <t>喫煙の制御</t>
    <rPh sb="0" eb="2">
      <t>キツエン</t>
    </rPh>
    <rPh sb="3" eb="5">
      <t>セイギョ</t>
    </rPh>
    <phoneticPr fontId="26"/>
  </si>
  <si>
    <t>機能性</t>
    <rPh sb="0" eb="3">
      <t>ｷﾉｳｾｲ</t>
    </rPh>
    <phoneticPr fontId="35" type="noConversion"/>
  </si>
  <si>
    <t>機能性・使いやすさ</t>
    <rPh sb="0" eb="3">
      <t>キノウセイ</t>
    </rPh>
    <rPh sb="4" eb="5">
      <t>ツカ</t>
    </rPh>
    <phoneticPr fontId="26"/>
  </si>
  <si>
    <t>熱負荷抑制</t>
    <rPh sb="0" eb="1">
      <t>ネツ</t>
    </rPh>
    <rPh sb="1" eb="3">
      <t>フカ</t>
    </rPh>
    <rPh sb="3" eb="5">
      <t>ヨクセイ</t>
    </rPh>
    <phoneticPr fontId="26"/>
  </si>
  <si>
    <t>水資源</t>
    <rPh sb="0" eb="1">
      <t>ミズ</t>
    </rPh>
    <rPh sb="1" eb="3">
      <t>シゲン</t>
    </rPh>
    <phoneticPr fontId="26"/>
  </si>
  <si>
    <t>LR2</t>
    <phoneticPr fontId="26"/>
  </si>
  <si>
    <t>昼光の建物外壁による反射光（グレア）への対策</t>
    <rPh sb="0" eb="1">
      <t>ﾋﾙ</t>
    </rPh>
    <rPh sb="1" eb="2">
      <t>ﾋｶﾘ</t>
    </rPh>
    <rPh sb="3" eb="5">
      <t>ﾀﾃﾓﾉ</t>
    </rPh>
    <rPh sb="5" eb="7">
      <t>ｶﾞｲﾍｷ</t>
    </rPh>
    <rPh sb="10" eb="13">
      <t>ﾊﾝｼｬｺｳ</t>
    </rPh>
    <rPh sb="20" eb="22">
      <t>ﾀｲｻｸ</t>
    </rPh>
    <phoneticPr fontId="35" type="noConversion"/>
  </si>
  <si>
    <t>N.A.</t>
    <phoneticPr fontId="26"/>
  </si>
  <si>
    <t>SQ</t>
    <phoneticPr fontId="26"/>
  </si>
  <si>
    <t>background</t>
    <phoneticPr fontId="26"/>
  </si>
  <si>
    <t>Score(RoundDown)</t>
    <phoneticPr fontId="26"/>
  </si>
  <si>
    <t>std</t>
    <phoneticPr fontId="26"/>
  </si>
  <si>
    <t>SLR</t>
    <phoneticPr fontId="26"/>
  </si>
  <si>
    <t>Q2</t>
    <phoneticPr fontId="26"/>
  </si>
  <si>
    <t>風害、砂塵、日照阻害の抑制</t>
    <rPh sb="0" eb="2">
      <t>ﾌｳｶﾞｲ</t>
    </rPh>
    <rPh sb="3" eb="5">
      <t>ｻｼﾞﾝ</t>
    </rPh>
    <rPh sb="6" eb="8">
      <t>ﾆｯｼｮｳ</t>
    </rPh>
    <rPh sb="8" eb="10">
      <t>ｿｶﾞｲ</t>
    </rPh>
    <rPh sb="11" eb="13">
      <t>ﾖｸｾｲ</t>
    </rPh>
    <phoneticPr fontId="35" type="noConversion"/>
  </si>
  <si>
    <r>
      <t xml:space="preserve">2.3.1 </t>
    </r>
    <r>
      <rPr>
        <b/>
        <sz val="10"/>
        <rFont val="ＭＳ Ｐゴシック"/>
        <family val="3"/>
        <charset val="128"/>
      </rPr>
      <t>上下温度差</t>
    </r>
    <rPh sb="6" eb="8">
      <t>ジョウゲ</t>
    </rPh>
    <rPh sb="8" eb="11">
      <t>オンドサ</t>
    </rPh>
    <phoneticPr fontId="26"/>
  </si>
  <si>
    <r>
      <t xml:space="preserve">2.3.2 </t>
    </r>
    <r>
      <rPr>
        <b/>
        <sz val="10"/>
        <rFont val="ＭＳ Ｐゴシック"/>
        <family val="3"/>
        <charset val="128"/>
      </rPr>
      <t>平均気流速度</t>
    </r>
    <rPh sb="6" eb="8">
      <t>ヘイキン</t>
    </rPh>
    <rPh sb="8" eb="10">
      <t>キリュウ</t>
    </rPh>
    <rPh sb="10" eb="12">
      <t>ソクド</t>
    </rPh>
    <phoneticPr fontId="26"/>
  </si>
  <si>
    <r>
      <t xml:space="preserve">2.1.2 </t>
    </r>
    <r>
      <rPr>
        <b/>
        <sz val="10"/>
        <rFont val="ＭＳ Ｐゴシック"/>
        <family val="3"/>
        <charset val="128"/>
      </rPr>
      <t>負荷変動・追従制御性</t>
    </r>
    <rPh sb="6" eb="8">
      <t>フカ</t>
    </rPh>
    <rPh sb="8" eb="10">
      <t>ヘンドウ</t>
    </rPh>
    <rPh sb="11" eb="13">
      <t>ツイジュウ</t>
    </rPh>
    <rPh sb="13" eb="16">
      <t>セイギョセイ</t>
    </rPh>
    <phoneticPr fontId="26"/>
  </si>
  <si>
    <r>
      <t xml:space="preserve">1.1.2 </t>
    </r>
    <r>
      <rPr>
        <b/>
        <sz val="10"/>
        <rFont val="ＭＳ Ｐゴシック"/>
        <family val="3"/>
        <charset val="128"/>
      </rPr>
      <t>設備騒音対策</t>
    </r>
    <rPh sb="6" eb="8">
      <t>セツビ</t>
    </rPh>
    <rPh sb="8" eb="10">
      <t>ソウオン</t>
    </rPh>
    <rPh sb="10" eb="11">
      <t>タイ</t>
    </rPh>
    <rPh sb="11" eb="12">
      <t>サク</t>
    </rPh>
    <phoneticPr fontId="26"/>
  </si>
  <si>
    <t>LR2 3.2</t>
  </si>
  <si>
    <t>発泡剤（断熱材等）</t>
  </si>
  <si>
    <t>冷媒</t>
  </si>
  <si>
    <t>LR3 2</t>
  </si>
  <si>
    <t>LR3 2.3</t>
  </si>
  <si>
    <t>LR3 3</t>
  </si>
  <si>
    <t>LR3 3.1</t>
  </si>
  <si>
    <t>振動</t>
    <rPh sb="0" eb="2">
      <t>ｼﾝﾄﾞｳ</t>
    </rPh>
    <phoneticPr fontId="35" type="noConversion"/>
  </si>
  <si>
    <t>2.1.4</t>
  </si>
  <si>
    <t>ゾーン別制御性</t>
  </si>
  <si>
    <t>2.1.5</t>
  </si>
  <si>
    <t>温度・湿度制御</t>
  </si>
  <si>
    <t>2.1.6</t>
  </si>
  <si>
    <t>個別制御</t>
  </si>
  <si>
    <t>2.1.7</t>
  </si>
  <si>
    <t>時間外空調に対する配慮</t>
  </si>
  <si>
    <t>2.1.8</t>
  </si>
  <si>
    <t>監視システム</t>
  </si>
  <si>
    <t xml:space="preserve"> Q1 2.3</t>
  </si>
  <si>
    <t xml:space="preserve"> Q1 3</t>
  </si>
  <si>
    <t xml:space="preserve"> Q1 3.1</t>
  </si>
  <si>
    <t>昼光率</t>
  </si>
  <si>
    <t>方位別開口</t>
  </si>
  <si>
    <t>昼光利用設備</t>
  </si>
  <si>
    <t xml:space="preserve"> Q1 3.2</t>
  </si>
  <si>
    <t>照明器具のグレア</t>
  </si>
  <si>
    <t>昼光制御</t>
  </si>
  <si>
    <t>3.2.3</t>
  </si>
  <si>
    <t xml:space="preserve"> Q1 3.3</t>
  </si>
  <si>
    <t xml:space="preserve"> Q1 4</t>
  </si>
  <si>
    <t xml:space="preserve"> Q1 4.1</t>
  </si>
  <si>
    <t xml:space="preserve"> 化学汚染物質</t>
  </si>
  <si>
    <t xml:space="preserve"> ダニ・カビ等</t>
  </si>
  <si>
    <t xml:space="preserve"> レジオネラ対策</t>
  </si>
  <si>
    <t xml:space="preserve"> Q1 4.2</t>
  </si>
  <si>
    <t>換気量</t>
  </si>
  <si>
    <t>自然換気性能</t>
  </si>
  <si>
    <t>取り入れ外気への配慮</t>
  </si>
  <si>
    <t xml:space="preserve"> Q1 4.3</t>
  </si>
  <si>
    <t xml:space="preserve"> Q2</t>
  </si>
  <si>
    <t>機能性</t>
  </si>
  <si>
    <t xml:space="preserve"> Q2 1</t>
  </si>
  <si>
    <t>機能性・使いやすさ</t>
    <rPh sb="0" eb="3">
      <t>キノウセイ</t>
    </rPh>
    <rPh sb="4" eb="5">
      <t>ヅカ</t>
    </rPh>
    <phoneticPr fontId="26"/>
  </si>
  <si>
    <t xml:space="preserve"> Q2 1.1</t>
  </si>
  <si>
    <t>広さ・収納性</t>
  </si>
  <si>
    <t>バリアフリー計画</t>
  </si>
  <si>
    <t xml:space="preserve"> Q2 1.2</t>
  </si>
  <si>
    <t>広さ感・景観</t>
  </si>
  <si>
    <t>リフレッシュスペース</t>
  </si>
  <si>
    <t>内装計画</t>
  </si>
  <si>
    <t>1.3.1</t>
  </si>
  <si>
    <t>当該対象区における標準的な計画の得点が３点。ＮＡは評価対象外とした項目を示す。敷地選定に関わる評価は対象外。</t>
    <rPh sb="2" eb="4">
      <t>タイショウ</t>
    </rPh>
    <rPh sb="4" eb="5">
      <t>ク</t>
    </rPh>
    <rPh sb="9" eb="11">
      <t>ヒョウジュン</t>
    </rPh>
    <rPh sb="13" eb="15">
      <t>ケイカク</t>
    </rPh>
    <phoneticPr fontId="26"/>
  </si>
  <si>
    <t>注2：</t>
    <rPh sb="0" eb="1">
      <t>チュウ</t>
    </rPh>
    <phoneticPr fontId="26"/>
  </si>
  <si>
    <t>Qは、環境品質・性能（Q）のスコアSQ(Q-1、Q-2、Q-3のスコアにそれぞれの重み係数を乗じた合計値）から算定。</t>
    <rPh sb="41" eb="42">
      <t>オモ</t>
    </rPh>
    <rPh sb="43" eb="45">
      <t>ケイスウ</t>
    </rPh>
    <rPh sb="46" eb="47">
      <t>ジョウ</t>
    </rPh>
    <rPh sb="49" eb="52">
      <t>ゴウケイチ</t>
    </rPh>
    <rPh sb="55" eb="57">
      <t>サンテイ</t>
    </rPh>
    <phoneticPr fontId="26"/>
  </si>
  <si>
    <t>Lは、環境負荷低減性（LR)のスコアSLR（LR-1、LR-2、LR-3のスコアにそれぞれの重み係数を乗じた合計値）から算定。</t>
    <rPh sb="3" eb="5">
      <t>カンキョウ</t>
    </rPh>
    <rPh sb="5" eb="7">
      <t>フカ</t>
    </rPh>
    <rPh sb="7" eb="9">
      <t>テイゲン</t>
    </rPh>
    <rPh sb="9" eb="10">
      <t>セイ</t>
    </rPh>
    <rPh sb="46" eb="47">
      <t>オモ</t>
    </rPh>
    <rPh sb="48" eb="50">
      <t>ケイスウ</t>
    </rPh>
    <rPh sb="51" eb="52">
      <t>ジョウ</t>
    </rPh>
    <rPh sb="54" eb="57">
      <t>ゴウケイチ</t>
    </rPh>
    <rPh sb="60" eb="62">
      <t>サンテイ</t>
    </rPh>
    <phoneticPr fontId="26"/>
  </si>
  <si>
    <t>注3：</t>
    <rPh sb="0" eb="1">
      <t>チュウ</t>
    </rPh>
    <phoneticPr fontId="26"/>
  </si>
  <si>
    <t>建物全体・共用部分</t>
    <rPh sb="0" eb="2">
      <t>タテモノ</t>
    </rPh>
    <rPh sb="2" eb="4">
      <t>ゼンタイ</t>
    </rPh>
    <rPh sb="5" eb="7">
      <t>キョウヨウ</t>
    </rPh>
    <rPh sb="7" eb="9">
      <t>ブブン</t>
    </rPh>
    <phoneticPr fontId="26"/>
  </si>
  <si>
    <t>住居・宿泊部分</t>
    <rPh sb="0" eb="2">
      <t>ジュウキョ</t>
    </rPh>
    <rPh sb="3" eb="5">
      <t>シュクハク</t>
    </rPh>
    <rPh sb="5" eb="7">
      <t>ブブン</t>
    </rPh>
    <phoneticPr fontId="26"/>
  </si>
  <si>
    <t>建物全体</t>
    <rPh sb="0" eb="2">
      <t>タテモノ</t>
    </rPh>
    <rPh sb="2" eb="4">
      <t>ゼンタイ</t>
    </rPh>
    <phoneticPr fontId="26"/>
  </si>
  <si>
    <t>住居宿泊</t>
    <rPh sb="0" eb="2">
      <t>ジュウキョ</t>
    </rPh>
    <rPh sb="2" eb="4">
      <t>シュクハク</t>
    </rPh>
    <phoneticPr fontId="26"/>
  </si>
  <si>
    <t>―</t>
    <phoneticPr fontId="26"/>
  </si>
  <si>
    <t>地球温暖化への配慮</t>
    <rPh sb="0" eb="2">
      <t>チキュウ</t>
    </rPh>
    <rPh sb="2" eb="5">
      <t>オンダンカ</t>
    </rPh>
    <rPh sb="7" eb="9">
      <t>ハイリョ</t>
    </rPh>
    <phoneticPr fontId="26"/>
  </si>
  <si>
    <t>自然ｴﾈﾙｷﾞｰ</t>
    <rPh sb="0" eb="2">
      <t>シゼン</t>
    </rPh>
    <phoneticPr fontId="26"/>
  </si>
  <si>
    <t>非再生性材料の削減</t>
    <rPh sb="0" eb="1">
      <t>ヒ</t>
    </rPh>
    <rPh sb="1" eb="3">
      <t>サイセイ</t>
    </rPh>
    <rPh sb="3" eb="4">
      <t>セイ</t>
    </rPh>
    <rPh sb="4" eb="6">
      <t>ザイリョウ</t>
    </rPh>
    <rPh sb="7" eb="9">
      <t>サクゲン</t>
    </rPh>
    <phoneticPr fontId="26"/>
  </si>
  <si>
    <t>地域環境への配慮</t>
    <rPh sb="0" eb="2">
      <t>チイキ</t>
    </rPh>
    <rPh sb="2" eb="4">
      <t>カンキョウ</t>
    </rPh>
    <rPh sb="6" eb="8">
      <t>ハイリョ</t>
    </rPh>
    <phoneticPr fontId="26"/>
  </si>
  <si>
    <t>設備の効率的利用</t>
    <rPh sb="0" eb="2">
      <t>セツビ</t>
    </rPh>
    <rPh sb="3" eb="5">
      <t>コウリツ</t>
    </rPh>
    <rPh sb="5" eb="6">
      <t>テキ</t>
    </rPh>
    <rPh sb="6" eb="8">
      <t>リヨウ</t>
    </rPh>
    <phoneticPr fontId="26"/>
  </si>
  <si>
    <t>汚染物質回避</t>
    <rPh sb="0" eb="2">
      <t>オセン</t>
    </rPh>
    <rPh sb="2" eb="4">
      <t>ブッシツ</t>
    </rPh>
    <rPh sb="4" eb="6">
      <t>カイヒ</t>
    </rPh>
    <phoneticPr fontId="26"/>
  </si>
  <si>
    <t>周辺環境への配慮</t>
    <rPh sb="0" eb="2">
      <t>シュウヘン</t>
    </rPh>
    <rPh sb="2" eb="4">
      <t>カンキョウ</t>
    </rPh>
    <rPh sb="6" eb="8">
      <t>ハイリョ</t>
    </rPh>
    <phoneticPr fontId="26"/>
  </si>
  <si>
    <t>運用ﾏﾈｼﾞﾒﾝﾄ</t>
    <rPh sb="0" eb="2">
      <t>ウンヨウ</t>
    </rPh>
    <phoneticPr fontId="26"/>
  </si>
  <si>
    <r>
      <t>（</t>
    </r>
    <r>
      <rPr>
        <b/>
        <sz val="12"/>
        <color indexed="9"/>
        <rFont val="Arial"/>
        <family val="2"/>
      </rPr>
      <t>3</t>
    </r>
    <r>
      <rPr>
        <b/>
        <sz val="12"/>
        <color indexed="9"/>
        <rFont val="ＭＳ Ｐゴシック"/>
        <family val="3"/>
        <charset val="128"/>
      </rPr>
      <t>）　建築物の総合的な環境性能とは別枠の重要評価項目</t>
    </r>
    <rPh sb="4" eb="7">
      <t>ｹﾝﾁｸﾌﾞﾂ</t>
    </rPh>
    <rPh sb="8" eb="10">
      <t>ｿｳｺﾞｳ</t>
    </rPh>
    <rPh sb="10" eb="11">
      <t>ﾃｷ</t>
    </rPh>
    <rPh sb="12" eb="14">
      <t>ｶﾝｷｮｳ</t>
    </rPh>
    <rPh sb="14" eb="16">
      <t>ｾｲﾉｳ</t>
    </rPh>
    <rPh sb="18" eb="20">
      <t>ﾍﾞﾂﾜｸ</t>
    </rPh>
    <rPh sb="21" eb="23">
      <t>ｼﾞｭｳﾖｳ</t>
    </rPh>
    <rPh sb="23" eb="25">
      <t>ﾋｮｳｶ</t>
    </rPh>
    <rPh sb="25" eb="27">
      <t>ｺｳﾓｸ</t>
    </rPh>
    <phoneticPr fontId="35" type="noConversion"/>
  </si>
  <si>
    <t>注3</t>
    <rPh sb="0" eb="1">
      <t>チュウ</t>
    </rPh>
    <phoneticPr fontId="26"/>
  </si>
  <si>
    <t>心理性・快適性</t>
    <rPh sb="0" eb="1">
      <t>ｺｺﾛ</t>
    </rPh>
    <rPh sb="1" eb="3">
      <t>ﾘｾｲ</t>
    </rPh>
    <rPh sb="4" eb="7">
      <t>ｶｲﾃｷｾｲ</t>
    </rPh>
    <phoneticPr fontId="35" type="noConversion"/>
  </si>
  <si>
    <t xml:space="preserve">Dr-30 </t>
  </si>
  <si>
    <t>Dr-35</t>
  </si>
  <si>
    <t>Dr-40</t>
  </si>
  <si>
    <t>物</t>
    <rPh sb="0" eb="1">
      <t>モノ</t>
    </rPh>
    <phoneticPr fontId="26"/>
  </si>
  <si>
    <t>4.1.1</t>
    <phoneticPr fontId="26"/>
  </si>
  <si>
    <t>4.1.2</t>
    <phoneticPr fontId="26"/>
  </si>
  <si>
    <t>4.1.3</t>
    <phoneticPr fontId="26"/>
  </si>
  <si>
    <t>4.1.4</t>
    <phoneticPr fontId="26"/>
  </si>
  <si>
    <t>4.2.1</t>
    <phoneticPr fontId="26"/>
  </si>
  <si>
    <t>4.2.2</t>
    <phoneticPr fontId="26"/>
  </si>
  <si>
    <t>4.2.3</t>
    <phoneticPr fontId="26"/>
  </si>
  <si>
    <t>4.2.4</t>
    <phoneticPr fontId="26"/>
  </si>
  <si>
    <t>給気計画</t>
    <phoneticPr fontId="26"/>
  </si>
  <si>
    <t>4.3.1</t>
    <phoneticPr fontId="26"/>
  </si>
  <si>
    <t>CO2の監視</t>
    <phoneticPr fontId="26"/>
  </si>
  <si>
    <t>4.3.2</t>
    <phoneticPr fontId="26"/>
  </si>
  <si>
    <t>喫煙の制御</t>
    <phoneticPr fontId="26"/>
  </si>
  <si>
    <t>Q2</t>
    <phoneticPr fontId="26"/>
  </si>
  <si>
    <t>1.1.1</t>
    <phoneticPr fontId="26"/>
  </si>
  <si>
    <t>1.1.2</t>
    <phoneticPr fontId="26"/>
  </si>
  <si>
    <t>高度情報通信設備対応</t>
    <phoneticPr fontId="26"/>
  </si>
  <si>
    <t>1.1.3</t>
    <phoneticPr fontId="26"/>
  </si>
  <si>
    <t>1.2.1</t>
    <phoneticPr fontId="26"/>
  </si>
  <si>
    <t>1.2.2</t>
    <phoneticPr fontId="26"/>
  </si>
  <si>
    <t>1.2.3</t>
    <phoneticPr fontId="26"/>
  </si>
  <si>
    <t xml:space="preserve"> Q2 1.3</t>
    <phoneticPr fontId="26"/>
  </si>
  <si>
    <t>0</t>
    <phoneticPr fontId="26"/>
  </si>
  <si>
    <t>2.1.1</t>
    <phoneticPr fontId="26"/>
  </si>
  <si>
    <t>2.1.2</t>
    <phoneticPr fontId="26"/>
  </si>
  <si>
    <t>2.1.2</t>
    <phoneticPr fontId="26"/>
  </si>
  <si>
    <t>2.2.1</t>
    <phoneticPr fontId="26"/>
  </si>
  <si>
    <t>2.2.1</t>
    <phoneticPr fontId="26"/>
  </si>
  <si>
    <t>2.2.2</t>
    <phoneticPr fontId="26"/>
  </si>
  <si>
    <t>2.2.3</t>
    <phoneticPr fontId="26"/>
  </si>
  <si>
    <t>2.2.4</t>
    <phoneticPr fontId="26"/>
  </si>
  <si>
    <t>2.2.4</t>
    <phoneticPr fontId="26"/>
  </si>
  <si>
    <t>2.2.5</t>
    <phoneticPr fontId="26"/>
  </si>
  <si>
    <t>2.2.5</t>
    <phoneticPr fontId="26"/>
  </si>
  <si>
    <t>2.2.6</t>
    <phoneticPr fontId="26"/>
  </si>
  <si>
    <t xml:space="preserve"> Q2 2</t>
    <phoneticPr fontId="26"/>
  </si>
  <si>
    <t>2.3.1</t>
    <phoneticPr fontId="26"/>
  </si>
  <si>
    <t xml:space="preserve"> Q2 2.3</t>
    <phoneticPr fontId="26"/>
  </si>
  <si>
    <t>2.3.1</t>
    <phoneticPr fontId="26"/>
  </si>
  <si>
    <t>2.3.2</t>
    <phoneticPr fontId="26"/>
  </si>
  <si>
    <t xml:space="preserve"> Q2 2.3</t>
    <phoneticPr fontId="26"/>
  </si>
  <si>
    <t>備考　　　　注1：</t>
    <rPh sb="6" eb="7">
      <t>チュウ</t>
    </rPh>
    <phoneticPr fontId="26"/>
  </si>
  <si>
    <t>1.2.1</t>
    <phoneticPr fontId="26"/>
  </si>
  <si>
    <t>雨水利用システム導入の有無</t>
    <phoneticPr fontId="26"/>
  </si>
  <si>
    <t>1.2.2</t>
    <phoneticPr fontId="26"/>
  </si>
  <si>
    <t>2.1</t>
    <phoneticPr fontId="26"/>
  </si>
  <si>
    <t>2.1</t>
    <phoneticPr fontId="26"/>
  </si>
  <si>
    <t>2.2</t>
    <phoneticPr fontId="26"/>
  </si>
  <si>
    <t>2.2</t>
    <phoneticPr fontId="26"/>
  </si>
  <si>
    <t>2.3</t>
    <phoneticPr fontId="26"/>
  </si>
  <si>
    <t>2.3</t>
    <phoneticPr fontId="26"/>
  </si>
  <si>
    <t>2.4</t>
    <phoneticPr fontId="26"/>
  </si>
  <si>
    <t>2.4</t>
    <phoneticPr fontId="26"/>
  </si>
  <si>
    <t>2.5</t>
    <phoneticPr fontId="26"/>
  </si>
  <si>
    <t>持続可能な森林から産出された木材</t>
    <phoneticPr fontId="26"/>
  </si>
  <si>
    <t>2.6</t>
    <phoneticPr fontId="26"/>
  </si>
  <si>
    <t>遮音</t>
    <rPh sb="0" eb="2">
      <t>シャオン</t>
    </rPh>
    <phoneticPr fontId="26"/>
  </si>
  <si>
    <t>-</t>
    <phoneticPr fontId="26"/>
  </si>
  <si>
    <t>-</t>
    <phoneticPr fontId="26"/>
  </si>
  <si>
    <r>
      <t xml:space="preserve">3.3.2 </t>
    </r>
    <r>
      <rPr>
        <b/>
        <sz val="10"/>
        <rFont val="ＭＳ Ｐゴシック"/>
        <family val="3"/>
        <charset val="128"/>
      </rPr>
      <t>照度均斉度</t>
    </r>
    <rPh sb="6" eb="8">
      <t>ショウド</t>
    </rPh>
    <rPh sb="8" eb="10">
      <t>キンセイ</t>
    </rPh>
    <rPh sb="10" eb="11">
      <t>ド</t>
    </rPh>
    <phoneticPr fontId="26"/>
  </si>
  <si>
    <t>3.3.2</t>
    <phoneticPr fontId="26"/>
  </si>
  <si>
    <t>昼光の建物外壁による反射光（グレア）への対策</t>
    <phoneticPr fontId="35" type="noConversion"/>
  </si>
  <si>
    <t>ON</t>
  </si>
  <si>
    <t>-</t>
    <phoneticPr fontId="26"/>
  </si>
  <si>
    <t>集合住宅以外の評価(3a.3b)</t>
    <rPh sb="0" eb="2">
      <t>シュウゴウ</t>
    </rPh>
    <rPh sb="2" eb="4">
      <t>ジュウタク</t>
    </rPh>
    <rPh sb="4" eb="6">
      <t>イガイ</t>
    </rPh>
    <rPh sb="7" eb="9">
      <t>ヒョウカ</t>
    </rPh>
    <phoneticPr fontId="26"/>
  </si>
  <si>
    <t>集合住宅の評価(3c)</t>
    <rPh sb="0" eb="2">
      <t>シュウゴウ</t>
    </rPh>
    <rPh sb="2" eb="4">
      <t>ジュウタク</t>
    </rPh>
    <rPh sb="5" eb="7">
      <t>ヒョウカ</t>
    </rPh>
    <phoneticPr fontId="26"/>
  </si>
  <si>
    <t>3a.3b</t>
    <phoneticPr fontId="26"/>
  </si>
  <si>
    <t>3b.c</t>
    <phoneticPr fontId="26"/>
  </si>
  <si>
    <t>7) EMS</t>
    <phoneticPr fontId="26"/>
  </si>
  <si>
    <t>-</t>
    <phoneticPr fontId="26"/>
  </si>
  <si>
    <r>
      <t>3.2</t>
    </r>
    <r>
      <rPr>
        <b/>
        <sz val="12"/>
        <rFont val="ＭＳ Ｐゴシック"/>
        <family val="3"/>
        <charset val="128"/>
      </rPr>
      <t>　実績値を用いた総合評価</t>
    </r>
    <phoneticPr fontId="26"/>
  </si>
  <si>
    <t>2</t>
    <phoneticPr fontId="26"/>
  </si>
  <si>
    <t>1</t>
    <phoneticPr fontId="26"/>
  </si>
  <si>
    <t xml:space="preserve">[BPI][BPIm] = </t>
    <phoneticPr fontId="26"/>
  </si>
  <si>
    <t xml:space="preserve">BEI = </t>
    <phoneticPr fontId="26"/>
  </si>
  <si>
    <t>RN使用欄</t>
    <rPh sb="2" eb="4">
      <t>シヨウ</t>
    </rPh>
    <rPh sb="4" eb="5">
      <t>ラン</t>
    </rPh>
    <phoneticPr fontId="26"/>
  </si>
  <si>
    <r>
      <t>2.6.1</t>
    </r>
    <r>
      <rPr>
        <b/>
        <sz val="10"/>
        <rFont val="ＭＳ Ｐゴシック"/>
        <family val="3"/>
        <charset val="128"/>
      </rPr>
      <t>　躯体のリサイクル・リユース</t>
    </r>
    <rPh sb="6" eb="8">
      <t>クタイ</t>
    </rPh>
    <phoneticPr fontId="7"/>
  </si>
  <si>
    <r>
      <t>2.6.2</t>
    </r>
    <r>
      <rPr>
        <b/>
        <sz val="10"/>
        <rFont val="ＭＳ Ｐゴシック"/>
        <family val="3"/>
        <charset val="128"/>
      </rPr>
      <t>　屋根材のリサイクル・リユース</t>
    </r>
    <rPh sb="6" eb="8">
      <t>ヤネ</t>
    </rPh>
    <rPh sb="8" eb="9">
      <t>ザイ</t>
    </rPh>
    <phoneticPr fontId="7"/>
  </si>
  <si>
    <r>
      <t>2.6.3</t>
    </r>
    <r>
      <rPr>
        <b/>
        <sz val="10"/>
        <rFont val="ＭＳ Ｐゴシック"/>
        <family val="3"/>
        <charset val="128"/>
      </rPr>
      <t>　外壁材のリサイクル・リユース</t>
    </r>
    <rPh sb="6" eb="8">
      <t>ガイヘキ</t>
    </rPh>
    <rPh sb="8" eb="9">
      <t>ザイ</t>
    </rPh>
    <phoneticPr fontId="26"/>
  </si>
  <si>
    <r>
      <t>2.6.4</t>
    </r>
    <r>
      <rPr>
        <b/>
        <sz val="10"/>
        <rFont val="ＭＳ Ｐゴシック"/>
        <family val="3"/>
        <charset val="128"/>
      </rPr>
      <t>　内装材のリサイクル・リユース</t>
    </r>
    <rPh sb="6" eb="8">
      <t>ナイソウ</t>
    </rPh>
    <rPh sb="8" eb="9">
      <t>ザイ</t>
    </rPh>
    <phoneticPr fontId="7"/>
  </si>
  <si>
    <r>
      <t>2.6.5</t>
    </r>
    <r>
      <rPr>
        <b/>
        <sz val="10"/>
        <rFont val="ＭＳ Ｐゴシック"/>
        <family val="3"/>
        <charset val="128"/>
      </rPr>
      <t>　設備機器のリサイクル・リユース</t>
    </r>
    <rPh sb="6" eb="8">
      <t>セツビ</t>
    </rPh>
    <rPh sb="8" eb="10">
      <t>キキ</t>
    </rPh>
    <phoneticPr fontId="7"/>
  </si>
  <si>
    <r>
      <t>2.6.6</t>
    </r>
    <r>
      <rPr>
        <b/>
        <sz val="10"/>
        <rFont val="ＭＳ Ｐゴシック"/>
        <family val="3"/>
        <charset val="128"/>
      </rPr>
      <t>　外構資材のリユース</t>
    </r>
    <rPh sb="6" eb="8">
      <t>ガイコウ</t>
    </rPh>
    <rPh sb="8" eb="10">
      <t>シザイ</t>
    </rPh>
    <phoneticPr fontId="7"/>
  </si>
  <si>
    <t>廃棄物発生量の最小化</t>
    <phoneticPr fontId="26"/>
  </si>
  <si>
    <t>2.6.1</t>
    <phoneticPr fontId="26"/>
  </si>
  <si>
    <t>2.6.2</t>
  </si>
  <si>
    <t>2.6.3</t>
  </si>
  <si>
    <t>2.6.4</t>
  </si>
  <si>
    <t>2.6.5</t>
  </si>
  <si>
    <t>2.6.6</t>
  </si>
  <si>
    <t>TC</t>
    <phoneticPr fontId="26"/>
  </si>
  <si>
    <t>NC</t>
    <phoneticPr fontId="26"/>
  </si>
  <si>
    <t>EB</t>
    <phoneticPr fontId="26"/>
  </si>
  <si>
    <t>部材の再利用可能性向上への取組み（TC)</t>
    <rPh sb="9" eb="11">
      <t>コウジョウ</t>
    </rPh>
    <rPh sb="13" eb="15">
      <t>トリク</t>
    </rPh>
    <phoneticPr fontId="26"/>
  </si>
  <si>
    <t>2.6.1</t>
    <phoneticPr fontId="26"/>
  </si>
  <si>
    <t>LR2 2.2</t>
    <phoneticPr fontId="26"/>
  </si>
  <si>
    <t>躯体のリサイクル・リユース</t>
  </si>
  <si>
    <t>躯体のリサイクル・リユース</t>
    <phoneticPr fontId="26"/>
  </si>
  <si>
    <t>屋根材のリサイクル・リユース</t>
  </si>
  <si>
    <t>屋根材のリサイクル・リユース</t>
    <phoneticPr fontId="26"/>
  </si>
  <si>
    <t>外壁材のリサイクル・リユース</t>
  </si>
  <si>
    <t>外壁材のリサイクル・リユース</t>
    <phoneticPr fontId="26"/>
  </si>
  <si>
    <t>内装材のリサイクル・リユース</t>
  </si>
  <si>
    <t>内装材のリサイクル・リユース</t>
    <phoneticPr fontId="26"/>
  </si>
  <si>
    <t>設備機器のリサイクル・リユース</t>
  </si>
  <si>
    <t>設備機器のリサイクル・リユース</t>
    <phoneticPr fontId="26"/>
  </si>
  <si>
    <t>外構資材のリユース</t>
  </si>
  <si>
    <t>外構資材のリユース</t>
    <phoneticPr fontId="26"/>
  </si>
  <si>
    <t>LR2 2</t>
    <phoneticPr fontId="26"/>
  </si>
  <si>
    <t>３．短期使用</t>
    <rPh sb="2" eb="4">
      <t>タンキ</t>
    </rPh>
    <rPh sb="4" eb="6">
      <t>シヨウ</t>
    </rPh>
    <phoneticPr fontId="26"/>
  </si>
  <si>
    <t>短期使用</t>
    <rPh sb="0" eb="2">
      <t>タンキ</t>
    </rPh>
    <rPh sb="2" eb="4">
      <t>シヨウ</t>
    </rPh>
    <phoneticPr fontId="26"/>
  </si>
  <si>
    <t>3</t>
    <phoneticPr fontId="26"/>
  </si>
  <si>
    <r>
      <rPr>
        <sz val="10"/>
        <color rgb="FFFF0000"/>
        <rFont val="ＭＳ Ｐゴシック"/>
        <family val="3"/>
        <charset val="128"/>
      </rPr>
      <t>※　運用期間が</t>
    </r>
    <r>
      <rPr>
        <sz val="10"/>
        <color rgb="FFFF0000"/>
        <rFont val="Arial"/>
        <family val="2"/>
      </rPr>
      <t>1</t>
    </r>
    <r>
      <rPr>
        <sz val="10"/>
        <color rgb="FFFF0000"/>
        <rFont val="ＭＳ Ｐゴシック"/>
        <family val="3"/>
        <charset val="128"/>
      </rPr>
      <t>年未満の場合、直接入力により対象外を選択します。</t>
    </r>
    <rPh sb="15" eb="17">
      <t>チョクセツ</t>
    </rPh>
    <rPh sb="17" eb="19">
      <t>ニュウリョク</t>
    </rPh>
    <rPh sb="22" eb="24">
      <t>タイショウ</t>
    </rPh>
    <rPh sb="24" eb="25">
      <t>ガイ</t>
    </rPh>
    <rPh sb="26" eb="28">
      <t>センタク</t>
    </rPh>
    <phoneticPr fontId="26"/>
  </si>
  <si>
    <r>
      <rPr>
        <sz val="10"/>
        <color rgb="FFFF0000"/>
        <rFont val="ＭＳ Ｐゴシック"/>
        <family val="3"/>
        <charset val="128"/>
      </rPr>
      <t>※　運用期間が</t>
    </r>
    <r>
      <rPr>
        <sz val="10"/>
        <color rgb="FFFF0000"/>
        <rFont val="Arial"/>
        <family val="2"/>
      </rPr>
      <t>1</t>
    </r>
    <r>
      <rPr>
        <sz val="10"/>
        <color rgb="FFFF0000"/>
        <rFont val="ＭＳ Ｐゴシック"/>
        <family val="3"/>
        <charset val="128"/>
      </rPr>
      <t>年未満の場合、</t>
    </r>
    <r>
      <rPr>
        <sz val="10"/>
        <color rgb="FFFF0000"/>
        <rFont val="Arial"/>
        <family val="2"/>
      </rPr>
      <t>[BEI][BEIm]</t>
    </r>
    <r>
      <rPr>
        <sz val="10"/>
        <color rgb="FFFF0000"/>
        <rFont val="ＭＳ Ｐゴシック"/>
        <family val="3"/>
        <charset val="128"/>
      </rPr>
      <t>を</t>
    </r>
    <r>
      <rPr>
        <sz val="10"/>
        <color rgb="FFFF0000"/>
        <rFont val="Arial"/>
        <family val="2"/>
      </rPr>
      <t>[BEI</t>
    </r>
    <r>
      <rPr>
        <vertAlign val="superscript"/>
        <sz val="10"/>
        <color rgb="FFFF0000"/>
        <rFont val="Arial"/>
        <family val="2"/>
      </rPr>
      <t>TC</t>
    </r>
    <r>
      <rPr>
        <sz val="10"/>
        <color rgb="FFFF0000"/>
        <rFont val="Arial"/>
        <family val="2"/>
      </rPr>
      <t>]</t>
    </r>
    <r>
      <rPr>
        <sz val="10"/>
        <color rgb="FFFF0000"/>
        <rFont val="ＭＳ Ｐゴシック"/>
        <family val="3"/>
        <charset val="128"/>
      </rPr>
      <t>と読み替えて評価します。</t>
    </r>
    <rPh sb="35" eb="36">
      <t>ヨ</t>
    </rPh>
    <rPh sb="37" eb="38">
      <t>カ</t>
    </rPh>
    <rPh sb="40" eb="42">
      <t>ヒョウカ</t>
    </rPh>
    <phoneticPr fontId="26"/>
  </si>
  <si>
    <t>耐震･免震・制震・制振</t>
    <rPh sb="0" eb="2">
      <t>タイシン</t>
    </rPh>
    <rPh sb="3" eb="5">
      <t>メンシン</t>
    </rPh>
    <rPh sb="6" eb="8">
      <t>セイシン</t>
    </rPh>
    <rPh sb="9" eb="11">
      <t>セイシン</t>
    </rPh>
    <phoneticPr fontId="26"/>
  </si>
  <si>
    <t>免震・制震・制振性能</t>
    <rPh sb="8" eb="10">
      <t>セイノウ</t>
    </rPh>
    <phoneticPr fontId="26"/>
  </si>
  <si>
    <t>免震・制震・制振性能</t>
    <rPh sb="0" eb="2">
      <t>メンシン</t>
    </rPh>
    <rPh sb="3" eb="5">
      <t>セイシン</t>
    </rPh>
    <rPh sb="6" eb="8">
      <t>セイシン</t>
    </rPh>
    <rPh sb="8" eb="10">
      <t>セイノウ</t>
    </rPh>
    <phoneticPr fontId="26"/>
  </si>
  <si>
    <t>耐震性(建物のこわれにくさ)</t>
    <rPh sb="0" eb="3">
      <t>タイシンセイ</t>
    </rPh>
    <rPh sb="4" eb="6">
      <t>タテモノ</t>
    </rPh>
    <phoneticPr fontId="26"/>
  </si>
  <si>
    <t>室内騒音レベル</t>
    <rPh sb="0" eb="2">
      <t>シツナイ</t>
    </rPh>
    <phoneticPr fontId="26"/>
  </si>
  <si>
    <t>IS</t>
    <phoneticPr fontId="26"/>
  </si>
  <si>
    <t>インテリア</t>
    <phoneticPr fontId="26"/>
  </si>
  <si>
    <r>
      <t>CASBEE-短期使用</t>
    </r>
    <r>
      <rPr>
        <sz val="9"/>
        <rFont val="Arial"/>
        <family val="2"/>
      </rPr>
      <t>2016</t>
    </r>
    <r>
      <rPr>
        <sz val="9"/>
        <rFont val="ＭＳ Ｐゴシック"/>
        <family val="3"/>
        <charset val="128"/>
      </rPr>
      <t>年版</t>
    </r>
    <rPh sb="7" eb="9">
      <t>タンキ</t>
    </rPh>
    <rPh sb="9" eb="11">
      <t>シヨウ</t>
    </rPh>
    <rPh sb="15" eb="16">
      <t>ネン</t>
    </rPh>
    <rPh sb="16" eb="17">
      <t>バン</t>
    </rPh>
    <phoneticPr fontId="26"/>
  </si>
  <si>
    <r>
      <t>CASBEE-</t>
    </r>
    <r>
      <rPr>
        <sz val="9"/>
        <rFont val="ＭＳ Ｐゴシック"/>
        <family val="3"/>
        <charset val="128"/>
      </rPr>
      <t>建築</t>
    </r>
    <r>
      <rPr>
        <sz val="9"/>
        <rFont val="Arial"/>
        <family val="2"/>
      </rPr>
      <t>(</t>
    </r>
    <r>
      <rPr>
        <sz val="9"/>
        <rFont val="ＭＳ Ｐゴシック"/>
        <family val="3"/>
        <charset val="128"/>
      </rPr>
      <t>既存</t>
    </r>
    <r>
      <rPr>
        <sz val="9"/>
        <rFont val="Arial"/>
        <family val="2"/>
      </rPr>
      <t>)2016</t>
    </r>
    <r>
      <rPr>
        <sz val="9"/>
        <rFont val="ＭＳ Ｐゴシック"/>
        <family val="3"/>
        <charset val="128"/>
      </rPr>
      <t>年版</t>
    </r>
    <rPh sb="7" eb="9">
      <t>ケンチク</t>
    </rPh>
    <rPh sb="10" eb="12">
      <t>キゾン</t>
    </rPh>
    <rPh sb="17" eb="18">
      <t>ネン</t>
    </rPh>
    <rPh sb="18" eb="19">
      <t>バン</t>
    </rPh>
    <phoneticPr fontId="26"/>
  </si>
  <si>
    <r>
      <t>CASBEE-</t>
    </r>
    <r>
      <rPr>
        <sz val="9"/>
        <rFont val="ＭＳ Ｐゴシック"/>
        <family val="3"/>
        <charset val="128"/>
      </rPr>
      <t>ｲﾝﾃﾘｱｽﾍﾟｰｽ</t>
    </r>
    <r>
      <rPr>
        <sz val="9"/>
        <rFont val="Arial"/>
        <family val="2"/>
      </rPr>
      <t>2016</t>
    </r>
    <r>
      <rPr>
        <sz val="9"/>
        <rFont val="ＭＳ Ｐゴシック"/>
        <family val="3"/>
        <charset val="128"/>
      </rPr>
      <t>年版</t>
    </r>
    <rPh sb="21" eb="22">
      <t>ネン</t>
    </rPh>
    <rPh sb="22" eb="23">
      <t>バン</t>
    </rPh>
    <phoneticPr fontId="26"/>
  </si>
  <si>
    <t>XXX</t>
    <phoneticPr fontId="26"/>
  </si>
  <si>
    <t>豊かな室外環境</t>
    <rPh sb="0" eb="1">
      <t>ﾕﾀ</t>
    </rPh>
    <rPh sb="3" eb="5">
      <t>ｼﾂｶﾞｲ</t>
    </rPh>
    <rPh sb="5" eb="7">
      <t>ｶﾝｷｮｳ</t>
    </rPh>
    <phoneticPr fontId="35" type="noConversion"/>
  </si>
  <si>
    <t>知的生産性向上の取組み</t>
    <rPh sb="0" eb="7">
      <t>チテキセイサンセイコウジョウ</t>
    </rPh>
    <rPh sb="8" eb="10">
      <t>トリクミ</t>
    </rPh>
    <phoneticPr fontId="26"/>
  </si>
  <si>
    <t>知的生産性向上の取組み</t>
    <rPh sb="0" eb="2">
      <t>チテキ</t>
    </rPh>
    <rPh sb="2" eb="5">
      <t>セイサンセイ</t>
    </rPh>
    <rPh sb="5" eb="7">
      <t>コウジョウ</t>
    </rPh>
    <rPh sb="8" eb="10">
      <t>トリクミ</t>
    </rPh>
    <phoneticPr fontId="26"/>
  </si>
  <si>
    <t>（天井高）</t>
    <rPh sb="1" eb="3">
      <t>テンジョウ</t>
    </rPh>
    <rPh sb="3" eb="4">
      <t>ダカ</t>
    </rPh>
    <phoneticPr fontId="26"/>
  </si>
  <si>
    <t>（窓の配置）</t>
    <rPh sb="1" eb="2">
      <t>マド</t>
    </rPh>
    <rPh sb="3" eb="5">
      <t>ハイチ</t>
    </rPh>
    <phoneticPr fontId="26"/>
  </si>
  <si>
    <t>広さ感・景観（天井高）</t>
    <rPh sb="7" eb="9">
      <t>テンジョウ</t>
    </rPh>
    <rPh sb="9" eb="10">
      <t>ダカ</t>
    </rPh>
    <phoneticPr fontId="26"/>
  </si>
  <si>
    <t>広さ感・景観（窓）</t>
    <rPh sb="7" eb="8">
      <t>マド</t>
    </rPh>
    <phoneticPr fontId="26"/>
  </si>
  <si>
    <t>1.2.2</t>
  </si>
  <si>
    <t>1.2.3</t>
  </si>
  <si>
    <t>1.2.4</t>
  </si>
  <si>
    <t>1.2.5</t>
  </si>
  <si>
    <t>豊かな室外環境</t>
    <rPh sb="0" eb="1">
      <t>ユタ</t>
    </rPh>
    <rPh sb="3" eb="5">
      <t>シツガイ</t>
    </rPh>
    <rPh sb="5" eb="7">
      <t>カンキョウ</t>
    </rPh>
    <phoneticPr fontId="26"/>
  </si>
  <si>
    <t>2.3.4</t>
    <phoneticPr fontId="26"/>
  </si>
  <si>
    <t>空調方式（新築）</t>
    <rPh sb="0" eb="2">
      <t>クウチョウ</t>
    </rPh>
    <rPh sb="2" eb="4">
      <t>ホウシキ</t>
    </rPh>
    <rPh sb="5" eb="7">
      <t>シンチク</t>
    </rPh>
    <phoneticPr fontId="26"/>
  </si>
  <si>
    <t>空調方式（既存）</t>
    <rPh sb="0" eb="2">
      <t>クウチョウ</t>
    </rPh>
    <rPh sb="2" eb="4">
      <t>ホウシキ</t>
    </rPh>
    <rPh sb="5" eb="7">
      <t>キゾン</t>
    </rPh>
    <phoneticPr fontId="26"/>
  </si>
  <si>
    <r>
      <rPr>
        <sz val="9"/>
        <rFont val="ＭＳ Ｐゴシック"/>
        <family val="3"/>
        <charset val="128"/>
      </rPr>
      <t>採点シートの
採点結果</t>
    </r>
    <rPh sb="0" eb="2">
      <t>サイテン</t>
    </rPh>
    <rPh sb="7" eb="9">
      <t>サイテン</t>
    </rPh>
    <rPh sb="9" eb="11">
      <t>ケッカ</t>
    </rPh>
    <phoneticPr fontId="26"/>
  </si>
  <si>
    <r>
      <rPr>
        <sz val="9"/>
        <rFont val="ＭＳ Ｐゴシック"/>
        <family val="3"/>
        <charset val="128"/>
      </rPr>
      <t>建物全体</t>
    </r>
    <rPh sb="0" eb="2">
      <t>タテモノ</t>
    </rPh>
    <rPh sb="2" eb="4">
      <t>ゼンタイ</t>
    </rPh>
    <phoneticPr fontId="26"/>
  </si>
  <si>
    <r>
      <rPr>
        <sz val="9"/>
        <rFont val="ＭＳ Ｐゴシック"/>
        <family val="3"/>
        <charset val="128"/>
      </rPr>
      <t>住居宿泊</t>
    </r>
    <rPh sb="0" eb="2">
      <t>ジュウキョ</t>
    </rPh>
    <rPh sb="2" eb="4">
      <t>シュクハク</t>
    </rPh>
    <phoneticPr fontId="26"/>
  </si>
  <si>
    <t>年間使用時間</t>
    <rPh sb="0" eb="2">
      <t>ネンカン</t>
    </rPh>
    <rPh sb="2" eb="4">
      <t>シヨウ</t>
    </rPh>
    <rPh sb="4" eb="6">
      <t>ジカン</t>
    </rPh>
    <phoneticPr fontId="26"/>
  </si>
  <si>
    <t>日平均使用時間</t>
    <rPh sb="0" eb="1">
      <t>ニチ</t>
    </rPh>
    <rPh sb="1" eb="3">
      <t>ヘイキン</t>
    </rPh>
    <rPh sb="3" eb="5">
      <t>シヨウ</t>
    </rPh>
    <rPh sb="5" eb="7">
      <t>ジカン</t>
    </rPh>
    <phoneticPr fontId="26"/>
  </si>
  <si>
    <t>No.1</t>
    <phoneticPr fontId="26"/>
  </si>
  <si>
    <t>No.2</t>
  </si>
  <si>
    <t>No.3</t>
  </si>
  <si>
    <t>No.4</t>
  </si>
  <si>
    <t>No.5</t>
  </si>
  <si>
    <t>No.6</t>
  </si>
  <si>
    <t>No.7</t>
  </si>
  <si>
    <t>No.8</t>
  </si>
  <si>
    <t>No.9</t>
  </si>
  <si>
    <t>No.10</t>
  </si>
  <si>
    <t>No.11</t>
  </si>
  <si>
    <t>No.12</t>
  </si>
  <si>
    <t>No.13</t>
  </si>
  <si>
    <t>No.14</t>
  </si>
  <si>
    <r>
      <t xml:space="preserve">1.3.1 </t>
    </r>
    <r>
      <rPr>
        <b/>
        <sz val="10"/>
        <color theme="8" tint="-0.249977111117893"/>
        <rFont val="ＭＳ Ｐゴシック"/>
        <family val="3"/>
        <charset val="128"/>
      </rPr>
      <t>総合的な取組み</t>
    </r>
    <rPh sb="6" eb="9">
      <t>ソウゴウテキ</t>
    </rPh>
    <rPh sb="10" eb="11">
      <t>ト</t>
    </rPh>
    <rPh sb="11" eb="12">
      <t>ク</t>
    </rPh>
    <phoneticPr fontId="26"/>
  </si>
  <si>
    <t>3.3.2</t>
    <phoneticPr fontId="26"/>
  </si>
  <si>
    <t>3.3</t>
    <phoneticPr fontId="26"/>
  </si>
  <si>
    <t>-</t>
    <phoneticPr fontId="26"/>
  </si>
  <si>
    <t>-</t>
    <phoneticPr fontId="26"/>
  </si>
  <si>
    <t>-</t>
    <phoneticPr fontId="26"/>
  </si>
  <si>
    <t>3.2.3</t>
    <phoneticPr fontId="26"/>
  </si>
  <si>
    <t>3.2.1</t>
    <phoneticPr fontId="26"/>
  </si>
  <si>
    <t>風害の抑制</t>
    <phoneticPr fontId="35" type="noConversion"/>
  </si>
  <si>
    <t>風害・砂塵、日照阻害の抑制</t>
    <phoneticPr fontId="35" type="noConversion"/>
  </si>
  <si>
    <t>風害、日照阻害の抑制</t>
    <phoneticPr fontId="35" type="noConversion"/>
  </si>
  <si>
    <t>-</t>
    <phoneticPr fontId="26"/>
  </si>
  <si>
    <t>-</t>
    <phoneticPr fontId="26"/>
  </si>
  <si>
    <t>3.1.3</t>
    <phoneticPr fontId="26"/>
  </si>
  <si>
    <t>-</t>
    <phoneticPr fontId="26"/>
  </si>
  <si>
    <t>-</t>
    <phoneticPr fontId="26"/>
  </si>
  <si>
    <t>温熱環境悪化の改善</t>
    <phoneticPr fontId="26"/>
  </si>
  <si>
    <t>2.2</t>
    <phoneticPr fontId="26"/>
  </si>
  <si>
    <t>2.1</t>
    <phoneticPr fontId="26"/>
  </si>
  <si>
    <t>-</t>
    <phoneticPr fontId="26"/>
  </si>
  <si>
    <t>-</t>
    <phoneticPr fontId="26"/>
  </si>
  <si>
    <t>3.2.1</t>
    <phoneticPr fontId="26"/>
  </si>
  <si>
    <t>消火剤</t>
    <phoneticPr fontId="26"/>
  </si>
  <si>
    <t>3.2</t>
    <phoneticPr fontId="26"/>
  </si>
  <si>
    <t>-</t>
    <phoneticPr fontId="26"/>
  </si>
  <si>
    <t>3.1</t>
    <phoneticPr fontId="26"/>
  </si>
  <si>
    <t>3.1</t>
    <phoneticPr fontId="26"/>
  </si>
  <si>
    <t>LR2 2.2</t>
    <phoneticPr fontId="26"/>
  </si>
  <si>
    <t>2.6.1</t>
    <phoneticPr fontId="26"/>
  </si>
  <si>
    <t>2.6</t>
    <phoneticPr fontId="26"/>
  </si>
  <si>
    <t>-</t>
    <phoneticPr fontId="26"/>
  </si>
  <si>
    <t>雨水利用システム導入の有無</t>
    <phoneticPr fontId="26"/>
  </si>
  <si>
    <t>LR</t>
    <phoneticPr fontId="26"/>
  </si>
  <si>
    <t>LR2</t>
    <phoneticPr fontId="35" type="noConversion"/>
  </si>
  <si>
    <t>4.2.2</t>
    <phoneticPr fontId="26"/>
  </si>
  <si>
    <t>住宅の評価</t>
    <rPh sb="0" eb="2">
      <t>ｼﾞｭｳﾀｸ</t>
    </rPh>
    <rPh sb="3" eb="5">
      <t>ﾋｮｳｶ</t>
    </rPh>
    <phoneticPr fontId="35" type="noConversion"/>
  </si>
  <si>
    <t>集合住宅の評価</t>
    <rPh sb="0" eb="2">
      <t>ｼｭｳｺﾞｳ</t>
    </rPh>
    <rPh sb="2" eb="4">
      <t>ｼﾞｭｳﾀｸ</t>
    </rPh>
    <rPh sb="5" eb="7">
      <t>ﾋｮｳｶ</t>
    </rPh>
    <phoneticPr fontId="35" type="noConversion"/>
  </si>
  <si>
    <t>LR1 4.1</t>
    <phoneticPr fontId="26"/>
  </si>
  <si>
    <t>4.1.1</t>
    <phoneticPr fontId="26"/>
  </si>
  <si>
    <t>住宅以外の評価</t>
    <rPh sb="0" eb="2">
      <t>ｼﾞｭｳﾀｸ</t>
    </rPh>
    <rPh sb="2" eb="4">
      <t>ｲｶﾞｲ</t>
    </rPh>
    <rPh sb="5" eb="7">
      <t>ﾋｮｳｶ</t>
    </rPh>
    <phoneticPr fontId="35" type="noConversion"/>
  </si>
  <si>
    <t>集合住宅以外の評価</t>
    <rPh sb="0" eb="2">
      <t>ｼｭｳｺﾞｳ</t>
    </rPh>
    <rPh sb="2" eb="4">
      <t>ｼﾞｭｳﾀｸ</t>
    </rPh>
    <rPh sb="4" eb="6">
      <t>ｲｶﾞｲ</t>
    </rPh>
    <rPh sb="7" eb="9">
      <t>ﾋｮｳｶ</t>
    </rPh>
    <phoneticPr fontId="35" type="noConversion"/>
  </si>
  <si>
    <t>LR1 3b</t>
    <phoneticPr fontId="26"/>
  </si>
  <si>
    <t>LR1 3b</t>
    <phoneticPr fontId="26"/>
  </si>
  <si>
    <t>非住宅部分</t>
    <rPh sb="0" eb="1">
      <t>ﾋ</t>
    </rPh>
    <rPh sb="1" eb="3">
      <t>ｼﾞｭｳﾀｸ</t>
    </rPh>
    <rPh sb="3" eb="5">
      <t>ﾌﾞﾌﾞﾝ</t>
    </rPh>
    <phoneticPr fontId="35" type="noConversion"/>
  </si>
  <si>
    <t>-</t>
    <phoneticPr fontId="26"/>
  </si>
  <si>
    <t>-</t>
    <phoneticPr fontId="26"/>
  </si>
  <si>
    <t>2.2</t>
    <phoneticPr fontId="26"/>
  </si>
  <si>
    <t>2.2</t>
    <phoneticPr fontId="26"/>
  </si>
  <si>
    <t>2.1</t>
    <phoneticPr fontId="26"/>
  </si>
  <si>
    <t>2.1</t>
    <phoneticPr fontId="26"/>
  </si>
  <si>
    <t>-</t>
    <phoneticPr fontId="26"/>
  </si>
  <si>
    <t>-</t>
    <phoneticPr fontId="26"/>
  </si>
  <si>
    <t>-</t>
    <phoneticPr fontId="26"/>
  </si>
  <si>
    <t>-</t>
    <phoneticPr fontId="26"/>
  </si>
  <si>
    <t>-</t>
    <phoneticPr fontId="26"/>
  </si>
  <si>
    <t>-</t>
    <phoneticPr fontId="26"/>
  </si>
  <si>
    <t>エネルギー</t>
    <phoneticPr fontId="26"/>
  </si>
  <si>
    <t>LR</t>
    <phoneticPr fontId="26"/>
  </si>
  <si>
    <t>LR1</t>
    <phoneticPr fontId="35" type="noConversion"/>
  </si>
  <si>
    <t>LR1</t>
    <phoneticPr fontId="35" type="noConversion"/>
  </si>
  <si>
    <t>エネルギー</t>
    <phoneticPr fontId="26"/>
  </si>
  <si>
    <t>エネルギー</t>
    <phoneticPr fontId="26"/>
  </si>
  <si>
    <t>LR1</t>
    <phoneticPr fontId="35" type="noConversion"/>
  </si>
  <si>
    <t>LR</t>
    <phoneticPr fontId="26"/>
  </si>
  <si>
    <t>エネルギー</t>
    <phoneticPr fontId="26"/>
  </si>
  <si>
    <t>LR1</t>
    <phoneticPr fontId="35" type="noConversion"/>
  </si>
  <si>
    <t>LR</t>
    <phoneticPr fontId="35" type="noConversion"/>
  </si>
  <si>
    <t>LR</t>
    <phoneticPr fontId="35" type="noConversion"/>
  </si>
  <si>
    <t>LR　建築物の環境負荷低減性</t>
    <phoneticPr fontId="26"/>
  </si>
  <si>
    <t>敷地内温熱環境の向上</t>
    <phoneticPr fontId="26"/>
  </si>
  <si>
    <t>3.2</t>
    <phoneticPr fontId="26"/>
  </si>
  <si>
    <t>3.2</t>
    <phoneticPr fontId="26"/>
  </si>
  <si>
    <t>3.2</t>
    <phoneticPr fontId="26"/>
  </si>
  <si>
    <t>地域性への配慮、快適性の向上</t>
    <phoneticPr fontId="26"/>
  </si>
  <si>
    <t>3.1</t>
    <phoneticPr fontId="26"/>
  </si>
  <si>
    <t>地域性への配慮、快適性の向上</t>
    <phoneticPr fontId="26"/>
  </si>
  <si>
    <t>3.1</t>
    <phoneticPr fontId="26"/>
  </si>
  <si>
    <t>地域性への配慮、快適性の向上</t>
    <phoneticPr fontId="26"/>
  </si>
  <si>
    <t>地域性・アメニティへの配慮</t>
    <phoneticPr fontId="26"/>
  </si>
  <si>
    <t>地域性・アメニティへの配慮</t>
    <phoneticPr fontId="26"/>
  </si>
  <si>
    <t>地域性・アメニティへの配慮</t>
    <phoneticPr fontId="26"/>
  </si>
  <si>
    <t>-</t>
    <phoneticPr fontId="26"/>
  </si>
  <si>
    <t>まちなみ・景観への配慮</t>
    <phoneticPr fontId="26"/>
  </si>
  <si>
    <t>まちなみ・景観への配慮</t>
    <phoneticPr fontId="26"/>
  </si>
  <si>
    <t>まちなみ・景観への配慮</t>
    <phoneticPr fontId="26"/>
  </si>
  <si>
    <t>3.1</t>
    <phoneticPr fontId="26"/>
  </si>
  <si>
    <t>室外環境（敷地内）</t>
    <phoneticPr fontId="26"/>
  </si>
  <si>
    <t>Q3</t>
    <phoneticPr fontId="26"/>
  </si>
  <si>
    <t>Q3</t>
    <phoneticPr fontId="26"/>
  </si>
  <si>
    <t>室外環境（敷地内）</t>
    <phoneticPr fontId="26"/>
  </si>
  <si>
    <t>室外環境（敷地内）</t>
    <phoneticPr fontId="26"/>
  </si>
  <si>
    <t>Q3</t>
    <phoneticPr fontId="26"/>
  </si>
  <si>
    <t>Q3</t>
    <phoneticPr fontId="35" type="noConversion"/>
  </si>
  <si>
    <t>3.3.6</t>
    <phoneticPr fontId="26"/>
  </si>
  <si>
    <t>3.3.6</t>
    <phoneticPr fontId="26"/>
  </si>
  <si>
    <t>3.3.5</t>
    <phoneticPr fontId="26"/>
  </si>
  <si>
    <t>3.3.5</t>
    <phoneticPr fontId="26"/>
  </si>
  <si>
    <t>3.3.4</t>
    <phoneticPr fontId="26"/>
  </si>
  <si>
    <t>3.3.4</t>
    <phoneticPr fontId="26"/>
  </si>
  <si>
    <t>3.3.4</t>
    <phoneticPr fontId="26"/>
  </si>
  <si>
    <t>3.3.4</t>
    <phoneticPr fontId="26"/>
  </si>
  <si>
    <t>3.3.3</t>
    <phoneticPr fontId="26"/>
  </si>
  <si>
    <t>3.3.3</t>
    <phoneticPr fontId="26"/>
  </si>
  <si>
    <t>3.3.3</t>
    <phoneticPr fontId="26"/>
  </si>
  <si>
    <t>3.3.3</t>
    <phoneticPr fontId="26"/>
  </si>
  <si>
    <t>3.3.2</t>
    <phoneticPr fontId="26"/>
  </si>
  <si>
    <t>3.3.2</t>
    <phoneticPr fontId="26"/>
  </si>
  <si>
    <t>3.3.2</t>
    <phoneticPr fontId="26"/>
  </si>
  <si>
    <t>3.3.2</t>
    <phoneticPr fontId="26"/>
  </si>
  <si>
    <t>3.3.1</t>
    <phoneticPr fontId="26"/>
  </si>
  <si>
    <t>3.3.1</t>
    <phoneticPr fontId="26"/>
  </si>
  <si>
    <t>空調配管の更新性</t>
    <phoneticPr fontId="26"/>
  </si>
  <si>
    <t>-</t>
    <phoneticPr fontId="26"/>
  </si>
  <si>
    <t>-</t>
    <phoneticPr fontId="26"/>
  </si>
  <si>
    <t>3.1.2</t>
    <phoneticPr fontId="26"/>
  </si>
  <si>
    <t>3.1.2</t>
    <phoneticPr fontId="26"/>
  </si>
  <si>
    <t>3.1.2</t>
    <phoneticPr fontId="26"/>
  </si>
  <si>
    <t>3.1.2</t>
    <phoneticPr fontId="26"/>
  </si>
  <si>
    <t>3.1.2</t>
    <phoneticPr fontId="26"/>
  </si>
  <si>
    <t>3.1.1</t>
    <phoneticPr fontId="26"/>
  </si>
  <si>
    <t>3.1.1</t>
    <phoneticPr fontId="26"/>
  </si>
  <si>
    <t>3.1.1</t>
    <phoneticPr fontId="26"/>
  </si>
  <si>
    <t>2.4.1</t>
    <phoneticPr fontId="26"/>
  </si>
  <si>
    <t>2.4.1</t>
    <phoneticPr fontId="26"/>
  </si>
  <si>
    <t>2.4.1</t>
    <phoneticPr fontId="26"/>
  </si>
  <si>
    <t>-</t>
    <phoneticPr fontId="26"/>
  </si>
  <si>
    <t>2.3.3</t>
    <phoneticPr fontId="26"/>
  </si>
  <si>
    <t>2.3.3</t>
    <phoneticPr fontId="26"/>
  </si>
  <si>
    <t>2.3.3</t>
    <phoneticPr fontId="26"/>
  </si>
  <si>
    <t>2.3.2</t>
    <phoneticPr fontId="26"/>
  </si>
  <si>
    <t xml:space="preserve"> Q2 2.3</t>
    <phoneticPr fontId="26"/>
  </si>
  <si>
    <t>2.3.1</t>
    <phoneticPr fontId="26"/>
  </si>
  <si>
    <t>2.3.1</t>
    <phoneticPr fontId="26"/>
  </si>
  <si>
    <t xml:space="preserve"> Q2 2.3</t>
    <phoneticPr fontId="26"/>
  </si>
  <si>
    <t xml:space="preserve"> Q2 2</t>
    <phoneticPr fontId="26"/>
  </si>
  <si>
    <t>-</t>
    <phoneticPr fontId="26"/>
  </si>
  <si>
    <t>-</t>
    <phoneticPr fontId="26"/>
  </si>
  <si>
    <t>-</t>
    <phoneticPr fontId="26"/>
  </si>
  <si>
    <t>2.2.6</t>
    <phoneticPr fontId="26"/>
  </si>
  <si>
    <t>2.2.6</t>
    <phoneticPr fontId="26"/>
  </si>
  <si>
    <t>2.2.6</t>
    <phoneticPr fontId="26"/>
  </si>
  <si>
    <t>2.2.5</t>
    <phoneticPr fontId="26"/>
  </si>
  <si>
    <t>2.2.5</t>
    <phoneticPr fontId="26"/>
  </si>
  <si>
    <t>2.2.4</t>
    <phoneticPr fontId="26"/>
  </si>
  <si>
    <t>2.2.4</t>
    <phoneticPr fontId="26"/>
  </si>
  <si>
    <t>2.2.4</t>
    <phoneticPr fontId="26"/>
  </si>
  <si>
    <t>2.2.3</t>
    <phoneticPr fontId="26"/>
  </si>
  <si>
    <t>2.2.3</t>
    <phoneticPr fontId="26"/>
  </si>
  <si>
    <t>2.2.2</t>
    <phoneticPr fontId="26"/>
  </si>
  <si>
    <t>2.2.2</t>
    <phoneticPr fontId="26"/>
  </si>
  <si>
    <t>2.2.2</t>
    <phoneticPr fontId="26"/>
  </si>
  <si>
    <t>2.2.1</t>
    <phoneticPr fontId="26"/>
  </si>
  <si>
    <t>2.2.1</t>
    <phoneticPr fontId="26"/>
  </si>
  <si>
    <t>-</t>
    <phoneticPr fontId="26"/>
  </si>
  <si>
    <t>-</t>
    <phoneticPr fontId="26"/>
  </si>
  <si>
    <t>-</t>
    <phoneticPr fontId="26"/>
  </si>
  <si>
    <t>-</t>
    <phoneticPr fontId="26"/>
  </si>
  <si>
    <t>2.1.2</t>
    <phoneticPr fontId="26"/>
  </si>
  <si>
    <t>2.1.2</t>
    <phoneticPr fontId="26"/>
  </si>
  <si>
    <t>2.1.1</t>
    <phoneticPr fontId="26"/>
  </si>
  <si>
    <t>2.1.1</t>
    <phoneticPr fontId="26"/>
  </si>
  <si>
    <t>2.1.1</t>
    <phoneticPr fontId="26"/>
  </si>
  <si>
    <t>-</t>
    <phoneticPr fontId="26"/>
  </si>
  <si>
    <t>0</t>
    <phoneticPr fontId="26"/>
  </si>
  <si>
    <t>0</t>
    <phoneticPr fontId="26"/>
  </si>
  <si>
    <t xml:space="preserve"> Q2 1.3</t>
    <phoneticPr fontId="26"/>
  </si>
  <si>
    <t>-</t>
    <phoneticPr fontId="26"/>
  </si>
  <si>
    <t>-</t>
    <phoneticPr fontId="26"/>
  </si>
  <si>
    <t>1.2.3</t>
    <phoneticPr fontId="26"/>
  </si>
  <si>
    <t>1.2.3</t>
    <phoneticPr fontId="26"/>
  </si>
  <si>
    <t>リフレッシュスペース</t>
    <phoneticPr fontId="26"/>
  </si>
  <si>
    <t>-</t>
    <phoneticPr fontId="26"/>
  </si>
  <si>
    <t>-</t>
    <phoneticPr fontId="26"/>
  </si>
  <si>
    <t>1.1.3</t>
    <phoneticPr fontId="26"/>
  </si>
  <si>
    <t>高度情報通信設備対応</t>
    <phoneticPr fontId="26"/>
  </si>
  <si>
    <t>1.1.2</t>
    <phoneticPr fontId="26"/>
  </si>
  <si>
    <t>1.1.1</t>
    <phoneticPr fontId="26"/>
  </si>
  <si>
    <t>1.1.1</t>
    <phoneticPr fontId="26"/>
  </si>
  <si>
    <t>-</t>
    <phoneticPr fontId="26"/>
  </si>
  <si>
    <t>-</t>
    <phoneticPr fontId="26"/>
  </si>
  <si>
    <t>-</t>
    <phoneticPr fontId="26"/>
  </si>
  <si>
    <t>Q2</t>
    <phoneticPr fontId="26"/>
  </si>
  <si>
    <t>サービス性能</t>
    <phoneticPr fontId="26"/>
  </si>
  <si>
    <t>サービス性能</t>
    <phoneticPr fontId="26"/>
  </si>
  <si>
    <t>Q2</t>
    <phoneticPr fontId="26"/>
  </si>
  <si>
    <t>喫煙の制御</t>
    <phoneticPr fontId="26"/>
  </si>
  <si>
    <t>4.3.2</t>
    <phoneticPr fontId="26"/>
  </si>
  <si>
    <t>4.3.2</t>
    <phoneticPr fontId="26"/>
  </si>
  <si>
    <t>CO2の監視</t>
    <phoneticPr fontId="26"/>
  </si>
  <si>
    <t>CO2の監視</t>
    <phoneticPr fontId="26"/>
  </si>
  <si>
    <t>4.3.1</t>
    <phoneticPr fontId="26"/>
  </si>
  <si>
    <t>4.3.1</t>
    <phoneticPr fontId="26"/>
  </si>
  <si>
    <t>4.2.4</t>
    <phoneticPr fontId="26"/>
  </si>
  <si>
    <t>4.2.4</t>
    <phoneticPr fontId="26"/>
  </si>
  <si>
    <t>給気計画</t>
    <phoneticPr fontId="26"/>
  </si>
  <si>
    <t>4.2.3</t>
    <phoneticPr fontId="26"/>
  </si>
  <si>
    <t>4.2.2</t>
    <phoneticPr fontId="26"/>
  </si>
  <si>
    <t>-</t>
    <phoneticPr fontId="26"/>
  </si>
  <si>
    <t>4.1.4</t>
    <phoneticPr fontId="26"/>
  </si>
  <si>
    <t>4.1.4</t>
    <phoneticPr fontId="26"/>
  </si>
  <si>
    <t>4.1.3</t>
    <phoneticPr fontId="26"/>
  </si>
  <si>
    <t>4.1.2</t>
    <phoneticPr fontId="26"/>
  </si>
  <si>
    <t xml:space="preserve"> アスベスト対策</t>
    <phoneticPr fontId="26"/>
  </si>
  <si>
    <t>-</t>
    <phoneticPr fontId="26"/>
  </si>
  <si>
    <t>化学汚染物質</t>
    <phoneticPr fontId="26"/>
  </si>
  <si>
    <t>4.1.1</t>
    <phoneticPr fontId="26"/>
  </si>
  <si>
    <t>照度均斉度</t>
    <phoneticPr fontId="26"/>
  </si>
  <si>
    <t>3.3.2</t>
    <phoneticPr fontId="26"/>
  </si>
  <si>
    <t>照度</t>
    <phoneticPr fontId="26"/>
  </si>
  <si>
    <t>3.3.1</t>
    <phoneticPr fontId="26"/>
  </si>
  <si>
    <t>3.2.3</t>
    <phoneticPr fontId="26"/>
  </si>
  <si>
    <t>3.2.2</t>
    <phoneticPr fontId="26"/>
  </si>
  <si>
    <t>3.2.1</t>
    <phoneticPr fontId="26"/>
  </si>
  <si>
    <t>3.1.3</t>
    <phoneticPr fontId="26"/>
  </si>
  <si>
    <t>3.1.2</t>
    <phoneticPr fontId="26"/>
  </si>
  <si>
    <t>3.1.1</t>
    <phoneticPr fontId="26"/>
  </si>
  <si>
    <t>2.3.2</t>
    <phoneticPr fontId="26"/>
  </si>
  <si>
    <t>2.3.1</t>
    <phoneticPr fontId="26"/>
  </si>
  <si>
    <t>温度・湿度制御</t>
    <phoneticPr fontId="26"/>
  </si>
  <si>
    <t>負荷変動・追従制御性</t>
    <phoneticPr fontId="26"/>
  </si>
  <si>
    <t>室温</t>
    <phoneticPr fontId="26"/>
  </si>
  <si>
    <t>2.1.1</t>
    <phoneticPr fontId="26"/>
  </si>
  <si>
    <t>1.2.4</t>
    <phoneticPr fontId="26"/>
  </si>
  <si>
    <t>1.2.3</t>
    <phoneticPr fontId="26"/>
  </si>
  <si>
    <t>1.2.2</t>
    <phoneticPr fontId="26"/>
  </si>
  <si>
    <t>開口部遮音性能</t>
    <phoneticPr fontId="26"/>
  </si>
  <si>
    <t>1.2.1</t>
    <phoneticPr fontId="26"/>
  </si>
  <si>
    <t>設備騒音対策</t>
    <phoneticPr fontId="26"/>
  </si>
  <si>
    <t>室内騒音レベル</t>
    <phoneticPr fontId="26"/>
  </si>
  <si>
    <t>騒音</t>
    <phoneticPr fontId="26"/>
  </si>
  <si>
    <t>室内環境</t>
    <phoneticPr fontId="26"/>
  </si>
  <si>
    <t>Q1</t>
    <phoneticPr fontId="35" type="noConversion"/>
  </si>
  <si>
    <t>建築物の環境品質</t>
    <phoneticPr fontId="26"/>
  </si>
  <si>
    <t>Q</t>
    <phoneticPr fontId="26"/>
  </si>
  <si>
    <t xml:space="preserve"> Q</t>
    <phoneticPr fontId="26"/>
  </si>
  <si>
    <t>Ｑ　建築物の環境品質</t>
    <phoneticPr fontId="26"/>
  </si>
  <si>
    <t>配慮項目</t>
    <phoneticPr fontId="26"/>
  </si>
  <si>
    <t>延面積比率</t>
    <phoneticPr fontId="26"/>
  </si>
  <si>
    <t>集合住宅o</t>
    <phoneticPr fontId="26"/>
  </si>
  <si>
    <t>ホテルo</t>
    <phoneticPr fontId="26"/>
  </si>
  <si>
    <t>病院o</t>
    <phoneticPr fontId="26"/>
  </si>
  <si>
    <t>ホテル</t>
    <phoneticPr fontId="26"/>
  </si>
  <si>
    <t>スコアシート</t>
    <phoneticPr fontId="35" type="noConversion"/>
  </si>
  <si>
    <t>４．ｲﾝﾃﾘｱｽﾍﾟｰｽ</t>
    <phoneticPr fontId="26"/>
  </si>
  <si>
    <t>用途別スコア</t>
    <rPh sb="0" eb="2">
      <t>ヨウト</t>
    </rPh>
    <rPh sb="2" eb="3">
      <t>ベツ</t>
    </rPh>
    <phoneticPr fontId="26"/>
  </si>
  <si>
    <t>重み係数（複数用途建物）</t>
    <rPh sb="0" eb="1">
      <t>オモ</t>
    </rPh>
    <rPh sb="2" eb="4">
      <t>ケイスウ</t>
    </rPh>
    <rPh sb="5" eb="7">
      <t>フクスウ</t>
    </rPh>
    <rPh sb="7" eb="9">
      <t>ヨウト</t>
    </rPh>
    <rPh sb="9" eb="11">
      <t>タテモノ</t>
    </rPh>
    <phoneticPr fontId="26"/>
  </si>
  <si>
    <t>※「対象外」を選択の場合は、「0（ゼロ）」を入力</t>
    <rPh sb="2" eb="5">
      <t>タイショウガイ</t>
    </rPh>
    <rPh sb="7" eb="9">
      <t>センタク</t>
    </rPh>
    <rPh sb="10" eb="12">
      <t>バアイ</t>
    </rPh>
    <rPh sb="22" eb="24">
      <t>ニュウリョク</t>
    </rPh>
    <phoneticPr fontId="26"/>
  </si>
  <si>
    <t>No.15</t>
  </si>
  <si>
    <t>No.2</t>
    <phoneticPr fontId="26"/>
  </si>
  <si>
    <t>ODP</t>
    <phoneticPr fontId="26"/>
  </si>
  <si>
    <t>GWP</t>
    <phoneticPr fontId="26"/>
  </si>
  <si>
    <t>Min</t>
    <phoneticPr fontId="26"/>
  </si>
  <si>
    <t>Max</t>
    <phoneticPr fontId="26"/>
  </si>
  <si>
    <t>No.4</t>
    <phoneticPr fontId="26"/>
  </si>
  <si>
    <t>No.3</t>
    <phoneticPr fontId="26"/>
  </si>
  <si>
    <t>No.6</t>
    <phoneticPr fontId="26"/>
  </si>
  <si>
    <t>No.7</t>
    <phoneticPr fontId="26"/>
  </si>
  <si>
    <t>No.8</t>
    <phoneticPr fontId="26"/>
  </si>
  <si>
    <t>No.9</t>
    <phoneticPr fontId="26"/>
  </si>
  <si>
    <t>No.10</t>
    <phoneticPr fontId="26"/>
  </si>
  <si>
    <t>Max</t>
    <phoneticPr fontId="26"/>
  </si>
  <si>
    <t>No.4</t>
    <phoneticPr fontId="26"/>
  </si>
  <si>
    <t>No.5</t>
    <phoneticPr fontId="26"/>
  </si>
  <si>
    <t>Min</t>
    <phoneticPr fontId="26"/>
  </si>
  <si>
    <t>No.8</t>
    <phoneticPr fontId="26"/>
  </si>
  <si>
    <t>No.7</t>
    <phoneticPr fontId="26"/>
  </si>
  <si>
    <t>&lt;2k</t>
    <phoneticPr fontId="26"/>
  </si>
  <si>
    <t>&gt;=2k</t>
    <phoneticPr fontId="26"/>
  </si>
  <si>
    <t>No.5</t>
    <phoneticPr fontId="26"/>
  </si>
  <si>
    <t>m</t>
    <phoneticPr fontId="26"/>
  </si>
  <si>
    <t>N/m2</t>
    <phoneticPr fontId="26"/>
  </si>
  <si>
    <t>m</t>
    <phoneticPr fontId="26"/>
  </si>
  <si>
    <r>
      <rPr>
        <sz val="9"/>
        <rFont val="ＭＳ Ｐゴシック"/>
        <family val="3"/>
        <charset val="128"/>
      </rPr>
      <t>㎡</t>
    </r>
  </si>
  <si>
    <r>
      <rPr>
        <sz val="9"/>
        <rFont val="ＭＳ Ｐゴシック"/>
        <family val="3"/>
        <charset val="128"/>
      </rPr>
      <t>㎡</t>
    </r>
    <phoneticPr fontId="26"/>
  </si>
  <si>
    <r>
      <rPr>
        <sz val="10"/>
        <rFont val="ＭＳ Ｐゴシック"/>
        <family val="3"/>
        <charset val="128"/>
      </rPr>
      <t>○○</t>
    </r>
    <phoneticPr fontId="26"/>
  </si>
  <si>
    <r>
      <rPr>
        <sz val="10"/>
        <rFont val="ＭＳ Ｐゴシック"/>
        <family val="3"/>
        <charset val="128"/>
      </rPr>
      <t>地上○○</t>
    </r>
    <r>
      <rPr>
        <sz val="10"/>
        <rFont val="Arial"/>
        <family val="2"/>
      </rPr>
      <t>F</t>
    </r>
    <r>
      <rPr>
        <sz val="10"/>
        <rFont val="ＭＳ Ｐゴシック"/>
        <family val="3"/>
        <charset val="128"/>
      </rPr>
      <t>～○○</t>
    </r>
    <r>
      <rPr>
        <sz val="10"/>
        <rFont val="Arial"/>
        <family val="2"/>
      </rPr>
      <t>F</t>
    </r>
    <rPh sb="0" eb="2">
      <t>チジョウ</t>
    </rPh>
    <phoneticPr fontId="26"/>
  </si>
  <si>
    <r>
      <rPr>
        <sz val="9"/>
        <color rgb="FFFF0000"/>
        <rFont val="ＭＳ Ｐゴシック"/>
        <family val="3"/>
        <charset val="128"/>
      </rPr>
      <t>時間</t>
    </r>
    <r>
      <rPr>
        <sz val="9"/>
        <color rgb="FFFF0000"/>
        <rFont val="Arial"/>
        <family val="2"/>
      </rPr>
      <t>/</t>
    </r>
    <r>
      <rPr>
        <sz val="9"/>
        <color rgb="FFFF0000"/>
        <rFont val="ＭＳ Ｐゴシック"/>
        <family val="3"/>
        <charset val="128"/>
      </rPr>
      <t>日（想定値）</t>
    </r>
    <rPh sb="0" eb="2">
      <t>ジカン</t>
    </rPh>
    <rPh sb="3" eb="4">
      <t>ニチ</t>
    </rPh>
    <phoneticPr fontId="26"/>
  </si>
  <si>
    <r>
      <rPr>
        <b/>
        <sz val="10"/>
        <color indexed="9"/>
        <rFont val="ＭＳ Ｐゴシック"/>
        <family val="3"/>
        <charset val="128"/>
      </rPr>
      <t>②</t>
    </r>
    <r>
      <rPr>
        <b/>
        <sz val="10"/>
        <color indexed="9"/>
        <rFont val="Arial"/>
        <family val="2"/>
      </rPr>
      <t xml:space="preserve"> </t>
    </r>
    <r>
      <rPr>
        <b/>
        <sz val="10"/>
        <color indexed="9"/>
        <rFont val="ＭＳ Ｐゴシック"/>
        <family val="3"/>
        <charset val="128"/>
      </rPr>
      <t>評価対象概要</t>
    </r>
    <rPh sb="2" eb="4">
      <t>ヒョウカ</t>
    </rPh>
    <rPh sb="4" eb="6">
      <t>タイショウ</t>
    </rPh>
    <rPh sb="6" eb="8">
      <t>ガイヨウ</t>
    </rPh>
    <phoneticPr fontId="26"/>
  </si>
  <si>
    <r>
      <rPr>
        <sz val="10"/>
        <color theme="8" tint="-0.499984740745262"/>
        <rFont val="ＭＳ Ｐゴシック"/>
        <family val="3"/>
        <charset val="128"/>
      </rPr>
      <t>■</t>
    </r>
    <r>
      <rPr>
        <sz val="10"/>
        <color theme="8" tint="-0.499984740745262"/>
        <rFont val="Arial"/>
        <family val="2"/>
      </rPr>
      <t xml:space="preserve"> </t>
    </r>
    <r>
      <rPr>
        <sz val="10"/>
        <color theme="8" tint="-0.499984740745262"/>
        <rFont val="ＭＳ Ｐゴシック"/>
        <family val="3"/>
        <charset val="128"/>
      </rPr>
      <t>評価対象名称</t>
    </r>
    <rPh sb="2" eb="4">
      <t>ﾋｮｳｶ</t>
    </rPh>
    <rPh sb="4" eb="6">
      <t>ﾀｲｼｮｳ</t>
    </rPh>
    <rPh sb="6" eb="8">
      <t>ﾒｲｼｮｳ</t>
    </rPh>
    <phoneticPr fontId="35" type="noConversion"/>
  </si>
  <si>
    <r>
      <rPr>
        <sz val="10"/>
        <color theme="8" tint="-0.499984740745262"/>
        <rFont val="ＭＳ Ｐゴシック"/>
        <family val="3"/>
        <charset val="128"/>
      </rPr>
      <t>■</t>
    </r>
    <r>
      <rPr>
        <sz val="10"/>
        <color theme="8" tint="-0.499984740745262"/>
        <rFont val="Arial"/>
        <family val="2"/>
      </rPr>
      <t xml:space="preserve"> </t>
    </r>
    <r>
      <rPr>
        <sz val="10"/>
        <color theme="8" tint="-0.499984740745262"/>
        <rFont val="ＭＳ Ｐゴシック"/>
        <family val="3"/>
        <charset val="128"/>
      </rPr>
      <t>評価対象用途</t>
    </r>
    <rPh sb="2" eb="4">
      <t>ﾋｮｳｶ</t>
    </rPh>
    <rPh sb="4" eb="6">
      <t>ﾀｲｼｮｳ</t>
    </rPh>
    <rPh sb="6" eb="8">
      <t>ﾖｳﾄ</t>
    </rPh>
    <phoneticPr fontId="35" type="noConversion"/>
  </si>
  <si>
    <r>
      <rPr>
        <sz val="10"/>
        <color theme="8" tint="-0.499984740745262"/>
        <rFont val="ＭＳ Ｐゴシック"/>
        <family val="3"/>
        <charset val="128"/>
      </rPr>
      <t>■</t>
    </r>
    <r>
      <rPr>
        <sz val="10"/>
        <color theme="8" tint="-0.499984740745262"/>
        <rFont val="Arial"/>
        <family val="2"/>
      </rPr>
      <t xml:space="preserve"> </t>
    </r>
    <r>
      <rPr>
        <sz val="10"/>
        <color theme="8" tint="-0.499984740745262"/>
        <rFont val="ＭＳ Ｐゴシック"/>
        <family val="3"/>
        <charset val="128"/>
      </rPr>
      <t>使用開始</t>
    </r>
    <rPh sb="2" eb="4">
      <t>ｼﾖｳ</t>
    </rPh>
    <rPh sb="4" eb="6">
      <t>ｶｲｼ</t>
    </rPh>
    <phoneticPr fontId="35" type="noConversion"/>
  </si>
  <si>
    <r>
      <rPr>
        <sz val="10"/>
        <color theme="8" tint="-0.499984740745262"/>
        <rFont val="ＭＳ Ｐゴシック"/>
        <family val="3"/>
        <charset val="128"/>
      </rPr>
      <t>■</t>
    </r>
    <r>
      <rPr>
        <sz val="10"/>
        <color theme="8" tint="-0.499984740745262"/>
        <rFont val="Arial"/>
        <family val="2"/>
      </rPr>
      <t xml:space="preserve"> </t>
    </r>
    <r>
      <rPr>
        <sz val="10"/>
        <color theme="8" tint="-0.499984740745262"/>
        <rFont val="ＭＳ Ｐゴシック"/>
        <family val="3"/>
        <charset val="128"/>
      </rPr>
      <t>専用面積</t>
    </r>
    <rPh sb="2" eb="4">
      <t>ｾﾝﾖｳ</t>
    </rPh>
    <rPh sb="4" eb="6">
      <t>ﾒﾝｾｷ</t>
    </rPh>
    <phoneticPr fontId="35" type="noConversion"/>
  </si>
  <si>
    <r>
      <rPr>
        <sz val="10"/>
        <color theme="8" tint="-0.499984740745262"/>
        <rFont val="ＭＳ Ｐゴシック"/>
        <family val="3"/>
        <charset val="128"/>
      </rPr>
      <t>■</t>
    </r>
    <r>
      <rPr>
        <sz val="10"/>
        <color theme="8" tint="-0.499984740745262"/>
        <rFont val="Arial"/>
        <family val="2"/>
      </rPr>
      <t xml:space="preserve"> </t>
    </r>
    <r>
      <rPr>
        <sz val="10"/>
        <color theme="8" tint="-0.499984740745262"/>
        <rFont val="ＭＳ Ｐゴシック"/>
        <family val="3"/>
        <charset val="128"/>
      </rPr>
      <t>専用部の階</t>
    </r>
    <rPh sb="2" eb="4">
      <t>ｾﾝﾖｳ</t>
    </rPh>
    <rPh sb="4" eb="5">
      <t>ﾌﾞ</t>
    </rPh>
    <rPh sb="6" eb="7">
      <t>ｶｲ</t>
    </rPh>
    <phoneticPr fontId="35" type="noConversion"/>
  </si>
  <si>
    <r>
      <rPr>
        <sz val="10"/>
        <color indexed="10"/>
        <rFont val="ＭＳ Ｐゴシック"/>
        <family val="3"/>
        <charset val="128"/>
      </rPr>
      <t>■</t>
    </r>
    <r>
      <rPr>
        <sz val="10"/>
        <color indexed="10"/>
        <rFont val="Arial"/>
        <family val="2"/>
      </rPr>
      <t xml:space="preserve"> </t>
    </r>
    <r>
      <rPr>
        <sz val="10"/>
        <color indexed="10"/>
        <rFont val="ＭＳ Ｐゴシック"/>
        <family val="3"/>
        <charset val="128"/>
      </rPr>
      <t>日平均使用時間</t>
    </r>
    <rPh sb="2" eb="3">
      <t>ﾋ</t>
    </rPh>
    <rPh sb="3" eb="5">
      <t>ﾍｲｷﾝ</t>
    </rPh>
    <rPh sb="5" eb="7">
      <t>ｼﾖｳ</t>
    </rPh>
    <rPh sb="7" eb="9">
      <t>ｼﾞｶﾝ</t>
    </rPh>
    <phoneticPr fontId="35" type="noConversion"/>
  </si>
  <si>
    <r>
      <t>2016</t>
    </r>
    <r>
      <rPr>
        <sz val="10"/>
        <rFont val="ＭＳ Ｐゴシック"/>
        <family val="3"/>
        <charset val="128"/>
      </rPr>
      <t>年６月～８月</t>
    </r>
    <rPh sb="4" eb="5">
      <t>ネン</t>
    </rPh>
    <rPh sb="6" eb="7">
      <t>ガツ</t>
    </rPh>
    <rPh sb="9" eb="10">
      <t>ガツ</t>
    </rPh>
    <phoneticPr fontId="26"/>
  </si>
  <si>
    <r>
      <rPr>
        <sz val="10"/>
        <rFont val="ＭＳ Ｐゴシック"/>
        <family val="3"/>
        <charset val="128"/>
      </rPr>
      <t>○○サービス</t>
    </r>
    <phoneticPr fontId="26"/>
  </si>
  <si>
    <t>ηAC</t>
    <phoneticPr fontId="26"/>
  </si>
  <si>
    <t>ηAH</t>
  </si>
  <si>
    <t>ηAH</t>
    <phoneticPr fontId="26"/>
  </si>
  <si>
    <t>3.1.1</t>
    <phoneticPr fontId="181"/>
  </si>
  <si>
    <t>3.1.2</t>
    <phoneticPr fontId="181"/>
  </si>
  <si>
    <t>3.1.3</t>
    <phoneticPr fontId="181"/>
  </si>
  <si>
    <t>3.4.1</t>
    <phoneticPr fontId="181"/>
  </si>
  <si>
    <t>3.5.1</t>
    <phoneticPr fontId="26"/>
  </si>
  <si>
    <t>3.6.1</t>
    <phoneticPr fontId="26"/>
  </si>
  <si>
    <t>3.7.1</t>
    <phoneticPr fontId="26"/>
  </si>
  <si>
    <t>3.8.1</t>
    <phoneticPr fontId="181"/>
  </si>
  <si>
    <t>3.8.2</t>
    <phoneticPr fontId="181"/>
  </si>
  <si>
    <t>3.8.3</t>
    <phoneticPr fontId="181"/>
  </si>
  <si>
    <t>3.8.4</t>
    <phoneticPr fontId="181"/>
  </si>
  <si>
    <t>3.8.5</t>
    <phoneticPr fontId="181"/>
  </si>
  <si>
    <t>4.2.5</t>
    <phoneticPr fontId="26"/>
  </si>
  <si>
    <t>4.2.6</t>
    <phoneticPr fontId="26"/>
  </si>
  <si>
    <t>4.4.1</t>
    <phoneticPr fontId="26"/>
  </si>
  <si>
    <t>5.1.1</t>
    <phoneticPr fontId="26"/>
  </si>
  <si>
    <t>5.2.1</t>
    <phoneticPr fontId="26"/>
  </si>
  <si>
    <t>5.3.1</t>
    <phoneticPr fontId="26"/>
  </si>
  <si>
    <t>5.4.1</t>
    <phoneticPr fontId="26"/>
  </si>
  <si>
    <t>6.1.1</t>
    <phoneticPr fontId="26"/>
  </si>
  <si>
    <t>6.2.1</t>
    <phoneticPr fontId="26"/>
  </si>
  <si>
    <t>6.3.1</t>
    <phoneticPr fontId="26"/>
  </si>
  <si>
    <t>6.4.1</t>
    <phoneticPr fontId="26"/>
  </si>
  <si>
    <t>6.5.1</t>
    <phoneticPr fontId="26"/>
  </si>
  <si>
    <t>6.6.1</t>
    <phoneticPr fontId="26"/>
  </si>
  <si>
    <t>6.7.1</t>
    <phoneticPr fontId="26"/>
  </si>
  <si>
    <t>7.1.1</t>
    <phoneticPr fontId="26"/>
  </si>
  <si>
    <t>7.1.2</t>
    <phoneticPr fontId="26"/>
  </si>
  <si>
    <t>7.1.3</t>
  </si>
  <si>
    <t>7.2.1</t>
    <phoneticPr fontId="26"/>
  </si>
  <si>
    <t>7.3.1</t>
    <phoneticPr fontId="26"/>
  </si>
  <si>
    <t>7.4.1</t>
    <phoneticPr fontId="26"/>
  </si>
  <si>
    <t>7.5.1</t>
    <phoneticPr fontId="26"/>
  </si>
  <si>
    <t>7.6.1</t>
    <phoneticPr fontId="26"/>
  </si>
  <si>
    <t>8.1.1</t>
    <phoneticPr fontId="26"/>
  </si>
  <si>
    <t>8.3.1</t>
    <phoneticPr fontId="26"/>
  </si>
  <si>
    <t>8.3.2</t>
    <phoneticPr fontId="26"/>
  </si>
  <si>
    <t>8.3.3</t>
    <phoneticPr fontId="26"/>
  </si>
  <si>
    <t>8.3.4</t>
    <phoneticPr fontId="26"/>
  </si>
  <si>
    <t>8.3.5</t>
    <phoneticPr fontId="26"/>
  </si>
  <si>
    <t>8.3.6</t>
    <phoneticPr fontId="26"/>
  </si>
  <si>
    <t>8.4.1</t>
    <phoneticPr fontId="26"/>
  </si>
  <si>
    <t>8.4.2</t>
    <phoneticPr fontId="26"/>
  </si>
  <si>
    <t>8.4.3</t>
    <phoneticPr fontId="26"/>
  </si>
  <si>
    <t>8.5.1</t>
    <phoneticPr fontId="26"/>
  </si>
  <si>
    <t>9.1.1</t>
    <phoneticPr fontId="26"/>
  </si>
  <si>
    <t>9.1.2</t>
    <phoneticPr fontId="26"/>
  </si>
  <si>
    <t>9.2.1</t>
    <phoneticPr fontId="26"/>
  </si>
  <si>
    <t>9.2.2</t>
    <phoneticPr fontId="26"/>
  </si>
  <si>
    <t>9.3.1</t>
    <phoneticPr fontId="26"/>
  </si>
  <si>
    <t>9.5.1</t>
    <phoneticPr fontId="26"/>
  </si>
  <si>
    <t>11.1.1</t>
    <phoneticPr fontId="181"/>
  </si>
  <si>
    <t>11.2.1</t>
    <phoneticPr fontId="26"/>
  </si>
  <si>
    <t>11.3.1</t>
    <phoneticPr fontId="26"/>
  </si>
  <si>
    <t>11.4.1</t>
    <phoneticPr fontId="26"/>
  </si>
  <si>
    <t>11.4.2</t>
    <phoneticPr fontId="26"/>
  </si>
  <si>
    <t>11.4.3</t>
  </si>
  <si>
    <t>11.4.4</t>
  </si>
  <si>
    <t>11.5.1</t>
    <phoneticPr fontId="26"/>
  </si>
  <si>
    <t>11.5.2</t>
    <phoneticPr fontId="26"/>
  </si>
  <si>
    <t>11.5.3</t>
  </si>
  <si>
    <t>11.5.4</t>
  </si>
  <si>
    <t>11.5.5</t>
  </si>
  <si>
    <t>11.5.6</t>
  </si>
  <si>
    <t>11.6.1</t>
    <phoneticPr fontId="26"/>
  </si>
  <si>
    <t>11.7.1</t>
    <phoneticPr fontId="26"/>
  </si>
  <si>
    <t>11.9.1</t>
    <phoneticPr fontId="26"/>
  </si>
  <si>
    <t>11.11.1</t>
    <phoneticPr fontId="26"/>
  </si>
  <si>
    <t>11.12</t>
    <phoneticPr fontId="26"/>
  </si>
  <si>
    <t>11.12.1</t>
    <phoneticPr fontId="26"/>
  </si>
  <si>
    <t>12.1</t>
    <phoneticPr fontId="181"/>
  </si>
  <si>
    <t>12.1.1</t>
    <phoneticPr fontId="26"/>
  </si>
  <si>
    <t>12.1.2</t>
    <phoneticPr fontId="26"/>
  </si>
  <si>
    <t>12.1.3</t>
    <phoneticPr fontId="26"/>
  </si>
  <si>
    <t>12.1.4</t>
  </si>
  <si>
    <t>12.1.5</t>
  </si>
  <si>
    <t>12.1.6</t>
  </si>
  <si>
    <t>12.1.7</t>
  </si>
  <si>
    <t>12.1.8</t>
    <phoneticPr fontId="26"/>
  </si>
  <si>
    <t>12.2</t>
    <phoneticPr fontId="181"/>
  </si>
  <si>
    <t>12.2.1</t>
    <phoneticPr fontId="26"/>
  </si>
  <si>
    <t>12.3</t>
    <phoneticPr fontId="26"/>
  </si>
  <si>
    <t>12.3.1</t>
    <phoneticPr fontId="26"/>
  </si>
  <si>
    <t>12.3.2</t>
    <phoneticPr fontId="26"/>
  </si>
  <si>
    <t>12.3.3</t>
  </si>
  <si>
    <t>12.3.4</t>
  </si>
  <si>
    <t>12.3.5</t>
  </si>
  <si>
    <t>12.3.6</t>
  </si>
  <si>
    <t>12.4.3</t>
  </si>
  <si>
    <t>12.4.4</t>
  </si>
  <si>
    <t>12.4.5</t>
  </si>
  <si>
    <t>12.4.6</t>
  </si>
  <si>
    <t>12.5</t>
    <phoneticPr fontId="181"/>
  </si>
  <si>
    <t>12.5.1</t>
    <phoneticPr fontId="26"/>
  </si>
  <si>
    <t>12.5.2</t>
    <phoneticPr fontId="26"/>
  </si>
  <si>
    <t>12.5.3</t>
  </si>
  <si>
    <t>12.5.4</t>
  </si>
  <si>
    <t>12.6</t>
    <phoneticPr fontId="181"/>
  </si>
  <si>
    <t>12.6.1</t>
    <phoneticPr fontId="26"/>
  </si>
  <si>
    <t>12.7</t>
    <phoneticPr fontId="181"/>
  </si>
  <si>
    <t>12.7.1</t>
    <phoneticPr fontId="26"/>
  </si>
  <si>
    <t>12.8</t>
    <phoneticPr fontId="181"/>
  </si>
  <si>
    <t>12.8.1</t>
    <phoneticPr fontId="26"/>
  </si>
  <si>
    <t>13.1</t>
    <phoneticPr fontId="26"/>
  </si>
  <si>
    <t>13.1.1</t>
    <phoneticPr fontId="26"/>
  </si>
  <si>
    <t>13.2</t>
    <phoneticPr fontId="181"/>
  </si>
  <si>
    <t>13.2.1</t>
    <phoneticPr fontId="26"/>
  </si>
  <si>
    <t>13.4.3</t>
  </si>
  <si>
    <t>15.1</t>
    <phoneticPr fontId="181"/>
  </si>
  <si>
    <t>15.1.1</t>
    <phoneticPr fontId="26"/>
  </si>
  <si>
    <t>15.2</t>
    <phoneticPr fontId="181"/>
  </si>
  <si>
    <t>15.2.1</t>
    <phoneticPr fontId="26"/>
  </si>
  <si>
    <t>15.3</t>
    <phoneticPr fontId="181"/>
  </si>
  <si>
    <t>15.3.1</t>
    <phoneticPr fontId="26"/>
  </si>
  <si>
    <t>15.4</t>
    <phoneticPr fontId="181"/>
  </si>
  <si>
    <t>15.4.1</t>
    <phoneticPr fontId="26"/>
  </si>
  <si>
    <t>17.1</t>
    <phoneticPr fontId="181"/>
  </si>
  <si>
    <t>17.1.1</t>
    <phoneticPr fontId="26"/>
  </si>
  <si>
    <t>17.2</t>
    <phoneticPr fontId="181"/>
  </si>
  <si>
    <t>17.2.1</t>
    <phoneticPr fontId="26"/>
  </si>
  <si>
    <t>17.3</t>
    <phoneticPr fontId="26"/>
  </si>
  <si>
    <t>17.3.1</t>
    <phoneticPr fontId="26"/>
  </si>
  <si>
    <t>17.4</t>
    <phoneticPr fontId="181"/>
  </si>
  <si>
    <t>17.4.1</t>
    <phoneticPr fontId="26"/>
  </si>
  <si>
    <t>17.5</t>
    <phoneticPr fontId="181"/>
  </si>
  <si>
    <t>17.5.1</t>
    <phoneticPr fontId="26"/>
  </si>
  <si>
    <t>CASBEE評価の点数</t>
    <rPh sb="6" eb="8">
      <t>ヒョウカ</t>
    </rPh>
    <rPh sb="9" eb="11">
      <t>テンスウ</t>
    </rPh>
    <phoneticPr fontId="26"/>
  </si>
  <si>
    <t>建物用途名</t>
    <rPh sb="0" eb="2">
      <t>タテモノ</t>
    </rPh>
    <rPh sb="2" eb="4">
      <t>ヨウト</t>
    </rPh>
    <rPh sb="4" eb="5">
      <t>メイ</t>
    </rPh>
    <phoneticPr fontId="26"/>
  </si>
  <si>
    <t>評価
対象
判定</t>
    <rPh sb="0" eb="2">
      <t>ヒョウカ</t>
    </rPh>
    <rPh sb="3" eb="5">
      <t>タイショウ</t>
    </rPh>
    <rPh sb="6" eb="8">
      <t>ハンテイ</t>
    </rPh>
    <phoneticPr fontId="26"/>
  </si>
  <si>
    <t>CASBEE
評価結果</t>
    <rPh sb="7" eb="9">
      <t>ヒョウカ</t>
    </rPh>
    <rPh sb="9" eb="11">
      <t>ケッカ</t>
    </rPh>
    <phoneticPr fontId="181"/>
  </si>
  <si>
    <t>CASBEE
評価素点</t>
    <rPh sb="7" eb="9">
      <t>ヒョウカ</t>
    </rPh>
    <rPh sb="9" eb="11">
      <t>ソテン</t>
    </rPh>
    <phoneticPr fontId="26"/>
  </si>
  <si>
    <t>素点
対象外or
1～3点</t>
    <rPh sb="0" eb="2">
      <t>ソテン</t>
    </rPh>
    <rPh sb="3" eb="5">
      <t>タイショウ</t>
    </rPh>
    <rPh sb="5" eb="6">
      <t>ガイ</t>
    </rPh>
    <rPh sb="12" eb="13">
      <t>テン</t>
    </rPh>
    <phoneticPr fontId="181"/>
  </si>
  <si>
    <t>加点
チェック
判定</t>
    <rPh sb="0" eb="2">
      <t>カテン</t>
    </rPh>
    <rPh sb="8" eb="10">
      <t>ハンテイ</t>
    </rPh>
    <phoneticPr fontId="26"/>
  </si>
  <si>
    <t>小項目別
点数</t>
    <rPh sb="0" eb="3">
      <t>ショウコウモク</t>
    </rPh>
    <rPh sb="3" eb="4">
      <t>ベツ</t>
    </rPh>
    <rPh sb="5" eb="7">
      <t>テンスウ</t>
    </rPh>
    <phoneticPr fontId="181"/>
  </si>
  <si>
    <t>大項目別
点数</t>
    <rPh sb="0" eb="3">
      <t>ダイコウモク</t>
    </rPh>
    <rPh sb="3" eb="4">
      <t>ベツ</t>
    </rPh>
    <rPh sb="5" eb="7">
      <t>テンスウ</t>
    </rPh>
    <phoneticPr fontId="181"/>
  </si>
  <si>
    <t>事</t>
    <phoneticPr fontId="26"/>
  </si>
  <si>
    <t>飲</t>
    <rPh sb="0" eb="1">
      <t>イン</t>
    </rPh>
    <phoneticPr fontId="26"/>
  </si>
  <si>
    <t>会</t>
    <rPh sb="0" eb="1">
      <t>カイ</t>
    </rPh>
    <phoneticPr fontId="26"/>
  </si>
  <si>
    <t>工</t>
    <rPh sb="0" eb="1">
      <t>コウ</t>
    </rPh>
    <phoneticPr fontId="26"/>
  </si>
  <si>
    <t>病</t>
    <rPh sb="0" eb="1">
      <t>ヤマイ</t>
    </rPh>
    <phoneticPr fontId="26"/>
  </si>
  <si>
    <t>住</t>
    <rPh sb="0" eb="1">
      <t>シュウジュウ</t>
    </rPh>
    <phoneticPr fontId="26"/>
  </si>
  <si>
    <t>1～3点</t>
    <rPh sb="3" eb="4">
      <t>テン</t>
    </rPh>
    <phoneticPr fontId="26"/>
  </si>
  <si>
    <t>1～5点</t>
    <rPh sb="3" eb="4">
      <t>テン</t>
    </rPh>
    <phoneticPr fontId="26"/>
  </si>
  <si>
    <t>5点満点換算</t>
    <rPh sb="1" eb="2">
      <t>テン</t>
    </rPh>
    <rPh sb="2" eb="4">
      <t>マンテン</t>
    </rPh>
    <rPh sb="4" eb="6">
      <t>カンサン</t>
    </rPh>
    <phoneticPr fontId="181"/>
  </si>
  <si>
    <t>総合点</t>
    <rPh sb="0" eb="2">
      <t>ソウゴウ</t>
    </rPh>
    <rPh sb="2" eb="3">
      <t>テン</t>
    </rPh>
    <phoneticPr fontId="181"/>
  </si>
  <si>
    <t>→</t>
    <phoneticPr fontId="181"/>
  </si>
  <si>
    <t>ゴール3</t>
    <phoneticPr fontId="181"/>
  </si>
  <si>
    <t>ゴール4</t>
  </si>
  <si>
    <t>ゴール5</t>
  </si>
  <si>
    <t>ゴール6</t>
  </si>
  <si>
    <t>ゴール7</t>
  </si>
  <si>
    <t>ゴール8</t>
  </si>
  <si>
    <t>ゴール9</t>
  </si>
  <si>
    <t>ゴール11</t>
    <phoneticPr fontId="181"/>
  </si>
  <si>
    <t>ゴール12</t>
  </si>
  <si>
    <t>ゴール13</t>
  </si>
  <si>
    <t>ゴール15</t>
  </si>
  <si>
    <t>ゴール17</t>
  </si>
  <si>
    <t>建築環境
SDGs
評価素点</t>
    <rPh sb="0" eb="2">
      <t>ケンチク</t>
    </rPh>
    <rPh sb="2" eb="4">
      <t>カンキョウ</t>
    </rPh>
    <rPh sb="10" eb="12">
      <t>ヒョウカ</t>
    </rPh>
    <rPh sb="12" eb="14">
      <t>ソテン</t>
    </rPh>
    <phoneticPr fontId="26"/>
  </si>
  <si>
    <t>スコア</t>
    <phoneticPr fontId="26"/>
  </si>
  <si>
    <t>ゴール3</t>
    <phoneticPr fontId="26"/>
  </si>
  <si>
    <t>ゴール11</t>
  </si>
  <si>
    <t>ゴール17</t>
    <phoneticPr fontId="26"/>
  </si>
  <si>
    <t>コンビニエンスストア</t>
  </si>
  <si>
    <t>家電量販店</t>
  </si>
  <si>
    <t>研究施設</t>
    <rPh sb="0" eb="2">
      <t>ケンキュウ</t>
    </rPh>
    <rPh sb="2" eb="4">
      <t>シセツ</t>
    </rPh>
    <phoneticPr fontId="26"/>
  </si>
  <si>
    <t>No.13</t>
    <phoneticPr fontId="26"/>
  </si>
  <si>
    <t>―</t>
    <phoneticPr fontId="26"/>
  </si>
  <si>
    <t>―</t>
    <phoneticPr fontId="26"/>
  </si>
  <si>
    <t>3.2.1</t>
  </si>
  <si>
    <t>3.2.2</t>
  </si>
  <si>
    <t>3.2.4</t>
  </si>
  <si>
    <t>3.2.5</t>
  </si>
  <si>
    <t>3.3.1</t>
  </si>
  <si>
    <t>3.3.2</t>
  </si>
  <si>
    <t>3.3.3</t>
  </si>
  <si>
    <t>5.2.2</t>
    <phoneticPr fontId="26"/>
  </si>
  <si>
    <t>5.3</t>
    <phoneticPr fontId="26"/>
  </si>
  <si>
    <t>5.4</t>
    <phoneticPr fontId="26"/>
  </si>
  <si>
    <t>6.4</t>
    <phoneticPr fontId="26"/>
  </si>
  <si>
    <t>6.3</t>
    <phoneticPr fontId="26"/>
  </si>
  <si>
    <t>6.3.2</t>
    <phoneticPr fontId="26"/>
  </si>
  <si>
    <t>7.7</t>
    <phoneticPr fontId="26"/>
  </si>
  <si>
    <t>7.8</t>
    <phoneticPr fontId="26"/>
  </si>
  <si>
    <t>7.7.1</t>
    <phoneticPr fontId="26"/>
  </si>
  <si>
    <t>7.8.1</t>
    <phoneticPr fontId="26"/>
  </si>
  <si>
    <t>8.1</t>
    <phoneticPr fontId="26"/>
  </si>
  <si>
    <t>8.2</t>
    <phoneticPr fontId="26"/>
  </si>
  <si>
    <t>8.2.1</t>
  </si>
  <si>
    <t>8.2.2</t>
  </si>
  <si>
    <t>8.2.3</t>
  </si>
  <si>
    <t>8.2.4</t>
  </si>
  <si>
    <t>8.2.5</t>
  </si>
  <si>
    <t>8.2.6</t>
  </si>
  <si>
    <t>8.4.4</t>
  </si>
  <si>
    <t>8.4.5</t>
  </si>
  <si>
    <t>8.4.6</t>
  </si>
  <si>
    <t>8.4.7</t>
  </si>
  <si>
    <t>8.4.8</t>
  </si>
  <si>
    <t>9.3</t>
    <phoneticPr fontId="26"/>
  </si>
  <si>
    <t>9.4</t>
    <phoneticPr fontId="26"/>
  </si>
  <si>
    <t>9.5</t>
    <phoneticPr fontId="26"/>
  </si>
  <si>
    <t>9.6</t>
    <phoneticPr fontId="26"/>
  </si>
  <si>
    <t>9.4.1</t>
  </si>
  <si>
    <t>9.4.2</t>
  </si>
  <si>
    <t>9.4.3</t>
  </si>
  <si>
    <t>9.4.4</t>
  </si>
  <si>
    <t>9.4.5</t>
  </si>
  <si>
    <t>9.4.6</t>
  </si>
  <si>
    <t>9.6.1</t>
    <phoneticPr fontId="26"/>
  </si>
  <si>
    <t>11.1.2</t>
    <phoneticPr fontId="26"/>
  </si>
  <si>
    <t>11.6</t>
    <phoneticPr fontId="26"/>
  </si>
  <si>
    <t>11.7</t>
    <phoneticPr fontId="26"/>
  </si>
  <si>
    <t>11.8</t>
  </si>
  <si>
    <t>11.9</t>
    <phoneticPr fontId="26"/>
  </si>
  <si>
    <t>11.10</t>
    <phoneticPr fontId="26"/>
  </si>
  <si>
    <t>11.11</t>
    <phoneticPr fontId="26"/>
  </si>
  <si>
    <t>11.8.1</t>
    <phoneticPr fontId="26"/>
  </si>
  <si>
    <t>11.10.1</t>
  </si>
  <si>
    <t>11.10.2</t>
  </si>
  <si>
    <t>11.10.3</t>
  </si>
  <si>
    <t>11.10.4</t>
  </si>
  <si>
    <t>11.10.5</t>
  </si>
  <si>
    <t>11.13</t>
    <phoneticPr fontId="181"/>
  </si>
  <si>
    <t>11.14</t>
    <phoneticPr fontId="26"/>
  </si>
  <si>
    <t>11.15</t>
    <phoneticPr fontId="26"/>
  </si>
  <si>
    <t>11.15.1</t>
    <phoneticPr fontId="26"/>
  </si>
  <si>
    <t>11.14.1</t>
    <phoneticPr fontId="26"/>
  </si>
  <si>
    <t>11.13.1</t>
    <phoneticPr fontId="26"/>
  </si>
  <si>
    <t>12.2.2</t>
  </si>
  <si>
    <t>12.6.2</t>
  </si>
  <si>
    <t>12.6.3</t>
  </si>
  <si>
    <t>12.6.4</t>
  </si>
  <si>
    <t>12.4</t>
    <phoneticPr fontId="26"/>
  </si>
  <si>
    <t>12.4.1</t>
    <phoneticPr fontId="26"/>
  </si>
  <si>
    <t>12.4.2</t>
  </si>
  <si>
    <t>13.3</t>
  </si>
  <si>
    <t>13.3.1</t>
    <phoneticPr fontId="181"/>
  </si>
  <si>
    <t>13.3.2</t>
  </si>
  <si>
    <t>13.4.1</t>
  </si>
  <si>
    <t>13.4.2</t>
  </si>
  <si>
    <t>13.4</t>
    <phoneticPr fontId="181"/>
  </si>
  <si>
    <t>13.5</t>
    <phoneticPr fontId="26"/>
  </si>
  <si>
    <t>13.5.1</t>
  </si>
  <si>
    <t>13.5.2</t>
  </si>
  <si>
    <t>13.5.3</t>
  </si>
  <si>
    <t>13.5.4</t>
  </si>
  <si>
    <t>13.5.5</t>
  </si>
  <si>
    <t>13.5.6</t>
  </si>
  <si>
    <t>17.2.2</t>
  </si>
  <si>
    <t>15.3.2</t>
  </si>
  <si>
    <t>実施しない</t>
    <rPh sb="0" eb="2">
      <t>ジッシ</t>
    </rPh>
    <phoneticPr fontId="26"/>
  </si>
  <si>
    <t>17.1.2</t>
  </si>
  <si>
    <t>-</t>
    <phoneticPr fontId="26"/>
  </si>
  <si>
    <t xml:space="preserve">[BEI+]= </t>
    <phoneticPr fontId="26"/>
  </si>
  <si>
    <t>BEI/BEIm</t>
    <phoneticPr fontId="26"/>
  </si>
  <si>
    <t>BEI</t>
    <phoneticPr fontId="26"/>
  </si>
  <si>
    <t>BEI*</t>
    <phoneticPr fontId="26"/>
  </si>
  <si>
    <t>Aa0</t>
    <phoneticPr fontId="26"/>
  </si>
  <si>
    <t>Aa1</t>
    <phoneticPr fontId="26"/>
  </si>
  <si>
    <t>Aa2</t>
    <phoneticPr fontId="26"/>
  </si>
  <si>
    <t>Aa4</t>
    <phoneticPr fontId="26"/>
  </si>
  <si>
    <t>Aa</t>
    <phoneticPr fontId="26"/>
  </si>
  <si>
    <t>Ba</t>
    <phoneticPr fontId="26"/>
  </si>
  <si>
    <t>Ab0</t>
    <phoneticPr fontId="26"/>
  </si>
  <si>
    <t>Ab1</t>
    <phoneticPr fontId="26"/>
  </si>
  <si>
    <t>Ab2</t>
    <phoneticPr fontId="26"/>
  </si>
  <si>
    <t>Ab4</t>
    <phoneticPr fontId="26"/>
  </si>
  <si>
    <t>Ba0</t>
    <phoneticPr fontId="26"/>
  </si>
  <si>
    <t>Ba1</t>
    <phoneticPr fontId="26"/>
  </si>
  <si>
    <t>Ba2</t>
    <phoneticPr fontId="26"/>
  </si>
  <si>
    <t>Ba4</t>
    <phoneticPr fontId="26"/>
  </si>
  <si>
    <t>Bb0</t>
    <phoneticPr fontId="26"/>
  </si>
  <si>
    <t>Bb1</t>
    <phoneticPr fontId="26"/>
  </si>
  <si>
    <t>Bb2</t>
    <phoneticPr fontId="26"/>
  </si>
  <si>
    <t>Bb4</t>
    <phoneticPr fontId="26"/>
  </si>
  <si>
    <t>Ca0</t>
    <phoneticPr fontId="26"/>
  </si>
  <si>
    <t>Ca1</t>
    <phoneticPr fontId="26"/>
  </si>
  <si>
    <t>Ca2</t>
    <phoneticPr fontId="26"/>
  </si>
  <si>
    <t>Ca4</t>
    <phoneticPr fontId="26"/>
  </si>
  <si>
    <t>Cb0</t>
    <phoneticPr fontId="26"/>
  </si>
  <si>
    <t>Cb1</t>
    <phoneticPr fontId="26"/>
  </si>
  <si>
    <t>Cb2</t>
    <phoneticPr fontId="26"/>
  </si>
  <si>
    <t>Cb4</t>
    <phoneticPr fontId="26"/>
  </si>
  <si>
    <t>MJ</t>
    <phoneticPr fontId="26"/>
  </si>
  <si>
    <t>kWh</t>
    <phoneticPr fontId="26"/>
  </si>
  <si>
    <t>kW</t>
    <phoneticPr fontId="26"/>
  </si>
  <si>
    <t>kWh</t>
    <phoneticPr fontId="26"/>
  </si>
  <si>
    <t>4.1.3</t>
  </si>
  <si>
    <t>4.1.4</t>
  </si>
  <si>
    <t xml:space="preserve">BEI+ = </t>
    <phoneticPr fontId="26"/>
  </si>
  <si>
    <t>XXX</t>
    <phoneticPr fontId="26"/>
  </si>
  <si>
    <t>UC</t>
  </si>
  <si>
    <t>EC-UC</t>
  </si>
  <si>
    <t>OC</t>
  </si>
  <si>
    <t>ｵﾝｻｲﾄ</t>
  </si>
  <si>
    <t>ｵﾌｻｲﾄ</t>
  </si>
  <si>
    <t xml:space="preserve">BEI </t>
    <phoneticPr fontId="26"/>
  </si>
  <si>
    <t>SRC</t>
  </si>
  <si>
    <t>RC</t>
  </si>
  <si>
    <t>S</t>
  </si>
  <si>
    <t>C</t>
    <phoneticPr fontId="26"/>
  </si>
  <si>
    <t>a</t>
    <phoneticPr fontId="26"/>
  </si>
  <si>
    <t>b</t>
    <phoneticPr fontId="26"/>
  </si>
  <si>
    <t>* SDG 1,2,10,14,16 efforts are consolidated into other goals.</t>
  </si>
  <si>
    <t>2-2 WLC (Global Warming Impact Chart)</t>
  </si>
  <si>
    <t>2-4 Assessment results of Medium-level categories (bar chart)</t>
  </si>
  <si>
    <t>Q Environmental Quality</t>
  </si>
  <si>
    <t>LR Environmental Load Reduction</t>
  </si>
  <si>
    <t>Score of LR=</t>
  </si>
  <si>
    <t>Score of Q=</t>
  </si>
  <si>
    <t>Assessment Software</t>
  </si>
  <si>
    <t>Zone 1</t>
  </si>
  <si>
    <t>Zone 2</t>
  </si>
  <si>
    <t>Zone 3</t>
  </si>
  <si>
    <t>Zone 4</t>
  </si>
  <si>
    <t>Zone 5</t>
  </si>
  <si>
    <t>Zone 6</t>
  </si>
  <si>
    <t>Zone 7</t>
  </si>
  <si>
    <t>Zone 8</t>
  </si>
  <si>
    <t>CASBEE for Building Design (New Construction) 2024 Edition</t>
    <phoneticPr fontId="26"/>
  </si>
  <si>
    <t>1) Summary input</t>
  </si>
  <si>
    <t>[1] Building outline</t>
  </si>
  <si>
    <r>
      <rPr>
        <sz val="10"/>
        <rFont val="Wingdings"/>
        <charset val="2"/>
      </rPr>
      <t>n</t>
    </r>
    <r>
      <rPr>
        <sz val="10"/>
        <rFont val="Arial"/>
        <family val="2"/>
      </rPr>
      <t xml:space="preserve"> Building Name</t>
    </r>
    <phoneticPr fontId="26"/>
  </si>
  <si>
    <r>
      <rPr>
        <sz val="10"/>
        <rFont val="Wingdings"/>
        <charset val="2"/>
      </rPr>
      <t>n</t>
    </r>
    <r>
      <rPr>
        <sz val="10"/>
        <rFont val="Arial"/>
        <family val="2"/>
      </rPr>
      <t xml:space="preserve"> Area / Zone</t>
    </r>
    <phoneticPr fontId="26"/>
  </si>
  <si>
    <r>
      <rPr>
        <sz val="10"/>
        <rFont val="Wingdings"/>
        <charset val="2"/>
      </rPr>
      <t>n</t>
    </r>
    <r>
      <rPr>
        <sz val="10"/>
        <rFont val="Arial"/>
        <family val="2"/>
      </rPr>
      <t xml:space="preserve"> Date of completion</t>
    </r>
    <phoneticPr fontId="26"/>
  </si>
  <si>
    <r>
      <rPr>
        <sz val="10"/>
        <rFont val="Wingdings"/>
        <charset val="2"/>
      </rPr>
      <t>n</t>
    </r>
    <r>
      <rPr>
        <sz val="10"/>
        <rFont val="Arial"/>
        <family val="2"/>
      </rPr>
      <t xml:space="preserve"> Site Area</t>
    </r>
    <phoneticPr fontId="26"/>
  </si>
  <si>
    <r>
      <rPr>
        <sz val="10"/>
        <rFont val="Wingdings"/>
        <charset val="2"/>
      </rPr>
      <t>n</t>
    </r>
    <r>
      <rPr>
        <sz val="10"/>
        <rFont val="Arial"/>
        <family val="2"/>
      </rPr>
      <t xml:space="preserve"> Construction Area</t>
    </r>
    <phoneticPr fontId="26"/>
  </si>
  <si>
    <r>
      <rPr>
        <sz val="10"/>
        <rFont val="Wingdings"/>
        <charset val="2"/>
      </rPr>
      <t>n</t>
    </r>
    <r>
      <rPr>
        <sz val="10"/>
        <rFont val="Arial"/>
        <family val="2"/>
      </rPr>
      <t xml:space="preserve"> Gross Floor Area</t>
    </r>
    <phoneticPr fontId="26"/>
  </si>
  <si>
    <r>
      <rPr>
        <sz val="10"/>
        <rFont val="Wingdings"/>
        <charset val="2"/>
      </rPr>
      <t>n</t>
    </r>
    <r>
      <rPr>
        <sz val="10"/>
        <rFont val="Arial"/>
        <family val="2"/>
      </rPr>
      <t xml:space="preserve"> Building Type</t>
    </r>
    <phoneticPr fontId="26"/>
  </si>
  <si>
    <r>
      <rPr>
        <sz val="10"/>
        <rFont val="Wingdings"/>
        <charset val="2"/>
      </rPr>
      <t>n</t>
    </r>
    <r>
      <rPr>
        <sz val="10"/>
        <rFont val="Arial"/>
        <family val="2"/>
      </rPr>
      <t xml:space="preserve"> Number of Floors</t>
    </r>
    <phoneticPr fontId="26"/>
  </si>
  <si>
    <r>
      <rPr>
        <sz val="10"/>
        <rFont val="Wingdings"/>
        <charset val="2"/>
      </rPr>
      <t>n</t>
    </r>
    <r>
      <rPr>
        <sz val="10"/>
        <rFont val="Arial"/>
        <family val="2"/>
      </rPr>
      <t xml:space="preserve"> Structure</t>
    </r>
    <phoneticPr fontId="26"/>
  </si>
  <si>
    <r>
      <rPr>
        <sz val="10"/>
        <rFont val="Wingdings"/>
        <charset val="2"/>
      </rPr>
      <t>n</t>
    </r>
    <r>
      <rPr>
        <sz val="10"/>
        <rFont val="Arial"/>
        <family val="2"/>
      </rPr>
      <t xml:space="preserve"> Occupancy</t>
    </r>
    <phoneticPr fontId="26"/>
  </si>
  <si>
    <r>
      <rPr>
        <sz val="10"/>
        <rFont val="Wingdings"/>
        <charset val="2"/>
      </rPr>
      <t>n</t>
    </r>
    <r>
      <rPr>
        <sz val="10"/>
        <rFont val="Arial"/>
        <family val="2"/>
      </rPr>
      <t xml:space="preserve"> Average Annual Occupancy</t>
    </r>
    <phoneticPr fontId="26"/>
  </si>
  <si>
    <t>Occupants (assumed)</t>
  </si>
  <si>
    <t>hrs./yr. (assumed)</t>
  </si>
  <si>
    <t>XXX Building</t>
    <phoneticPr fontId="26"/>
  </si>
  <si>
    <t>XX City, XX Prefecture</t>
    <phoneticPr fontId="26"/>
  </si>
  <si>
    <t xml:space="preserve"> (Scheduled/Completed)</t>
  </si>
  <si>
    <t>Scheduled</t>
  </si>
  <si>
    <t>Scheduled</t>
    <phoneticPr fontId="26"/>
  </si>
  <si>
    <t>Completed</t>
    <phoneticPr fontId="26"/>
  </si>
  <si>
    <t>Wood</t>
  </si>
  <si>
    <t>+ XX F</t>
  </si>
  <si>
    <t>Preliminary design stage</t>
  </si>
  <si>
    <t>Execution design stage</t>
  </si>
  <si>
    <t>Construction completion stage</t>
  </si>
  <si>
    <t>EB</t>
  </si>
  <si>
    <t>NC</t>
  </si>
  <si>
    <t>Standard calculation</t>
  </si>
  <si>
    <t>Individual calculation</t>
  </si>
  <si>
    <r>
      <rPr>
        <sz val="10"/>
        <rFont val="Wingdings"/>
        <charset val="2"/>
      </rPr>
      <t>n</t>
    </r>
    <r>
      <rPr>
        <sz val="10"/>
        <rFont val="Arial"/>
        <family val="2"/>
      </rPr>
      <t xml:space="preserve"> Assessment date</t>
    </r>
    <phoneticPr fontId="26"/>
  </si>
  <si>
    <r>
      <rPr>
        <sz val="10"/>
        <rFont val="Wingdings"/>
        <charset val="2"/>
      </rPr>
      <t>n</t>
    </r>
    <r>
      <rPr>
        <sz val="10"/>
        <rFont val="Arial"/>
        <family val="2"/>
      </rPr>
      <t xml:space="preserve"> Assessor</t>
    </r>
    <phoneticPr fontId="26"/>
  </si>
  <si>
    <r>
      <rPr>
        <sz val="10"/>
        <rFont val="Wingdings"/>
        <charset val="2"/>
      </rPr>
      <t>n</t>
    </r>
    <r>
      <rPr>
        <sz val="10"/>
        <rFont val="Arial"/>
        <family val="2"/>
      </rPr>
      <t xml:space="preserve"> Date of confirmation</t>
    </r>
    <phoneticPr fontId="26"/>
  </si>
  <si>
    <r>
      <rPr>
        <sz val="10"/>
        <rFont val="Wingdings"/>
        <charset val="2"/>
      </rPr>
      <t>n</t>
    </r>
    <r>
      <rPr>
        <sz val="10"/>
        <rFont val="Arial"/>
        <family val="2"/>
      </rPr>
      <t xml:space="preserve"> Confirmed by</t>
    </r>
    <phoneticPr fontId="26"/>
  </si>
  <si>
    <t>XXXXX</t>
    <phoneticPr fontId="26"/>
  </si>
  <si>
    <r>
      <rPr>
        <sz val="10"/>
        <rFont val="Wingdings"/>
        <charset val="2"/>
      </rPr>
      <t>n</t>
    </r>
    <r>
      <rPr>
        <sz val="10"/>
        <rFont val="Arial"/>
        <family val="2"/>
      </rPr>
      <t xml:space="preserve">  WLC calculation</t>
    </r>
    <phoneticPr fontId="26"/>
  </si>
  <si>
    <t>2) Entry for individual building type</t>
  </si>
  <si>
    <t>[1] Floor area of each building type</t>
  </si>
  <si>
    <t xml:space="preserve"> Offices</t>
  </si>
  <si>
    <t xml:space="preserve"> Schools</t>
  </si>
  <si>
    <t xml:space="preserve"> Retailers</t>
  </si>
  <si>
    <t xml:space="preserve"> Restaurants</t>
  </si>
  <si>
    <t xml:space="preserve"> Halls</t>
  </si>
  <si>
    <t xml:space="preserve"> Factories</t>
  </si>
  <si>
    <t xml:space="preserve"> Hospitals</t>
  </si>
  <si>
    <t xml:space="preserve"> Hotels</t>
  </si>
  <si>
    <t xml:space="preserve"> Apartments</t>
  </si>
  <si>
    <t>Government buildings</t>
  </si>
  <si>
    <t>Elementary/junior high schools (Hokkaido)</t>
  </si>
  <si>
    <t>Elementary/junior high schools (other than Hokkaido)</t>
  </si>
  <si>
    <t>High schools</t>
  </si>
  <si>
    <t>Universities/technical colleges</t>
  </si>
  <si>
    <t>Other stores</t>
  </si>
  <si>
    <t>Exhibition facilities</t>
  </si>
  <si>
    <t>Sports facilities</t>
  </si>
  <si>
    <t>3) Results Output</t>
  </si>
  <si>
    <t>Score Sheet</t>
  </si>
  <si>
    <t>Assessment Result Sheet</t>
  </si>
  <si>
    <t>Building type</t>
  </si>
  <si>
    <t>Types included</t>
  </si>
  <si>
    <t>Total</t>
    <phoneticPr fontId="26"/>
  </si>
  <si>
    <t>Version</t>
  </si>
  <si>
    <r>
      <rPr>
        <sz val="9"/>
        <rFont val="Wingdings"/>
        <charset val="2"/>
      </rPr>
      <t>n</t>
    </r>
    <r>
      <rPr>
        <sz val="9"/>
        <rFont val="Arial"/>
        <family val="2"/>
      </rPr>
      <t xml:space="preserve"> Assessment Manual :</t>
    </r>
    <phoneticPr fontId="26"/>
  </si>
  <si>
    <t>1-1 Building Outline</t>
  </si>
  <si>
    <t>Building Name</t>
  </si>
  <si>
    <t>Location</t>
  </si>
  <si>
    <t>Area / Zone</t>
  </si>
  <si>
    <t>Building Type</t>
  </si>
  <si>
    <t>Completion</t>
  </si>
  <si>
    <r>
      <rPr>
        <sz val="10"/>
        <color theme="9" tint="-0.499984740745262"/>
        <rFont val="ＭＳ Ｐゴシック"/>
        <family val="3"/>
        <charset val="128"/>
      </rPr>
      <t>使用期間</t>
    </r>
    <rPh sb="0" eb="2">
      <t>シヨウ</t>
    </rPh>
    <rPh sb="2" eb="4">
      <t>キカン</t>
    </rPh>
    <phoneticPr fontId="26"/>
  </si>
  <si>
    <t>Site Area</t>
  </si>
  <si>
    <t>Construction Area</t>
  </si>
  <si>
    <t>Gross Floor Area</t>
  </si>
  <si>
    <t>Number of Floors</t>
  </si>
  <si>
    <t>Structure</t>
  </si>
  <si>
    <t>Occupancy</t>
  </si>
  <si>
    <t>Annual Occupancy</t>
  </si>
  <si>
    <t>Assessment phase</t>
  </si>
  <si>
    <t>Assessment date</t>
  </si>
  <si>
    <t>Assessor</t>
  </si>
  <si>
    <t>Date of approval</t>
  </si>
  <si>
    <t>Approved by</t>
  </si>
  <si>
    <t>1-2 Appearance</t>
  </si>
  <si>
    <r>
      <rPr>
        <sz val="9"/>
        <rFont val="Wingdings"/>
        <charset val="2"/>
      </rPr>
      <t>n</t>
    </r>
    <r>
      <rPr>
        <sz val="9"/>
        <rFont val="Arial"/>
        <family val="2"/>
      </rPr>
      <t xml:space="preserve"> Manual:</t>
    </r>
    <phoneticPr fontId="26"/>
  </si>
  <si>
    <r>
      <rPr>
        <sz val="9"/>
        <rFont val="Wingdings"/>
        <charset val="2"/>
      </rPr>
      <t>n</t>
    </r>
    <r>
      <rPr>
        <sz val="9"/>
        <rFont val="Arial"/>
        <family val="2"/>
      </rPr>
      <t xml:space="preserve"> Software:</t>
    </r>
    <phoneticPr fontId="26"/>
  </si>
  <si>
    <t>unlock the sheet's protection.</t>
  </si>
  <si>
    <t>2-3 Built Environment SDGs Checklist</t>
  </si>
  <si>
    <t>Whether or not this checklist is implemented:</t>
    <phoneticPr fontId="26"/>
  </si>
  <si>
    <t>implemented</t>
    <phoneticPr fontId="26"/>
  </si>
  <si>
    <t>not implemented</t>
    <phoneticPr fontId="26"/>
  </si>
  <si>
    <t>Q2 Quality of Service</t>
  </si>
  <si>
    <t>Q3 Outdoor 
Environment 
on Site</t>
  </si>
  <si>
    <t>LR3 Off-site 
Environment</t>
  </si>
  <si>
    <t>LR2 Resources &amp; Materials</t>
  </si>
  <si>
    <t>LR1 Energy</t>
  </si>
  <si>
    <t>Q1 Indoor 
Environment</t>
  </si>
  <si>
    <t>WLC(kg-CO2/ym2)</t>
    <phoneticPr fontId="26"/>
  </si>
  <si>
    <t>Construction</t>
  </si>
  <si>
    <t>Repair, renewal/demolition</t>
  </si>
  <si>
    <t>Operation</t>
  </si>
  <si>
    <t>On-site</t>
  </si>
  <si>
    <t>Off-site</t>
  </si>
  <si>
    <t>Indiv. Calc</t>
    <phoneticPr fontId="26"/>
  </si>
  <si>
    <t>Std. Calc</t>
    <phoneticPr fontId="26"/>
  </si>
  <si>
    <t>Repair, renewal/demolition</t>
    <phoneticPr fontId="26"/>
  </si>
  <si>
    <t>This chart indicates rough estimate of WLC calculated by the assessor (individual calculation)of evaluated building compared with that of reference building. Refer "WLC calculation conditions sheet (Indiv. calc)" to see the assumptions for the conditions.</t>
    <phoneticPr fontId="26"/>
  </si>
  <si>
    <t>--&gt; Input WLC Calculation Conditions Sheet (Std. calc)</t>
    <phoneticPr fontId="26"/>
  </si>
  <si>
    <t>--&gt; Input WLC Calculation Conditions Sheet (Indiv. calc)</t>
    <phoneticPr fontId="26"/>
  </si>
  <si>
    <r>
      <rPr>
        <b/>
        <sz val="12"/>
        <rFont val="Wingdings"/>
        <charset val="2"/>
      </rPr>
      <t xml:space="preserve">n </t>
    </r>
    <r>
      <rPr>
        <b/>
        <sz val="12"/>
        <rFont val="Arial"/>
        <family val="2"/>
      </rPr>
      <t>Considerations in environmental design</t>
    </r>
    <phoneticPr fontId="26"/>
  </si>
  <si>
    <r>
      <rPr>
        <sz val="8"/>
        <rFont val="Wingdings"/>
        <charset val="2"/>
      </rPr>
      <t>n</t>
    </r>
    <r>
      <rPr>
        <sz val="8"/>
        <rFont val="ＭＳ Ｐゴシック"/>
        <family val="3"/>
        <charset val="128"/>
      </rPr>
      <t xml:space="preserve"> </t>
    </r>
    <r>
      <rPr>
        <sz val="8"/>
        <rFont val="Arial"/>
        <family val="2"/>
      </rPr>
      <t>Building Name</t>
    </r>
    <phoneticPr fontId="26"/>
  </si>
  <si>
    <t>Considerations in design</t>
  </si>
  <si>
    <t>General</t>
  </si>
  <si>
    <t>Q1 
Indoor Environment</t>
  </si>
  <si>
    <t>Q2 
Quality of Service</t>
  </si>
  <si>
    <t>Q3 
Outdoor Environment 
on Site</t>
  </si>
  <si>
    <t>LR1 
Energy</t>
  </si>
  <si>
    <t>LR2 
Resources &amp; Materials</t>
  </si>
  <si>
    <t>LR3 
Off-site Environment</t>
  </si>
  <si>
    <t>Other</t>
  </si>
  <si>
    <t>Describe briefly comprehensive concept of environmental design of the building.</t>
  </si>
  <si>
    <t>Describe briefly considerations for Q1 Indoor Environment of the building.</t>
  </si>
  <si>
    <t>Describe briefly considerations for Q2 Quality of Service of the building.</t>
  </si>
  <si>
    <t>Describe briefly considerations for Q3 Outdoor Environment on Site of the building.</t>
  </si>
  <si>
    <t>Describe briefly considerations for LR1 Energy of the building.</t>
  </si>
  <si>
    <t>Describe briefly considerations for LR2 Resources &amp; Materials of the building.</t>
  </si>
  <si>
    <t>Describe briefly considerations for LR3 Off-site Environment of the building.</t>
  </si>
  <si>
    <t>Describe briefly considerations for other than 6 categories above that is not assessed in CASBEE-NC, such as recycling activities at constriction site and preservation of historic buildings.</t>
  </si>
  <si>
    <t>Q: Environmental Quality of Building</t>
    <phoneticPr fontId="26"/>
  </si>
  <si>
    <t>LR: Environmental Load Reduction of Building</t>
    <phoneticPr fontId="26"/>
  </si>
  <si>
    <r>
      <rPr>
        <sz val="10"/>
        <rFont val="Wingdings"/>
        <charset val="2"/>
      </rPr>
      <t>n</t>
    </r>
    <r>
      <rPr>
        <sz val="10"/>
        <rFont val="Arial"/>
        <family val="2"/>
      </rPr>
      <t xml:space="preserve"> Proportion of gross floor area designated as guest rooms in Hotel</t>
    </r>
    <phoneticPr fontId="26"/>
  </si>
  <si>
    <r>
      <rPr>
        <sz val="10"/>
        <rFont val="Wingdings"/>
        <charset val="2"/>
      </rPr>
      <t>n</t>
    </r>
    <r>
      <rPr>
        <sz val="10"/>
        <rFont val="Arial"/>
        <family val="2"/>
      </rPr>
      <t xml:space="preserve"> Proportion of gross floor area designate as dwelling units in Apartment</t>
    </r>
    <phoneticPr fontId="26"/>
  </si>
  <si>
    <r>
      <rPr>
        <sz val="10"/>
        <rFont val="Wingdings"/>
        <charset val="2"/>
      </rPr>
      <t>n</t>
    </r>
    <r>
      <rPr>
        <sz val="10"/>
        <rFont val="Arial"/>
        <family val="2"/>
      </rPr>
      <t xml:space="preserve"> Proportion of gross floor area designated as bed rooms in Hospital</t>
    </r>
    <phoneticPr fontId="26"/>
  </si>
  <si>
    <t>[2] Ratio of Dwelling &amp; Accommodation areas</t>
    <phoneticPr fontId="26"/>
  </si>
  <si>
    <t>Score</t>
  </si>
  <si>
    <t>Summary of environmentally conscious efforts in design</t>
    <phoneticPr fontId="26"/>
  </si>
  <si>
    <t>Q1 Indoor Environment</t>
  </si>
  <si>
    <t>Noise</t>
  </si>
  <si>
    <t>Background noise level</t>
  </si>
  <si>
    <t>Equipment noise</t>
  </si>
  <si>
    <t>Sound Insulation</t>
  </si>
  <si>
    <t>Sound Insulation of Openings</t>
  </si>
  <si>
    <t>Sound Insulation of Partition Walls</t>
  </si>
  <si>
    <t>Sound Insulation Performance of Floor 
Slabs (light-weight impact source)</t>
  </si>
  <si>
    <t>Sound Insulation Performance of Floor 
Slabs (heavy-weight impact source)</t>
  </si>
  <si>
    <t>Sound Absorption</t>
  </si>
  <si>
    <t xml:space="preserve"> Thermal Comfort</t>
  </si>
  <si>
    <t>Room Temperature Control</t>
  </si>
  <si>
    <t>Variable Loads and Following-up Control</t>
  </si>
  <si>
    <t>Perimeter Performance</t>
  </si>
  <si>
    <t>Zoned Control</t>
  </si>
  <si>
    <t>Temperature and Humidity Control</t>
  </si>
  <si>
    <t>Individual Control</t>
  </si>
  <si>
    <t>Allowance for After-hours Air Conditioning</t>
  </si>
  <si>
    <t>Monitoring Systems</t>
  </si>
  <si>
    <t>Humidity Control</t>
  </si>
  <si>
    <t>Type of Air Conditioning System</t>
  </si>
  <si>
    <t xml:space="preserve"> Lighting &amp; Illumination</t>
  </si>
  <si>
    <t>Anti-glare Measures</t>
  </si>
  <si>
    <t>Illuminance Level</t>
  </si>
  <si>
    <t>Lighting Controllability</t>
  </si>
  <si>
    <t>Daylight Factor</t>
  </si>
  <si>
    <t>Openings by Orientation</t>
  </si>
  <si>
    <t>Daylight Devices</t>
  </si>
  <si>
    <t>Glare from Light Fixtures</t>
  </si>
  <si>
    <t>Daylight Control</t>
  </si>
  <si>
    <r>
      <rPr>
        <sz val="10"/>
        <rFont val="ＭＳ Ｐゴシック"/>
        <family val="3"/>
        <charset val="128"/>
      </rPr>
      <t>映り込み対策</t>
    </r>
    <rPh sb="0" eb="1">
      <t>ウツ</t>
    </rPh>
    <rPh sb="2" eb="3">
      <t>コ</t>
    </rPh>
    <rPh sb="4" eb="6">
      <t>タイサク</t>
    </rPh>
    <phoneticPr fontId="19"/>
  </si>
  <si>
    <r>
      <rPr>
        <sz val="10"/>
        <rFont val="ＭＳ Ｐゴシック"/>
        <family val="3"/>
        <charset val="128"/>
      </rPr>
      <t>映り込み対策</t>
    </r>
    <rPh sb="0" eb="1">
      <t>ウツ</t>
    </rPh>
    <rPh sb="2" eb="3">
      <t>コ</t>
    </rPh>
    <rPh sb="4" eb="6">
      <t>タイサク</t>
    </rPh>
    <phoneticPr fontId="26"/>
  </si>
  <si>
    <r>
      <rPr>
        <sz val="10"/>
        <rFont val="ＭＳ Ｐゴシック"/>
        <family val="3"/>
        <charset val="128"/>
      </rPr>
      <t>照度</t>
    </r>
    <rPh sb="0" eb="2">
      <t>ショウド</t>
    </rPh>
    <phoneticPr fontId="19"/>
  </si>
  <si>
    <r>
      <rPr>
        <sz val="10"/>
        <rFont val="ＭＳ Ｐゴシック"/>
        <family val="3"/>
        <charset val="128"/>
      </rPr>
      <t>照度均斉度</t>
    </r>
    <rPh sb="0" eb="2">
      <t>ショウド</t>
    </rPh>
    <rPh sb="2" eb="3">
      <t>タモツ</t>
    </rPh>
    <rPh sb="3" eb="4">
      <t>サイ</t>
    </rPh>
    <rPh sb="4" eb="5">
      <t>タビ</t>
    </rPh>
    <phoneticPr fontId="19"/>
  </si>
  <si>
    <t>Daylighting</t>
  </si>
  <si>
    <t>Air Quality</t>
  </si>
  <si>
    <t>Source Control</t>
  </si>
  <si>
    <t>Chemical Pollutants</t>
  </si>
  <si>
    <t>Asbestos</t>
  </si>
  <si>
    <t>Legionella</t>
  </si>
  <si>
    <t>Ventilation</t>
  </si>
  <si>
    <t>Ventilation Rate</t>
  </si>
  <si>
    <t>Natural Ventilation Performance</t>
  </si>
  <si>
    <t>Consideration for Outside Air Intake</t>
  </si>
  <si>
    <t>Air Supply Planning</t>
  </si>
  <si>
    <t>Operation Plan</t>
  </si>
  <si>
    <t>CO2 Monitoring</t>
  </si>
  <si>
    <t>Control of Smoking</t>
  </si>
  <si>
    <t>Service Ability</t>
  </si>
  <si>
    <t xml:space="preserve"> Functionality &amp; Usability</t>
  </si>
  <si>
    <t>Provision of Space &amp; Storage</t>
  </si>
  <si>
    <t>Use of Advanced Information System</t>
  </si>
  <si>
    <t>Barrier-free Planning</t>
  </si>
  <si>
    <t>Amenity</t>
  </si>
  <si>
    <t>Perceived Spaciousness &amp; Access to View</t>
  </si>
  <si>
    <t>Space for Refreshment</t>
  </si>
  <si>
    <t>Décor Planning</t>
  </si>
  <si>
    <t>Maintenance Management</t>
  </si>
  <si>
    <t>Securing Maintenance Management Functions</t>
  </si>
  <si>
    <t>Durability &amp; Reliability</t>
  </si>
  <si>
    <t>Earthquake-resistance</t>
  </si>
  <si>
    <t>Service Life of Components</t>
  </si>
  <si>
    <t>Necessary Refurbishment Interval for Exterior Finishes</t>
  </si>
  <si>
    <t>Necessary Renewal Interval for Main Interior Finishes</t>
  </si>
  <si>
    <t xml:space="preserve"> Appropriate renewal</t>
  </si>
  <si>
    <t>Reliability</t>
  </si>
  <si>
    <t>HVAC System</t>
  </si>
  <si>
    <t>Water Supply &amp; Drainage</t>
  </si>
  <si>
    <t>Electrical Equipment</t>
  </si>
  <si>
    <t>Support Method of Machines &amp; Ducts</t>
  </si>
  <si>
    <t>Communications &amp; IT Equipment</t>
  </si>
  <si>
    <t>Flexibility &amp; Adaptability</t>
  </si>
  <si>
    <t>Spatial Margin</t>
  </si>
  <si>
    <t>Allowance for Floor-to-floor Height</t>
  </si>
  <si>
    <t>Floor Load Margin</t>
  </si>
  <si>
    <t>Ease of Air Conditioning Duct Renewal</t>
  </si>
  <si>
    <t>Ease of Water Supply and Drain Pipe Renewal</t>
  </si>
  <si>
    <t>Ease of Electrical Wiring Renewal</t>
  </si>
  <si>
    <t>Ease of Communications Cable Renewal</t>
  </si>
  <si>
    <t>Ease of Equipment Renewal</t>
  </si>
  <si>
    <t>Provision of Backup Space</t>
  </si>
  <si>
    <t>Q3 Outdoor Environment on Site</t>
  </si>
  <si>
    <t>Preservation &amp; Creation of Biotope</t>
  </si>
  <si>
    <t>Townscape &amp; Landscape</t>
  </si>
  <si>
    <t>Local Characteristics &amp; Outdoor Amenity</t>
  </si>
  <si>
    <t>Improvement of the Thermal Environment on Site</t>
  </si>
  <si>
    <t>Energy</t>
  </si>
  <si>
    <r>
      <rPr>
        <sz val="10"/>
        <rFont val="ＭＳ Ｐゴシック"/>
        <family val="3"/>
        <charset val="128"/>
      </rPr>
      <t>自然エネルギー利用</t>
    </r>
    <rPh sb="0" eb="2">
      <t>シゼン</t>
    </rPh>
    <rPh sb="7" eb="9">
      <t>リヨウ</t>
    </rPh>
    <phoneticPr fontId="19"/>
  </si>
  <si>
    <t>Efficiency in Building Service System</t>
  </si>
  <si>
    <t>Other than apartments</t>
  </si>
  <si>
    <t>Monitoring</t>
  </si>
  <si>
    <t>Operation &amp; Management System</t>
  </si>
  <si>
    <t>Apartments</t>
  </si>
  <si>
    <t xml:space="preserve">Other than apartment </t>
    <phoneticPr fontId="35" type="noConversion"/>
  </si>
  <si>
    <t>Apartment</t>
    <phoneticPr fontId="35" type="noConversion"/>
  </si>
  <si>
    <t xml:space="preserve">Water Resources </t>
  </si>
  <si>
    <t>Water Saving</t>
  </si>
  <si>
    <t>Rainwater Use System</t>
  </si>
  <si>
    <t>Use of Recycled Materials as Non-structural Materials</t>
  </si>
  <si>
    <t>Timber from Sustainable Forestry</t>
  </si>
  <si>
    <t>Reusability of Components and Materials</t>
  </si>
  <si>
    <t>Avoiding the Use of Materials with Pollutant Content</t>
  </si>
  <si>
    <t>Use of Materials without Harmful Substances</t>
  </si>
  <si>
    <t>Fire Retardant</t>
  </si>
  <si>
    <t>Refrigerants</t>
  </si>
  <si>
    <t>LR3 Off-site Environment</t>
  </si>
  <si>
    <t>Consideration of Global Warming</t>
  </si>
  <si>
    <t>Consideration of Local Environment</t>
  </si>
  <si>
    <t>Air Pollution</t>
  </si>
  <si>
    <t>Load on Local Infrastructure</t>
  </si>
  <si>
    <t>Reduction of Rainwater Discharge Loads</t>
  </si>
  <si>
    <t>Sewage Load Suppression</t>
  </si>
  <si>
    <t>Traffic Load Control</t>
  </si>
  <si>
    <t>Consideration of Surrounding Environment</t>
  </si>
  <si>
    <t>Noise, Vibration &amp; Odor</t>
  </si>
  <si>
    <t>Vibration</t>
  </si>
  <si>
    <t>Odor</t>
  </si>
  <si>
    <t>Restriction of Wind Damage</t>
  </si>
  <si>
    <t>Restriction of sunlight obstruction</t>
  </si>
  <si>
    <t>Light Pollution</t>
  </si>
  <si>
    <t>Outdoor Illumination and Light that 
Spills from Interiors</t>
  </si>
  <si>
    <t>Measures for Reflected Solar Glare 
from Building Walls</t>
  </si>
  <si>
    <t>Sound Insulation Performance of Floor Slabs (light-weight impact source)</t>
  </si>
  <si>
    <t>Sound Insulation Performance of Floor Slabs (heavy-weight impact source)</t>
  </si>
  <si>
    <t>Quality of Service</t>
  </si>
  <si>
    <t>Outdoor Environment on Site</t>
  </si>
  <si>
    <t>Resources &amp; Materials</t>
  </si>
  <si>
    <t>Off-site Environment</t>
  </si>
  <si>
    <t>Outdoor Illumination and Light that Spills from Interiors</t>
  </si>
  <si>
    <t>Measures for Reflected Solar Glare from Building Walls</t>
  </si>
  <si>
    <t>Off</t>
  </si>
  <si>
    <t>Sch</t>
  </si>
  <si>
    <t>Rtl</t>
  </si>
  <si>
    <t>Rst</t>
  </si>
  <si>
    <t>Hsp</t>
  </si>
  <si>
    <t>Htl</t>
  </si>
  <si>
    <t>Apt</t>
  </si>
  <si>
    <t>Hal</t>
  </si>
  <si>
    <t>Fct</t>
  </si>
  <si>
    <t>Hsp-o</t>
  </si>
  <si>
    <t>Htl-o</t>
  </si>
  <si>
    <t>Apt-o</t>
  </si>
  <si>
    <t>Name of assessment item</t>
  </si>
  <si>
    <t xml:space="preserve">Ratio of Residential &amp; Accommodation Section  </t>
  </si>
  <si>
    <t>ES/JS/JHS</t>
    <phoneticPr fontId="26"/>
  </si>
  <si>
    <t>Entire Building and Common areas</t>
    <phoneticPr fontId="26"/>
  </si>
  <si>
    <t>Dwelling and Accommodation areas</t>
    <phoneticPr fontId="26"/>
  </si>
  <si>
    <t xml:space="preserve">Weighting coefficients(default) </t>
  </si>
  <si>
    <t>Area ratio by building type</t>
    <phoneticPr fontId="26"/>
  </si>
  <si>
    <t>After correction</t>
    <phoneticPr fontId="26"/>
  </si>
  <si>
    <t>Before correction</t>
    <phoneticPr fontId="26"/>
  </si>
  <si>
    <t>Total (Before correction)</t>
    <phoneticPr fontId="26"/>
  </si>
  <si>
    <t>Selection of "Excluded"</t>
    <phoneticPr fontId="26"/>
  </si>
  <si>
    <t>Weighting coefficients (default)</t>
    <phoneticPr fontId="26"/>
  </si>
  <si>
    <t>Entire Building and Common</t>
    <phoneticPr fontId="26"/>
  </si>
  <si>
    <t>Dwelling and Accommodation</t>
    <phoneticPr fontId="26"/>
  </si>
  <si>
    <t>Environmental Load Reduction of Building</t>
    <phoneticPr fontId="26"/>
  </si>
  <si>
    <t>Environmental Quality of Building</t>
  </si>
  <si>
    <t>Environmental Quality of Building</t>
    <phoneticPr fontId="26"/>
  </si>
  <si>
    <r>
      <t>0.</t>
    </r>
    <r>
      <rPr>
        <b/>
        <sz val="14"/>
        <rFont val="ＭＳ Ｐゴシック"/>
        <family val="3"/>
        <charset val="128"/>
      </rPr>
      <t>　既存</t>
    </r>
    <rPh sb="3" eb="5">
      <t>キソン</t>
    </rPh>
    <phoneticPr fontId="26"/>
  </si>
  <si>
    <r>
      <rPr>
        <b/>
        <sz val="14"/>
        <rFont val="ＭＳ Ｐゴシック"/>
        <family val="3"/>
        <charset val="128"/>
      </rPr>
      <t>１．基本設計</t>
    </r>
    <rPh sb="2" eb="4">
      <t>キホン</t>
    </rPh>
    <rPh sb="4" eb="6">
      <t>セッケイ</t>
    </rPh>
    <phoneticPr fontId="26"/>
  </si>
  <si>
    <r>
      <rPr>
        <b/>
        <sz val="14"/>
        <rFont val="ＭＳ Ｐゴシック"/>
        <family val="3"/>
        <charset val="128"/>
      </rPr>
      <t>２．実施・竣工段階</t>
    </r>
    <rPh sb="2" eb="4">
      <t>ジッシ</t>
    </rPh>
    <rPh sb="5" eb="7">
      <t>シュンコウ</t>
    </rPh>
    <rPh sb="7" eb="9">
      <t>ダンカイ</t>
    </rPh>
    <phoneticPr fontId="26"/>
  </si>
  <si>
    <r>
      <rPr>
        <b/>
        <sz val="14"/>
        <rFont val="ＭＳ Ｐゴシック"/>
        <family val="3"/>
        <charset val="128"/>
      </rPr>
      <t>３．短期使用</t>
    </r>
    <rPh sb="2" eb="4">
      <t>タンキ</t>
    </rPh>
    <rPh sb="4" eb="6">
      <t>シヨウ</t>
    </rPh>
    <phoneticPr fontId="26"/>
  </si>
  <si>
    <r>
      <rPr>
        <b/>
        <sz val="14"/>
        <rFont val="ＭＳ Ｐゴシック"/>
        <family val="3"/>
        <charset val="128"/>
      </rPr>
      <t>４．ｲﾝﾃﾘｱｽﾍﾟｰｽ</t>
    </r>
    <phoneticPr fontId="26"/>
  </si>
  <si>
    <r>
      <rPr>
        <sz val="10"/>
        <rFont val="ＭＳ Ｐゴシック"/>
        <family val="3"/>
        <charset val="128"/>
      </rPr>
      <t>建物全体・共用部</t>
    </r>
    <rPh sb="0" eb="2">
      <t>タテモノ</t>
    </rPh>
    <rPh sb="2" eb="4">
      <t>ゼンタイ</t>
    </rPh>
    <rPh sb="5" eb="7">
      <t>キョウヨウ</t>
    </rPh>
    <rPh sb="7" eb="8">
      <t>ブ</t>
    </rPh>
    <phoneticPr fontId="26"/>
  </si>
  <si>
    <r>
      <rPr>
        <sz val="10"/>
        <rFont val="ＭＳ Ｐゴシック"/>
        <family val="3"/>
        <charset val="128"/>
      </rPr>
      <t>小中高</t>
    </r>
    <rPh sb="0" eb="3">
      <t>ショウチュウコウ</t>
    </rPh>
    <phoneticPr fontId="26"/>
  </si>
  <si>
    <r>
      <rPr>
        <sz val="10"/>
        <rFont val="ＭＳ Ｐゴシック"/>
        <family val="3"/>
        <charset val="128"/>
      </rPr>
      <t>住居・宿泊部</t>
    </r>
    <rPh sb="0" eb="2">
      <t>ジュウキョ</t>
    </rPh>
    <rPh sb="3" eb="5">
      <t>シュクハク</t>
    </rPh>
    <rPh sb="5" eb="6">
      <t>ブ</t>
    </rPh>
    <phoneticPr fontId="26"/>
  </si>
  <si>
    <r>
      <rPr>
        <sz val="11"/>
        <rFont val="ＭＳ Ｐゴシック"/>
        <family val="3"/>
        <charset val="128"/>
      </rPr>
      <t>項目</t>
    </r>
    <rPh sb="0" eb="2">
      <t>コウモク</t>
    </rPh>
    <phoneticPr fontId="26"/>
  </si>
  <si>
    <r>
      <rPr>
        <sz val="11"/>
        <rFont val="ＭＳ Ｐゴシック"/>
        <family val="3"/>
        <charset val="128"/>
      </rPr>
      <t>項目名</t>
    </r>
    <rPh sb="0" eb="2">
      <t>コウモク</t>
    </rPh>
    <rPh sb="2" eb="3">
      <t>メイ</t>
    </rPh>
    <phoneticPr fontId="26"/>
  </si>
  <si>
    <r>
      <rPr>
        <sz val="10"/>
        <rFont val="ＭＳ Ｐゴシック"/>
        <family val="3"/>
        <charset val="128"/>
      </rPr>
      <t>事務所</t>
    </r>
  </si>
  <si>
    <r>
      <rPr>
        <sz val="10"/>
        <rFont val="ＭＳ Ｐゴシック"/>
        <family val="3"/>
        <charset val="128"/>
      </rPr>
      <t>学校</t>
    </r>
  </si>
  <si>
    <r>
      <rPr>
        <sz val="10"/>
        <rFont val="ＭＳ Ｐゴシック"/>
        <family val="3"/>
        <charset val="128"/>
      </rPr>
      <t>物販店</t>
    </r>
  </si>
  <si>
    <r>
      <rPr>
        <sz val="10"/>
        <rFont val="ＭＳ Ｐゴシック"/>
        <family val="3"/>
        <charset val="128"/>
      </rPr>
      <t>飲食店</t>
    </r>
  </si>
  <si>
    <r>
      <rPr>
        <sz val="10"/>
        <rFont val="ＭＳ Ｐゴシック"/>
        <family val="3"/>
        <charset val="128"/>
      </rPr>
      <t>病院</t>
    </r>
  </si>
  <si>
    <r>
      <rPr>
        <sz val="10"/>
        <rFont val="ＭＳ Ｐゴシック"/>
        <family val="3"/>
        <charset val="128"/>
      </rPr>
      <t>ホテル</t>
    </r>
    <phoneticPr fontId="26"/>
  </si>
  <si>
    <r>
      <rPr>
        <sz val="10"/>
        <rFont val="ＭＳ Ｐゴシック"/>
        <family val="3"/>
        <charset val="128"/>
      </rPr>
      <t>集合住宅</t>
    </r>
  </si>
  <si>
    <r>
      <rPr>
        <sz val="10"/>
        <rFont val="ＭＳ Ｐゴシック"/>
        <family val="3"/>
        <charset val="128"/>
      </rPr>
      <t>集会所</t>
    </r>
    <rPh sb="0" eb="2">
      <t>シュウカイ</t>
    </rPh>
    <rPh sb="2" eb="3">
      <t>ジョ</t>
    </rPh>
    <phoneticPr fontId="26"/>
  </si>
  <si>
    <r>
      <rPr>
        <sz val="10"/>
        <rFont val="ＭＳ Ｐゴシック"/>
        <family val="3"/>
        <charset val="128"/>
      </rPr>
      <t>工場</t>
    </r>
    <rPh sb="0" eb="2">
      <t>コウジョウ</t>
    </rPh>
    <phoneticPr fontId="26"/>
  </si>
  <si>
    <r>
      <rPr>
        <sz val="10"/>
        <rFont val="ＭＳ Ｐゴシック"/>
        <family val="3"/>
        <charset val="128"/>
      </rPr>
      <t>病院</t>
    </r>
    <r>
      <rPr>
        <sz val="10"/>
        <rFont val="Arial"/>
        <family val="2"/>
      </rPr>
      <t>o</t>
    </r>
    <phoneticPr fontId="26"/>
  </si>
  <si>
    <r>
      <rPr>
        <sz val="10"/>
        <rFont val="ＭＳ Ｐゴシック"/>
        <family val="3"/>
        <charset val="128"/>
      </rPr>
      <t>ホテル</t>
    </r>
    <r>
      <rPr>
        <sz val="10"/>
        <rFont val="Arial"/>
        <family val="2"/>
      </rPr>
      <t>o</t>
    </r>
    <phoneticPr fontId="26"/>
  </si>
  <si>
    <r>
      <rPr>
        <sz val="10"/>
        <rFont val="ＭＳ Ｐゴシック"/>
        <family val="3"/>
        <charset val="128"/>
      </rPr>
      <t>集合住宅</t>
    </r>
    <r>
      <rPr>
        <sz val="10"/>
        <rFont val="Arial"/>
        <family val="2"/>
      </rPr>
      <t>o</t>
    </r>
    <phoneticPr fontId="26"/>
  </si>
  <si>
    <r>
      <rPr>
        <b/>
        <sz val="11"/>
        <rFont val="ＭＳ Ｐゴシック"/>
        <family val="3"/>
        <charset val="128"/>
      </rPr>
      <t>建築物の環境品質</t>
    </r>
    <phoneticPr fontId="26"/>
  </si>
  <si>
    <r>
      <rPr>
        <b/>
        <sz val="10"/>
        <rFont val="ＭＳ Ｐゴシック"/>
        <family val="3"/>
        <charset val="128"/>
      </rPr>
      <t>室内環境</t>
    </r>
    <phoneticPr fontId="26"/>
  </si>
  <si>
    <r>
      <rPr>
        <b/>
        <sz val="10"/>
        <rFont val="ＭＳ Ｐゴシック"/>
        <family val="3"/>
        <charset val="128"/>
      </rPr>
      <t>音環境</t>
    </r>
  </si>
  <si>
    <r>
      <rPr>
        <sz val="10"/>
        <rFont val="ＭＳ Ｐゴシック"/>
        <family val="3"/>
        <charset val="128"/>
      </rPr>
      <t>騒音</t>
    </r>
    <phoneticPr fontId="26"/>
  </si>
  <si>
    <r>
      <rPr>
        <sz val="10"/>
        <rFont val="ＭＳ Ｐゴシック"/>
        <family val="3"/>
        <charset val="128"/>
      </rPr>
      <t>室内騒音レベル</t>
    </r>
    <rPh sb="0" eb="2">
      <t>シツナイ</t>
    </rPh>
    <rPh sb="2" eb="4">
      <t>ソウオン</t>
    </rPh>
    <phoneticPr fontId="26"/>
  </si>
  <si>
    <r>
      <rPr>
        <sz val="10"/>
        <rFont val="ＭＳ Ｐゴシック"/>
        <family val="3"/>
        <charset val="128"/>
      </rPr>
      <t>設備騒音対策</t>
    </r>
  </si>
  <si>
    <r>
      <rPr>
        <sz val="10"/>
        <rFont val="ＭＳ Ｐゴシック"/>
        <family val="3"/>
        <charset val="128"/>
      </rPr>
      <t>遮音</t>
    </r>
    <rPh sb="0" eb="2">
      <t>シャオン</t>
    </rPh>
    <phoneticPr fontId="26"/>
  </si>
  <si>
    <r>
      <rPr>
        <sz val="10"/>
        <rFont val="ＭＳ Ｐゴシック"/>
        <family val="3"/>
        <charset val="128"/>
      </rPr>
      <t>開口部遮音性能</t>
    </r>
    <phoneticPr fontId="26"/>
  </si>
  <si>
    <r>
      <rPr>
        <sz val="10"/>
        <rFont val="ＭＳ Ｐゴシック"/>
        <family val="3"/>
        <charset val="128"/>
      </rPr>
      <t>界壁遮音性能</t>
    </r>
  </si>
  <si>
    <r>
      <rPr>
        <sz val="10"/>
        <rFont val="ＭＳ Ｐゴシック"/>
        <family val="3"/>
        <charset val="128"/>
      </rPr>
      <t>界床遮音性能（軽量衝撃源）</t>
    </r>
  </si>
  <si>
    <r>
      <rPr>
        <sz val="10"/>
        <rFont val="ＭＳ Ｐゴシック"/>
        <family val="3"/>
        <charset val="128"/>
      </rPr>
      <t>界床遮音性能（重量衝撃源）</t>
    </r>
  </si>
  <si>
    <r>
      <rPr>
        <sz val="10"/>
        <rFont val="ＭＳ Ｐゴシック"/>
        <family val="3"/>
        <charset val="128"/>
      </rPr>
      <t>吸音</t>
    </r>
  </si>
  <si>
    <r>
      <rPr>
        <b/>
        <sz val="10"/>
        <rFont val="ＭＳ Ｐゴシック"/>
        <family val="3"/>
        <charset val="128"/>
      </rPr>
      <t>温熱環境</t>
    </r>
  </si>
  <si>
    <r>
      <rPr>
        <sz val="10"/>
        <rFont val="ＭＳ Ｐゴシック"/>
        <family val="3"/>
        <charset val="128"/>
      </rPr>
      <t>室温制御</t>
    </r>
    <rPh sb="0" eb="2">
      <t>ｼﾂｵﾝ</t>
    </rPh>
    <rPh sb="2" eb="4">
      <t>ｾｲｷﾞｮ</t>
    </rPh>
    <phoneticPr fontId="35" type="noConversion"/>
  </si>
  <si>
    <r>
      <rPr>
        <sz val="10"/>
        <rFont val="ＭＳ Ｐゴシック"/>
        <family val="3"/>
        <charset val="128"/>
      </rPr>
      <t>室温設定</t>
    </r>
  </si>
  <si>
    <r>
      <rPr>
        <sz val="10"/>
        <rFont val="ＭＳ Ｐゴシック"/>
        <family val="3"/>
        <charset val="128"/>
      </rPr>
      <t>室温</t>
    </r>
    <phoneticPr fontId="26"/>
  </si>
  <si>
    <r>
      <rPr>
        <sz val="10"/>
        <rFont val="ＭＳ Ｐゴシック"/>
        <family val="3"/>
        <charset val="128"/>
      </rPr>
      <t>負荷変動・追従制御性</t>
    </r>
  </si>
  <si>
    <r>
      <rPr>
        <sz val="10"/>
        <rFont val="ＭＳ Ｐゴシック"/>
        <family val="3"/>
        <charset val="128"/>
      </rPr>
      <t>外皮性能</t>
    </r>
  </si>
  <si>
    <r>
      <rPr>
        <sz val="10"/>
        <rFont val="ＭＳ Ｐゴシック"/>
        <family val="3"/>
        <charset val="128"/>
      </rPr>
      <t>ゾーン別制御性</t>
    </r>
  </si>
  <si>
    <r>
      <rPr>
        <sz val="10"/>
        <rFont val="ＭＳ Ｐゴシック"/>
        <family val="3"/>
        <charset val="128"/>
      </rPr>
      <t>温度・湿度制御</t>
    </r>
  </si>
  <si>
    <r>
      <rPr>
        <sz val="10"/>
        <rFont val="ＭＳ Ｐゴシック"/>
        <family val="3"/>
        <charset val="128"/>
      </rPr>
      <t>個別制御</t>
    </r>
  </si>
  <si>
    <r>
      <rPr>
        <sz val="10"/>
        <rFont val="ＭＳ Ｐゴシック"/>
        <family val="3"/>
        <charset val="128"/>
      </rPr>
      <t>時間外空調に対する配慮</t>
    </r>
  </si>
  <si>
    <r>
      <rPr>
        <sz val="10"/>
        <rFont val="ＭＳ Ｐゴシック"/>
        <family val="3"/>
        <charset val="128"/>
      </rPr>
      <t>監視システム</t>
    </r>
  </si>
  <si>
    <r>
      <rPr>
        <sz val="10"/>
        <rFont val="ＭＳ Ｐゴシック"/>
        <family val="3"/>
        <charset val="128"/>
      </rPr>
      <t>湿度制御</t>
    </r>
    <rPh sb="0" eb="2">
      <t>ｼﾂﾄﾞ</t>
    </rPh>
    <rPh sb="2" eb="4">
      <t>ｾｲｷﾞｮ</t>
    </rPh>
    <phoneticPr fontId="35" type="noConversion"/>
  </si>
  <si>
    <r>
      <rPr>
        <sz val="10"/>
        <rFont val="ＭＳ Ｐゴシック"/>
        <family val="3"/>
        <charset val="128"/>
      </rPr>
      <t>空調方式</t>
    </r>
    <rPh sb="0" eb="2">
      <t>クウチョウ</t>
    </rPh>
    <rPh sb="2" eb="4">
      <t>ホウシキ</t>
    </rPh>
    <phoneticPr fontId="26"/>
  </si>
  <si>
    <r>
      <rPr>
        <sz val="10"/>
        <rFont val="ＭＳ Ｐゴシック"/>
        <family val="3"/>
        <charset val="128"/>
      </rPr>
      <t>空調方式（既存）</t>
    </r>
    <rPh sb="0" eb="2">
      <t>クウチョウ</t>
    </rPh>
    <rPh sb="2" eb="4">
      <t>ホウシキ</t>
    </rPh>
    <rPh sb="5" eb="7">
      <t>キゾン</t>
    </rPh>
    <phoneticPr fontId="26"/>
  </si>
  <si>
    <r>
      <rPr>
        <sz val="10"/>
        <rFont val="ＭＳ Ｐゴシック"/>
        <family val="3"/>
        <charset val="128"/>
      </rPr>
      <t>上下温度差</t>
    </r>
    <rPh sb="0" eb="2">
      <t>ジョウゲ</t>
    </rPh>
    <rPh sb="2" eb="5">
      <t>オンドサ</t>
    </rPh>
    <phoneticPr fontId="26"/>
  </si>
  <si>
    <r>
      <rPr>
        <sz val="10"/>
        <rFont val="ＭＳ Ｐゴシック"/>
        <family val="3"/>
        <charset val="128"/>
      </rPr>
      <t>平均気流速度</t>
    </r>
    <rPh sb="0" eb="2">
      <t>ヘイキン</t>
    </rPh>
    <rPh sb="2" eb="4">
      <t>キリュウ</t>
    </rPh>
    <rPh sb="4" eb="6">
      <t>ソクド</t>
    </rPh>
    <phoneticPr fontId="26"/>
  </si>
  <si>
    <r>
      <rPr>
        <b/>
        <sz val="10"/>
        <rFont val="ＭＳ Ｐゴシック"/>
        <family val="3"/>
        <charset val="128"/>
      </rPr>
      <t>光・視環境</t>
    </r>
  </si>
  <si>
    <r>
      <rPr>
        <sz val="10"/>
        <rFont val="ＭＳ Ｐゴシック"/>
        <family val="3"/>
        <charset val="128"/>
      </rPr>
      <t>昼光利用</t>
    </r>
    <rPh sb="0" eb="1">
      <t>ﾋﾙ</t>
    </rPh>
    <rPh sb="1" eb="2">
      <t>ﾋｶﾘ</t>
    </rPh>
    <rPh sb="2" eb="4">
      <t>ﾘﾖｳ</t>
    </rPh>
    <phoneticPr fontId="35" type="noConversion"/>
  </si>
  <si>
    <r>
      <rPr>
        <sz val="10"/>
        <rFont val="ＭＳ Ｐゴシック"/>
        <family val="3"/>
        <charset val="128"/>
      </rPr>
      <t>昼光率</t>
    </r>
  </si>
  <si>
    <r>
      <rPr>
        <sz val="10"/>
        <rFont val="ＭＳ Ｐゴシック"/>
        <family val="3"/>
        <charset val="128"/>
      </rPr>
      <t>方位別開口</t>
    </r>
  </si>
  <si>
    <r>
      <rPr>
        <sz val="10"/>
        <rFont val="ＭＳ Ｐゴシック"/>
        <family val="3"/>
        <charset val="128"/>
      </rPr>
      <t>昼光利用設備</t>
    </r>
  </si>
  <si>
    <r>
      <rPr>
        <sz val="10"/>
        <rFont val="ＭＳ Ｐゴシック"/>
        <family val="3"/>
        <charset val="128"/>
      </rPr>
      <t>グレア対策</t>
    </r>
    <rPh sb="3" eb="5">
      <t>ﾀｲｻｸ</t>
    </rPh>
    <phoneticPr fontId="35" type="noConversion"/>
  </si>
  <si>
    <r>
      <rPr>
        <sz val="10"/>
        <rFont val="ＭＳ Ｐゴシック"/>
        <family val="3"/>
        <charset val="128"/>
      </rPr>
      <t>照明器具のグレア</t>
    </r>
  </si>
  <si>
    <r>
      <rPr>
        <sz val="10"/>
        <rFont val="ＭＳ Ｐゴシック"/>
        <family val="3"/>
        <charset val="128"/>
      </rPr>
      <t>昼光制御</t>
    </r>
  </si>
  <si>
    <r>
      <rPr>
        <sz val="10"/>
        <rFont val="ＭＳ Ｐゴシック"/>
        <family val="3"/>
        <charset val="128"/>
      </rPr>
      <t>照度</t>
    </r>
    <rPh sb="0" eb="2">
      <t>ｼｮｳﾄﾞ</t>
    </rPh>
    <phoneticPr fontId="35" type="noConversion"/>
  </si>
  <si>
    <r>
      <rPr>
        <sz val="10"/>
        <rFont val="ＭＳ Ｐゴシック"/>
        <family val="3"/>
        <charset val="128"/>
      </rPr>
      <t>照度</t>
    </r>
    <phoneticPr fontId="26"/>
  </si>
  <si>
    <r>
      <rPr>
        <sz val="10"/>
        <rFont val="ＭＳ Ｐゴシック"/>
        <family val="3"/>
        <charset val="128"/>
      </rPr>
      <t>照度均斉度</t>
    </r>
    <phoneticPr fontId="26"/>
  </si>
  <si>
    <r>
      <rPr>
        <sz val="10"/>
        <rFont val="ＭＳ Ｐゴシック"/>
        <family val="3"/>
        <charset val="128"/>
      </rPr>
      <t>照明制御</t>
    </r>
    <rPh sb="0" eb="2">
      <t>ショウメイ</t>
    </rPh>
    <rPh sb="2" eb="4">
      <t>セイギョ</t>
    </rPh>
    <phoneticPr fontId="26"/>
  </si>
  <si>
    <r>
      <rPr>
        <b/>
        <sz val="10"/>
        <rFont val="ＭＳ Ｐゴシック"/>
        <family val="3"/>
        <charset val="128"/>
      </rPr>
      <t>空気質環境</t>
    </r>
    <rPh sb="3" eb="5">
      <t>カンキョウ</t>
    </rPh>
    <phoneticPr fontId="26"/>
  </si>
  <si>
    <r>
      <rPr>
        <sz val="10"/>
        <rFont val="ＭＳ Ｐゴシック"/>
        <family val="3"/>
        <charset val="128"/>
      </rPr>
      <t>発生源対策</t>
    </r>
    <rPh sb="0" eb="3">
      <t>ﾊｯｾｲｹﾞﾝ</t>
    </rPh>
    <rPh sb="3" eb="5">
      <t>ﾀｲｻｸ</t>
    </rPh>
    <phoneticPr fontId="35" type="noConversion"/>
  </si>
  <si>
    <r>
      <t xml:space="preserve"> </t>
    </r>
    <r>
      <rPr>
        <sz val="10"/>
        <rFont val="ＭＳ Ｐゴシック"/>
        <family val="3"/>
        <charset val="128"/>
      </rPr>
      <t>化学汚染物質</t>
    </r>
  </si>
  <si>
    <r>
      <t xml:space="preserve"> </t>
    </r>
    <r>
      <rPr>
        <sz val="10"/>
        <rFont val="ＭＳ Ｐゴシック"/>
        <family val="3"/>
        <charset val="128"/>
      </rPr>
      <t>アスベスト対策</t>
    </r>
    <phoneticPr fontId="26"/>
  </si>
  <si>
    <r>
      <t xml:space="preserve"> </t>
    </r>
    <r>
      <rPr>
        <sz val="10"/>
        <rFont val="ＭＳ Ｐゴシック"/>
        <family val="3"/>
        <charset val="128"/>
      </rPr>
      <t>ダニ・カビ等</t>
    </r>
  </si>
  <si>
    <r>
      <t xml:space="preserve"> </t>
    </r>
    <r>
      <rPr>
        <sz val="10"/>
        <rFont val="ＭＳ Ｐゴシック"/>
        <family val="3"/>
        <charset val="128"/>
      </rPr>
      <t>レジオネラ対策</t>
    </r>
  </si>
  <si>
    <r>
      <rPr>
        <sz val="10"/>
        <rFont val="ＭＳ Ｐゴシック"/>
        <family val="3"/>
        <charset val="128"/>
      </rPr>
      <t>換気</t>
    </r>
    <rPh sb="0" eb="2">
      <t>ｶﾝｷ</t>
    </rPh>
    <phoneticPr fontId="35" type="noConversion"/>
  </si>
  <si>
    <r>
      <rPr>
        <sz val="10"/>
        <rFont val="ＭＳ Ｐゴシック"/>
        <family val="3"/>
        <charset val="128"/>
      </rPr>
      <t>換気量</t>
    </r>
  </si>
  <si>
    <r>
      <rPr>
        <sz val="10"/>
        <rFont val="ＭＳ Ｐゴシック"/>
        <family val="3"/>
        <charset val="128"/>
      </rPr>
      <t>自然換気性能</t>
    </r>
  </si>
  <si>
    <r>
      <rPr>
        <sz val="10"/>
        <rFont val="ＭＳ Ｐゴシック"/>
        <family val="3"/>
        <charset val="128"/>
      </rPr>
      <t>取り入れ外気への配慮</t>
    </r>
  </si>
  <si>
    <r>
      <rPr>
        <sz val="10"/>
        <rFont val="ＭＳ Ｐゴシック"/>
        <family val="3"/>
        <charset val="128"/>
      </rPr>
      <t>給気計画</t>
    </r>
    <phoneticPr fontId="26"/>
  </si>
  <si>
    <r>
      <rPr>
        <sz val="10"/>
        <rFont val="ＭＳ Ｐゴシック"/>
        <family val="3"/>
        <charset val="128"/>
      </rPr>
      <t>運用管理</t>
    </r>
    <rPh sb="0" eb="2">
      <t>ウンヨウ</t>
    </rPh>
    <rPh sb="2" eb="4">
      <t>カンリ</t>
    </rPh>
    <phoneticPr fontId="26"/>
  </si>
  <si>
    <r>
      <t>CO2</t>
    </r>
    <r>
      <rPr>
        <sz val="10"/>
        <rFont val="ＭＳ Ｐゴシック"/>
        <family val="3"/>
        <charset val="128"/>
      </rPr>
      <t>の監視</t>
    </r>
    <phoneticPr fontId="26"/>
  </si>
  <si>
    <r>
      <rPr>
        <sz val="10"/>
        <rFont val="ＭＳ Ｐゴシック"/>
        <family val="3"/>
        <charset val="128"/>
      </rPr>
      <t>喫煙の制御</t>
    </r>
    <phoneticPr fontId="26"/>
  </si>
  <si>
    <r>
      <rPr>
        <b/>
        <sz val="10"/>
        <rFont val="ＭＳ Ｐゴシック"/>
        <family val="3"/>
        <charset val="128"/>
      </rPr>
      <t>サービス性能</t>
    </r>
    <phoneticPr fontId="26"/>
  </si>
  <si>
    <r>
      <rPr>
        <b/>
        <sz val="10"/>
        <rFont val="ＭＳ Ｐゴシック"/>
        <family val="3"/>
        <charset val="128"/>
      </rPr>
      <t>機能性</t>
    </r>
  </si>
  <si>
    <r>
      <rPr>
        <sz val="10"/>
        <rFont val="ＭＳ Ｐゴシック"/>
        <family val="3"/>
        <charset val="128"/>
      </rPr>
      <t>機能性・使いやすさ</t>
    </r>
    <rPh sb="0" eb="3">
      <t>キノウセイ</t>
    </rPh>
    <rPh sb="4" eb="5">
      <t>ヅカ</t>
    </rPh>
    <phoneticPr fontId="26"/>
  </si>
  <si>
    <r>
      <rPr>
        <sz val="10"/>
        <rFont val="ＭＳ Ｐゴシック"/>
        <family val="3"/>
        <charset val="128"/>
      </rPr>
      <t>広さ・収納性</t>
    </r>
  </si>
  <si>
    <r>
      <rPr>
        <sz val="10"/>
        <rFont val="ＭＳ Ｐゴシック"/>
        <family val="3"/>
        <charset val="128"/>
      </rPr>
      <t>高度情報通信設備対応</t>
    </r>
    <phoneticPr fontId="26"/>
  </si>
  <si>
    <r>
      <rPr>
        <sz val="10"/>
        <rFont val="ＭＳ Ｐゴシック"/>
        <family val="3"/>
        <charset val="128"/>
      </rPr>
      <t>バリアフリー計画</t>
    </r>
  </si>
  <si>
    <r>
      <rPr>
        <sz val="10"/>
        <rFont val="ＭＳ Ｐゴシック"/>
        <family val="3"/>
        <charset val="128"/>
      </rPr>
      <t>心理性・快適性</t>
    </r>
    <rPh sb="0" eb="1">
      <t>ｺｺﾛ</t>
    </rPh>
    <rPh sb="1" eb="3">
      <t>ﾘｾｲ</t>
    </rPh>
    <rPh sb="4" eb="7">
      <t>ｶｲﾃｷｾｲ</t>
    </rPh>
    <phoneticPr fontId="35" type="noConversion"/>
  </si>
  <si>
    <r>
      <rPr>
        <sz val="10"/>
        <rFont val="ＭＳ Ｐゴシック"/>
        <family val="3"/>
        <charset val="128"/>
      </rPr>
      <t>広さ感・景観</t>
    </r>
  </si>
  <si>
    <r>
      <rPr>
        <sz val="10"/>
        <color theme="5"/>
        <rFont val="ＭＳ Ｐゴシック"/>
        <family val="3"/>
        <charset val="128"/>
      </rPr>
      <t>広さ感・景観（天井高）</t>
    </r>
    <rPh sb="7" eb="9">
      <t>テンジョウ</t>
    </rPh>
    <rPh sb="9" eb="10">
      <t>ダカ</t>
    </rPh>
    <phoneticPr fontId="26"/>
  </si>
  <si>
    <r>
      <rPr>
        <sz val="10"/>
        <color theme="5"/>
        <rFont val="ＭＳ Ｐゴシック"/>
        <family val="3"/>
        <charset val="128"/>
      </rPr>
      <t>広さ感・景観（窓）</t>
    </r>
    <rPh sb="7" eb="8">
      <t>マド</t>
    </rPh>
    <phoneticPr fontId="26"/>
  </si>
  <si>
    <r>
      <rPr>
        <sz val="10"/>
        <rFont val="ＭＳ Ｐゴシック"/>
        <family val="3"/>
        <charset val="128"/>
      </rPr>
      <t>リフレッシュスペース</t>
    </r>
  </si>
  <si>
    <r>
      <rPr>
        <sz val="10"/>
        <rFont val="ＭＳ Ｐゴシック"/>
        <family val="3"/>
        <charset val="128"/>
      </rPr>
      <t>内装計画</t>
    </r>
  </si>
  <si>
    <r>
      <rPr>
        <sz val="10"/>
        <color theme="5"/>
        <rFont val="ＭＳ Ｐゴシック"/>
        <family val="3"/>
        <charset val="128"/>
      </rPr>
      <t>知的生産性向上の取組み</t>
    </r>
    <rPh sb="0" eb="2">
      <t>チテキ</t>
    </rPh>
    <rPh sb="2" eb="5">
      <t>セイサンセイ</t>
    </rPh>
    <rPh sb="5" eb="7">
      <t>コウジョウ</t>
    </rPh>
    <rPh sb="8" eb="10">
      <t>トリクミ</t>
    </rPh>
    <phoneticPr fontId="26"/>
  </si>
  <si>
    <r>
      <rPr>
        <sz val="10"/>
        <rFont val="ＭＳ Ｐゴシック"/>
        <family val="3"/>
        <charset val="128"/>
      </rPr>
      <t>維持管理</t>
    </r>
    <rPh sb="0" eb="2">
      <t>イジ</t>
    </rPh>
    <rPh sb="2" eb="4">
      <t>カンリ</t>
    </rPh>
    <phoneticPr fontId="26"/>
  </si>
  <si>
    <r>
      <rPr>
        <sz val="10"/>
        <rFont val="ＭＳ Ｐゴシック"/>
        <family val="3"/>
        <charset val="128"/>
      </rPr>
      <t>総合的な取組み</t>
    </r>
    <rPh sb="0" eb="3">
      <t>ソウゴウテキ</t>
    </rPh>
    <rPh sb="4" eb="5">
      <t>ト</t>
    </rPh>
    <rPh sb="5" eb="6">
      <t>ク</t>
    </rPh>
    <phoneticPr fontId="26"/>
  </si>
  <si>
    <r>
      <rPr>
        <sz val="10"/>
        <rFont val="ＭＳ Ｐゴシック"/>
        <family val="3"/>
        <charset val="128"/>
      </rPr>
      <t>維持管理に配慮した設計</t>
    </r>
    <rPh sb="0" eb="2">
      <t>イジ</t>
    </rPh>
    <rPh sb="2" eb="4">
      <t>カンリ</t>
    </rPh>
    <rPh sb="5" eb="7">
      <t>ハイリョ</t>
    </rPh>
    <rPh sb="9" eb="11">
      <t>セッケイ</t>
    </rPh>
    <phoneticPr fontId="26"/>
  </si>
  <si>
    <r>
      <rPr>
        <sz val="10"/>
        <rFont val="ＭＳ Ｐゴシック"/>
        <family val="3"/>
        <charset val="128"/>
      </rPr>
      <t>清掃管理業務</t>
    </r>
    <rPh sb="0" eb="2">
      <t>セイソウ</t>
    </rPh>
    <rPh sb="2" eb="4">
      <t>カンリ</t>
    </rPh>
    <rPh sb="4" eb="6">
      <t>ギョウム</t>
    </rPh>
    <phoneticPr fontId="26"/>
  </si>
  <si>
    <r>
      <rPr>
        <sz val="10"/>
        <rFont val="ＭＳ Ｐゴシック"/>
        <family val="3"/>
        <charset val="128"/>
      </rPr>
      <t>維持管理用機能の確保</t>
    </r>
    <rPh sb="0" eb="2">
      <t>イジ</t>
    </rPh>
    <rPh sb="2" eb="5">
      <t>カンリヨウ</t>
    </rPh>
    <rPh sb="5" eb="7">
      <t>キノウ</t>
    </rPh>
    <rPh sb="8" eb="10">
      <t>カクホ</t>
    </rPh>
    <phoneticPr fontId="26"/>
  </si>
  <si>
    <r>
      <rPr>
        <sz val="10"/>
        <rFont val="ＭＳ Ｐゴシック"/>
        <family val="3"/>
        <charset val="128"/>
      </rPr>
      <t>衛生管理業務</t>
    </r>
    <rPh sb="0" eb="2">
      <t>エイセイ</t>
    </rPh>
    <rPh sb="2" eb="4">
      <t>カンリ</t>
    </rPh>
    <rPh sb="4" eb="6">
      <t>ギョウム</t>
    </rPh>
    <phoneticPr fontId="26"/>
  </si>
  <si>
    <r>
      <rPr>
        <b/>
        <sz val="10"/>
        <rFont val="ＭＳ Ｐゴシック"/>
        <family val="3"/>
        <charset val="128"/>
      </rPr>
      <t>耐用性・信頼性</t>
    </r>
    <rPh sb="4" eb="6">
      <t>シンライ</t>
    </rPh>
    <rPh sb="6" eb="7">
      <t>セイ</t>
    </rPh>
    <phoneticPr fontId="26"/>
  </si>
  <si>
    <r>
      <rPr>
        <b/>
        <sz val="10"/>
        <rFont val="ＭＳ Ｐゴシック"/>
        <family val="3"/>
        <charset val="128"/>
      </rPr>
      <t>耐用性・信頼性</t>
    </r>
    <rPh sb="4" eb="6">
      <t>シンライ</t>
    </rPh>
    <rPh sb="6" eb="7">
      <t>セイ</t>
    </rPh>
    <phoneticPr fontId="6"/>
  </si>
  <si>
    <r>
      <rPr>
        <sz val="10"/>
        <rFont val="ＭＳ Ｐゴシック"/>
        <family val="3"/>
        <charset val="128"/>
      </rPr>
      <t>耐震･免震</t>
    </r>
    <rPh sb="0" eb="2">
      <t>タイシン</t>
    </rPh>
    <rPh sb="3" eb="4">
      <t>メン</t>
    </rPh>
    <rPh sb="4" eb="5">
      <t>フル</t>
    </rPh>
    <phoneticPr fontId="26"/>
  </si>
  <si>
    <r>
      <rPr>
        <sz val="10"/>
        <rFont val="ＭＳ Ｐゴシック"/>
        <family val="3"/>
        <charset val="128"/>
      </rPr>
      <t>耐震･免震</t>
    </r>
    <rPh sb="0" eb="2">
      <t>タイシン</t>
    </rPh>
    <rPh sb="3" eb="4">
      <t>メン</t>
    </rPh>
    <rPh sb="4" eb="5">
      <t>フル</t>
    </rPh>
    <phoneticPr fontId="6"/>
  </si>
  <si>
    <r>
      <rPr>
        <sz val="10"/>
        <rFont val="ＭＳ Ｐゴシック"/>
        <family val="3"/>
        <charset val="128"/>
      </rPr>
      <t>耐震･免震・制震・制振</t>
    </r>
    <rPh sb="0" eb="2">
      <t>タイシン</t>
    </rPh>
    <rPh sb="3" eb="5">
      <t>メンシン</t>
    </rPh>
    <rPh sb="6" eb="8">
      <t>セイシン</t>
    </rPh>
    <rPh sb="9" eb="11">
      <t>セイシン</t>
    </rPh>
    <phoneticPr fontId="26"/>
  </si>
  <si>
    <r>
      <rPr>
        <sz val="10"/>
        <rFont val="ＭＳ Ｐゴシック"/>
        <family val="3"/>
        <charset val="128"/>
      </rPr>
      <t>耐震性</t>
    </r>
  </si>
  <si>
    <r>
      <rPr>
        <sz val="10"/>
        <rFont val="ＭＳ Ｐゴシック"/>
        <family val="3"/>
        <charset val="128"/>
      </rPr>
      <t>免震・制振性能</t>
    </r>
    <rPh sb="5" eb="7">
      <t>セイノウ</t>
    </rPh>
    <phoneticPr fontId="26"/>
  </si>
  <si>
    <r>
      <rPr>
        <sz val="10"/>
        <rFont val="ＭＳ Ｐゴシック"/>
        <family val="3"/>
        <charset val="128"/>
      </rPr>
      <t>免震・制振性能</t>
    </r>
    <rPh sb="5" eb="7">
      <t>セイノウ</t>
    </rPh>
    <phoneticPr fontId="6"/>
  </si>
  <si>
    <r>
      <rPr>
        <sz val="10"/>
        <rFont val="ＭＳ Ｐゴシック"/>
        <family val="3"/>
        <charset val="128"/>
      </rPr>
      <t>免震・制震・制振性能</t>
    </r>
    <rPh sb="8" eb="10">
      <t>セイノウ</t>
    </rPh>
    <phoneticPr fontId="26"/>
  </si>
  <si>
    <r>
      <rPr>
        <sz val="10"/>
        <rFont val="ＭＳ Ｐゴシック"/>
        <family val="3"/>
        <charset val="128"/>
      </rPr>
      <t>部品・部材の耐用年数</t>
    </r>
    <rPh sb="0" eb="2">
      <t>ブヒン</t>
    </rPh>
    <rPh sb="3" eb="4">
      <t>ブ</t>
    </rPh>
    <rPh sb="4" eb="5">
      <t>ザイ</t>
    </rPh>
    <rPh sb="6" eb="8">
      <t>タイヨウ</t>
    </rPh>
    <rPh sb="8" eb="10">
      <t>ネンスウ</t>
    </rPh>
    <phoneticPr fontId="26"/>
  </si>
  <si>
    <r>
      <rPr>
        <sz val="10"/>
        <rFont val="ＭＳ Ｐゴシック"/>
        <family val="3"/>
        <charset val="128"/>
      </rPr>
      <t>部品・部材の耐用年数</t>
    </r>
    <rPh sb="0" eb="2">
      <t>ブヒン</t>
    </rPh>
    <rPh sb="3" eb="4">
      <t>ブ</t>
    </rPh>
    <rPh sb="4" eb="5">
      <t>ザイ</t>
    </rPh>
    <rPh sb="6" eb="8">
      <t>タイヨウ</t>
    </rPh>
    <rPh sb="8" eb="10">
      <t>ネンスウ</t>
    </rPh>
    <phoneticPr fontId="6"/>
  </si>
  <si>
    <r>
      <rPr>
        <sz val="10"/>
        <rFont val="ＭＳ Ｐゴシック"/>
        <family val="3"/>
        <charset val="128"/>
      </rPr>
      <t>躯体材料の耐用年数</t>
    </r>
    <rPh sb="0" eb="2">
      <t>クタイ</t>
    </rPh>
    <rPh sb="2" eb="4">
      <t>ザイリョウ</t>
    </rPh>
    <rPh sb="5" eb="7">
      <t>タイヨウ</t>
    </rPh>
    <rPh sb="7" eb="9">
      <t>ネンスウ</t>
    </rPh>
    <phoneticPr fontId="26"/>
  </si>
  <si>
    <r>
      <rPr>
        <sz val="10"/>
        <rFont val="ＭＳ Ｐゴシック"/>
        <family val="3"/>
        <charset val="128"/>
      </rPr>
      <t>躯体材料の耐用年数</t>
    </r>
    <rPh sb="0" eb="2">
      <t>クタイ</t>
    </rPh>
    <rPh sb="2" eb="4">
      <t>ザイリョウ</t>
    </rPh>
    <rPh sb="5" eb="7">
      <t>タイヨウ</t>
    </rPh>
    <rPh sb="7" eb="9">
      <t>ネンスウ</t>
    </rPh>
    <phoneticPr fontId="6"/>
  </si>
  <si>
    <r>
      <rPr>
        <sz val="10"/>
        <rFont val="ＭＳ Ｐゴシック"/>
        <family val="3"/>
        <charset val="128"/>
      </rPr>
      <t>外壁仕上げ材の補修必要間隔</t>
    </r>
  </si>
  <si>
    <r>
      <rPr>
        <sz val="10"/>
        <rFont val="ＭＳ Ｐゴシック"/>
        <family val="3"/>
        <charset val="128"/>
      </rPr>
      <t>主要内装仕上げ材の更新必要間隔</t>
    </r>
  </si>
  <si>
    <r>
      <rPr>
        <sz val="10"/>
        <rFont val="ＭＳ Ｐゴシック"/>
        <family val="3"/>
        <charset val="128"/>
      </rPr>
      <t>空調換気ダクトの更新必要間隔</t>
    </r>
    <rPh sb="0" eb="2">
      <t>クウチョウ</t>
    </rPh>
    <rPh sb="2" eb="4">
      <t>カンキ</t>
    </rPh>
    <phoneticPr fontId="26"/>
  </si>
  <si>
    <r>
      <rPr>
        <sz val="10"/>
        <rFont val="ＭＳ Ｐゴシック"/>
        <family val="3"/>
        <charset val="128"/>
      </rPr>
      <t>空調換気ダクトの更新必要間隔</t>
    </r>
    <rPh sb="0" eb="2">
      <t>クウチョウ</t>
    </rPh>
    <rPh sb="2" eb="4">
      <t>カンキ</t>
    </rPh>
    <phoneticPr fontId="6"/>
  </si>
  <si>
    <r>
      <rPr>
        <sz val="10"/>
        <rFont val="ＭＳ Ｐゴシック"/>
        <family val="3"/>
        <charset val="128"/>
      </rPr>
      <t>空調・給排水配管の更新必要間隔</t>
    </r>
    <rPh sb="0" eb="2">
      <t>クウチョウ</t>
    </rPh>
    <rPh sb="3" eb="4">
      <t>キュウ</t>
    </rPh>
    <rPh sb="4" eb="6">
      <t>ハイスイ</t>
    </rPh>
    <rPh sb="6" eb="8">
      <t>ハイカン</t>
    </rPh>
    <phoneticPr fontId="26"/>
  </si>
  <si>
    <r>
      <rPr>
        <sz val="10"/>
        <rFont val="ＭＳ Ｐゴシック"/>
        <family val="3"/>
        <charset val="128"/>
      </rPr>
      <t>空調・給排水配管の更新必要間隔</t>
    </r>
    <rPh sb="0" eb="2">
      <t>クウチョウ</t>
    </rPh>
    <rPh sb="3" eb="4">
      <t>キュウ</t>
    </rPh>
    <rPh sb="4" eb="6">
      <t>ハイスイ</t>
    </rPh>
    <rPh sb="6" eb="8">
      <t>ハイカン</t>
    </rPh>
    <phoneticPr fontId="6"/>
  </si>
  <si>
    <r>
      <rPr>
        <sz val="10"/>
        <rFont val="ＭＳ Ｐゴシック"/>
        <family val="3"/>
        <charset val="128"/>
      </rPr>
      <t>主要設備機器の更新必要間隔</t>
    </r>
  </si>
  <si>
    <r>
      <rPr>
        <sz val="10"/>
        <rFont val="ＭＳ Ｐゴシック"/>
        <family val="3"/>
        <charset val="128"/>
      </rPr>
      <t>適切な更新</t>
    </r>
    <rPh sb="0" eb="2">
      <t>テキセツ</t>
    </rPh>
    <rPh sb="3" eb="5">
      <t>コウシン</t>
    </rPh>
    <phoneticPr fontId="26"/>
  </si>
  <si>
    <r>
      <rPr>
        <sz val="10"/>
        <rFont val="ＭＳ Ｐゴシック"/>
        <family val="3"/>
        <charset val="128"/>
      </rPr>
      <t>適切な更新</t>
    </r>
    <rPh sb="0" eb="2">
      <t>テキセツ</t>
    </rPh>
    <rPh sb="3" eb="5">
      <t>コウシン</t>
    </rPh>
    <phoneticPr fontId="6"/>
  </si>
  <si>
    <r>
      <rPr>
        <sz val="10"/>
        <rFont val="ＭＳ Ｐゴシック"/>
        <family val="3"/>
        <charset val="128"/>
      </rPr>
      <t>屋上（屋根）・外壁仕上げ材の更新</t>
    </r>
    <rPh sb="0" eb="2">
      <t>オクジョウ</t>
    </rPh>
    <rPh sb="3" eb="5">
      <t>ヤネ</t>
    </rPh>
    <rPh sb="7" eb="9">
      <t>ガイヘキ</t>
    </rPh>
    <rPh sb="9" eb="11">
      <t>シア</t>
    </rPh>
    <rPh sb="12" eb="13">
      <t>ザイ</t>
    </rPh>
    <rPh sb="14" eb="16">
      <t>コウシン</t>
    </rPh>
    <phoneticPr fontId="26"/>
  </si>
  <si>
    <r>
      <rPr>
        <sz val="10"/>
        <rFont val="ＭＳ Ｐゴシック"/>
        <family val="3"/>
        <charset val="128"/>
      </rPr>
      <t>屋上（屋根）・外壁仕上げ材の更新</t>
    </r>
    <rPh sb="0" eb="2">
      <t>オクジョウ</t>
    </rPh>
    <rPh sb="3" eb="5">
      <t>ヤネ</t>
    </rPh>
    <rPh sb="7" eb="9">
      <t>ガイヘキ</t>
    </rPh>
    <rPh sb="9" eb="11">
      <t>シア</t>
    </rPh>
    <rPh sb="12" eb="13">
      <t>ザイ</t>
    </rPh>
    <rPh sb="14" eb="16">
      <t>コウシン</t>
    </rPh>
    <phoneticPr fontId="6"/>
  </si>
  <si>
    <r>
      <rPr>
        <sz val="10"/>
        <rFont val="ＭＳ Ｐゴシック"/>
        <family val="3"/>
        <charset val="128"/>
      </rPr>
      <t>配管・配線材の更新</t>
    </r>
    <rPh sb="0" eb="2">
      <t>ハイカン</t>
    </rPh>
    <rPh sb="3" eb="5">
      <t>ハイセン</t>
    </rPh>
    <rPh sb="5" eb="6">
      <t>ザイ</t>
    </rPh>
    <rPh sb="7" eb="9">
      <t>コウシン</t>
    </rPh>
    <phoneticPr fontId="26"/>
  </si>
  <si>
    <r>
      <rPr>
        <sz val="10"/>
        <rFont val="ＭＳ Ｐゴシック"/>
        <family val="3"/>
        <charset val="128"/>
      </rPr>
      <t>配管・配線材の更新</t>
    </r>
    <rPh sb="0" eb="2">
      <t>ハイカン</t>
    </rPh>
    <rPh sb="3" eb="5">
      <t>ハイセン</t>
    </rPh>
    <rPh sb="5" eb="6">
      <t>ザイ</t>
    </rPh>
    <rPh sb="7" eb="9">
      <t>コウシン</t>
    </rPh>
    <phoneticPr fontId="6"/>
  </si>
  <si>
    <r>
      <rPr>
        <sz val="10"/>
        <rFont val="ＭＳ Ｐゴシック"/>
        <family val="3"/>
        <charset val="128"/>
      </rPr>
      <t>主要設備機器の更新</t>
    </r>
    <rPh sb="0" eb="2">
      <t>シュヨウ</t>
    </rPh>
    <rPh sb="2" eb="4">
      <t>セツビ</t>
    </rPh>
    <rPh sb="4" eb="6">
      <t>キキ</t>
    </rPh>
    <rPh sb="7" eb="9">
      <t>コウシン</t>
    </rPh>
    <phoneticPr fontId="26"/>
  </si>
  <si>
    <r>
      <rPr>
        <sz val="10"/>
        <rFont val="ＭＳ Ｐゴシック"/>
        <family val="3"/>
        <charset val="128"/>
      </rPr>
      <t>主要設備機器の更新</t>
    </r>
    <rPh sb="0" eb="2">
      <t>シュヨウ</t>
    </rPh>
    <rPh sb="2" eb="4">
      <t>セツビ</t>
    </rPh>
    <rPh sb="4" eb="6">
      <t>キキ</t>
    </rPh>
    <rPh sb="7" eb="9">
      <t>コウシン</t>
    </rPh>
    <phoneticPr fontId="6"/>
  </si>
  <si>
    <r>
      <rPr>
        <sz val="10"/>
        <rFont val="ＭＳ Ｐゴシック"/>
        <family val="3"/>
        <charset val="128"/>
      </rPr>
      <t>信頼性</t>
    </r>
    <rPh sb="0" eb="3">
      <t>シンライセイ</t>
    </rPh>
    <phoneticPr fontId="26"/>
  </si>
  <si>
    <r>
      <rPr>
        <sz val="10"/>
        <rFont val="ＭＳ Ｐゴシック"/>
        <family val="3"/>
        <charset val="128"/>
      </rPr>
      <t>信頼性</t>
    </r>
    <rPh sb="0" eb="3">
      <t>シンライセイ</t>
    </rPh>
    <phoneticPr fontId="6"/>
  </si>
  <si>
    <r>
      <rPr>
        <sz val="10"/>
        <rFont val="ＭＳ Ｐゴシック"/>
        <family val="3"/>
        <charset val="128"/>
      </rPr>
      <t>空調・換気設備</t>
    </r>
  </si>
  <si>
    <r>
      <rPr>
        <sz val="10"/>
        <rFont val="ＭＳ Ｐゴシック"/>
        <family val="3"/>
        <charset val="128"/>
      </rPr>
      <t>給排水・衛生設備</t>
    </r>
  </si>
  <si>
    <r>
      <rPr>
        <sz val="10"/>
        <rFont val="ＭＳ Ｐゴシック"/>
        <family val="3"/>
        <charset val="128"/>
      </rPr>
      <t>電気設備</t>
    </r>
  </si>
  <si>
    <r>
      <rPr>
        <sz val="10"/>
        <rFont val="ＭＳ Ｐゴシック"/>
        <family val="3"/>
        <charset val="128"/>
      </rPr>
      <t>機械・配管支持方法</t>
    </r>
  </si>
  <si>
    <r>
      <rPr>
        <sz val="10"/>
        <rFont val="ＭＳ Ｐゴシック"/>
        <family val="3"/>
        <charset val="128"/>
      </rPr>
      <t>通信・情報設備</t>
    </r>
  </si>
  <si>
    <r>
      <rPr>
        <b/>
        <sz val="10"/>
        <rFont val="ＭＳ Ｐゴシック"/>
        <family val="3"/>
        <charset val="128"/>
      </rPr>
      <t>対応性・更新性</t>
    </r>
  </si>
  <si>
    <r>
      <rPr>
        <sz val="10"/>
        <rFont val="ＭＳ Ｐゴシック"/>
        <family val="3"/>
        <charset val="128"/>
      </rPr>
      <t>空間のゆとり</t>
    </r>
  </si>
  <si>
    <r>
      <rPr>
        <sz val="10"/>
        <rFont val="ＭＳ Ｐゴシック"/>
        <family val="3"/>
        <charset val="128"/>
      </rPr>
      <t>階高のゆとり</t>
    </r>
  </si>
  <si>
    <r>
      <rPr>
        <sz val="10"/>
        <rFont val="ＭＳ Ｐゴシック"/>
        <family val="3"/>
        <charset val="128"/>
      </rPr>
      <t>空間の形状・自由さ</t>
    </r>
  </si>
  <si>
    <r>
      <rPr>
        <sz val="10"/>
        <rFont val="ＭＳ Ｐゴシック"/>
        <family val="3"/>
        <charset val="128"/>
      </rPr>
      <t>荷重のゆとり</t>
    </r>
  </si>
  <si>
    <r>
      <rPr>
        <sz val="10"/>
        <rFont val="ＭＳ Ｐゴシック"/>
        <family val="3"/>
        <charset val="128"/>
      </rPr>
      <t>設備の更新性</t>
    </r>
  </si>
  <si>
    <r>
      <rPr>
        <sz val="10"/>
        <rFont val="ＭＳ Ｐゴシック"/>
        <family val="3"/>
        <charset val="128"/>
      </rPr>
      <t>空調配管の更新性</t>
    </r>
  </si>
  <si>
    <r>
      <rPr>
        <sz val="10"/>
        <rFont val="ＭＳ Ｐゴシック"/>
        <family val="3"/>
        <charset val="128"/>
      </rPr>
      <t>給排水管の更新性</t>
    </r>
  </si>
  <si>
    <r>
      <rPr>
        <sz val="10"/>
        <rFont val="ＭＳ Ｐゴシック"/>
        <family val="3"/>
        <charset val="128"/>
      </rPr>
      <t>電気配線の更新性</t>
    </r>
  </si>
  <si>
    <r>
      <rPr>
        <sz val="10"/>
        <rFont val="ＭＳ Ｐゴシック"/>
        <family val="3"/>
        <charset val="128"/>
      </rPr>
      <t>通信配線の更新性</t>
    </r>
  </si>
  <si>
    <r>
      <rPr>
        <sz val="10"/>
        <rFont val="ＭＳ Ｐゴシック"/>
        <family val="3"/>
        <charset val="128"/>
      </rPr>
      <t>設備機器の更新性</t>
    </r>
  </si>
  <si>
    <r>
      <rPr>
        <sz val="10"/>
        <rFont val="ＭＳ Ｐゴシック"/>
        <family val="3"/>
        <charset val="128"/>
      </rPr>
      <t>バックアップスペースの確保</t>
    </r>
    <rPh sb="11" eb="13">
      <t>カクホ</t>
    </rPh>
    <phoneticPr fontId="26"/>
  </si>
  <si>
    <r>
      <rPr>
        <sz val="10"/>
        <rFont val="ＭＳ Ｐゴシック"/>
        <family val="3"/>
        <charset val="128"/>
      </rPr>
      <t>バックアップスペースの確保</t>
    </r>
    <rPh sb="11" eb="13">
      <t>カクホ</t>
    </rPh>
    <phoneticPr fontId="6"/>
  </si>
  <si>
    <r>
      <rPr>
        <b/>
        <sz val="10"/>
        <rFont val="ＭＳ Ｐゴシック"/>
        <family val="3"/>
        <charset val="128"/>
      </rPr>
      <t>室外環境（敷地内）</t>
    </r>
    <phoneticPr fontId="26"/>
  </si>
  <si>
    <r>
      <rPr>
        <b/>
        <sz val="10"/>
        <rFont val="ＭＳ Ｐゴシック"/>
        <family val="3"/>
        <charset val="128"/>
      </rPr>
      <t>生物資源の保全と創出</t>
    </r>
    <rPh sb="2" eb="4">
      <t>シゲン</t>
    </rPh>
    <phoneticPr fontId="26"/>
  </si>
  <si>
    <r>
      <rPr>
        <b/>
        <sz val="10"/>
        <color theme="5"/>
        <rFont val="ＭＳ Ｐゴシック"/>
        <family val="3"/>
        <charset val="128"/>
      </rPr>
      <t>豊かな室外環境</t>
    </r>
    <rPh sb="0" eb="1">
      <t>ユタ</t>
    </rPh>
    <rPh sb="3" eb="5">
      <t>シツガイ</t>
    </rPh>
    <rPh sb="5" eb="7">
      <t>カンキョウ</t>
    </rPh>
    <phoneticPr fontId="26"/>
  </si>
  <si>
    <r>
      <rPr>
        <b/>
        <sz val="10"/>
        <rFont val="ＭＳ Ｐゴシック"/>
        <family val="3"/>
        <charset val="128"/>
      </rPr>
      <t>まちなみ・景観への配慮</t>
    </r>
    <phoneticPr fontId="26"/>
  </si>
  <si>
    <r>
      <rPr>
        <b/>
        <sz val="10"/>
        <rFont val="ＭＳ Ｐゴシック"/>
        <family val="3"/>
        <charset val="128"/>
      </rPr>
      <t>地域性・アメニティへの配慮</t>
    </r>
    <phoneticPr fontId="26"/>
  </si>
  <si>
    <r>
      <rPr>
        <sz val="10"/>
        <rFont val="ＭＳ Ｐゴシック"/>
        <family val="3"/>
        <charset val="128"/>
      </rPr>
      <t>地域性への配慮、快適性の向上</t>
    </r>
    <phoneticPr fontId="26"/>
  </si>
  <si>
    <r>
      <rPr>
        <sz val="10"/>
        <rFont val="ＭＳ Ｐゴシック"/>
        <family val="3"/>
        <charset val="128"/>
      </rPr>
      <t>敷地内温熱環境の向上</t>
    </r>
    <phoneticPr fontId="26"/>
  </si>
  <si>
    <r>
      <rPr>
        <b/>
        <sz val="12"/>
        <rFont val="ＭＳ Ｐゴシック"/>
        <family val="3"/>
        <charset val="128"/>
      </rPr>
      <t>建築物の環境負荷低減性</t>
    </r>
    <rPh sb="0" eb="3">
      <t>ケンチクブツ</t>
    </rPh>
    <rPh sb="4" eb="6">
      <t>カンキョウ</t>
    </rPh>
    <rPh sb="6" eb="8">
      <t>フカ</t>
    </rPh>
    <rPh sb="8" eb="10">
      <t>テイゲン</t>
    </rPh>
    <rPh sb="10" eb="11">
      <t>セイ</t>
    </rPh>
    <phoneticPr fontId="26"/>
  </si>
  <si>
    <r>
      <rPr>
        <b/>
        <sz val="10"/>
        <rFont val="ＭＳ Ｐゴシック"/>
        <family val="3"/>
        <charset val="128"/>
      </rPr>
      <t>エネルギー</t>
    </r>
    <phoneticPr fontId="26"/>
  </si>
  <si>
    <r>
      <rPr>
        <b/>
        <sz val="10"/>
        <rFont val="ＭＳ Ｐゴシック"/>
        <family val="3"/>
        <charset val="128"/>
      </rPr>
      <t>建物外皮の熱負荷抑制</t>
    </r>
    <rPh sb="0" eb="2">
      <t>タテモノ</t>
    </rPh>
    <rPh sb="2" eb="4">
      <t>ガイヒ</t>
    </rPh>
    <rPh sb="5" eb="6">
      <t>ネツ</t>
    </rPh>
    <rPh sb="6" eb="8">
      <t>フカ</t>
    </rPh>
    <rPh sb="8" eb="10">
      <t>ヨクセイ</t>
    </rPh>
    <phoneticPr fontId="26"/>
  </si>
  <si>
    <r>
      <rPr>
        <b/>
        <sz val="10"/>
        <rFont val="ＭＳ Ｐゴシック"/>
        <family val="3"/>
        <charset val="128"/>
      </rPr>
      <t>自然エネルギー利用</t>
    </r>
    <rPh sb="0" eb="2">
      <t>ｼｾﾞﾝ</t>
    </rPh>
    <rPh sb="7" eb="9">
      <t>ﾘﾖｳ</t>
    </rPh>
    <phoneticPr fontId="35" type="noConversion"/>
  </si>
  <si>
    <r>
      <rPr>
        <b/>
        <sz val="10"/>
        <rFont val="ＭＳ Ｐゴシック"/>
        <family val="3"/>
        <charset val="128"/>
      </rPr>
      <t>実施・竣工</t>
    </r>
    <rPh sb="0" eb="2">
      <t>ジッシ</t>
    </rPh>
    <rPh sb="3" eb="5">
      <t>シュンコウ</t>
    </rPh>
    <phoneticPr fontId="26"/>
  </si>
  <si>
    <r>
      <rPr>
        <b/>
        <sz val="10"/>
        <rFont val="ＭＳ Ｐゴシック"/>
        <family val="3"/>
        <charset val="128"/>
      </rPr>
      <t>定量評価</t>
    </r>
    <rPh sb="0" eb="2">
      <t>テイリョウ</t>
    </rPh>
    <rPh sb="2" eb="4">
      <t>ヒョウカ</t>
    </rPh>
    <phoneticPr fontId="26"/>
  </si>
  <si>
    <r>
      <rPr>
        <b/>
        <sz val="10"/>
        <rFont val="ＭＳ Ｐゴシック"/>
        <family val="3"/>
        <charset val="128"/>
      </rPr>
      <t>基本</t>
    </r>
    <rPh sb="0" eb="2">
      <t>キホン</t>
    </rPh>
    <phoneticPr fontId="26"/>
  </si>
  <si>
    <r>
      <rPr>
        <b/>
        <sz val="10"/>
        <rFont val="ＭＳ Ｐゴシック"/>
        <family val="3"/>
        <charset val="128"/>
      </rPr>
      <t>定性評価</t>
    </r>
    <rPh sb="0" eb="2">
      <t>テイセイ</t>
    </rPh>
    <rPh sb="2" eb="4">
      <t>ヒョウカ</t>
    </rPh>
    <phoneticPr fontId="26"/>
  </si>
  <si>
    <r>
      <rPr>
        <sz val="10"/>
        <rFont val="ＭＳ Ｐゴシック"/>
        <family val="3"/>
        <charset val="128"/>
      </rPr>
      <t>自然エネルギーの直接利用</t>
    </r>
  </si>
  <si>
    <r>
      <rPr>
        <sz val="10"/>
        <rFont val="ＭＳ Ｐゴシック"/>
        <family val="3"/>
        <charset val="128"/>
      </rPr>
      <t>自然エネルギーの変換利用</t>
    </r>
  </si>
  <si>
    <r>
      <rPr>
        <b/>
        <sz val="10"/>
        <rFont val="ＭＳ Ｐゴシック"/>
        <family val="3"/>
        <charset val="128"/>
      </rPr>
      <t>設備システムの高効率化</t>
    </r>
    <rPh sb="0" eb="2">
      <t>ｾﾂﾋﾞ</t>
    </rPh>
    <rPh sb="7" eb="8">
      <t>ｺｳ</t>
    </rPh>
    <rPh sb="8" eb="10">
      <t>ｺｳﾘﾂ</t>
    </rPh>
    <rPh sb="10" eb="11">
      <t>ｶ</t>
    </rPh>
    <phoneticPr fontId="35" type="noConversion"/>
  </si>
  <si>
    <r>
      <t>ERR</t>
    </r>
    <r>
      <rPr>
        <b/>
        <sz val="10"/>
        <rFont val="ＭＳ Ｐゴシック"/>
        <family val="3"/>
        <charset val="128"/>
      </rPr>
      <t>による評価</t>
    </r>
    <rPh sb="6" eb="8">
      <t>ﾋｮｳｶ</t>
    </rPh>
    <phoneticPr fontId="35" type="noConversion"/>
  </si>
  <si>
    <r>
      <rPr>
        <b/>
        <sz val="10"/>
        <rFont val="ＭＳ Ｐゴシック"/>
        <family val="3"/>
        <charset val="128"/>
      </rPr>
      <t>非住宅部分</t>
    </r>
    <rPh sb="0" eb="1">
      <t>ひ</t>
    </rPh>
    <rPh sb="1" eb="3">
      <t>じゅうたく</t>
    </rPh>
    <rPh sb="3" eb="5">
      <t>ぶぶん</t>
    </rPh>
    <phoneticPr fontId="35" type="noConversion"/>
  </si>
  <si>
    <r>
      <t>ERR</t>
    </r>
    <r>
      <rPr>
        <b/>
        <sz val="10"/>
        <rFont val="ＭＳ Ｐゴシック"/>
        <family val="3"/>
        <charset val="128"/>
      </rPr>
      <t>以外による評価</t>
    </r>
    <rPh sb="3" eb="5">
      <t>イガイ</t>
    </rPh>
    <phoneticPr fontId="26"/>
  </si>
  <si>
    <r>
      <rPr>
        <b/>
        <sz val="10"/>
        <rFont val="ＭＳ Ｐゴシック"/>
        <family val="3"/>
        <charset val="128"/>
      </rPr>
      <t>集合住宅</t>
    </r>
    <rPh sb="0" eb="2">
      <t>シュウゴウ</t>
    </rPh>
    <rPh sb="2" eb="4">
      <t>ジュウタク</t>
    </rPh>
    <phoneticPr fontId="26"/>
  </si>
  <si>
    <r>
      <rPr>
        <b/>
        <sz val="10"/>
        <rFont val="ＭＳ Ｐゴシック"/>
        <family val="3"/>
        <charset val="128"/>
      </rPr>
      <t>集合住宅の評価</t>
    </r>
    <rPh sb="0" eb="2">
      <t>シュウゴウ</t>
    </rPh>
    <rPh sb="2" eb="4">
      <t>ジュウタク</t>
    </rPh>
    <rPh sb="5" eb="7">
      <t>ヒョウカ</t>
    </rPh>
    <phoneticPr fontId="26"/>
  </si>
  <si>
    <r>
      <rPr>
        <sz val="10"/>
        <rFont val="ＭＳ Ｐゴシック"/>
        <family val="3"/>
        <charset val="128"/>
      </rPr>
      <t>空調設備</t>
    </r>
  </si>
  <si>
    <r>
      <rPr>
        <sz val="10"/>
        <rFont val="ＭＳ Ｐゴシック"/>
        <family val="3"/>
        <charset val="128"/>
      </rPr>
      <t>換気設備</t>
    </r>
  </si>
  <si>
    <r>
      <rPr>
        <sz val="10"/>
        <rFont val="ＭＳ Ｐゴシック"/>
        <family val="3"/>
        <charset val="128"/>
      </rPr>
      <t>照明設備</t>
    </r>
  </si>
  <si>
    <r>
      <rPr>
        <sz val="10"/>
        <rFont val="ＭＳ Ｐゴシック"/>
        <family val="3"/>
        <charset val="128"/>
      </rPr>
      <t>給湯設備</t>
    </r>
  </si>
  <si>
    <r>
      <rPr>
        <sz val="10"/>
        <rFont val="ＭＳ Ｐゴシック"/>
        <family val="3"/>
        <charset val="128"/>
      </rPr>
      <t>昇降機設備</t>
    </r>
  </si>
  <si>
    <r>
      <rPr>
        <b/>
        <sz val="10"/>
        <rFont val="ＭＳ Ｐゴシック"/>
        <family val="3"/>
        <charset val="128"/>
      </rPr>
      <t>効率的運用</t>
    </r>
    <rPh sb="0" eb="3">
      <t>ｺｳﾘﾂﾃｷ</t>
    </rPh>
    <rPh sb="3" eb="5">
      <t>ｳﾝﾖｳ</t>
    </rPh>
    <phoneticPr fontId="35" type="noConversion"/>
  </si>
  <si>
    <r>
      <rPr>
        <sz val="10"/>
        <rFont val="ＭＳ Ｐゴシック"/>
        <family val="3"/>
        <charset val="128"/>
      </rPr>
      <t>住宅以外の評価</t>
    </r>
    <rPh sb="0" eb="2">
      <t>じゅうたく</t>
    </rPh>
    <rPh sb="2" eb="4">
      <t>いがい</t>
    </rPh>
    <rPh sb="5" eb="7">
      <t>ひょうか</t>
    </rPh>
    <phoneticPr fontId="35" type="noConversion"/>
  </si>
  <si>
    <r>
      <rPr>
        <sz val="10"/>
        <rFont val="ＭＳ Ｐゴシック"/>
        <family val="3"/>
        <charset val="128"/>
      </rPr>
      <t>モニタリング</t>
    </r>
    <phoneticPr fontId="35" type="noConversion"/>
  </si>
  <si>
    <r>
      <rPr>
        <sz val="10"/>
        <rFont val="ＭＳ Ｐゴシック"/>
        <family val="3"/>
        <charset val="128"/>
      </rPr>
      <t>運用管理体制</t>
    </r>
    <rPh sb="0" eb="2">
      <t>ｳﾝﾖｳ</t>
    </rPh>
    <rPh sb="2" eb="4">
      <t>ｶﾝﾘ</t>
    </rPh>
    <rPh sb="4" eb="6">
      <t>ﾀｲｾｲ</t>
    </rPh>
    <phoneticPr fontId="35" type="noConversion"/>
  </si>
  <si>
    <r>
      <rPr>
        <sz val="10"/>
        <rFont val="ＭＳ Ｐゴシック"/>
        <family val="3"/>
        <charset val="128"/>
      </rPr>
      <t>住宅の評価</t>
    </r>
    <rPh sb="0" eb="2">
      <t>じゅうたく</t>
    </rPh>
    <rPh sb="3" eb="5">
      <t>ひょうか</t>
    </rPh>
    <phoneticPr fontId="35" type="noConversion"/>
  </si>
  <si>
    <r>
      <rPr>
        <sz val="10"/>
        <rFont val="ＭＳ Ｐゴシック"/>
        <family val="3"/>
        <charset val="128"/>
      </rPr>
      <t>住まい方の提示</t>
    </r>
    <rPh sb="5" eb="7">
      <t>テイジ</t>
    </rPh>
    <phoneticPr fontId="8"/>
  </si>
  <si>
    <r>
      <rPr>
        <sz val="10"/>
        <rFont val="ＭＳ Ｐゴシック"/>
        <family val="3"/>
        <charset val="128"/>
      </rPr>
      <t>モニタリング</t>
    </r>
    <phoneticPr fontId="8"/>
  </si>
  <si>
    <r>
      <rPr>
        <sz val="10"/>
        <rFont val="ＭＳ Ｐゴシック"/>
        <family val="3"/>
        <charset val="128"/>
      </rPr>
      <t>エネルギーの管理と制御</t>
    </r>
  </si>
  <si>
    <r>
      <rPr>
        <sz val="10"/>
        <rFont val="ＭＳ Ｐゴシック"/>
        <family val="3"/>
        <charset val="128"/>
      </rPr>
      <t>運用管理体制</t>
    </r>
    <rPh sb="0" eb="2">
      <t>ウンヨウ</t>
    </rPh>
    <rPh sb="2" eb="4">
      <t>カンリ</t>
    </rPh>
    <rPh sb="4" eb="6">
      <t>タイセイ</t>
    </rPh>
    <phoneticPr fontId="26"/>
  </si>
  <si>
    <r>
      <rPr>
        <b/>
        <sz val="10"/>
        <rFont val="ＭＳ Ｐゴシック"/>
        <family val="3"/>
        <charset val="128"/>
      </rPr>
      <t>資源・マテリアル</t>
    </r>
    <phoneticPr fontId="26"/>
  </si>
  <si>
    <r>
      <rPr>
        <b/>
        <sz val="10"/>
        <rFont val="ＭＳ Ｐゴシック"/>
        <family val="3"/>
        <charset val="128"/>
      </rPr>
      <t>水資源保護</t>
    </r>
    <rPh sb="0" eb="1">
      <t>ﾐｽﾞ</t>
    </rPh>
    <rPh sb="1" eb="3">
      <t>ｼｹﾞﾝ</t>
    </rPh>
    <rPh sb="3" eb="5">
      <t>ﾎｺﾞ</t>
    </rPh>
    <phoneticPr fontId="35" type="noConversion"/>
  </si>
  <si>
    <r>
      <rPr>
        <sz val="10"/>
        <rFont val="ＭＳ Ｐゴシック"/>
        <family val="3"/>
        <charset val="128"/>
      </rPr>
      <t>節水</t>
    </r>
    <rPh sb="0" eb="2">
      <t>ｾｯｽｲ</t>
    </rPh>
    <phoneticPr fontId="35" type="noConversion"/>
  </si>
  <si>
    <r>
      <rPr>
        <sz val="10"/>
        <rFont val="ＭＳ Ｐゴシック"/>
        <family val="3"/>
        <charset val="128"/>
      </rPr>
      <t>雨水利用・雑排水再利用</t>
    </r>
    <rPh sb="0" eb="2">
      <t>ｳｽｲ</t>
    </rPh>
    <rPh sb="2" eb="4">
      <t>ﾘﾖｳ</t>
    </rPh>
    <rPh sb="5" eb="8">
      <t>ｻﾞﾂﾊｲｽｲ</t>
    </rPh>
    <rPh sb="8" eb="9">
      <t>ｻｲ</t>
    </rPh>
    <rPh sb="9" eb="11">
      <t>ﾘﾖｳ</t>
    </rPh>
    <phoneticPr fontId="35" type="noConversion"/>
  </si>
  <si>
    <r>
      <rPr>
        <sz val="10"/>
        <rFont val="ＭＳ Ｐゴシック"/>
        <family val="3"/>
        <charset val="128"/>
      </rPr>
      <t>雨水利用システム導入の有無</t>
    </r>
    <phoneticPr fontId="26"/>
  </si>
  <si>
    <r>
      <rPr>
        <sz val="10"/>
        <rFont val="ＭＳ Ｐゴシック"/>
        <family val="3"/>
        <charset val="128"/>
      </rPr>
      <t>雑排水等再利用システム導入の有無</t>
    </r>
  </si>
  <si>
    <r>
      <rPr>
        <b/>
        <sz val="10"/>
        <rFont val="ＭＳ Ｐゴシック"/>
        <family val="3"/>
        <charset val="128"/>
      </rPr>
      <t>非再生性資源の使用量削減</t>
    </r>
    <rPh sb="0" eb="1">
      <t>ヒ</t>
    </rPh>
    <rPh sb="1" eb="3">
      <t>サイセイ</t>
    </rPh>
    <rPh sb="3" eb="4">
      <t>セイ</t>
    </rPh>
    <rPh sb="4" eb="6">
      <t>シゲン</t>
    </rPh>
    <rPh sb="7" eb="10">
      <t>シヨウリョウ</t>
    </rPh>
    <rPh sb="10" eb="12">
      <t>サクゲン</t>
    </rPh>
    <phoneticPr fontId="26"/>
  </si>
  <si>
    <r>
      <rPr>
        <sz val="10"/>
        <rFont val="ＭＳ Ｐゴシック"/>
        <family val="3"/>
        <charset val="128"/>
      </rPr>
      <t>材料使用量の削減</t>
    </r>
    <rPh sb="0" eb="2">
      <t>ザイリョウ</t>
    </rPh>
    <rPh sb="2" eb="4">
      <t>シヨウ</t>
    </rPh>
    <rPh sb="4" eb="5">
      <t>リョウ</t>
    </rPh>
    <rPh sb="6" eb="8">
      <t>サクゲン</t>
    </rPh>
    <phoneticPr fontId="26"/>
  </si>
  <si>
    <r>
      <rPr>
        <sz val="10"/>
        <rFont val="ＭＳ Ｐゴシック"/>
        <family val="3"/>
        <charset val="128"/>
      </rPr>
      <t>既存建築躯体等の継続使用</t>
    </r>
    <rPh sb="6" eb="7">
      <t>トウ</t>
    </rPh>
    <rPh sb="8" eb="10">
      <t>ケイゾク</t>
    </rPh>
    <rPh sb="10" eb="12">
      <t>シヨウ</t>
    </rPh>
    <phoneticPr fontId="26"/>
  </si>
  <si>
    <r>
      <rPr>
        <sz val="10"/>
        <rFont val="ＭＳ Ｐゴシック"/>
        <family val="3"/>
        <charset val="128"/>
      </rPr>
      <t>躯体材料におけるリサイクル材の使用</t>
    </r>
    <rPh sb="0" eb="2">
      <t>クタイ</t>
    </rPh>
    <rPh sb="2" eb="4">
      <t>ザイリョウ</t>
    </rPh>
    <rPh sb="13" eb="14">
      <t>ザイ</t>
    </rPh>
    <rPh sb="15" eb="17">
      <t>シヨウ</t>
    </rPh>
    <phoneticPr fontId="26"/>
  </si>
  <si>
    <r>
      <rPr>
        <sz val="10"/>
        <rFont val="ＭＳ Ｐゴシック"/>
        <family val="3"/>
        <charset val="128"/>
      </rPr>
      <t>躯体材料以外におけるリサイクル材の使用</t>
    </r>
  </si>
  <si>
    <r>
      <rPr>
        <sz val="10"/>
        <rFont val="ＭＳ Ｐゴシック"/>
        <family val="3"/>
        <charset val="128"/>
      </rPr>
      <t>持続可能な森林から産出された木材</t>
    </r>
    <phoneticPr fontId="26"/>
  </si>
  <si>
    <r>
      <rPr>
        <sz val="10"/>
        <rFont val="ＭＳ Ｐゴシック"/>
        <family val="3"/>
        <charset val="128"/>
      </rPr>
      <t>部材の再利用可能性向上への取組み</t>
    </r>
    <rPh sb="9" eb="11">
      <t>コウジョウ</t>
    </rPh>
    <rPh sb="13" eb="15">
      <t>トリク</t>
    </rPh>
    <phoneticPr fontId="26"/>
  </si>
  <si>
    <r>
      <rPr>
        <sz val="10"/>
        <rFont val="ＭＳ Ｐゴシック"/>
        <family val="3"/>
        <charset val="128"/>
      </rPr>
      <t>部材の再利用可能性向上への取組み（</t>
    </r>
    <r>
      <rPr>
        <sz val="10"/>
        <rFont val="Arial"/>
        <family val="2"/>
      </rPr>
      <t>TC)</t>
    </r>
    <rPh sb="9" eb="11">
      <t>コウジョウ</t>
    </rPh>
    <rPh sb="13" eb="15">
      <t>トリク</t>
    </rPh>
    <phoneticPr fontId="26"/>
  </si>
  <si>
    <r>
      <rPr>
        <sz val="10"/>
        <rFont val="ＭＳ Ｐゴシック"/>
        <family val="3"/>
        <charset val="128"/>
      </rPr>
      <t>躯体のリサイクル・リユース</t>
    </r>
    <phoneticPr fontId="26"/>
  </si>
  <si>
    <r>
      <rPr>
        <sz val="10"/>
        <rFont val="ＭＳ Ｐゴシック"/>
        <family val="3"/>
        <charset val="128"/>
      </rPr>
      <t>屋根材のリサイクル・リユース</t>
    </r>
    <phoneticPr fontId="26"/>
  </si>
  <si>
    <r>
      <rPr>
        <sz val="10"/>
        <rFont val="ＭＳ Ｐゴシック"/>
        <family val="3"/>
        <charset val="128"/>
      </rPr>
      <t>外壁材のリサイクル・リユース</t>
    </r>
    <phoneticPr fontId="26"/>
  </si>
  <si>
    <r>
      <rPr>
        <sz val="10"/>
        <rFont val="ＭＳ Ｐゴシック"/>
        <family val="3"/>
        <charset val="128"/>
      </rPr>
      <t>内装材のリサイクル・リユース</t>
    </r>
    <phoneticPr fontId="26"/>
  </si>
  <si>
    <r>
      <rPr>
        <sz val="10"/>
        <rFont val="ＭＳ Ｐゴシック"/>
        <family val="3"/>
        <charset val="128"/>
      </rPr>
      <t>設備機器のリサイクル・リユース</t>
    </r>
    <phoneticPr fontId="26"/>
  </si>
  <si>
    <r>
      <rPr>
        <sz val="10"/>
        <rFont val="ＭＳ Ｐゴシック"/>
        <family val="3"/>
        <charset val="128"/>
      </rPr>
      <t>外構資材のリユース</t>
    </r>
    <phoneticPr fontId="26"/>
  </si>
  <si>
    <r>
      <rPr>
        <sz val="10"/>
        <rFont val="ＭＳ Ｐゴシック"/>
        <family val="3"/>
        <charset val="128"/>
      </rPr>
      <t>廃棄物発生量の最小化</t>
    </r>
    <phoneticPr fontId="26"/>
  </si>
  <si>
    <r>
      <rPr>
        <b/>
        <sz val="10"/>
        <rFont val="ＭＳ Ｐゴシック"/>
        <family val="3"/>
        <charset val="128"/>
      </rPr>
      <t>汚染物質含有材料の使用回避</t>
    </r>
    <rPh sb="0" eb="2">
      <t>オセン</t>
    </rPh>
    <rPh sb="2" eb="4">
      <t>ブッシツ</t>
    </rPh>
    <rPh sb="4" eb="6">
      <t>ガンユウ</t>
    </rPh>
    <rPh sb="6" eb="8">
      <t>ザイリョウ</t>
    </rPh>
    <rPh sb="9" eb="11">
      <t>シヨウ</t>
    </rPh>
    <rPh sb="11" eb="13">
      <t>カイヒ</t>
    </rPh>
    <phoneticPr fontId="26"/>
  </si>
  <si>
    <r>
      <rPr>
        <sz val="10"/>
        <rFont val="ＭＳ Ｐゴシック"/>
        <family val="3"/>
        <charset val="128"/>
      </rPr>
      <t>有害物質を含まない材料の使用</t>
    </r>
    <rPh sb="0" eb="2">
      <t>ユウガイ</t>
    </rPh>
    <rPh sb="2" eb="4">
      <t>ブッシツ</t>
    </rPh>
    <rPh sb="5" eb="6">
      <t>フク</t>
    </rPh>
    <rPh sb="12" eb="14">
      <t>シヨウ</t>
    </rPh>
    <phoneticPr fontId="26"/>
  </si>
  <si>
    <r>
      <rPr>
        <sz val="10"/>
        <rFont val="ＭＳ Ｐゴシック"/>
        <family val="3"/>
        <charset val="128"/>
      </rPr>
      <t>フロン・ハロンの回避</t>
    </r>
  </si>
  <si>
    <r>
      <rPr>
        <sz val="10"/>
        <rFont val="ＭＳ Ｐゴシック"/>
        <family val="3"/>
        <charset val="128"/>
      </rPr>
      <t>消火剤</t>
    </r>
    <phoneticPr fontId="26"/>
  </si>
  <si>
    <r>
      <rPr>
        <sz val="10"/>
        <rFont val="ＭＳ Ｐゴシック"/>
        <family val="3"/>
        <charset val="128"/>
      </rPr>
      <t>発泡剤（断熱材等）</t>
    </r>
  </si>
  <si>
    <r>
      <rPr>
        <sz val="10"/>
        <rFont val="ＭＳ Ｐゴシック"/>
        <family val="3"/>
        <charset val="128"/>
      </rPr>
      <t>発泡剤（断熱材等）</t>
    </r>
    <phoneticPr fontId="26"/>
  </si>
  <si>
    <r>
      <rPr>
        <sz val="10"/>
        <rFont val="ＭＳ Ｐゴシック"/>
        <family val="3"/>
        <charset val="128"/>
      </rPr>
      <t>冷媒</t>
    </r>
  </si>
  <si>
    <r>
      <rPr>
        <b/>
        <sz val="10"/>
        <rFont val="ＭＳ Ｐゴシック"/>
        <family val="3"/>
        <charset val="128"/>
      </rPr>
      <t>敷地外環境</t>
    </r>
    <phoneticPr fontId="26"/>
  </si>
  <si>
    <r>
      <rPr>
        <b/>
        <sz val="10"/>
        <rFont val="ＭＳ Ｐゴシック"/>
        <family val="3"/>
        <charset val="128"/>
      </rPr>
      <t>地球温暖化への配慮</t>
    </r>
    <rPh sb="0" eb="2">
      <t>ﾁｷｭｳ</t>
    </rPh>
    <rPh sb="2" eb="5">
      <t>ｵﾝﾀﾞﾝｶ</t>
    </rPh>
    <rPh sb="7" eb="9">
      <t>ﾊｲﾘｮ</t>
    </rPh>
    <phoneticPr fontId="35" type="noConversion"/>
  </si>
  <si>
    <r>
      <rPr>
        <b/>
        <sz val="10"/>
        <rFont val="ＭＳ Ｐゴシック"/>
        <family val="3"/>
        <charset val="128"/>
      </rPr>
      <t>地域環境への配慮</t>
    </r>
    <rPh sb="0" eb="2">
      <t>ﾁｲｷ</t>
    </rPh>
    <rPh sb="2" eb="4">
      <t>ｶﾝｷｮｳ</t>
    </rPh>
    <rPh sb="6" eb="8">
      <t>ﾊｲﾘｮ</t>
    </rPh>
    <phoneticPr fontId="35" type="noConversion"/>
  </si>
  <si>
    <r>
      <rPr>
        <sz val="10"/>
        <rFont val="ＭＳ Ｐゴシック"/>
        <family val="3"/>
        <charset val="128"/>
      </rPr>
      <t>大気汚染防止</t>
    </r>
    <rPh sb="0" eb="2">
      <t>ﾀｲｷ</t>
    </rPh>
    <rPh sb="2" eb="4">
      <t>ｵｾﾝ</t>
    </rPh>
    <rPh sb="4" eb="6">
      <t>ﾎﾞｳｼ</t>
    </rPh>
    <phoneticPr fontId="35" type="noConversion"/>
  </si>
  <si>
    <r>
      <rPr>
        <sz val="10"/>
        <rFont val="ＭＳ Ｐゴシック"/>
        <family val="3"/>
        <charset val="128"/>
      </rPr>
      <t>温熱環境悪化の改善</t>
    </r>
    <phoneticPr fontId="26"/>
  </si>
  <si>
    <r>
      <rPr>
        <sz val="10"/>
        <rFont val="ＭＳ Ｐゴシック"/>
        <family val="3"/>
        <charset val="128"/>
      </rPr>
      <t>地域インフラへの負荷抑制</t>
    </r>
    <rPh sb="0" eb="2">
      <t>チイキ</t>
    </rPh>
    <rPh sb="8" eb="10">
      <t>フカ</t>
    </rPh>
    <rPh sb="10" eb="12">
      <t>ヨクセイ</t>
    </rPh>
    <phoneticPr fontId="26"/>
  </si>
  <si>
    <r>
      <rPr>
        <sz val="10"/>
        <rFont val="ＭＳ Ｐゴシック"/>
        <family val="3"/>
        <charset val="128"/>
      </rPr>
      <t>雨水排水負荷低減</t>
    </r>
    <phoneticPr fontId="35" type="noConversion"/>
  </si>
  <si>
    <r>
      <rPr>
        <sz val="10"/>
        <rFont val="ＭＳ Ｐゴシック"/>
        <family val="3"/>
        <charset val="128"/>
      </rPr>
      <t>汚水処理負荷抑制</t>
    </r>
    <phoneticPr fontId="35" type="noConversion"/>
  </si>
  <si>
    <r>
      <rPr>
        <sz val="10"/>
        <rFont val="ＭＳ Ｐゴシック"/>
        <family val="3"/>
        <charset val="128"/>
      </rPr>
      <t>交通負荷抑制</t>
    </r>
    <rPh sb="0" eb="2">
      <t>ｺｳﾂｳ</t>
    </rPh>
    <rPh sb="2" eb="4">
      <t>ﾌｶ</t>
    </rPh>
    <rPh sb="4" eb="6">
      <t>ﾖｸｾｲ</t>
    </rPh>
    <phoneticPr fontId="35" type="noConversion"/>
  </si>
  <si>
    <r>
      <rPr>
        <sz val="10"/>
        <rFont val="ＭＳ Ｐゴシック"/>
        <family val="3"/>
        <charset val="128"/>
      </rPr>
      <t>廃棄物処理負荷抑制</t>
    </r>
    <rPh sb="0" eb="3">
      <t>ﾊｲｷﾌﾞﾂ</t>
    </rPh>
    <rPh sb="3" eb="5">
      <t>ｼｮﾘ</t>
    </rPh>
    <rPh sb="5" eb="7">
      <t>ﾌｶ</t>
    </rPh>
    <rPh sb="7" eb="9">
      <t>ﾖｸｾｲ</t>
    </rPh>
    <phoneticPr fontId="35" type="noConversion"/>
  </si>
  <si>
    <r>
      <rPr>
        <sz val="10"/>
        <color theme="5"/>
        <rFont val="ＭＳ Ｐゴシック"/>
        <family val="3"/>
        <charset val="128"/>
      </rPr>
      <t>廃棄物処理負荷抑制</t>
    </r>
    <rPh sb="0" eb="3">
      <t>ﾊｲｷﾌﾞﾂ</t>
    </rPh>
    <rPh sb="3" eb="5">
      <t>ｼｮﾘ</t>
    </rPh>
    <rPh sb="5" eb="7">
      <t>ﾌｶ</t>
    </rPh>
    <rPh sb="7" eb="9">
      <t>ﾖｸｾｲ</t>
    </rPh>
    <phoneticPr fontId="35" type="noConversion"/>
  </si>
  <si>
    <r>
      <rPr>
        <b/>
        <sz val="10"/>
        <rFont val="ＭＳ Ｐゴシック"/>
        <family val="3"/>
        <charset val="128"/>
      </rPr>
      <t>周辺環境への配慮</t>
    </r>
    <rPh sb="0" eb="2">
      <t>ｼｭｳﾍﾝ</t>
    </rPh>
    <rPh sb="2" eb="4">
      <t>ｶﾝｷｮｳ</t>
    </rPh>
    <rPh sb="6" eb="8">
      <t>ﾊｲﾘｮ</t>
    </rPh>
    <phoneticPr fontId="35" type="noConversion"/>
  </si>
  <si>
    <r>
      <rPr>
        <sz val="10"/>
        <rFont val="ＭＳ Ｐゴシック"/>
        <family val="3"/>
        <charset val="128"/>
      </rPr>
      <t>騒音・振動・悪臭の防止</t>
    </r>
    <rPh sb="0" eb="2">
      <t>ｿｳｵﾝ</t>
    </rPh>
    <rPh sb="3" eb="5">
      <t>ｼﾝﾄﾞｳ</t>
    </rPh>
    <rPh sb="6" eb="8">
      <t>ｱｸｼｭｳ</t>
    </rPh>
    <rPh sb="9" eb="11">
      <t>ﾎﾞｳｼ</t>
    </rPh>
    <phoneticPr fontId="35" type="noConversion"/>
  </si>
  <si>
    <r>
      <rPr>
        <sz val="10"/>
        <rFont val="ＭＳ Ｐゴシック"/>
        <family val="3"/>
        <charset val="128"/>
      </rPr>
      <t>騒音</t>
    </r>
    <rPh sb="0" eb="2">
      <t>ｿｳｵﾝ</t>
    </rPh>
    <phoneticPr fontId="35" type="noConversion"/>
  </si>
  <si>
    <r>
      <rPr>
        <sz val="10"/>
        <rFont val="ＭＳ Ｐゴシック"/>
        <family val="3"/>
        <charset val="128"/>
      </rPr>
      <t>振動</t>
    </r>
    <rPh sb="0" eb="2">
      <t>ｼﾝﾄﾞｳ</t>
    </rPh>
    <phoneticPr fontId="35" type="noConversion"/>
  </si>
  <si>
    <r>
      <rPr>
        <sz val="10"/>
        <rFont val="ＭＳ Ｐゴシック"/>
        <family val="3"/>
        <charset val="128"/>
      </rPr>
      <t>悪臭</t>
    </r>
    <rPh sb="0" eb="2">
      <t>アクシュウ</t>
    </rPh>
    <phoneticPr fontId="26"/>
  </si>
  <si>
    <r>
      <rPr>
        <sz val="10"/>
        <rFont val="ＭＳ Ｐゴシック"/>
        <family val="3"/>
        <charset val="128"/>
      </rPr>
      <t>風害、日照阻害の抑制</t>
    </r>
    <phoneticPr fontId="35" type="noConversion"/>
  </si>
  <si>
    <r>
      <rPr>
        <sz val="10"/>
        <rFont val="ＭＳ Ｐゴシック"/>
        <family val="3"/>
        <charset val="128"/>
      </rPr>
      <t>風害・砂塵、日照阻害の抑制</t>
    </r>
    <phoneticPr fontId="35" type="noConversion"/>
  </si>
  <si>
    <r>
      <rPr>
        <sz val="10"/>
        <rFont val="ＭＳ Ｐゴシック"/>
        <family val="3"/>
        <charset val="128"/>
      </rPr>
      <t>風害・砂塵、日照阻害の抑制</t>
    </r>
  </si>
  <si>
    <r>
      <rPr>
        <sz val="10"/>
        <rFont val="ＭＳ Ｐゴシック"/>
        <family val="3"/>
        <charset val="128"/>
      </rPr>
      <t>風害の抑制</t>
    </r>
    <phoneticPr fontId="35" type="noConversion"/>
  </si>
  <si>
    <r>
      <rPr>
        <sz val="10"/>
        <rFont val="ＭＳ Ｐゴシック"/>
        <family val="3"/>
        <charset val="128"/>
      </rPr>
      <t>砂塵の抑制</t>
    </r>
    <rPh sb="0" eb="2">
      <t>ｻｼﾞﾝ</t>
    </rPh>
    <rPh sb="3" eb="5">
      <t>ﾖｸｾｲ</t>
    </rPh>
    <phoneticPr fontId="35" type="noConversion"/>
  </si>
  <si>
    <r>
      <rPr>
        <sz val="10"/>
        <rFont val="ＭＳ Ｐゴシック"/>
        <family val="3"/>
        <charset val="128"/>
      </rPr>
      <t>日照阻害の抑制</t>
    </r>
    <phoneticPr fontId="35" type="noConversion"/>
  </si>
  <si>
    <r>
      <rPr>
        <sz val="10"/>
        <rFont val="ＭＳ Ｐゴシック"/>
        <family val="3"/>
        <charset val="128"/>
      </rPr>
      <t>光害の抑制</t>
    </r>
    <rPh sb="0" eb="1">
      <t>ﾋｶﾘ</t>
    </rPh>
    <phoneticPr fontId="35" type="noConversion"/>
  </si>
  <si>
    <r>
      <rPr>
        <sz val="10"/>
        <rFont val="ＭＳ Ｐゴシック"/>
        <family val="3"/>
        <charset val="128"/>
      </rPr>
      <t>屋外照明及び屋内照明のうち外に漏れる光への対策</t>
    </r>
    <phoneticPr fontId="35" type="noConversion"/>
  </si>
  <si>
    <r>
      <rPr>
        <sz val="10"/>
        <rFont val="ＭＳ Ｐゴシック"/>
        <family val="3"/>
        <charset val="128"/>
      </rPr>
      <t>昼光の建物外壁による反射光（グレア）への対策</t>
    </r>
    <phoneticPr fontId="35" type="noConversion"/>
  </si>
  <si>
    <t>Indoor Noise Level</t>
    <phoneticPr fontId="26"/>
  </si>
  <si>
    <t>Indoor Noise Level</t>
    <phoneticPr fontId="35" type="noConversion"/>
  </si>
  <si>
    <t>Key indicators</t>
    <phoneticPr fontId="26"/>
  </si>
  <si>
    <t>3 Design considerations</t>
  </si>
  <si>
    <t>PPS / evidence, etc.</t>
    <phoneticPr fontId="26"/>
  </si>
  <si>
    <t>PPS</t>
    <phoneticPr fontId="26"/>
  </si>
  <si>
    <t>Hokkaido Electric Power Co., Inc.</t>
  </si>
  <si>
    <t>Tohoku Electric Power Co., Inc.</t>
  </si>
  <si>
    <t>Hokuriku Electric Power Co., Inc.</t>
  </si>
  <si>
    <t>Kansai Electric Power Co., Inc.</t>
  </si>
  <si>
    <t>Shikoku Electric Power Co., Inc.</t>
  </si>
  <si>
    <t>Kyushu Electric Power Co., Inc.</t>
  </si>
  <si>
    <t>Okinawa Electric Power Co., Inc.</t>
  </si>
  <si>
    <t>Chugoku Electric Power Co., Inc.</t>
    <phoneticPr fontId="26"/>
  </si>
  <si>
    <t>XXX Power Co., Inc. (Record in 2022)</t>
    <phoneticPr fontId="26"/>
  </si>
  <si>
    <t xml:space="preserve">  (3) Other than above:</t>
  </si>
  <si>
    <t>Other</t>
    <phoneticPr fontId="26"/>
  </si>
  <si>
    <t>Electricity supplied by power producers/suppliers (PPS)</t>
    <phoneticPr fontId="26"/>
  </si>
  <si>
    <t>A.</t>
    <phoneticPr fontId="26"/>
  </si>
  <si>
    <t>B.</t>
    <phoneticPr fontId="26"/>
  </si>
  <si>
    <t>C.</t>
    <phoneticPr fontId="26"/>
  </si>
  <si>
    <r>
      <rPr>
        <sz val="10"/>
        <rFont val="Wingdings"/>
        <charset val="2"/>
      </rPr>
      <t>n</t>
    </r>
    <r>
      <rPr>
        <sz val="10"/>
        <rFont val="Arial"/>
        <family val="2"/>
      </rPr>
      <t xml:space="preserve"> Location / Region</t>
    </r>
    <phoneticPr fontId="26"/>
  </si>
  <si>
    <t>Regional classification</t>
    <phoneticPr fontId="26"/>
  </si>
  <si>
    <t>people</t>
    <phoneticPr fontId="26"/>
  </si>
  <si>
    <t>Total 2</t>
    <phoneticPr fontId="26"/>
  </si>
  <si>
    <t>TEPCO Energy Partner, Inc.</t>
  </si>
  <si>
    <t>TEPCO Energy Partner, Inc.</t>
    <phoneticPr fontId="26"/>
  </si>
  <si>
    <t>Hokuriku Electric Power Co., Inc.</t>
    <phoneticPr fontId="26"/>
  </si>
  <si>
    <t>Chubu Electric Power Miraiz Co., Inc.</t>
  </si>
  <si>
    <t>Chubu Electric Power Miraiz Co., Inc.</t>
    <phoneticPr fontId="26"/>
  </si>
  <si>
    <t>Alternative coefficient value</t>
  </si>
  <si>
    <r>
      <rPr>
        <b/>
        <sz val="12"/>
        <rFont val="Wingdings"/>
        <charset val="2"/>
      </rPr>
      <t>n</t>
    </r>
    <r>
      <rPr>
        <b/>
        <sz val="12"/>
        <rFont val="Arial"/>
        <family val="2"/>
      </rPr>
      <t xml:space="preserve"> GHG Data base</t>
    </r>
    <phoneticPr fontId="26"/>
  </si>
  <si>
    <t>a. GHG Emissions Related to Construction</t>
    <phoneticPr fontId="26"/>
  </si>
  <si>
    <t>Q2/2.2.1 Service Life of Structural Frame Materials</t>
  </si>
  <si>
    <t>,Wood</t>
    <phoneticPr fontId="26"/>
  </si>
  <si>
    <t>RC</t>
    <phoneticPr fontId="26"/>
  </si>
  <si>
    <t>SRC</t>
    <phoneticPr fontId="26"/>
  </si>
  <si>
    <t>Level 3</t>
  </si>
  <si>
    <t>Level 4</t>
  </si>
  <si>
    <t>Level 5</t>
  </si>
  <si>
    <t>Office</t>
  </si>
  <si>
    <t>School</t>
  </si>
  <si>
    <t>Retailers</t>
  </si>
  <si>
    <t>Restaurants</t>
  </si>
  <si>
    <t>Halls</t>
  </si>
  <si>
    <t>Factories</t>
  </si>
  <si>
    <t>Hospitals</t>
  </si>
  <si>
    <t>Hotels</t>
  </si>
  <si>
    <t>LR2.2.2 Existing structural frame</t>
    <phoneticPr fontId="26"/>
  </si>
  <si>
    <t>LR2.2.3 Recycled materials 
(Use of blast furnace cement)</t>
    <phoneticPr fontId="26"/>
  </si>
  <si>
    <t>b. GHG Emissions Related to Repair, Renewal and Demolition</t>
    <phoneticPr fontId="26"/>
  </si>
  <si>
    <t>c. GHG Emissions Related to Operational Energy</t>
    <phoneticPr fontId="26"/>
  </si>
  <si>
    <t>Town gas</t>
  </si>
  <si>
    <t>Kerosene</t>
  </si>
  <si>
    <t>Type A heavy oil</t>
  </si>
  <si>
    <t>DHC (heat energy)</t>
    <phoneticPr fontId="26"/>
  </si>
  <si>
    <t>alternative coefficient value=2.05 [t-CO2/kilo-m3] / [45MJ/m3] (List of emission factors by gas supplier (for submission in 2024), June 28, 2024)</t>
    <phoneticPr fontId="26"/>
  </si>
  <si>
    <t>alternative coefficient value=0.0532 [t-CO2/GJ] (List of emission factors by heat supplier (for submission in 2024), June 28, 2024)</t>
    <phoneticPr fontId="26"/>
  </si>
  <si>
    <t>Calculation Methods and Emission Factors List under the Calculation, Reporting, and Disclosure System (MOE, Updated December 12, 2024 (Partially revised July 11, 2025))</t>
    <phoneticPr fontId="26"/>
  </si>
  <si>
    <t>(Average value for kerosene + type A heavy oil)</t>
    <phoneticPr fontId="31"/>
  </si>
  <si>
    <t>Chugoku Electric Power Co., Inc.</t>
  </si>
  <si>
    <t>Name of company</t>
  </si>
  <si>
    <t xml:space="preserve"> Office</t>
    <phoneticPr fontId="26"/>
  </si>
  <si>
    <t>Office</t>
    <phoneticPr fontId="26"/>
  </si>
  <si>
    <t xml:space="preserve"> School</t>
    <phoneticPr fontId="26"/>
  </si>
  <si>
    <t>Kindergartens/ nursery schools</t>
    <phoneticPr fontId="26"/>
  </si>
  <si>
    <t>ES/JHS</t>
    <phoneticPr fontId="26"/>
  </si>
  <si>
    <t>Hokkaido</t>
    <phoneticPr fontId="26"/>
  </si>
  <si>
    <t>Other area</t>
    <phoneticPr fontId="26"/>
  </si>
  <si>
    <t>Universities/ colleges</t>
    <phoneticPr fontId="26"/>
  </si>
  <si>
    <t>Department, supermarkets</t>
    <phoneticPr fontId="26"/>
  </si>
  <si>
    <t>Theatres/halls</t>
    <phoneticPr fontId="26"/>
  </si>
  <si>
    <t xml:space="preserve"> Apartments</t>
    <phoneticPr fontId="26"/>
  </si>
  <si>
    <t>Common area</t>
  </si>
  <si>
    <t>Dwelling area</t>
    <phoneticPr fontId="26"/>
  </si>
  <si>
    <t>less than 300m2</t>
    <phoneticPr fontId="9"/>
  </si>
  <si>
    <t>over 300m2 and
less that 2,000m2</t>
    <phoneticPr fontId="9"/>
  </si>
  <si>
    <t>over 2,000m2 and
less that 10,000m2</t>
    <phoneticPr fontId="26"/>
  </si>
  <si>
    <t>over 10,000m2 and
less that 30,000m2</t>
    <phoneticPr fontId="26"/>
  </si>
  <si>
    <t>over 30,000m2</t>
    <phoneticPr fontId="26"/>
  </si>
  <si>
    <t>Electricity</t>
    <phoneticPr fontId="9"/>
  </si>
  <si>
    <t>Town gas</t>
    <phoneticPr fontId="26"/>
  </si>
  <si>
    <t>Other *</t>
    <phoneticPr fontId="9"/>
  </si>
  <si>
    <t>Primary energy source composition ratio</t>
    <phoneticPr fontId="26"/>
  </si>
  <si>
    <t>Data summarised from DECC data-base for Energy Consumption of Commercial Building (released in 2019, JSBC).L153</t>
    <phoneticPr fontId="26"/>
  </si>
  <si>
    <t>Source;</t>
    <phoneticPr fontId="26"/>
  </si>
  <si>
    <t>* Kerosene for Apt.</t>
  </si>
  <si>
    <t>"Transition of final energy consumption by energy source type in residential sector (Energy demand and supply record in FY 2022, General Affairs Division Strategic Planning Office, the Agency of Natural Resources and Energy)"</t>
    <phoneticPr fontId="26"/>
  </si>
  <si>
    <t>Regarding factories, since there is no statistical data available, the energy consumption for lighting in office buildings under the Notification No. 265 of MLIT of 2016 is used.</t>
    <phoneticPr fontId="26"/>
  </si>
  <si>
    <t>Type of HVAC</t>
    <phoneticPr fontId="26"/>
  </si>
  <si>
    <t>Heating</t>
    <phoneticPr fontId="26"/>
  </si>
  <si>
    <t>Cooling</t>
    <phoneticPr fontId="26"/>
  </si>
  <si>
    <t xml:space="preserve">Levels </t>
    <phoneticPr fontId="26"/>
  </si>
  <si>
    <t>in LR1.3</t>
    <phoneticPr fontId="26"/>
  </si>
  <si>
    <t>Evaluated Bld.</t>
    <phoneticPr fontId="26"/>
  </si>
  <si>
    <t>Reference</t>
    <phoneticPr fontId="26"/>
  </si>
  <si>
    <t>Level 1</t>
    <phoneticPr fontId="26"/>
  </si>
  <si>
    <t>Level 2</t>
    <phoneticPr fontId="26"/>
  </si>
  <si>
    <t>Level 4</t>
    <phoneticPr fontId="26"/>
  </si>
  <si>
    <t>Evaluated Building</t>
    <phoneticPr fontId="26"/>
  </si>
  <si>
    <t>Reference Building</t>
    <phoneticPr fontId="26"/>
  </si>
  <si>
    <t>d. Addition of GHG emissions related to equipment installation</t>
    <phoneticPr fontId="26"/>
  </si>
  <si>
    <t>Equipment</t>
  </si>
  <si>
    <t>Solar power generation system</t>
  </si>
  <si>
    <t>Battery</t>
  </si>
  <si>
    <t>Construction stage</t>
    <phoneticPr fontId="26"/>
  </si>
  <si>
    <t>Maintenance/Upgrade/Demolition stages *</t>
    <phoneticPr fontId="26"/>
  </si>
  <si>
    <t>kg-CO2eq/yr-kW</t>
    <phoneticPr fontId="26"/>
  </si>
  <si>
    <t>kg-CO2eq/yr-kWh</t>
    <phoneticPr fontId="26"/>
  </si>
  <si>
    <t>Service life of building structure (years）</t>
  </si>
  <si>
    <t>Quantities of Representative Materials</t>
    <phoneticPr fontId="26"/>
  </si>
  <si>
    <t>Regular concrete</t>
  </si>
  <si>
    <r>
      <t>m</t>
    </r>
    <r>
      <rPr>
        <vertAlign val="superscript"/>
        <sz val="10"/>
        <rFont val="Arial"/>
        <family val="2"/>
      </rPr>
      <t>3</t>
    </r>
    <r>
      <rPr>
        <sz val="10"/>
        <rFont val="Arial"/>
        <family val="2"/>
      </rPr>
      <t>/m</t>
    </r>
    <r>
      <rPr>
        <vertAlign val="superscript"/>
        <sz val="10"/>
        <rFont val="Arial"/>
        <family val="2"/>
      </rPr>
      <t>2</t>
    </r>
    <phoneticPr fontId="26"/>
  </si>
  <si>
    <t>Blast furnace cement concrete</t>
  </si>
  <si>
    <t>Steel frame</t>
  </si>
  <si>
    <r>
      <t>t/m</t>
    </r>
    <r>
      <rPr>
        <vertAlign val="superscript"/>
        <sz val="10"/>
        <rFont val="Arial"/>
        <family val="2"/>
      </rPr>
      <t>2</t>
    </r>
    <phoneticPr fontId="26"/>
  </si>
  <si>
    <t>Deck plate</t>
    <phoneticPr fontId="26"/>
  </si>
  <si>
    <t>Reinforcing bars</t>
    <phoneticPr fontId="26"/>
  </si>
  <si>
    <t>Formwork</t>
    <phoneticPr fontId="26"/>
  </si>
  <si>
    <t>Renewal interval (years)</t>
  </si>
  <si>
    <t>Exterior</t>
  </si>
  <si>
    <t>Roof</t>
  </si>
  <si>
    <t>Interior</t>
  </si>
  <si>
    <t>Building Service</t>
  </si>
  <si>
    <t>Repair rate</t>
  </si>
  <si>
    <t>No Reuse</t>
  </si>
  <si>
    <t>Existing Structure 100%</t>
  </si>
  <si>
    <t>Blast furnace cement100%</t>
  </si>
  <si>
    <t>years</t>
    <phoneticPr fontId="26"/>
  </si>
  <si>
    <t>/yr</t>
    <phoneticPr fontId="26"/>
  </si>
  <si>
    <r>
      <rPr>
        <b/>
        <sz val="9"/>
        <color rgb="FFFF0000"/>
        <rFont val="ＭＳ Ｐゴシック"/>
        <family val="3"/>
        <charset val="128"/>
      </rPr>
      <t>※</t>
    </r>
    <r>
      <rPr>
        <b/>
        <sz val="9"/>
        <color rgb="FFFF0000"/>
        <rFont val="Arial"/>
        <family val="2"/>
      </rPr>
      <t>Set the factor used for reference value.</t>
    </r>
    <phoneticPr fontId="26"/>
  </si>
  <si>
    <r>
      <rPr>
        <sz val="11"/>
        <rFont val="ＭＳ Ｐゴシック"/>
        <family val="3"/>
        <charset val="128"/>
      </rPr>
      <t>←オプションボタン番号</t>
    </r>
    <rPh sb="9" eb="11">
      <t>バンゴウ</t>
    </rPh>
    <phoneticPr fontId="26"/>
  </si>
  <si>
    <r>
      <rPr>
        <sz val="11"/>
        <rFont val="ＭＳ Ｐゴシック"/>
        <family val="3"/>
        <charset val="128"/>
      </rPr>
      <t>↓事業社名</t>
    </r>
    <rPh sb="1" eb="3">
      <t>ジギョウ</t>
    </rPh>
    <rPh sb="3" eb="5">
      <t>シャメイ</t>
    </rPh>
    <phoneticPr fontId="26"/>
  </si>
  <si>
    <r>
      <rPr>
        <sz val="11"/>
        <rFont val="ＭＳ Ｐゴシック"/>
        <family val="3"/>
        <charset val="128"/>
      </rPr>
      <t>↓排出係数</t>
    </r>
    <rPh sb="1" eb="3">
      <t>ハイシュツ</t>
    </rPh>
    <rPh sb="3" eb="5">
      <t>ケイスウ</t>
    </rPh>
    <phoneticPr fontId="26"/>
  </si>
  <si>
    <r>
      <t>(t-CO</t>
    </r>
    <r>
      <rPr>
        <vertAlign val="subscript"/>
        <sz val="11"/>
        <rFont val="Arial"/>
        <family val="2"/>
      </rPr>
      <t>2</t>
    </r>
    <r>
      <rPr>
        <sz val="11"/>
        <rFont val="Arial"/>
        <family val="2"/>
      </rPr>
      <t>/kWh)</t>
    </r>
    <phoneticPr fontId="26"/>
  </si>
  <si>
    <r>
      <rPr>
        <sz val="11"/>
        <rFont val="ＭＳ Ｐゴシック"/>
        <family val="3"/>
        <charset val="128"/>
      </rPr>
      <t>調整後</t>
    </r>
    <rPh sb="0" eb="3">
      <t>チョウセイゴ</t>
    </rPh>
    <phoneticPr fontId="26"/>
  </si>
  <si>
    <r>
      <rPr>
        <sz val="11"/>
        <rFont val="Arial"/>
        <family val="3"/>
      </rPr>
      <t>t</t>
    </r>
    <r>
      <rPr>
        <sz val="11"/>
        <rFont val="Arial"/>
        <family val="2"/>
      </rPr>
      <t>-CO</t>
    </r>
    <r>
      <rPr>
        <vertAlign val="subscript"/>
        <sz val="11"/>
        <rFont val="Arial"/>
        <family val="2"/>
      </rPr>
      <t>2</t>
    </r>
    <r>
      <rPr>
        <sz val="11"/>
        <rFont val="Arial"/>
        <family val="2"/>
      </rPr>
      <t>/kWh</t>
    </r>
    <phoneticPr fontId="26"/>
  </si>
  <si>
    <r>
      <rPr>
        <sz val="10"/>
        <color theme="8" tint="-0.249977111117893"/>
        <rFont val="ＭＳ Ｐゴシック"/>
        <family val="3"/>
        <charset val="128"/>
      </rPr>
      <t>　　</t>
    </r>
    <r>
      <rPr>
        <sz val="10"/>
        <color theme="8" tint="-0.249977111117893"/>
        <rFont val="Arial"/>
        <family val="2"/>
      </rPr>
      <t>For cases other than those listed above, enter the PPS name and emission factor below.</t>
    </r>
    <phoneticPr fontId="26"/>
  </si>
  <si>
    <t>emission factor</t>
    <phoneticPr fontId="26"/>
  </si>
  <si>
    <t>Emission factor per PPS and alterative factor based on Ordinance on Calculations of GHG Emissions</t>
    <phoneticPr fontId="26"/>
  </si>
  <si>
    <r>
      <rPr>
        <sz val="11"/>
        <rFont val="ＭＳ Ｐゴシック"/>
        <family val="3"/>
        <charset val="128"/>
      </rPr>
      <t>＜</t>
    </r>
    <r>
      <rPr>
        <sz val="11"/>
        <rFont val="Arial"/>
        <family val="2"/>
      </rPr>
      <t>Ref.</t>
    </r>
    <r>
      <rPr>
        <sz val="11"/>
        <rFont val="ＭＳ Ｐゴシック"/>
        <family val="3"/>
        <charset val="128"/>
      </rPr>
      <t>＞</t>
    </r>
    <r>
      <rPr>
        <sz val="11"/>
        <rFont val="Arial"/>
        <family val="2"/>
      </rPr>
      <t>adjusted factors</t>
    </r>
    <phoneticPr fontId="26"/>
  </si>
  <si>
    <t>so they cannot be set here.</t>
    <phoneticPr fontId="26"/>
  </si>
  <si>
    <t xml:space="preserve">Note:  Purchases of green electricity are evaluated on individual calculation, </t>
    <phoneticPr fontId="26"/>
  </si>
  <si>
    <r>
      <rPr>
        <sz val="11"/>
        <rFont val="ＭＳ Ｐゴシック"/>
        <family val="3"/>
        <charset val="128"/>
      </rPr>
      <t>　</t>
    </r>
    <r>
      <rPr>
        <sz val="11"/>
        <rFont val="Arial"/>
        <family val="2"/>
      </rPr>
      <t>(2) Using emission factor based on the calculation method for GHG emissions as 
       referred to in the Act on Promotion of Global Warming Countermeasures:</t>
    </r>
    <phoneticPr fontId="26"/>
  </si>
  <si>
    <t>Alternative emission factor</t>
    <phoneticPr fontId="26"/>
  </si>
  <si>
    <t xml:space="preserve"> [2]</t>
    <phoneticPr fontId="26"/>
  </si>
  <si>
    <t>Basic emission factors (options are examples)</t>
    <phoneticPr fontId="26"/>
  </si>
  <si>
    <t xml:space="preserve"> [1]</t>
    <phoneticPr fontId="26"/>
  </si>
  <si>
    <t>Building Type</t>
    <phoneticPr fontId="26"/>
  </si>
  <si>
    <t>522 (outdoor corridor) /801 (indoor corridor)</t>
    <phoneticPr fontId="181"/>
  </si>
  <si>
    <r>
      <t>kg-CO</t>
    </r>
    <r>
      <rPr>
        <vertAlign val="subscript"/>
        <sz val="10"/>
        <rFont val="Arial"/>
        <family val="2"/>
      </rPr>
      <t>2eq</t>
    </r>
    <r>
      <rPr>
        <sz val="10"/>
        <rFont val="Arial"/>
        <family val="2"/>
      </rPr>
      <t>/yr-m</t>
    </r>
    <r>
      <rPr>
        <vertAlign val="superscript"/>
        <sz val="10"/>
        <rFont val="Arial"/>
        <family val="2"/>
      </rPr>
      <t>2</t>
    </r>
    <phoneticPr fontId="26"/>
  </si>
  <si>
    <r>
      <t xml:space="preserve">LR2/2.2 </t>
    </r>
    <r>
      <rPr>
        <sz val="10"/>
        <rFont val="ＭＳ Ｐゴシック"/>
        <family val="3"/>
        <charset val="128"/>
      </rPr>
      <t>削減分</t>
    </r>
    <rPh sb="8" eb="10">
      <t>サクゲン</t>
    </rPh>
    <rPh sb="10" eb="11">
      <t>ブン</t>
    </rPh>
    <phoneticPr fontId="26"/>
  </si>
  <si>
    <r>
      <t xml:space="preserve">LR2/2.3 </t>
    </r>
    <r>
      <rPr>
        <sz val="10"/>
        <rFont val="ＭＳ Ｐゴシック"/>
        <family val="3"/>
        <charset val="128"/>
      </rPr>
      <t>削減分</t>
    </r>
    <rPh sb="8" eb="10">
      <t>サクゲン</t>
    </rPh>
    <rPh sb="10" eb="11">
      <t>ブン</t>
    </rPh>
    <phoneticPr fontId="26"/>
  </si>
  <si>
    <r>
      <rPr>
        <sz val="10"/>
        <rFont val="ＭＳ Ｐゴシック"/>
        <family val="3"/>
        <charset val="128"/>
      </rPr>
      <t>合計</t>
    </r>
    <rPh sb="0" eb="2">
      <t>ゴウケイ</t>
    </rPh>
    <phoneticPr fontId="26"/>
  </si>
  <si>
    <r>
      <t xml:space="preserve">LR2/2.2 </t>
    </r>
    <r>
      <rPr>
        <sz val="10"/>
        <rFont val="ＭＳ Ｐゴシック"/>
        <family val="3"/>
        <charset val="128"/>
      </rPr>
      <t>既存建築躯体</t>
    </r>
    <rPh sb="8" eb="10">
      <t>キソン</t>
    </rPh>
    <rPh sb="10" eb="12">
      <t>ケンチク</t>
    </rPh>
    <rPh sb="12" eb="14">
      <t>クタイ</t>
    </rPh>
    <phoneticPr fontId="26"/>
  </si>
  <si>
    <r>
      <rPr>
        <sz val="10"/>
        <rFont val="ＭＳ Ｐゴシック"/>
        <family val="3"/>
        <charset val="128"/>
      </rPr>
      <t>削減後</t>
    </r>
    <rPh sb="0" eb="2">
      <t>サクゲン</t>
    </rPh>
    <rPh sb="2" eb="3">
      <t>ゴ</t>
    </rPh>
    <phoneticPr fontId="26"/>
  </si>
  <si>
    <r>
      <t>kg-CO</t>
    </r>
    <r>
      <rPr>
        <vertAlign val="subscript"/>
        <sz val="10"/>
        <rFont val="Arial"/>
        <family val="2"/>
      </rPr>
      <t>2eq</t>
    </r>
    <r>
      <rPr>
        <sz val="10"/>
        <rFont val="Arial"/>
        <family val="2"/>
      </rPr>
      <t>/kWh</t>
    </r>
    <phoneticPr fontId="26"/>
  </si>
  <si>
    <r>
      <rPr>
        <sz val="10"/>
        <rFont val="ＭＳ Ｐゴシック"/>
        <family val="3"/>
        <charset val="128"/>
      </rPr>
      <t>（</t>
    </r>
    <r>
      <rPr>
        <sz val="10"/>
        <rFont val="Arial"/>
        <family val="2"/>
      </rPr>
      <t>Adjusted emission factor</t>
    </r>
    <phoneticPr fontId="26"/>
  </si>
  <si>
    <r>
      <t>kg-CO</t>
    </r>
    <r>
      <rPr>
        <vertAlign val="subscript"/>
        <sz val="10"/>
        <rFont val="Arial"/>
        <family val="2"/>
      </rPr>
      <t>2eq</t>
    </r>
    <r>
      <rPr>
        <sz val="10"/>
        <rFont val="Arial"/>
        <family val="2"/>
      </rPr>
      <t>/kWh</t>
    </r>
    <r>
      <rPr>
        <sz val="10"/>
        <rFont val="ＭＳ Ｐゴシック"/>
        <family val="3"/>
        <charset val="128"/>
      </rPr>
      <t>）</t>
    </r>
    <phoneticPr fontId="26"/>
  </si>
  <si>
    <r>
      <t>kg-CO</t>
    </r>
    <r>
      <rPr>
        <vertAlign val="subscript"/>
        <sz val="10"/>
        <rFont val="Arial"/>
        <family val="2"/>
      </rPr>
      <t>2eq</t>
    </r>
    <r>
      <rPr>
        <sz val="10"/>
        <rFont val="Arial"/>
        <family val="2"/>
      </rPr>
      <t>/MJ</t>
    </r>
    <phoneticPr fontId="26"/>
  </si>
  <si>
    <r>
      <t xml:space="preserve"> MJ/kWh conversion </t>
    </r>
    <r>
      <rPr>
        <sz val="9"/>
        <rFont val="ＭＳ Ｐゴシック"/>
        <family val="3"/>
        <charset val="128"/>
      </rPr>
      <t>（</t>
    </r>
    <r>
      <rPr>
        <sz val="9"/>
        <rFont val="Arial"/>
        <family val="2"/>
      </rPr>
      <t>all day average in Notification No. 265 of MLIT, 2016)</t>
    </r>
    <phoneticPr fontId="31"/>
  </si>
  <si>
    <r>
      <t>(t-CO</t>
    </r>
    <r>
      <rPr>
        <vertAlign val="subscript"/>
        <sz val="10"/>
        <rFont val="Arial"/>
        <family val="2"/>
      </rPr>
      <t>2</t>
    </r>
    <r>
      <rPr>
        <sz val="10"/>
        <rFont val="Arial"/>
        <family val="2"/>
      </rPr>
      <t>/kWh)</t>
    </r>
    <phoneticPr fontId="26"/>
  </si>
  <si>
    <r>
      <rPr>
        <sz val="10"/>
        <rFont val="ＭＳ Ｐゴシック"/>
        <family val="3"/>
        <charset val="128"/>
      </rPr>
      <t>評価建物</t>
    </r>
    <rPh sb="0" eb="2">
      <t>ヒョウカ</t>
    </rPh>
    <rPh sb="2" eb="4">
      <t>タテモノ</t>
    </rPh>
    <phoneticPr fontId="26"/>
  </si>
  <si>
    <r>
      <rPr>
        <sz val="10"/>
        <color rgb="FFFF0000"/>
        <rFont val="ＭＳ Ｐゴシック"/>
        <family val="3"/>
        <charset val="128"/>
      </rPr>
      <t>→</t>
    </r>
    <r>
      <rPr>
        <sz val="10"/>
        <color rgb="FFFF0000"/>
        <rFont val="Arial"/>
        <family val="2"/>
      </rPr>
      <t>24</t>
    </r>
    <r>
      <rPr>
        <sz val="10"/>
        <color rgb="FFFF0000"/>
        <rFont val="ＭＳ Ｐゴシック"/>
        <family val="3"/>
        <charset val="128"/>
      </rPr>
      <t>年版見直し</t>
    </r>
    <rPh sb="3" eb="4">
      <t>ネン</t>
    </rPh>
    <rPh sb="4" eb="5">
      <t>バン</t>
    </rPh>
    <rPh sb="5" eb="7">
      <t>ミナオ</t>
    </rPh>
    <phoneticPr fontId="26"/>
  </si>
  <si>
    <r>
      <rPr>
        <sz val="11"/>
        <rFont val="ＭＳ Ｐゴシック"/>
        <family val="3"/>
        <charset val="128"/>
      </rPr>
      <t>基準一次エネルギー（その他含む）</t>
    </r>
    <r>
      <rPr>
        <sz val="11"/>
        <rFont val="Arial"/>
        <family val="2"/>
      </rPr>
      <t>MJ</t>
    </r>
    <rPh sb="0" eb="4">
      <t>キジュンイチジ</t>
    </rPh>
    <rPh sb="12" eb="13">
      <t>タ</t>
    </rPh>
    <rPh sb="13" eb="14">
      <t>フク</t>
    </rPh>
    <phoneticPr fontId="26"/>
  </si>
  <si>
    <r>
      <rPr>
        <sz val="11"/>
        <rFont val="ＭＳ Ｐゴシック"/>
        <family val="3"/>
        <charset val="128"/>
      </rPr>
      <t>※その他</t>
    </r>
    <rPh sb="3" eb="4">
      <t>タ</t>
    </rPh>
    <phoneticPr fontId="26"/>
  </si>
  <si>
    <r>
      <rPr>
        <sz val="11"/>
        <rFont val="ＭＳ Ｐゴシック"/>
        <family val="3"/>
        <charset val="128"/>
      </rPr>
      <t>※面積</t>
    </r>
    <rPh sb="1" eb="3">
      <t>メンセキ</t>
    </rPh>
    <phoneticPr fontId="26"/>
  </si>
  <si>
    <r>
      <rPr>
        <sz val="11"/>
        <rFont val="ＭＳ Ｐゴシック"/>
        <family val="3"/>
        <charset val="128"/>
      </rPr>
      <t>㎡</t>
    </r>
    <phoneticPr fontId="26"/>
  </si>
  <si>
    <r>
      <t>MJ/yr-m</t>
    </r>
    <r>
      <rPr>
        <vertAlign val="superscript"/>
        <sz val="10"/>
        <rFont val="Arial"/>
        <family val="2"/>
      </rPr>
      <t>2</t>
    </r>
    <phoneticPr fontId="26"/>
  </si>
  <si>
    <r>
      <rPr>
        <sz val="10"/>
        <rFont val="ＭＳ Ｐゴシック"/>
        <family val="3"/>
        <charset val="128"/>
      </rPr>
      <t>設備の方式</t>
    </r>
  </si>
  <si>
    <r>
      <rPr>
        <sz val="11"/>
        <rFont val="ＭＳ Ｐゴシック"/>
        <family val="3"/>
        <charset val="128"/>
      </rPr>
      <t>１地域</t>
    </r>
    <rPh sb="1" eb="3">
      <t>チイキ</t>
    </rPh>
    <phoneticPr fontId="26"/>
  </si>
  <si>
    <r>
      <rPr>
        <sz val="11"/>
        <rFont val="ＭＳ Ｐゴシック"/>
        <family val="3"/>
        <charset val="128"/>
      </rPr>
      <t>２地域</t>
    </r>
    <rPh sb="1" eb="3">
      <t>チイキ</t>
    </rPh>
    <phoneticPr fontId="26"/>
  </si>
  <si>
    <r>
      <rPr>
        <sz val="11"/>
        <rFont val="ＭＳ Ｐゴシック"/>
        <family val="3"/>
        <charset val="128"/>
      </rPr>
      <t>３地域</t>
    </r>
    <rPh sb="1" eb="3">
      <t>チイキ</t>
    </rPh>
    <phoneticPr fontId="26"/>
  </si>
  <si>
    <r>
      <rPr>
        <sz val="11"/>
        <rFont val="ＭＳ Ｐゴシック"/>
        <family val="3"/>
        <charset val="128"/>
      </rPr>
      <t>４地域</t>
    </r>
    <rPh sb="1" eb="3">
      <t>チイキ</t>
    </rPh>
    <phoneticPr fontId="26"/>
  </si>
  <si>
    <r>
      <rPr>
        <sz val="11"/>
        <rFont val="ＭＳ Ｐゴシック"/>
        <family val="3"/>
        <charset val="128"/>
      </rPr>
      <t>５地域</t>
    </r>
    <rPh sb="1" eb="3">
      <t>チイキ</t>
    </rPh>
    <phoneticPr fontId="26"/>
  </si>
  <si>
    <r>
      <rPr>
        <sz val="11"/>
        <rFont val="ＭＳ Ｐゴシック"/>
        <family val="3"/>
        <charset val="128"/>
      </rPr>
      <t>６地域</t>
    </r>
    <rPh sb="1" eb="3">
      <t>チイキ</t>
    </rPh>
    <phoneticPr fontId="26"/>
  </si>
  <si>
    <r>
      <rPr>
        <sz val="11"/>
        <rFont val="ＭＳ Ｐゴシック"/>
        <family val="3"/>
        <charset val="128"/>
      </rPr>
      <t>７地域</t>
    </r>
    <rPh sb="1" eb="3">
      <t>チイキ</t>
    </rPh>
    <phoneticPr fontId="26"/>
  </si>
  <si>
    <r>
      <rPr>
        <sz val="11"/>
        <rFont val="ＭＳ Ｐゴシック"/>
        <family val="3"/>
        <charset val="128"/>
      </rPr>
      <t>８地域</t>
    </r>
    <rPh sb="1" eb="3">
      <t>チイキ</t>
    </rPh>
    <phoneticPr fontId="26"/>
  </si>
  <si>
    <r>
      <rPr>
        <sz val="11"/>
        <rFont val="ＭＳ Ｐゴシック"/>
        <family val="3"/>
        <charset val="128"/>
      </rPr>
      <t>地域区分</t>
    </r>
    <rPh sb="0" eb="4">
      <t>チイキクブン</t>
    </rPh>
    <phoneticPr fontId="26"/>
  </si>
  <si>
    <r>
      <rPr>
        <sz val="10"/>
        <rFont val="ＭＳ Ｐゴシック"/>
        <family val="3"/>
        <charset val="128"/>
      </rPr>
      <t>暖房</t>
    </r>
  </si>
  <si>
    <r>
      <rPr>
        <sz val="10"/>
        <rFont val="ＭＳ Ｐゴシック"/>
        <family val="3"/>
        <charset val="128"/>
      </rPr>
      <t>冷房</t>
    </r>
  </si>
  <si>
    <r>
      <rPr>
        <sz val="11"/>
        <rFont val="ＭＳ Ｐゴシック"/>
        <family val="3"/>
        <charset val="128"/>
      </rPr>
      <t>評価建物</t>
    </r>
    <rPh sb="0" eb="2">
      <t>ヒョウカ</t>
    </rPh>
    <rPh sb="2" eb="4">
      <t>タテモノ</t>
    </rPh>
    <phoneticPr fontId="26"/>
  </si>
  <si>
    <r>
      <rPr>
        <sz val="10"/>
        <rFont val="ＭＳ Ｐゴシック"/>
        <family val="3"/>
        <charset val="128"/>
      </rPr>
      <t>Ａ</t>
    </r>
  </si>
  <si>
    <r>
      <rPr>
        <sz val="10"/>
        <rFont val="ＭＳ Ｐゴシック"/>
        <family val="3"/>
        <charset val="128"/>
      </rPr>
      <t>ａ</t>
    </r>
  </si>
  <si>
    <r>
      <rPr>
        <sz val="11"/>
        <rFont val="ＭＳ Ｐゴシック"/>
        <family val="3"/>
        <charset val="128"/>
      </rPr>
      <t>参照値</t>
    </r>
    <rPh sb="0" eb="3">
      <t>サンショウチ</t>
    </rPh>
    <phoneticPr fontId="26"/>
  </si>
  <si>
    <r>
      <rPr>
        <sz val="11"/>
        <rFont val="ＭＳ Ｐゴシック"/>
        <family val="3"/>
        <charset val="128"/>
      </rPr>
      <t>方式（参照値）</t>
    </r>
    <rPh sb="0" eb="2">
      <t>ホウシキ</t>
    </rPh>
    <rPh sb="3" eb="6">
      <t>サンショウチ</t>
    </rPh>
    <phoneticPr fontId="26"/>
  </si>
  <si>
    <r>
      <rPr>
        <sz val="10"/>
        <rFont val="ＭＳ Ｐゴシック"/>
        <family val="3"/>
        <charset val="128"/>
      </rPr>
      <t>住戸全体</t>
    </r>
    <rPh sb="0" eb="4">
      <t>ジュウコゼンタイ</t>
    </rPh>
    <phoneticPr fontId="26"/>
  </si>
  <si>
    <r>
      <rPr>
        <sz val="10"/>
        <rFont val="ＭＳ Ｐゴシック"/>
        <family val="3"/>
        <charset val="128"/>
      </rPr>
      <t>ダクトセントラル</t>
    </r>
    <phoneticPr fontId="26"/>
  </si>
  <si>
    <r>
      <rPr>
        <sz val="10"/>
        <color rgb="FFFF0000"/>
        <rFont val="ＭＳ Ｐゴシック"/>
        <family val="3"/>
        <charset val="128"/>
      </rPr>
      <t>参照値（レベル３）</t>
    </r>
    <rPh sb="0" eb="2">
      <t>サンショウ</t>
    </rPh>
    <rPh sb="2" eb="3">
      <t>チ</t>
    </rPh>
    <phoneticPr fontId="26"/>
  </si>
  <si>
    <r>
      <rPr>
        <sz val="11"/>
        <rFont val="ＭＳ Ｐゴシック"/>
        <family val="3"/>
        <charset val="128"/>
      </rPr>
      <t>←</t>
    </r>
    <r>
      <rPr>
        <sz val="11"/>
        <rFont val="Arial"/>
        <family val="2"/>
      </rPr>
      <t>2024</t>
    </r>
    <r>
      <rPr>
        <sz val="11"/>
        <rFont val="ＭＳ Ｐゴシック"/>
        <family val="3"/>
        <charset val="128"/>
      </rPr>
      <t>年版＝</t>
    </r>
    <r>
      <rPr>
        <sz val="11"/>
        <rFont val="Arial"/>
        <family val="2"/>
      </rPr>
      <t>1.0</t>
    </r>
    <r>
      <rPr>
        <sz val="11"/>
        <rFont val="ＭＳ Ｐゴシック"/>
        <family val="3"/>
        <charset val="128"/>
      </rPr>
      <t>（レベル２）</t>
    </r>
    <r>
      <rPr>
        <sz val="11"/>
        <rFont val="Arial"/>
        <family val="2"/>
      </rPr>
      <t xml:space="preserve"> </t>
    </r>
    <r>
      <rPr>
        <sz val="11"/>
        <rFont val="ＭＳ Ｐゴシック"/>
        <family val="3"/>
        <charset val="128"/>
      </rPr>
      <t>戸建は</t>
    </r>
    <r>
      <rPr>
        <sz val="11"/>
        <rFont val="Arial"/>
        <family val="2"/>
      </rPr>
      <t>0.9</t>
    </r>
    <r>
      <rPr>
        <sz val="11"/>
        <rFont val="ＭＳ Ｐゴシック"/>
        <family val="3"/>
        <charset val="128"/>
      </rPr>
      <t>（レベル３）</t>
    </r>
    <rPh sb="5" eb="7">
      <t>ネンバン</t>
    </rPh>
    <rPh sb="18" eb="20">
      <t>コダ</t>
    </rPh>
    <phoneticPr fontId="26"/>
  </si>
  <si>
    <r>
      <rPr>
        <sz val="10"/>
        <rFont val="ＭＳ Ｐゴシック"/>
        <family val="3"/>
        <charset val="128"/>
      </rPr>
      <t>ｂ</t>
    </r>
  </si>
  <si>
    <r>
      <rPr>
        <sz val="10"/>
        <rFont val="ＭＳ Ｐゴシック"/>
        <family val="3"/>
        <charset val="128"/>
      </rPr>
      <t>レベル１</t>
    </r>
  </si>
  <si>
    <r>
      <rPr>
        <sz val="10"/>
        <color theme="4"/>
        <rFont val="ＭＳ Ｐゴシック"/>
        <family val="3"/>
        <charset val="128"/>
      </rPr>
      <t>レベル２</t>
    </r>
    <phoneticPr fontId="26"/>
  </si>
  <si>
    <r>
      <rPr>
        <sz val="10"/>
        <rFont val="ＭＳ Ｐゴシック"/>
        <family val="3"/>
        <charset val="128"/>
      </rPr>
      <t>居室間歇</t>
    </r>
    <rPh sb="0" eb="2">
      <t>キョシツ</t>
    </rPh>
    <rPh sb="2" eb="4">
      <t>カンケツ</t>
    </rPh>
    <phoneticPr fontId="26"/>
  </si>
  <si>
    <r>
      <rPr>
        <sz val="10"/>
        <color theme="4"/>
        <rFont val="ＭＳ Ｐゴシック"/>
        <family val="3"/>
        <charset val="128"/>
      </rPr>
      <t>レベル４</t>
    </r>
    <phoneticPr fontId="26"/>
  </si>
  <si>
    <r>
      <rPr>
        <sz val="10"/>
        <rFont val="ＭＳ Ｐゴシック"/>
        <family val="3"/>
        <charset val="128"/>
      </rPr>
      <t>ルームエアコン</t>
    </r>
    <phoneticPr fontId="26"/>
  </si>
  <si>
    <r>
      <rPr>
        <sz val="10"/>
        <rFont val="ＭＳ Ｐゴシック"/>
        <family val="3"/>
        <charset val="128"/>
      </rPr>
      <t>Ｂ</t>
    </r>
  </si>
  <si>
    <r>
      <rPr>
        <sz val="10"/>
        <rFont val="ＭＳ Ｐゴシック"/>
        <family val="3"/>
        <charset val="128"/>
      </rPr>
      <t>居室連続</t>
    </r>
    <rPh sb="0" eb="4">
      <t>キョシツレンゾク</t>
    </rPh>
    <phoneticPr fontId="26"/>
  </si>
  <si>
    <r>
      <rPr>
        <sz val="10"/>
        <rFont val="ＭＳ Ｐゴシック"/>
        <family val="3"/>
        <charset val="128"/>
      </rPr>
      <t>パネルラジエーター</t>
    </r>
    <phoneticPr fontId="26"/>
  </si>
  <si>
    <r>
      <rPr>
        <sz val="10"/>
        <rFont val="ＭＳ Ｐゴシック"/>
        <family val="3"/>
        <charset val="128"/>
      </rPr>
      <t>Ｃ</t>
    </r>
  </si>
  <si>
    <r>
      <rPr>
        <sz val="11"/>
        <rFont val="ＭＳ Ｐゴシック"/>
        <family val="3"/>
        <charset val="128"/>
      </rPr>
      <t>暖房</t>
    </r>
    <rPh sb="0" eb="2">
      <t>ダンボウ</t>
    </rPh>
    <phoneticPr fontId="26"/>
  </si>
  <si>
    <r>
      <rPr>
        <sz val="11"/>
        <rFont val="ＭＳ Ｐゴシック"/>
        <family val="3"/>
        <charset val="128"/>
      </rPr>
      <t>冷房</t>
    </r>
    <rPh sb="0" eb="2">
      <t>レイボウ</t>
    </rPh>
    <phoneticPr fontId="26"/>
  </si>
  <si>
    <r>
      <rPr>
        <sz val="11"/>
        <rFont val="ＭＳ Ｐゴシック"/>
        <family val="3"/>
        <charset val="128"/>
      </rPr>
      <t>レベル</t>
    </r>
    <phoneticPr fontId="26"/>
  </si>
  <si>
    <r>
      <rPr>
        <sz val="9"/>
        <rFont val="ＭＳ Ｐゴシック"/>
        <family val="3"/>
        <charset val="128"/>
      </rPr>
      <t>←評価建物</t>
    </r>
    <rPh sb="1" eb="3">
      <t>ヒョウカ</t>
    </rPh>
    <rPh sb="3" eb="5">
      <t>タテモノ</t>
    </rPh>
    <phoneticPr fontId="26"/>
  </si>
  <si>
    <r>
      <rPr>
        <sz val="10"/>
        <rFont val="ＭＳ Ｐゴシック"/>
        <family val="3"/>
        <charset val="128"/>
      </rPr>
      <t>←参照値</t>
    </r>
    <rPh sb="1" eb="4">
      <t>サンショウチ</t>
    </rPh>
    <phoneticPr fontId="26"/>
  </si>
  <si>
    <r>
      <rPr>
        <sz val="11"/>
        <rFont val="ＭＳ Ｐゴシック"/>
        <family val="3"/>
        <charset val="128"/>
      </rPr>
      <t>②事務所</t>
    </r>
  </si>
  <si>
    <r>
      <rPr>
        <sz val="11"/>
        <rFont val="ＭＳ Ｐゴシック"/>
        <family val="3"/>
        <charset val="128"/>
      </rPr>
      <t>用途</t>
    </r>
  </si>
  <si>
    <r>
      <rPr>
        <sz val="10"/>
        <rFont val="ＭＳ Ｐゴシック"/>
        <family val="3"/>
        <charset val="128"/>
      </rPr>
      <t>構造</t>
    </r>
  </si>
  <si>
    <r>
      <rPr>
        <sz val="11"/>
        <rFont val="ＭＳ Ｐゴシック"/>
        <family val="3"/>
        <charset val="128"/>
      </rPr>
      <t>コンクリート（</t>
    </r>
    <r>
      <rPr>
        <sz val="11"/>
        <rFont val="Arial"/>
        <family val="2"/>
      </rPr>
      <t>m3/m2</t>
    </r>
    <r>
      <rPr>
        <sz val="11"/>
        <rFont val="ＭＳ Ｐゴシック"/>
        <family val="3"/>
        <charset val="128"/>
      </rPr>
      <t>）</t>
    </r>
  </si>
  <si>
    <r>
      <rPr>
        <sz val="11"/>
        <rFont val="ＭＳ Ｐゴシック"/>
        <family val="3"/>
        <charset val="128"/>
      </rPr>
      <t>型枠</t>
    </r>
    <r>
      <rPr>
        <sz val="11"/>
        <rFont val="Arial"/>
        <family val="2"/>
      </rPr>
      <t>*</t>
    </r>
  </si>
  <si>
    <r>
      <rPr>
        <sz val="10"/>
        <rFont val="ＭＳ Ｐゴシック"/>
        <family val="3"/>
        <charset val="128"/>
      </rPr>
      <t>鉄筋</t>
    </r>
  </si>
  <si>
    <r>
      <rPr>
        <sz val="10"/>
        <rFont val="ＭＳ Ｐゴシック"/>
        <family val="3"/>
        <charset val="128"/>
      </rPr>
      <t>鉄骨</t>
    </r>
  </si>
  <si>
    <r>
      <rPr>
        <sz val="10"/>
        <rFont val="ＭＳ Ｐゴシック"/>
        <family val="3"/>
        <charset val="128"/>
      </rPr>
      <t>デッキプレート</t>
    </r>
    <r>
      <rPr>
        <sz val="10"/>
        <rFont val="Arial"/>
        <family val="2"/>
      </rPr>
      <t>**</t>
    </r>
  </si>
  <si>
    <r>
      <rPr>
        <sz val="11"/>
        <rFont val="ＭＳ Ｐゴシック"/>
        <family val="3"/>
        <charset val="128"/>
      </rPr>
      <t>①集合住宅</t>
    </r>
  </si>
  <si>
    <r>
      <rPr>
        <sz val="11"/>
        <rFont val="ＭＳ Ｐゴシック"/>
        <family val="3"/>
        <charset val="128"/>
      </rPr>
      <t>③小・中・高校</t>
    </r>
  </si>
  <si>
    <r>
      <rPr>
        <sz val="11"/>
        <rFont val="ＭＳ Ｐゴシック"/>
        <family val="3"/>
        <charset val="128"/>
      </rPr>
      <t>⑥飲食・店舗</t>
    </r>
  </si>
  <si>
    <r>
      <rPr>
        <sz val="11"/>
        <rFont val="ＭＳ Ｐゴシック"/>
        <family val="3"/>
        <charset val="128"/>
      </rPr>
      <t>④医療</t>
    </r>
  </si>
  <si>
    <r>
      <rPr>
        <sz val="11"/>
        <rFont val="ＭＳ Ｐゴシック"/>
        <family val="3"/>
        <charset val="128"/>
      </rPr>
      <t>・福祉施設</t>
    </r>
  </si>
  <si>
    <r>
      <rPr>
        <sz val="11"/>
        <rFont val="ＭＳ Ｐゴシック"/>
        <family val="3"/>
        <charset val="128"/>
      </rPr>
      <t>・量販店</t>
    </r>
  </si>
  <si>
    <r>
      <rPr>
        <sz val="11"/>
        <rFont val="ＭＳ Ｐゴシック"/>
        <family val="3"/>
        <charset val="128"/>
      </rPr>
      <t>⑦ホテル・旅館</t>
    </r>
  </si>
  <si>
    <r>
      <rPr>
        <sz val="11"/>
        <rFont val="ＭＳ Ｐゴシック"/>
        <family val="3"/>
        <charset val="128"/>
      </rPr>
      <t>⑧体育館・講堂・</t>
    </r>
  </si>
  <si>
    <r>
      <rPr>
        <sz val="11"/>
        <rFont val="ＭＳ Ｐゴシック"/>
        <family val="3"/>
        <charset val="128"/>
      </rPr>
      <t>集会施設</t>
    </r>
  </si>
  <si>
    <r>
      <rPr>
        <sz val="11"/>
        <rFont val="ＭＳ Ｐゴシック"/>
        <family val="3"/>
        <charset val="128"/>
      </rPr>
      <t>⑨倉庫</t>
    </r>
  </si>
  <si>
    <r>
      <rPr>
        <sz val="11"/>
        <rFont val="ＭＳ Ｐゴシック"/>
        <family val="3"/>
        <charset val="128"/>
      </rPr>
      <t>・流通施設</t>
    </r>
  </si>
  <si>
    <r>
      <rPr>
        <sz val="11"/>
        <rFont val="Wingdings"/>
        <charset val="2"/>
      </rPr>
      <t>n</t>
    </r>
    <r>
      <rPr>
        <sz val="11"/>
        <rFont val="ＭＳ Ｐゴシック"/>
        <family val="3"/>
        <charset val="128"/>
      </rPr>
      <t xml:space="preserve"> </t>
    </r>
    <r>
      <rPr>
        <sz val="11"/>
        <rFont val="Arial"/>
        <family val="2"/>
      </rPr>
      <t>Building Name</t>
    </r>
    <phoneticPr fontId="26"/>
  </si>
  <si>
    <r>
      <rPr>
        <b/>
        <sz val="12"/>
        <rFont val="Wingdings"/>
        <charset val="2"/>
      </rPr>
      <t>n</t>
    </r>
    <r>
      <rPr>
        <b/>
        <sz val="12"/>
        <rFont val="Arial"/>
        <family val="2"/>
      </rPr>
      <t xml:space="preserve"> WLC Calculation Conditions Sheet (Standard Calc)</t>
    </r>
    <phoneticPr fontId="26"/>
  </si>
  <si>
    <r>
      <rPr>
        <b/>
        <sz val="12"/>
        <rFont val="Wingdings"/>
        <charset val="2"/>
      </rPr>
      <t>n</t>
    </r>
    <r>
      <rPr>
        <b/>
        <sz val="12"/>
        <rFont val="Arial"/>
        <family val="2"/>
      </rPr>
      <t xml:space="preserve"> WLC Calculation Conditions Sheet (Individual Calc)</t>
    </r>
    <phoneticPr fontId="26"/>
  </si>
  <si>
    <t>Items</t>
    <phoneticPr fontId="26"/>
  </si>
  <si>
    <t>Note</t>
  </si>
  <si>
    <t>Building 
Overview</t>
    <phoneticPr fontId="26"/>
  </si>
  <si>
    <t>Gross floor area</t>
  </si>
  <si>
    <t>Life Cycle</t>
    <phoneticPr fontId="26"/>
  </si>
  <si>
    <t>Estimated service life</t>
  </si>
  <si>
    <t>GHG emissions</t>
  </si>
  <si>
    <t>GHG emissions</t>
    <phoneticPr fontId="26"/>
  </si>
  <si>
    <t>(Included GHG by installation of renewables)</t>
    <phoneticPr fontId="26"/>
  </si>
  <si>
    <t>Embodied carbon calculation method</t>
    <phoneticPr fontId="26"/>
  </si>
  <si>
    <t>Boundary</t>
  </si>
  <si>
    <t>GHG emission intensities of Representative Materials</t>
    <phoneticPr fontId="26"/>
  </si>
  <si>
    <t xml:space="preserve">Reference for GHG emission intensity </t>
    <phoneticPr fontId="26"/>
  </si>
  <si>
    <t>Reinforcing bars</t>
  </si>
  <si>
    <t>Formwork</t>
  </si>
  <si>
    <t>Deck plate</t>
  </si>
  <si>
    <t>Steel frame</t>
    <phoneticPr fontId="26"/>
  </si>
  <si>
    <t>Steel frame (blast furnace)</t>
    <phoneticPr fontId="26"/>
  </si>
  <si>
    <t>Main recycled materials and usage</t>
    <phoneticPr fontId="26"/>
  </si>
  <si>
    <t>Electric furnace steel (reinforcement)</t>
  </si>
  <si>
    <t>Electric furnace steel (steel materials)</t>
  </si>
  <si>
    <t>Upgrade period (year)</t>
    <phoneticPr fontId="26"/>
  </si>
  <si>
    <t xml:space="preserve"> Average repair rate (%/year)</t>
    <phoneticPr fontId="26"/>
  </si>
  <si>
    <t>Calc method for
demolition-related GH</t>
    <phoneticPr fontId="26"/>
  </si>
  <si>
    <t xml:space="preserve">Assuming road transport distance of 30 km for demolition materials </t>
    <phoneticPr fontId="26"/>
  </si>
  <si>
    <t>[1] Reference value/
[2] Building-related initiatives</t>
    <phoneticPr fontId="26"/>
  </si>
  <si>
    <t>[3] Above + other on-site initiatives</t>
    <phoneticPr fontId="26"/>
  </si>
  <si>
    <t>[4] Above + other off-site measures</t>
    <phoneticPr fontId="26"/>
  </si>
  <si>
    <t>(a) Carbon offsetting with renewable energy certificates</t>
  </si>
  <si>
    <t>(b) Carbon offsetting with green heat certificate</t>
  </si>
  <si>
    <t>(c) Other carbon credit</t>
  </si>
  <si>
    <t>Calculation method for energy consumption</t>
  </si>
  <si>
    <t>Average primary energy consumptions based on statistical value</t>
  </si>
  <si>
    <t>Estimated based on energy 
conservation achieved with LR1-related measures</t>
    <phoneticPr fontId="26"/>
  </si>
  <si>
    <t>Primary energy consumption</t>
    <phoneticPr fontId="26"/>
  </si>
  <si>
    <t>Primary energy
Non-residential buildings</t>
    <phoneticPr fontId="26"/>
  </si>
  <si>
    <t>Electricity</t>
  </si>
  <si>
    <t>Gas</t>
  </si>
  <si>
    <t>Potable water</t>
    <phoneticPr fontId="26"/>
  </si>
  <si>
    <t>See reference building</t>
  </si>
  <si>
    <t>Reduced GHG by PV</t>
    <phoneticPr fontId="26"/>
  </si>
  <si>
    <t>Other renewable energy</t>
    <phoneticPr fontId="26"/>
  </si>
  <si>
    <r>
      <t>kg-CO</t>
    </r>
    <r>
      <rPr>
        <vertAlign val="subscript"/>
        <sz val="10"/>
        <rFont val="Arial"/>
        <family val="2"/>
      </rPr>
      <t>2eq</t>
    </r>
    <r>
      <rPr>
        <sz val="10"/>
        <rFont val="Arial"/>
        <family val="2"/>
      </rPr>
      <t>/yr-</t>
    </r>
    <r>
      <rPr>
        <sz val="10"/>
        <rFont val="ＭＳ Ｐゴシック"/>
        <family val="3"/>
        <charset val="128"/>
      </rPr>
      <t>㎡</t>
    </r>
    <phoneticPr fontId="26"/>
  </si>
  <si>
    <t>GJ/yr</t>
  </si>
  <si>
    <t>GJ/yr</t>
    <phoneticPr fontId="26"/>
  </si>
  <si>
    <t>Out of scope</t>
    <phoneticPr fontId="26"/>
  </si>
  <si>
    <t>"XX" is introduced as off-site measures</t>
    <phoneticPr fontId="26"/>
  </si>
  <si>
    <t>AIJ-LCA intensity database by analytical data of the 2015 Industrial Input-Output Table</t>
    <phoneticPr fontId="26"/>
  </si>
  <si>
    <t>Estimated by subtracting GHG reduction due to recycled material use from GHG of reference building.</t>
    <phoneticPr fontId="26"/>
  </si>
  <si>
    <t>The standard calculation methods of “J-CAT®” by IBECs</t>
    <phoneticPr fontId="26"/>
  </si>
  <si>
    <t>National and  international final consumption.</t>
    <phoneticPr fontId="26"/>
  </si>
  <si>
    <t>Demolition</t>
    <phoneticPr fontId="26"/>
  </si>
  <si>
    <t>Stage</t>
    <phoneticPr fontId="26"/>
  </si>
  <si>
    <t>Operation</t>
    <phoneticPr fontId="26"/>
  </si>
  <si>
    <t>stage</t>
    <phoneticPr fontId="26"/>
  </si>
  <si>
    <t>Primary energy
Residential buildings  (Dwelling areas)</t>
    <phoneticPr fontId="26"/>
  </si>
  <si>
    <r>
      <rPr>
        <sz val="10"/>
        <rFont val="ＭＳ Ｐゴシック"/>
        <family val="3"/>
        <charset val="128"/>
      </rPr>
      <t>－</t>
    </r>
    <phoneticPr fontId="26"/>
  </si>
  <si>
    <r>
      <rPr>
        <sz val="10"/>
        <rFont val="ＭＳ Ｐゴシック"/>
        <family val="3"/>
        <charset val="128"/>
      </rPr>
      <t>□　□</t>
    </r>
    <phoneticPr fontId="26"/>
  </si>
  <si>
    <r>
      <rPr>
        <sz val="10"/>
        <rFont val="ＭＳ Ｐゴシック"/>
        <family val="3"/>
        <charset val="128"/>
      </rPr>
      <t>〃</t>
    </r>
  </si>
  <si>
    <r>
      <rPr>
        <sz val="10"/>
        <rFont val="ＭＳ Ｐゴシック"/>
        <family val="3"/>
        <charset val="128"/>
      </rPr>
      <t>棒グラフ</t>
    </r>
    <rPh sb="0" eb="1">
      <t>ボウ</t>
    </rPh>
    <phoneticPr fontId="26"/>
  </si>
  <si>
    <r>
      <rPr>
        <sz val="10"/>
        <rFont val="ＭＳ Ｐゴシック"/>
        <family val="3"/>
        <charset val="128"/>
      </rPr>
      <t>③</t>
    </r>
    <phoneticPr fontId="26"/>
  </si>
  <si>
    <r>
      <rPr>
        <sz val="10"/>
        <rFont val="ＭＳ Ｐゴシック"/>
        <family val="3"/>
        <charset val="128"/>
      </rPr>
      <t>④</t>
    </r>
    <phoneticPr fontId="26"/>
  </si>
  <si>
    <r>
      <t>kg-CO</t>
    </r>
    <r>
      <rPr>
        <vertAlign val="subscript"/>
        <sz val="10"/>
        <rFont val="Arial"/>
        <family val="2"/>
      </rPr>
      <t>2eq</t>
    </r>
    <r>
      <rPr>
        <sz val="10"/>
        <rFont val="Arial"/>
        <family val="2"/>
      </rPr>
      <t>/m</t>
    </r>
    <r>
      <rPr>
        <vertAlign val="superscript"/>
        <sz val="10"/>
        <rFont val="Arial"/>
        <family val="2"/>
      </rPr>
      <t>3</t>
    </r>
    <phoneticPr fontId="26"/>
  </si>
  <si>
    <r>
      <t>kg-CO</t>
    </r>
    <r>
      <rPr>
        <vertAlign val="subscript"/>
        <sz val="10"/>
        <rFont val="Arial"/>
        <family val="2"/>
      </rPr>
      <t>2eq</t>
    </r>
    <r>
      <rPr>
        <sz val="10"/>
        <rFont val="Arial"/>
        <family val="2"/>
      </rPr>
      <t>/kg</t>
    </r>
    <phoneticPr fontId="26"/>
  </si>
  <si>
    <r>
      <t>kg-CO</t>
    </r>
    <r>
      <rPr>
        <vertAlign val="subscript"/>
        <sz val="10"/>
        <rFont val="Arial"/>
        <family val="2"/>
      </rPr>
      <t>2eq</t>
    </r>
    <r>
      <rPr>
        <sz val="10"/>
        <rFont val="Arial"/>
        <family val="2"/>
      </rPr>
      <t>/</t>
    </r>
    <r>
      <rPr>
        <sz val="10"/>
        <rFont val="ＭＳ Ｐゴシック"/>
        <family val="3"/>
        <charset val="128"/>
      </rPr>
      <t>㎡</t>
    </r>
    <phoneticPr fontId="26"/>
  </si>
  <si>
    <r>
      <t>kg-CO</t>
    </r>
    <r>
      <rPr>
        <vertAlign val="subscript"/>
        <sz val="10"/>
        <rFont val="Arial"/>
        <family val="2"/>
      </rPr>
      <t>2eq</t>
    </r>
    <r>
      <rPr>
        <sz val="10"/>
        <rFont val="Arial"/>
        <family val="2"/>
      </rPr>
      <t>/</t>
    </r>
    <r>
      <rPr>
        <sz val="10"/>
        <rFont val="ＭＳ Ｐゴシック"/>
        <family val="3"/>
        <charset val="128"/>
      </rPr>
      <t>年㎡</t>
    </r>
    <rPh sb="9" eb="10">
      <t>ネン</t>
    </rPh>
    <phoneticPr fontId="26"/>
  </si>
  <si>
    <r>
      <t>Other fuels
(</t>
    </r>
    <r>
      <rPr>
        <sz val="10"/>
        <rFont val="ＭＳ Ｐゴシック"/>
        <family val="3"/>
        <charset val="128"/>
      </rPr>
      <t>　　　</t>
    </r>
    <r>
      <rPr>
        <sz val="10"/>
        <rFont val="Arial"/>
        <family val="2"/>
      </rPr>
      <t>)</t>
    </r>
    <phoneticPr fontId="26"/>
  </si>
  <si>
    <t>Con-struction
Stage</t>
    <phoneticPr fontId="26"/>
  </si>
  <si>
    <t>&lt;Ref.&gt; Values available for individual calculation</t>
    <phoneticPr fontId="26"/>
  </si>
  <si>
    <t>Solar-generated power</t>
    <phoneticPr fontId="26"/>
  </si>
  <si>
    <t>In-house consumption</t>
    <phoneticPr fontId="26"/>
  </si>
  <si>
    <t>Excess power sold</t>
    <phoneticPr fontId="26"/>
  </si>
  <si>
    <t>(Breakdown) In-house consumption</t>
    <phoneticPr fontId="26"/>
  </si>
  <si>
    <t>Excess power sold</t>
  </si>
  <si>
    <t>In-house consumption</t>
  </si>
  <si>
    <t>Basic emission factor</t>
    <phoneticPr fontId="26"/>
  </si>
  <si>
    <t>Entire building</t>
    <phoneticPr fontId="26"/>
  </si>
  <si>
    <t xml:space="preserve">Difference over </t>
    <phoneticPr fontId="26"/>
  </si>
  <si>
    <t>basic emission</t>
    <phoneticPr fontId="26"/>
  </si>
  <si>
    <t>Emission factors</t>
    <phoneticPr fontId="26"/>
  </si>
  <si>
    <t>Per gross floor area [2]</t>
    <phoneticPr fontId="26"/>
  </si>
  <si>
    <t>Total [1]</t>
    <phoneticPr fontId="26"/>
  </si>
  <si>
    <t>kWh/yr</t>
    <phoneticPr fontId="26"/>
  </si>
  <si>
    <t xml:space="preserve">Reduction </t>
    <phoneticPr fontId="26"/>
  </si>
  <si>
    <t>in GHG emission</t>
    <phoneticPr fontId="26"/>
  </si>
  <si>
    <t>Difference between basic emissions and emission using adjusted emission factor</t>
    <phoneticPr fontId="26"/>
  </si>
  <si>
    <r>
      <rPr>
        <sz val="10"/>
        <rFont val="ＭＳ Ｐゴシック"/>
        <family val="3"/>
        <charset val="128"/>
      </rPr>
      <t>○○　</t>
    </r>
  </si>
  <si>
    <r>
      <rPr>
        <sz val="10"/>
        <rFont val="ＭＳ Ｐゴシック"/>
        <family val="3"/>
        <charset val="128"/>
      </rPr>
      <t>○○　</t>
    </r>
    <phoneticPr fontId="26"/>
  </si>
  <si>
    <r>
      <rPr>
        <sz val="10"/>
        <rFont val="ＭＳ Ｐゴシック"/>
        <family val="3"/>
        <charset val="128"/>
      </rPr>
      <t>〇〇</t>
    </r>
    <phoneticPr fontId="26"/>
  </si>
  <si>
    <r>
      <rPr>
        <sz val="10"/>
        <rFont val="ＭＳ Ｐゴシック"/>
        <family val="3"/>
        <charset val="128"/>
      </rPr>
      <t>○○</t>
    </r>
  </si>
  <si>
    <r>
      <rPr>
        <sz val="10"/>
        <rFont val="ＭＳ Ｐゴシック"/>
        <family val="3"/>
        <charset val="128"/>
      </rPr>
      <t>〇〇</t>
    </r>
  </si>
  <si>
    <r>
      <t>GJ/</t>
    </r>
    <r>
      <rPr>
        <sz val="10"/>
        <rFont val="ＭＳ Ｐゴシック"/>
        <family val="3"/>
        <charset val="128"/>
      </rPr>
      <t>年</t>
    </r>
    <rPh sb="3" eb="4">
      <t>ネン</t>
    </rPh>
    <phoneticPr fontId="26"/>
  </si>
  <si>
    <r>
      <rPr>
        <sz val="10"/>
        <rFont val="ＭＳ Ｐゴシック"/>
        <family val="3"/>
        <charset val="128"/>
      </rPr>
      <t>算定に用いた排出係数</t>
    </r>
    <rPh sb="0" eb="2">
      <t>サンテイ</t>
    </rPh>
    <rPh sb="3" eb="4">
      <t>モチ</t>
    </rPh>
    <rPh sb="6" eb="8">
      <t>ハイシュツ</t>
    </rPh>
    <rPh sb="8" eb="10">
      <t>ケイスウ</t>
    </rPh>
    <phoneticPr fontId="26"/>
  </si>
  <si>
    <r>
      <rPr>
        <sz val="10"/>
        <rFont val="ＭＳ Ｐゴシック"/>
        <family val="3"/>
        <charset val="128"/>
      </rPr>
      <t>自家消費分</t>
    </r>
    <phoneticPr fontId="26"/>
  </si>
  <si>
    <r>
      <rPr>
        <sz val="10"/>
        <rFont val="ＭＳ Ｐゴシック"/>
        <family val="3"/>
        <charset val="128"/>
      </rPr>
      <t>余剰売電分</t>
    </r>
    <phoneticPr fontId="26"/>
  </si>
  <si>
    <r>
      <rPr>
        <sz val="10"/>
        <rFont val="ＭＳ Ｐゴシック"/>
        <family val="3"/>
        <charset val="128"/>
      </rPr>
      <t>備考</t>
    </r>
    <rPh sb="0" eb="2">
      <t>ビコウ</t>
    </rPh>
    <phoneticPr fontId="26"/>
  </si>
  <si>
    <r>
      <rPr>
        <sz val="10"/>
        <rFont val="ＭＳ Ｐゴシック"/>
        <family val="3"/>
        <charset val="128"/>
      </rPr>
      <t>基礎排出係数の場合</t>
    </r>
    <rPh sb="0" eb="2">
      <t>キソ</t>
    </rPh>
    <rPh sb="2" eb="4">
      <t>ハイシュツ</t>
    </rPh>
    <rPh sb="4" eb="6">
      <t>ケイスウ</t>
    </rPh>
    <rPh sb="7" eb="9">
      <t>バアイ</t>
    </rPh>
    <phoneticPr fontId="26"/>
  </si>
  <si>
    <r>
      <t>kg-CO2/yr-</t>
    </r>
    <r>
      <rPr>
        <sz val="10"/>
        <rFont val="ＭＳ Ｐゴシック"/>
        <family val="3"/>
        <charset val="128"/>
      </rPr>
      <t>㎡</t>
    </r>
    <phoneticPr fontId="26"/>
  </si>
  <si>
    <r>
      <t>kg-CO</t>
    </r>
    <r>
      <rPr>
        <vertAlign val="subscript"/>
        <sz val="10"/>
        <rFont val="Arial"/>
        <family val="2"/>
      </rPr>
      <t>2</t>
    </r>
    <r>
      <rPr>
        <sz val="10"/>
        <rFont val="Arial"/>
        <family val="2"/>
      </rPr>
      <t>/yr-</t>
    </r>
    <r>
      <rPr>
        <sz val="10"/>
        <rFont val="ＭＳ Ｐゴシック"/>
        <family val="3"/>
        <charset val="128"/>
      </rPr>
      <t>㎡</t>
    </r>
    <phoneticPr fontId="26"/>
  </si>
  <si>
    <r>
      <t>kg-CO</t>
    </r>
    <r>
      <rPr>
        <vertAlign val="subscript"/>
        <sz val="10"/>
        <rFont val="Arial"/>
        <family val="2"/>
      </rPr>
      <t>2</t>
    </r>
    <r>
      <rPr>
        <sz val="10"/>
        <rFont val="Arial"/>
        <family val="2"/>
      </rPr>
      <t>/kWh</t>
    </r>
    <phoneticPr fontId="26"/>
  </si>
  <si>
    <t>Existing frame materials (structural use)</t>
    <phoneticPr fontId="26"/>
  </si>
  <si>
    <t>Reduction in GHG emissions with use of solar power (when the amount of power generated is equivalent to the reduction in "3. On-site measures," and when the emission factor for electricity is used to estimate the reduced amount.)</t>
    <phoneticPr fontId="26"/>
  </si>
  <si>
    <t>Lifespan</t>
    <phoneticPr fontId="26"/>
  </si>
  <si>
    <t>Structure of the evaluated building</t>
    <phoneticPr fontId="26"/>
  </si>
  <si>
    <t>1. GHG Emissions Related to Construction</t>
    <phoneticPr fontId="26"/>
  </si>
  <si>
    <t>1-1. Conversion of Assessment Results to GHG emission</t>
    <phoneticPr fontId="26"/>
  </si>
  <si>
    <t>Total</t>
  </si>
  <si>
    <t>1-3. Subtotal</t>
    <phoneticPr fontId="26"/>
  </si>
  <si>
    <t>Installed capacity</t>
    <phoneticPr fontId="26"/>
  </si>
  <si>
    <t>GHG intensity</t>
    <phoneticPr fontId="26"/>
  </si>
  <si>
    <t>[1]</t>
    <phoneticPr fontId="26"/>
  </si>
  <si>
    <t>[2]</t>
    <phoneticPr fontId="26"/>
  </si>
  <si>
    <t>[3]</t>
    <phoneticPr fontId="26"/>
  </si>
  <si>
    <t>[4]</t>
    <phoneticPr fontId="26"/>
  </si>
  <si>
    <t>Ref. bldg. [1]</t>
    <phoneticPr fontId="26"/>
  </si>
  <si>
    <t>2-2. Addition of GHG emissions related to equipment installation (to [3])</t>
    <phoneticPr fontId="26"/>
  </si>
  <si>
    <t>2-3. Subtotal</t>
    <phoneticPr fontId="26"/>
  </si>
  <si>
    <t>2. GHG Emissions Related to Repair, Renewal and Demolition</t>
    <phoneticPr fontId="26"/>
  </si>
  <si>
    <t>3. GHG Emissions Related to Operation Energy</t>
    <phoneticPr fontId="26"/>
  </si>
  <si>
    <t>3-1. Building-related Initiatives [2]</t>
    <phoneticPr fontId="26"/>
  </si>
  <si>
    <r>
      <t>3-2.</t>
    </r>
    <r>
      <rPr>
        <b/>
        <sz val="10"/>
        <rFont val="ＭＳ Ｐゴシック"/>
        <family val="3"/>
        <charset val="128"/>
      </rPr>
      <t>　</t>
    </r>
    <r>
      <rPr>
        <b/>
        <sz val="10"/>
        <rFont val="Arial"/>
        <family val="2"/>
      </rPr>
      <t>Above Initiatives + Other On-site Measures [3]</t>
    </r>
    <phoneticPr fontId="26"/>
  </si>
  <si>
    <t>Building except Apt. area</t>
    <phoneticPr fontId="26"/>
  </si>
  <si>
    <t>Apt.  Common area</t>
    <phoneticPr fontId="26"/>
  </si>
  <si>
    <t>Apt.  dwelling area (dwelling units total)</t>
    <phoneticPr fontId="26"/>
  </si>
  <si>
    <t>subtotal</t>
    <phoneticPr fontId="26"/>
  </si>
  <si>
    <t>Repair, Renewal and Demolition</t>
  </si>
  <si>
    <t>Floor area</t>
    <phoneticPr fontId="26"/>
  </si>
  <si>
    <t>Eval. bldg. [2]</t>
    <phoneticPr fontId="26"/>
  </si>
  <si>
    <t>Eval. bldg. [3]</t>
    <phoneticPr fontId="26"/>
  </si>
  <si>
    <t>Eval. bldg. [4]</t>
    <phoneticPr fontId="26"/>
  </si>
  <si>
    <t>Evaluated Bldg.</t>
    <phoneticPr fontId="26"/>
  </si>
  <si>
    <t>Reference Bldg.</t>
    <phoneticPr fontId="26"/>
  </si>
  <si>
    <t>2-1. Conversion of Assessment Results to GHG emission</t>
    <phoneticPr fontId="26"/>
  </si>
  <si>
    <t>GHG emission</t>
    <phoneticPr fontId="26"/>
  </si>
  <si>
    <r>
      <t xml:space="preserve">Whole Life Carbon Calculation Sheet </t>
    </r>
    <r>
      <rPr>
        <b/>
        <sz val="12"/>
        <color indexed="9"/>
        <rFont val="ＭＳ Ｐゴシック"/>
        <family val="3"/>
        <charset val="128"/>
      </rPr>
      <t>（</t>
    </r>
    <r>
      <rPr>
        <b/>
        <sz val="12"/>
        <color indexed="9"/>
        <rFont val="Arial"/>
        <family val="2"/>
      </rPr>
      <t>For Standard calculation</t>
    </r>
    <r>
      <rPr>
        <b/>
        <sz val="12"/>
        <color indexed="9"/>
        <rFont val="ＭＳ Ｐゴシック"/>
        <family val="3"/>
        <charset val="128"/>
      </rPr>
      <t>）</t>
    </r>
    <phoneticPr fontId="26"/>
  </si>
  <si>
    <r>
      <t>S</t>
    </r>
    <r>
      <rPr>
        <sz val="11"/>
        <rFont val="ＭＳ Ｐゴシック"/>
        <family val="3"/>
        <charset val="128"/>
      </rPr>
      <t>造</t>
    </r>
    <rPh sb="1" eb="2">
      <t>ゾウ</t>
    </rPh>
    <phoneticPr fontId="26"/>
  </si>
  <si>
    <r>
      <t>RC</t>
    </r>
    <r>
      <rPr>
        <sz val="11"/>
        <rFont val="ＭＳ Ｐゴシック"/>
        <family val="3"/>
        <charset val="128"/>
      </rPr>
      <t>造</t>
    </r>
    <rPh sb="2" eb="3">
      <t>ゾウ</t>
    </rPh>
    <phoneticPr fontId="26"/>
  </si>
  <si>
    <r>
      <t>SRC</t>
    </r>
    <r>
      <rPr>
        <sz val="11"/>
        <rFont val="ＭＳ Ｐゴシック"/>
        <family val="3"/>
        <charset val="128"/>
      </rPr>
      <t>造</t>
    </r>
    <rPh sb="3" eb="4">
      <t>ゾウ</t>
    </rPh>
    <phoneticPr fontId="26"/>
  </si>
  <si>
    <r>
      <rPr>
        <sz val="11"/>
        <rFont val="ＭＳ Ｐゴシック"/>
        <family val="3"/>
        <charset val="128"/>
      </rPr>
      <t>木造</t>
    </r>
    <rPh sb="0" eb="2">
      <t>モクゾウ</t>
    </rPh>
    <phoneticPr fontId="26"/>
  </si>
  <si>
    <r>
      <t>LCCO2</t>
    </r>
    <r>
      <rPr>
        <sz val="11"/>
        <rFont val="ＭＳ Ｐゴシック"/>
        <family val="3"/>
        <charset val="128"/>
      </rPr>
      <t>用床面積</t>
    </r>
    <rPh sb="5" eb="6">
      <t>ヨウ</t>
    </rPh>
    <rPh sb="6" eb="9">
      <t>ユカメンセキ</t>
    </rPh>
    <phoneticPr fontId="26"/>
  </si>
  <si>
    <r>
      <rPr>
        <sz val="11"/>
        <rFont val="ＭＳ Ｐゴシック"/>
        <family val="3"/>
        <charset val="128"/>
      </rPr>
      <t>合計</t>
    </r>
    <rPh sb="0" eb="2">
      <t>ゴウケイ</t>
    </rPh>
    <phoneticPr fontId="26"/>
  </si>
  <si>
    <r>
      <rPr>
        <sz val="10"/>
        <rFont val="ＭＳ Ｐゴシック"/>
        <family val="3"/>
        <charset val="128"/>
      </rPr>
      <t>◆</t>
    </r>
    <phoneticPr fontId="26"/>
  </si>
  <si>
    <r>
      <rPr>
        <sz val="10"/>
        <rFont val="ＭＳ Ｐゴシック"/>
        <family val="3"/>
        <charset val="128"/>
      </rPr>
      <t>㎡</t>
    </r>
    <phoneticPr fontId="26"/>
  </si>
  <si>
    <r>
      <rPr>
        <sz val="10"/>
        <rFont val="ＭＳ Ｐゴシック"/>
        <family val="3"/>
        <charset val="128"/>
      </rPr>
      <t>売電分</t>
    </r>
    <rPh sb="0" eb="2">
      <t>バイデン</t>
    </rPh>
    <rPh sb="2" eb="3">
      <t>ブン</t>
    </rPh>
    <phoneticPr fontId="26"/>
  </si>
  <si>
    <t>Floor area comp</t>
    <phoneticPr fontId="26"/>
  </si>
  <si>
    <t>4. Calculation of WLC (Standard Calculation)</t>
    <phoneticPr fontId="26"/>
  </si>
  <si>
    <r>
      <t>Prim. Energy</t>
    </r>
    <r>
      <rPr>
        <sz val="10"/>
        <rFont val="ＭＳ Ｐゴシック"/>
        <family val="3"/>
        <charset val="128"/>
      </rPr>
      <t>　</t>
    </r>
    <r>
      <rPr>
        <sz val="10"/>
        <rFont val="Arial"/>
        <family val="3"/>
      </rPr>
      <t>[</t>
    </r>
    <r>
      <rPr>
        <sz val="10"/>
        <rFont val="Arial"/>
        <family val="2"/>
      </rPr>
      <t>GJ/yr]</t>
    </r>
    <phoneticPr fontId="26"/>
  </si>
  <si>
    <t>1-2. Addition of GHG emissions related to equipment installation (to [3])</t>
    <phoneticPr fontId="26"/>
  </si>
  <si>
    <r>
      <t>3-3.</t>
    </r>
    <r>
      <rPr>
        <b/>
        <sz val="10"/>
        <rFont val="ＭＳ Ｐゴシック"/>
        <family val="3"/>
        <charset val="128"/>
      </rPr>
      <t>　&lt;</t>
    </r>
    <r>
      <rPr>
        <b/>
        <sz val="10"/>
        <rFont val="Arial"/>
        <family val="3"/>
      </rPr>
      <t>Ref.</t>
    </r>
    <r>
      <rPr>
        <b/>
        <sz val="10"/>
        <rFont val="ＭＳ Ｐゴシック"/>
        <family val="3"/>
        <charset val="128"/>
      </rPr>
      <t>&gt;</t>
    </r>
    <r>
      <rPr>
        <b/>
        <sz val="10"/>
        <rFont val="Arial"/>
        <family val="2"/>
      </rPr>
      <t>Above Initiatives + Other Off-site Measures [4]</t>
    </r>
    <phoneticPr fontId="26"/>
  </si>
  <si>
    <t>Apt. (same GHG as [3])</t>
    <phoneticPr fontId="26"/>
  </si>
  <si>
    <r>
      <t>kg-CO</t>
    </r>
    <r>
      <rPr>
        <vertAlign val="subscript"/>
        <sz val="10"/>
        <rFont val="Arial"/>
        <family val="2"/>
      </rPr>
      <t>2</t>
    </r>
    <r>
      <rPr>
        <sz val="10"/>
        <rFont val="Arial"/>
        <family val="2"/>
      </rPr>
      <t>eq/yr-kW</t>
    </r>
    <phoneticPr fontId="26"/>
  </si>
  <si>
    <r>
      <t>kg-CO</t>
    </r>
    <r>
      <rPr>
        <vertAlign val="subscript"/>
        <sz val="10"/>
        <rFont val="Arial"/>
        <family val="2"/>
      </rPr>
      <t>2</t>
    </r>
    <r>
      <rPr>
        <sz val="10"/>
        <rFont val="Arial"/>
        <family val="2"/>
      </rPr>
      <t>eq/yr-kWh</t>
    </r>
    <phoneticPr fontId="26"/>
  </si>
  <si>
    <t>Electricity consumption of the eval. bldg. in "3. On-site measures".</t>
    <phoneticPr fontId="26"/>
  </si>
  <si>
    <t xml:space="preserve">[2] Implementation of Assessment </t>
  </si>
  <si>
    <t>Department stores, supermarkets, etc.</t>
    <phoneticPr fontId="26"/>
  </si>
  <si>
    <t>Restaurants, canteens, cafes, etc.</t>
    <phoneticPr fontId="26"/>
  </si>
  <si>
    <t>Auditoriums, halls, libraries, museums, bowling lanes, gymnasiums, theaters, movie theaters, exhibition facilities, etc.</t>
    <phoneticPr fontId="26"/>
  </si>
  <si>
    <t>Apartments (detached houses are not applied)</t>
  </si>
  <si>
    <t>Hotels, inn, etc.</t>
    <phoneticPr fontId="26"/>
  </si>
  <si>
    <t>Factories, garages, warehouses, spectator stands, wholesale markets, computer rooms, etc.</t>
    <phoneticPr fontId="26"/>
  </si>
  <si>
    <t>Hospitals, homes for elderly, welfare homes for the handicapped, etc.</t>
    <phoneticPr fontId="26"/>
  </si>
  <si>
    <t>Offices, government buildings, post offices, etc.</t>
    <phoneticPr fontId="26"/>
  </si>
  <si>
    <t>electronics retailers,</t>
    <phoneticPr fontId="26"/>
  </si>
  <si>
    <t>research institutes</t>
    <phoneticPr fontId="26"/>
  </si>
  <si>
    <t>Common area</t>
    <phoneticPr fontId="26"/>
  </si>
  <si>
    <r>
      <t>m</t>
    </r>
    <r>
      <rPr>
        <vertAlign val="superscript"/>
        <sz val="9"/>
        <rFont val="Arial"/>
        <family val="2"/>
      </rPr>
      <t>2</t>
    </r>
    <r>
      <rPr>
        <sz val="9"/>
        <rFont val="Arial"/>
        <family val="2"/>
      </rPr>
      <t xml:space="preserve">      Dwelling area</t>
    </r>
    <phoneticPr fontId="26"/>
  </si>
  <si>
    <t>Common area (except guest rooms)</t>
    <phoneticPr fontId="26"/>
  </si>
  <si>
    <r>
      <t>m</t>
    </r>
    <r>
      <rPr>
        <vertAlign val="superscript"/>
        <sz val="9"/>
        <rFont val="Arial"/>
        <family val="2"/>
      </rPr>
      <t>2</t>
    </r>
    <r>
      <rPr>
        <sz val="9"/>
        <rFont val="Arial"/>
        <family val="2"/>
      </rPr>
      <t xml:space="preserve">         Kindergartens/
           nursery schools</t>
    </r>
    <phoneticPr fontId="26"/>
  </si>
  <si>
    <r>
      <t>m</t>
    </r>
    <r>
      <rPr>
        <vertAlign val="superscript"/>
        <sz val="8"/>
        <rFont val="Arial"/>
        <family val="2"/>
      </rPr>
      <t>2</t>
    </r>
    <r>
      <rPr>
        <sz val="8"/>
        <rFont val="Arial"/>
        <family val="2"/>
      </rPr>
      <t xml:space="preserve">    Department stores, 
              supermarkets</t>
    </r>
    <phoneticPr fontId="26"/>
  </si>
  <si>
    <r>
      <t>m</t>
    </r>
    <r>
      <rPr>
        <vertAlign val="superscript"/>
        <sz val="9"/>
        <rFont val="Arial"/>
        <family val="2"/>
      </rPr>
      <t>2</t>
    </r>
    <phoneticPr fontId="26"/>
  </si>
  <si>
    <r>
      <t>m</t>
    </r>
    <r>
      <rPr>
        <vertAlign val="superscript"/>
        <sz val="9"/>
        <rFont val="Arial"/>
        <family val="2"/>
      </rPr>
      <t>2</t>
    </r>
    <r>
      <rPr>
        <sz val="9"/>
        <rFont val="Arial"/>
        <family val="2"/>
      </rPr>
      <t xml:space="preserve">       Theatres/halls</t>
    </r>
    <phoneticPr fontId="26"/>
  </si>
  <si>
    <t>Elementary schools, junior high schools, high schools, universities, technical colleges, higher vocational school and other school types, etc.</t>
    <phoneticPr fontId="26"/>
  </si>
  <si>
    <t>WLC Calc Conditions Sheet</t>
    <phoneticPr fontId="26"/>
  </si>
  <si>
    <r>
      <t>m</t>
    </r>
    <r>
      <rPr>
        <vertAlign val="superscript"/>
        <sz val="9"/>
        <rFont val="Arial"/>
        <family val="2"/>
      </rPr>
      <t>2</t>
    </r>
    <r>
      <rPr>
        <sz val="9"/>
        <rFont val="Arial"/>
        <family val="2"/>
      </rPr>
      <t xml:space="preserve">              Office</t>
    </r>
    <phoneticPr fontId="26"/>
  </si>
  <si>
    <t>Exterior perspective etc.</t>
    <phoneticPr fontId="26"/>
  </si>
  <si>
    <r>
      <rPr>
        <sz val="10"/>
        <rFont val="ＭＳ Ｐゴシック"/>
        <family val="3"/>
        <charset val="128"/>
      </rPr>
      <t>㎡</t>
    </r>
    <phoneticPr fontId="35" type="noConversion"/>
  </si>
  <si>
    <r>
      <rPr>
        <sz val="11"/>
        <color indexed="9"/>
        <rFont val="ＭＳ Ｐゴシック"/>
        <family val="3"/>
        <charset val="128"/>
      </rPr>
      <t>＜実施設計段階、竣工段階で詳細な評価を行う場合に記入＞</t>
    </r>
    <phoneticPr fontId="26"/>
  </si>
  <si>
    <r>
      <rPr>
        <sz val="8"/>
        <rFont val="ＭＳ Ｐゴシック"/>
        <family val="3"/>
        <charset val="128"/>
      </rPr>
      <t>年間延床面積あたり指標</t>
    </r>
    <rPh sb="0" eb="2">
      <t>ネンカン</t>
    </rPh>
    <rPh sb="2" eb="3">
      <t>ノ</t>
    </rPh>
    <rPh sb="3" eb="6">
      <t>ユカメンセキ</t>
    </rPh>
    <rPh sb="9" eb="11">
      <t>シヒョウ</t>
    </rPh>
    <phoneticPr fontId="26"/>
  </si>
  <si>
    <r>
      <rPr>
        <sz val="8"/>
        <rFont val="ＭＳ Ｐゴシック"/>
        <family val="3"/>
        <charset val="128"/>
      </rPr>
      <t>人・時間あたり指標</t>
    </r>
    <rPh sb="0" eb="1">
      <t>ニン</t>
    </rPh>
    <rPh sb="2" eb="4">
      <t>ジカン</t>
    </rPh>
    <rPh sb="7" eb="9">
      <t>シヒョウ</t>
    </rPh>
    <phoneticPr fontId="26"/>
  </si>
  <si>
    <r>
      <rPr>
        <sz val="8"/>
        <rFont val="ＭＳ Ｐゴシック"/>
        <family val="3"/>
        <charset val="128"/>
      </rPr>
      <t>年間延床面積あたり削減量</t>
    </r>
    <rPh sb="0" eb="2">
      <t>ネンカン</t>
    </rPh>
    <rPh sb="2" eb="3">
      <t>ノ</t>
    </rPh>
    <rPh sb="3" eb="6">
      <t>ユカメンセキ</t>
    </rPh>
    <rPh sb="9" eb="11">
      <t>サクゲン</t>
    </rPh>
    <rPh sb="11" eb="12">
      <t>リョウ</t>
    </rPh>
    <phoneticPr fontId="26"/>
  </si>
  <si>
    <r>
      <rPr>
        <sz val="8"/>
        <rFont val="ＭＳ Ｐゴシック"/>
        <family val="3"/>
        <charset val="128"/>
      </rPr>
      <t>削減率　％</t>
    </r>
    <rPh sb="0" eb="2">
      <t>サクゲン</t>
    </rPh>
    <rPh sb="2" eb="3">
      <t>リツ</t>
    </rPh>
    <phoneticPr fontId="26"/>
  </si>
  <si>
    <r>
      <rPr>
        <sz val="10"/>
        <rFont val="ＭＳ Ｐゴシック"/>
        <family val="3"/>
        <charset val="128"/>
      </rPr>
      <t>運用エネルギー消費量</t>
    </r>
    <rPh sb="0" eb="2">
      <t>ｳﾝﾖｳ</t>
    </rPh>
    <rPh sb="7" eb="10">
      <t>ｼｮｳﾋﾘｮｳ</t>
    </rPh>
    <phoneticPr fontId="35" type="noConversion"/>
  </si>
  <si>
    <r>
      <rPr>
        <sz val="10"/>
        <rFont val="ＭＳ Ｐゴシック"/>
        <family val="3"/>
        <charset val="128"/>
      </rPr>
      <t>水消費量</t>
    </r>
    <rPh sb="0" eb="1">
      <t>ﾐｽﾞ</t>
    </rPh>
    <rPh sb="1" eb="4">
      <t>ｼｮｳﾋﾘｮｳ</t>
    </rPh>
    <phoneticPr fontId="35" type="noConversion"/>
  </si>
  <si>
    <r>
      <rPr>
        <b/>
        <sz val="11"/>
        <color indexed="9"/>
        <rFont val="ＭＳ Ｐゴシック"/>
        <family val="3"/>
        <charset val="128"/>
      </rPr>
      <t>設計段階</t>
    </r>
    <rPh sb="0" eb="2">
      <t>ｾｯｹｲ</t>
    </rPh>
    <rPh sb="2" eb="4">
      <t>ﾀﾞﾝｶｲ</t>
    </rPh>
    <phoneticPr fontId="35" type="noConversion"/>
  </si>
  <si>
    <r>
      <rPr>
        <b/>
        <sz val="11"/>
        <color indexed="9"/>
        <rFont val="ＭＳ Ｐゴシック"/>
        <family val="3"/>
        <charset val="128"/>
      </rPr>
      <t>建設段階</t>
    </r>
    <rPh sb="0" eb="2">
      <t>ｹﾝｾﾂ</t>
    </rPh>
    <rPh sb="2" eb="4">
      <t>ﾀﾞﾝｶｲ</t>
    </rPh>
    <phoneticPr fontId="35" type="noConversion"/>
  </si>
  <si>
    <r>
      <rPr>
        <b/>
        <sz val="8"/>
        <rFont val="ＭＳ Ｐゴシック"/>
        <family val="3"/>
        <charset val="128"/>
      </rPr>
      <t>有資格者による設計</t>
    </r>
    <rPh sb="0" eb="4">
      <t>ﾕｳｼｶｸｼｬ</t>
    </rPh>
    <rPh sb="7" eb="9">
      <t>ｾｯｹｲ</t>
    </rPh>
    <phoneticPr fontId="35" type="noConversion"/>
  </si>
  <si>
    <r>
      <rPr>
        <b/>
        <sz val="8"/>
        <rFont val="ＭＳ Ｐゴシック"/>
        <family val="3"/>
        <charset val="128"/>
      </rPr>
      <t>環境管理計画</t>
    </r>
    <rPh sb="0" eb="2">
      <t>ｶﾝｷｮｳ</t>
    </rPh>
    <rPh sb="2" eb="4">
      <t>ｶﾝﾘ</t>
    </rPh>
    <rPh sb="4" eb="6">
      <t>ｹｲｶｸ</t>
    </rPh>
    <phoneticPr fontId="35" type="noConversion"/>
  </si>
  <si>
    <r>
      <rPr>
        <sz val="8"/>
        <color indexed="10"/>
        <rFont val="ＭＳ Ｐゴシック"/>
        <family val="3"/>
        <charset val="128"/>
      </rPr>
      <t>当該対象区における標準的な計画の得点が３点。ＮＡは評価対象外とした項目を示す。敷地選定に関わる評価は対象外。</t>
    </r>
    <rPh sb="2" eb="4">
      <t>タイショウ</t>
    </rPh>
    <rPh sb="4" eb="5">
      <t>ク</t>
    </rPh>
    <rPh sb="9" eb="11">
      <t>ヒョウジュン</t>
    </rPh>
    <rPh sb="13" eb="15">
      <t>ケイカク</t>
    </rPh>
    <phoneticPr fontId="26"/>
  </si>
  <si>
    <r>
      <t>(3)</t>
    </r>
    <r>
      <rPr>
        <sz val="8"/>
        <color indexed="10"/>
        <rFont val="ＭＳ Ｐゴシック"/>
        <family val="3"/>
        <charset val="128"/>
      </rPr>
      <t>の評価はオプションとし、実施設計段階および竣工段階で可能な範囲で記入する。</t>
    </r>
    <phoneticPr fontId="26"/>
  </si>
  <si>
    <r>
      <rPr>
        <b/>
        <sz val="12"/>
        <color indexed="9"/>
        <rFont val="ＭＳ Ｐゴシック"/>
        <family val="3"/>
        <charset val="128"/>
      </rPr>
      <t>（</t>
    </r>
    <r>
      <rPr>
        <b/>
        <sz val="12"/>
        <color indexed="9"/>
        <rFont val="Arial"/>
        <family val="2"/>
      </rPr>
      <t>3</t>
    </r>
    <r>
      <rPr>
        <b/>
        <sz val="12"/>
        <color indexed="9"/>
        <rFont val="ＭＳ Ｐゴシック"/>
        <family val="3"/>
        <charset val="128"/>
      </rPr>
      <t>）　建築物の総合的な環境性能とは別枠の重要評価項目</t>
    </r>
    <rPh sb="4" eb="7">
      <t>ｹﾝﾁｸﾌﾞﾂ</t>
    </rPh>
    <rPh sb="8" eb="10">
      <t>ｿｳｺﾞｳ</t>
    </rPh>
    <rPh sb="10" eb="11">
      <t>ﾃｷ</t>
    </rPh>
    <rPh sb="12" eb="14">
      <t>ｶﾝｷｮｳ</t>
    </rPh>
    <rPh sb="14" eb="16">
      <t>ｾｲﾉｳ</t>
    </rPh>
    <rPh sb="18" eb="20">
      <t>ﾍﾞﾂﾜｸ</t>
    </rPh>
    <rPh sb="21" eb="23">
      <t>ｼﾞｭｳﾖｳ</t>
    </rPh>
    <rPh sb="23" eb="25">
      <t>ﾋｮｳｶ</t>
    </rPh>
    <rPh sb="25" eb="27">
      <t>ｺｳﾓｸ</t>
    </rPh>
    <phoneticPr fontId="35" type="noConversion"/>
  </si>
  <si>
    <r>
      <rPr>
        <sz val="8"/>
        <color indexed="9"/>
        <rFont val="ＭＳ Ｐゴシック"/>
        <family val="3"/>
        <charset val="128"/>
      </rPr>
      <t>注</t>
    </r>
    <r>
      <rPr>
        <sz val="8"/>
        <color indexed="9"/>
        <rFont val="Arial"/>
        <family val="2"/>
      </rPr>
      <t>3</t>
    </r>
    <rPh sb="0" eb="1">
      <t>チュウ</t>
    </rPh>
    <phoneticPr fontId="26"/>
  </si>
  <si>
    <r>
      <rPr>
        <b/>
        <sz val="12"/>
        <color indexed="9"/>
        <rFont val="ＭＳ Ｐゴシック"/>
        <family val="3"/>
        <charset val="128"/>
      </rPr>
      <t>（</t>
    </r>
    <r>
      <rPr>
        <b/>
        <sz val="12"/>
        <color indexed="9"/>
        <rFont val="Arial"/>
        <family val="2"/>
      </rPr>
      <t>3</t>
    </r>
    <r>
      <rPr>
        <b/>
        <sz val="12"/>
        <color indexed="9"/>
        <rFont val="ＭＳ Ｐゴシック"/>
        <family val="3"/>
        <charset val="128"/>
      </rPr>
      <t>）</t>
    </r>
    <r>
      <rPr>
        <b/>
        <sz val="12"/>
        <color indexed="9"/>
        <rFont val="Arial"/>
        <family val="2"/>
      </rPr>
      <t>-1</t>
    </r>
    <r>
      <rPr>
        <b/>
        <sz val="12"/>
        <color indexed="9"/>
        <rFont val="ＭＳ Ｐゴシック"/>
        <family val="3"/>
        <charset val="128"/>
      </rPr>
      <t>　建築物の代表的な環境負荷に関する定量的な評価指標</t>
    </r>
    <rPh sb="6" eb="9">
      <t>ｹﾝﾁｸﾌﾞﾂ</t>
    </rPh>
    <rPh sb="10" eb="13">
      <t>ﾀﾞｲﾋｮｳﾃｷ</t>
    </rPh>
    <rPh sb="14" eb="16">
      <t>ｶﾝｷｮｳ</t>
    </rPh>
    <rPh sb="16" eb="18">
      <t>ﾌｶ</t>
    </rPh>
    <rPh sb="19" eb="20">
      <t>ｶﾝ</t>
    </rPh>
    <rPh sb="22" eb="25">
      <t>ﾃｲﾘｮｳﾃｷ</t>
    </rPh>
    <rPh sb="26" eb="28">
      <t>ﾋｮｳｶ</t>
    </rPh>
    <rPh sb="28" eb="30">
      <t>ｼﾋｮｳ</t>
    </rPh>
    <phoneticPr fontId="35" type="noConversion"/>
  </si>
  <si>
    <r>
      <rPr>
        <sz val="10"/>
        <rFont val="ＭＳ Ｐゴシック"/>
        <family val="3"/>
        <charset val="128"/>
      </rPr>
      <t>ＭＪ</t>
    </r>
    <r>
      <rPr>
        <sz val="10"/>
        <rFont val="Arial"/>
        <family val="2"/>
      </rPr>
      <t>/</t>
    </r>
    <r>
      <rPr>
        <sz val="10"/>
        <rFont val="ＭＳ Ｐゴシック"/>
        <family val="3"/>
        <charset val="128"/>
      </rPr>
      <t>年㎡</t>
    </r>
    <rPh sb="3" eb="4">
      <t>ネン</t>
    </rPh>
    <phoneticPr fontId="26"/>
  </si>
  <si>
    <r>
      <rPr>
        <sz val="10"/>
        <rFont val="ＭＳ Ｐゴシック"/>
        <family val="3"/>
        <charset val="128"/>
      </rPr>
      <t>ＭＪ</t>
    </r>
    <r>
      <rPr>
        <sz val="10"/>
        <rFont val="Arial"/>
        <family val="2"/>
      </rPr>
      <t>/</t>
    </r>
    <r>
      <rPr>
        <sz val="10"/>
        <rFont val="ＭＳ Ｐゴシック"/>
        <family val="3"/>
        <charset val="128"/>
      </rPr>
      <t>人時</t>
    </r>
    <rPh sb="3" eb="4">
      <t>ニン</t>
    </rPh>
    <rPh sb="4" eb="5">
      <t>ジ</t>
    </rPh>
    <phoneticPr fontId="26"/>
  </si>
  <si>
    <r>
      <rPr>
        <sz val="10"/>
        <rFont val="ＭＳ Ｐゴシック"/>
        <family val="3"/>
        <charset val="128"/>
      </rPr>
      <t>運用</t>
    </r>
    <r>
      <rPr>
        <sz val="10"/>
        <rFont val="Arial"/>
        <family val="2"/>
      </rPr>
      <t>CO</t>
    </r>
    <r>
      <rPr>
        <vertAlign val="subscript"/>
        <sz val="10"/>
        <rFont val="Arial"/>
        <family val="2"/>
      </rPr>
      <t>2</t>
    </r>
    <r>
      <rPr>
        <sz val="10"/>
        <rFont val="ＭＳ Ｐゴシック"/>
        <family val="3"/>
        <charset val="128"/>
      </rPr>
      <t>排出量</t>
    </r>
    <rPh sb="0" eb="2">
      <t>ｳﾝﾖｳ</t>
    </rPh>
    <rPh sb="5" eb="7">
      <t>ﾊｲｼｭﾂ</t>
    </rPh>
    <rPh sb="7" eb="8">
      <t>ﾘｮｳ</t>
    </rPh>
    <phoneticPr fontId="35" type="noConversion"/>
  </si>
  <si>
    <r>
      <rPr>
        <sz val="10"/>
        <rFont val="ＭＳ Ｐゴシック"/>
        <family val="3"/>
        <charset val="128"/>
      </rPr>
      <t>ｔ</t>
    </r>
    <r>
      <rPr>
        <sz val="10"/>
        <rFont val="Arial"/>
        <family val="2"/>
      </rPr>
      <t>/</t>
    </r>
    <r>
      <rPr>
        <sz val="10"/>
        <rFont val="ＭＳ Ｐゴシック"/>
        <family val="3"/>
        <charset val="128"/>
      </rPr>
      <t>年㎡</t>
    </r>
    <rPh sb="2" eb="3">
      <t>ネン</t>
    </rPh>
    <phoneticPr fontId="26"/>
  </si>
  <si>
    <r>
      <rPr>
        <sz val="10"/>
        <rFont val="ＭＳ Ｐゴシック"/>
        <family val="3"/>
        <charset val="128"/>
      </rPr>
      <t>ｔ</t>
    </r>
    <r>
      <rPr>
        <sz val="10"/>
        <rFont val="Arial"/>
        <family val="2"/>
      </rPr>
      <t>/</t>
    </r>
    <r>
      <rPr>
        <sz val="10"/>
        <rFont val="ＭＳ Ｐゴシック"/>
        <family val="3"/>
        <charset val="128"/>
      </rPr>
      <t>人時</t>
    </r>
    <rPh sb="2" eb="3">
      <t>ニン</t>
    </rPh>
    <rPh sb="3" eb="4">
      <t>ジ</t>
    </rPh>
    <phoneticPr fontId="26"/>
  </si>
  <si>
    <r>
      <rPr>
        <b/>
        <sz val="12"/>
        <color indexed="9"/>
        <rFont val="ＭＳ Ｐゴシック"/>
        <family val="3"/>
        <charset val="128"/>
      </rPr>
      <t>（</t>
    </r>
    <r>
      <rPr>
        <b/>
        <sz val="12"/>
        <color indexed="9"/>
        <rFont val="Arial"/>
        <family val="2"/>
      </rPr>
      <t>3</t>
    </r>
    <r>
      <rPr>
        <b/>
        <sz val="12"/>
        <color indexed="9"/>
        <rFont val="ＭＳ Ｐゴシック"/>
        <family val="3"/>
        <charset val="128"/>
      </rPr>
      <t>）</t>
    </r>
    <r>
      <rPr>
        <b/>
        <sz val="12"/>
        <color indexed="9"/>
        <rFont val="Arial"/>
        <family val="2"/>
      </rPr>
      <t>-2</t>
    </r>
    <r>
      <rPr>
        <b/>
        <sz val="12"/>
        <color indexed="9"/>
        <rFont val="ＭＳ Ｐゴシック"/>
        <family val="3"/>
        <charset val="128"/>
      </rPr>
      <t>　デザインプロセスの評価</t>
    </r>
    <rPh sb="15" eb="17">
      <t>ﾋｮｳｶ</t>
    </rPh>
    <phoneticPr fontId="35" type="noConversion"/>
  </si>
  <si>
    <r>
      <rPr>
        <sz val="8"/>
        <color indexed="10"/>
        <rFont val="ＭＳ Ｐゴシック"/>
        <family val="3"/>
        <charset val="128"/>
      </rPr>
      <t>凡例　　　　　</t>
    </r>
    <r>
      <rPr>
        <sz val="8"/>
        <color indexed="10"/>
        <rFont val="Arial"/>
        <family val="2"/>
      </rPr>
      <t>Q</t>
    </r>
    <r>
      <rPr>
        <sz val="8"/>
        <color indexed="10"/>
        <rFont val="ＭＳ Ｐゴシック"/>
        <family val="3"/>
        <charset val="128"/>
      </rPr>
      <t>：</t>
    </r>
    <rPh sb="0" eb="2">
      <t>ハンレイ</t>
    </rPh>
    <phoneticPr fontId="26"/>
  </si>
  <si>
    <r>
      <rPr>
        <sz val="8"/>
        <color indexed="10"/>
        <rFont val="ＭＳ Ｐゴシック"/>
        <family val="3"/>
        <charset val="128"/>
      </rPr>
      <t>備考　　　　注</t>
    </r>
    <r>
      <rPr>
        <sz val="8"/>
        <color indexed="10"/>
        <rFont val="Arial"/>
        <family val="2"/>
      </rPr>
      <t>1</t>
    </r>
    <r>
      <rPr>
        <sz val="8"/>
        <color indexed="10"/>
        <rFont val="ＭＳ Ｐゴシック"/>
        <family val="3"/>
        <charset val="128"/>
      </rPr>
      <t>：</t>
    </r>
    <rPh sb="6" eb="7">
      <t>チュウ</t>
    </rPh>
    <phoneticPr fontId="26"/>
  </si>
  <si>
    <r>
      <rPr>
        <sz val="8"/>
        <color indexed="10"/>
        <rFont val="ＭＳ Ｐゴシック"/>
        <family val="3"/>
        <charset val="128"/>
      </rPr>
      <t>注</t>
    </r>
    <r>
      <rPr>
        <sz val="8"/>
        <color indexed="10"/>
        <rFont val="Arial"/>
        <family val="2"/>
      </rPr>
      <t>2</t>
    </r>
    <r>
      <rPr>
        <sz val="8"/>
        <color indexed="10"/>
        <rFont val="ＭＳ Ｐゴシック"/>
        <family val="3"/>
        <charset val="128"/>
      </rPr>
      <t>：</t>
    </r>
    <rPh sb="0" eb="1">
      <t>チュウ</t>
    </rPh>
    <phoneticPr fontId="26"/>
  </si>
  <si>
    <r>
      <t>Q</t>
    </r>
    <r>
      <rPr>
        <sz val="8"/>
        <color indexed="10"/>
        <rFont val="ＭＳ Ｐゴシック"/>
        <family val="3"/>
        <charset val="128"/>
      </rPr>
      <t>は、環境品質・性能（</t>
    </r>
    <r>
      <rPr>
        <sz val="8"/>
        <color indexed="10"/>
        <rFont val="Arial"/>
        <family val="2"/>
      </rPr>
      <t>Q</t>
    </r>
    <r>
      <rPr>
        <sz val="8"/>
        <color indexed="10"/>
        <rFont val="ＭＳ Ｐゴシック"/>
        <family val="3"/>
        <charset val="128"/>
      </rPr>
      <t>）のスコア</t>
    </r>
    <r>
      <rPr>
        <sz val="8"/>
        <color indexed="10"/>
        <rFont val="Arial"/>
        <family val="2"/>
      </rPr>
      <t>SQ(Q-1</t>
    </r>
    <r>
      <rPr>
        <sz val="8"/>
        <color indexed="10"/>
        <rFont val="ＭＳ Ｐゴシック"/>
        <family val="3"/>
        <charset val="128"/>
      </rPr>
      <t>、</t>
    </r>
    <r>
      <rPr>
        <sz val="8"/>
        <color indexed="10"/>
        <rFont val="Arial"/>
        <family val="2"/>
      </rPr>
      <t>Q-2</t>
    </r>
    <r>
      <rPr>
        <sz val="8"/>
        <color indexed="10"/>
        <rFont val="ＭＳ Ｐゴシック"/>
        <family val="3"/>
        <charset val="128"/>
      </rPr>
      <t>、</t>
    </r>
    <r>
      <rPr>
        <sz val="8"/>
        <color indexed="10"/>
        <rFont val="Arial"/>
        <family val="2"/>
      </rPr>
      <t>Q-3</t>
    </r>
    <r>
      <rPr>
        <sz val="8"/>
        <color indexed="10"/>
        <rFont val="ＭＳ Ｐゴシック"/>
        <family val="3"/>
        <charset val="128"/>
      </rPr>
      <t>のスコアにそれぞれの重み係数を乗じた合計値）から算定。</t>
    </r>
    <rPh sb="41" eb="42">
      <t>オモ</t>
    </rPh>
    <rPh sb="43" eb="45">
      <t>ケイスウ</t>
    </rPh>
    <rPh sb="46" eb="47">
      <t>ジョウ</t>
    </rPh>
    <rPh sb="49" eb="52">
      <t>ゴウケイチ</t>
    </rPh>
    <rPh sb="55" eb="57">
      <t>サンテイ</t>
    </rPh>
    <phoneticPr fontId="26"/>
  </si>
  <si>
    <r>
      <t>L</t>
    </r>
    <r>
      <rPr>
        <sz val="8"/>
        <color indexed="10"/>
        <rFont val="ＭＳ Ｐゴシック"/>
        <family val="3"/>
        <charset val="128"/>
      </rPr>
      <t>は、環境負荷低減性（</t>
    </r>
    <r>
      <rPr>
        <sz val="8"/>
        <color indexed="10"/>
        <rFont val="Arial"/>
        <family val="2"/>
      </rPr>
      <t>LR)</t>
    </r>
    <r>
      <rPr>
        <sz val="8"/>
        <color indexed="10"/>
        <rFont val="ＭＳ Ｐゴシック"/>
        <family val="3"/>
        <charset val="128"/>
      </rPr>
      <t>のスコア</t>
    </r>
    <r>
      <rPr>
        <sz val="8"/>
        <color indexed="10"/>
        <rFont val="Arial"/>
        <family val="2"/>
      </rPr>
      <t>SLR</t>
    </r>
    <r>
      <rPr>
        <sz val="8"/>
        <color indexed="10"/>
        <rFont val="ＭＳ Ｐゴシック"/>
        <family val="3"/>
        <charset val="128"/>
      </rPr>
      <t>（</t>
    </r>
    <r>
      <rPr>
        <sz val="8"/>
        <color indexed="10"/>
        <rFont val="Arial"/>
        <family val="2"/>
      </rPr>
      <t>LR-1</t>
    </r>
    <r>
      <rPr>
        <sz val="8"/>
        <color indexed="10"/>
        <rFont val="ＭＳ Ｐゴシック"/>
        <family val="3"/>
        <charset val="128"/>
      </rPr>
      <t>、</t>
    </r>
    <r>
      <rPr>
        <sz val="8"/>
        <color indexed="10"/>
        <rFont val="Arial"/>
        <family val="2"/>
      </rPr>
      <t>LR-2</t>
    </r>
    <r>
      <rPr>
        <sz val="8"/>
        <color indexed="10"/>
        <rFont val="ＭＳ Ｐゴシック"/>
        <family val="3"/>
        <charset val="128"/>
      </rPr>
      <t>、</t>
    </r>
    <r>
      <rPr>
        <sz val="8"/>
        <color indexed="10"/>
        <rFont val="Arial"/>
        <family val="2"/>
      </rPr>
      <t>LR-3</t>
    </r>
    <r>
      <rPr>
        <sz val="8"/>
        <color indexed="10"/>
        <rFont val="ＭＳ Ｐゴシック"/>
        <family val="3"/>
        <charset val="128"/>
      </rPr>
      <t>のスコアにそれぞれの重み係数を乗じた合計値）から算定。</t>
    </r>
    <rPh sb="3" eb="5">
      <t>カンキョウ</t>
    </rPh>
    <rPh sb="5" eb="7">
      <t>フカ</t>
    </rPh>
    <rPh sb="7" eb="9">
      <t>テイゲン</t>
    </rPh>
    <rPh sb="9" eb="10">
      <t>セイ</t>
    </rPh>
    <rPh sb="46" eb="47">
      <t>オモ</t>
    </rPh>
    <rPh sb="48" eb="50">
      <t>ケイスウ</t>
    </rPh>
    <rPh sb="51" eb="52">
      <t>ジョウ</t>
    </rPh>
    <rPh sb="54" eb="57">
      <t>ゴウケイチ</t>
    </rPh>
    <rPh sb="60" eb="62">
      <t>サンテイ</t>
    </rPh>
    <phoneticPr fontId="26"/>
  </si>
  <si>
    <r>
      <rPr>
        <sz val="8"/>
        <color indexed="10"/>
        <rFont val="ＭＳ Ｐゴシック"/>
        <family val="3"/>
        <charset val="128"/>
      </rPr>
      <t>注</t>
    </r>
    <r>
      <rPr>
        <sz val="8"/>
        <color indexed="10"/>
        <rFont val="Arial"/>
        <family val="2"/>
      </rPr>
      <t>3</t>
    </r>
    <r>
      <rPr>
        <sz val="8"/>
        <color indexed="10"/>
        <rFont val="ＭＳ Ｐゴシック"/>
        <family val="3"/>
        <charset val="128"/>
      </rPr>
      <t>：</t>
    </r>
    <rPh sb="0" eb="1">
      <t>チュウ</t>
    </rPh>
    <phoneticPr fontId="26"/>
  </si>
  <si>
    <t>2-3 Results of Major categories (radar chart)</t>
  </si>
  <si>
    <t>Entire Building &amp; Common areas</t>
    <phoneticPr fontId="35" type="noConversion"/>
  </si>
  <si>
    <t>Assessment Categories</t>
    <phoneticPr fontId="26"/>
  </si>
  <si>
    <t>Zone 1-7</t>
  </si>
  <si>
    <t>Level 3</t>
    <phoneticPr fontId="26"/>
  </si>
  <si>
    <t>Reduction</t>
    <phoneticPr fontId="26"/>
  </si>
  <si>
    <t>a: Method in which the entire dwelling unit is cooled</t>
  </si>
  <si>
    <t>b: Method in which only the living space is cooled (Intermittent cooling)</t>
  </si>
  <si>
    <r>
      <rPr>
        <sz val="9"/>
        <rFont val="ＭＳ Ｐゴシック"/>
        <family val="3"/>
        <charset val="128"/>
      </rPr>
      <t>－</t>
    </r>
    <r>
      <rPr>
        <sz val="9"/>
        <rFont val="Arial"/>
        <family val="2"/>
      </rPr>
      <t>: Other than above (or unknown)</t>
    </r>
    <phoneticPr fontId="26"/>
  </si>
  <si>
    <t>A: Method in which the entire dwelling unit is heated</t>
  </si>
  <si>
    <t>B: Method in which only the living space is heated (Continuous heating)</t>
  </si>
  <si>
    <t>C: Method in which only the living space is heated (Intermittent heating)</t>
  </si>
  <si>
    <t>Research institutes</t>
    <phoneticPr fontId="26"/>
  </si>
  <si>
    <t>Electronics retailers,</t>
    <phoneticPr fontId="26"/>
  </si>
  <si>
    <t>Non Apt.</t>
    <phoneticPr fontId="26"/>
  </si>
  <si>
    <t>Subtotal</t>
    <phoneticPr fontId="26"/>
  </si>
  <si>
    <t>Prim. Energy</t>
    <phoneticPr fontId="26"/>
  </si>
  <si>
    <t>Primary energy consumption (standard calculation) used for calculating GHG at operation stage</t>
    <phoneticPr fontId="26"/>
  </si>
  <si>
    <t>Other than Apt.</t>
    <phoneticPr fontId="26"/>
  </si>
  <si>
    <t>Ref. bldg.</t>
  </si>
  <si>
    <t>On-site measures</t>
    <phoneticPr fontId="26"/>
  </si>
  <si>
    <t>Apt.</t>
    <phoneticPr fontId="26"/>
  </si>
  <si>
    <t>Dwelling area (including guest rooms)</t>
    <phoneticPr fontId="26"/>
  </si>
  <si>
    <t>Matters concerning the prevention of heat loss through exterior walls, windows, etc.</t>
    <phoneticPr fontId="26"/>
  </si>
  <si>
    <t>Primary energy consumption performance</t>
    <phoneticPr fontId="26"/>
  </si>
  <si>
    <t>Apt.</t>
  </si>
  <si>
    <t>Not applicable</t>
    <phoneticPr fontId="26"/>
  </si>
  <si>
    <t>Grade 3</t>
    <phoneticPr fontId="26"/>
  </si>
  <si>
    <t>Grade 4</t>
    <phoneticPr fontId="26"/>
  </si>
  <si>
    <t>Grade 5</t>
    <phoneticPr fontId="26"/>
  </si>
  <si>
    <t>Grade 6 or above</t>
    <phoneticPr fontId="26"/>
  </si>
  <si>
    <t>Less than Grade 3</t>
    <phoneticPr fontId="26"/>
  </si>
  <si>
    <t>equivalent</t>
    <phoneticPr fontId="26"/>
  </si>
  <si>
    <t>equivalent *</t>
    <phoneticPr fontId="26"/>
  </si>
  <si>
    <t>*</t>
    <phoneticPr fontId="26"/>
  </si>
  <si>
    <t>If multiple grades are mixed, evaluate based on the lowest grade.</t>
    <phoneticPr fontId="26"/>
  </si>
  <si>
    <t>Other than Apt.</t>
  </si>
  <si>
    <t>Housing Performance Indication Standard</t>
    <phoneticPr fontId="26"/>
  </si>
  <si>
    <t>Floor area ratio</t>
  </si>
  <si>
    <t>Control of Heat Load on Building Envelopes</t>
    <phoneticPr fontId="35" type="noConversion"/>
  </si>
  <si>
    <t>Control of Heat Load on Building Envelopes</t>
    <phoneticPr fontId="26"/>
  </si>
  <si>
    <t>LR1/1. Control of Heat Load on Building Envelopes</t>
    <phoneticPr fontId="26"/>
  </si>
  <si>
    <t>Efficiency in Building Service System</t>
    <phoneticPr fontId="26"/>
  </si>
  <si>
    <t>LR1/3. Efficiency in Building Service System</t>
    <phoneticPr fontId="26"/>
  </si>
  <si>
    <t>Conditions for building types other than Apt.</t>
    <phoneticPr fontId="26"/>
  </si>
  <si>
    <t>Conditions for Apt.</t>
    <phoneticPr fontId="26"/>
  </si>
  <si>
    <t>Apt. **</t>
    <phoneticPr fontId="26"/>
  </si>
  <si>
    <t>Evaluated level 4 or higher with BEI+</t>
    <phoneticPr fontId="26"/>
  </si>
  <si>
    <t>Overview of eligible off-site renewable energy</t>
    <phoneticPr fontId="26"/>
  </si>
  <si>
    <t>n</t>
    <phoneticPr fontId="26"/>
  </si>
  <si>
    <r>
      <rPr>
        <b/>
        <sz val="12"/>
        <rFont val="Wingdings"/>
        <charset val="2"/>
      </rPr>
      <t>n</t>
    </r>
    <r>
      <rPr>
        <b/>
        <sz val="12"/>
        <rFont val="ＭＳ Ｐゴシック"/>
        <family val="3"/>
        <charset val="128"/>
      </rPr>
      <t xml:space="preserve"> </t>
    </r>
    <r>
      <rPr>
        <b/>
        <sz val="12"/>
        <rFont val="Arial"/>
        <family val="2"/>
      </rPr>
      <t>LR1 Data transcription from "Building Energy Consumption Performance Assurance Plan" etc.</t>
    </r>
    <phoneticPr fontId="26"/>
  </si>
  <si>
    <t>Transcription of BEI and other indicators</t>
    <phoneticPr fontId="26"/>
  </si>
  <si>
    <t>Yes</t>
    <phoneticPr fontId="26"/>
  </si>
  <si>
    <t>Applicable only for buildings of more than 6 floors or when effect of introducing renewable energy is low due to reasons such as shade.</t>
    <phoneticPr fontId="26"/>
  </si>
  <si>
    <t xml:space="preserve">Floor area evaluated based on </t>
    <phoneticPr fontId="26"/>
  </si>
  <si>
    <t>No (Evaluation based on Calculation Program)</t>
    <phoneticPr fontId="26"/>
  </si>
  <si>
    <t>For BEI+, it is necessary to confirm the effectiveness of off-site renewable energy, and the following points should be presented.
[1] Presentation of an overview of the evaluated “renewable energy power generation equipment/facilities” (location, capacity, specifications, etc.)
[2] Presentation of annual energy usage review materials (supply and demand balance review materials)
[3] Some kind of renewable energy facilities should be  planned to be installed on site (Not applicable where there are no renewable energy facilities on site).</t>
    <phoneticPr fontId="26"/>
  </si>
  <si>
    <t>Level 2 (meeting "Standards for the prevention of heat loss through the exterior walls and windows of residential parts and standards for primary energy consumption" (MLIT Notification No. 266, revised in November 4, 2022). hereinafter referred to as the "Specification Standards")) and Level 4 (meeting "Certification Standards for the exterior walls and windows of residential parts and Certification Standards for Primary Energy Consumption" (MLIT Notification No. 1106, November 4, 2022. Hereinafter referred to as "Certification Specification Standards"). If the above levels are not met, select Level 1.</t>
    <phoneticPr fontId="26"/>
  </si>
  <si>
    <t>Bldg. type [1]</t>
    <phoneticPr fontId="26"/>
  </si>
  <si>
    <t>Bldg. type [2]</t>
  </si>
  <si>
    <t>Bldg. type [3]</t>
  </si>
  <si>
    <t>Bldg. type [4]</t>
  </si>
  <si>
    <t>Bldg. type [5]</t>
  </si>
  <si>
    <t>Off, Sch</t>
    <phoneticPr fontId="26"/>
  </si>
  <si>
    <t>Rtl, Htl</t>
    <phoneticPr fontId="26"/>
  </si>
  <si>
    <t>Rst, Hal, Hsp</t>
    <phoneticPr fontId="26"/>
  </si>
  <si>
    <t>Fct</t>
    <phoneticPr fontId="26"/>
  </si>
  <si>
    <t>Apt</t>
    <phoneticPr fontId="26"/>
  </si>
  <si>
    <t>Bldg. type [6]</t>
    <phoneticPr fontId="26"/>
  </si>
  <si>
    <t>Other than Apt</t>
    <phoneticPr fontId="26"/>
  </si>
  <si>
    <t>Transcription of Primary energy consumption of the building, etc. (for WLC calculation)</t>
    <phoneticPr fontId="26"/>
  </si>
  <si>
    <t>Corridor type in common areas</t>
    <phoneticPr fontId="26"/>
  </si>
  <si>
    <t>outdoor corridor</t>
  </si>
  <si>
    <t>indoor corridor</t>
    <phoneticPr fontId="26"/>
  </si>
  <si>
    <t>Select the following if you do not use the calculation program for apartments (dwelling area).</t>
    <phoneticPr fontId="26"/>
  </si>
  <si>
    <t>Common area*</t>
    <phoneticPr fontId="26"/>
  </si>
  <si>
    <t>Guestrooms in common area*
as dwelling unit</t>
    <phoneticPr fontId="26"/>
  </si>
  <si>
    <t>Dwelling unit subtotal</t>
    <phoneticPr fontId="26"/>
  </si>
  <si>
    <t>[MJ/yr]</t>
    <phoneticPr fontId="26"/>
  </si>
  <si>
    <t>A. Standard primary energy consumption</t>
    <phoneticPr fontId="3"/>
  </si>
  <si>
    <t>F. Electric power generated (by PV)</t>
    <phoneticPr fontId="3"/>
  </si>
  <si>
    <t>E. Electric power generated (by CGS)</t>
    <phoneticPr fontId="132"/>
  </si>
  <si>
    <t>C. Deduction related to CGS-generated electricity sales (enter negative value)</t>
    <phoneticPr fontId="3"/>
  </si>
  <si>
    <t>incl. electricity sales</t>
    <phoneticPr fontId="26"/>
  </si>
  <si>
    <t>incl. PV (total generation)</t>
    <phoneticPr fontId="26"/>
  </si>
  <si>
    <t>excl. PV</t>
    <phoneticPr fontId="26"/>
  </si>
  <si>
    <t>incl. PV (in-house cons.)</t>
    <phoneticPr fontId="26"/>
  </si>
  <si>
    <t>Note;</t>
    <phoneticPr fontId="26"/>
  </si>
  <si>
    <t>- "B" does not take into account reductions achieved through renewable energy "F". "G" takes into account "F" (in-house consumption).</t>
    <phoneticPr fontId="26"/>
  </si>
  <si>
    <t>- Electricity sold to others through Feed-in-Tariffs is excluded from the assessment.</t>
    <phoneticPr fontId="26"/>
  </si>
  <si>
    <t>4.1 Monitoring, 4.2 Operation &amp; Management System</t>
    <phoneticPr fontId="26"/>
  </si>
  <si>
    <t>ERROR (There is an error in the input.)</t>
    <phoneticPr fontId="26"/>
  </si>
  <si>
    <t>Evaluation based on Calculation Program</t>
    <phoneticPr fontId="26"/>
  </si>
  <si>
    <t>Evaluation not based on Calculation Program</t>
    <phoneticPr fontId="26"/>
  </si>
  <si>
    <r>
      <rPr>
        <sz val="11"/>
        <rFont val="ＭＳ Ｐゴシック"/>
        <family val="3"/>
        <charset val="128"/>
      </rPr>
      <t>レベル</t>
    </r>
    <phoneticPr fontId="26"/>
  </si>
  <si>
    <r>
      <t>1</t>
    </r>
    <r>
      <rPr>
        <sz val="11"/>
        <rFont val="ＭＳ Ｐゴシック"/>
        <family val="3"/>
        <charset val="128"/>
      </rPr>
      <t>～</t>
    </r>
    <r>
      <rPr>
        <sz val="11"/>
        <rFont val="Arial"/>
        <family val="2"/>
      </rPr>
      <t>7</t>
    </r>
    <r>
      <rPr>
        <sz val="11"/>
        <rFont val="ＭＳ Ｐゴシック"/>
        <family val="3"/>
        <charset val="128"/>
      </rPr>
      <t>地域</t>
    </r>
    <rPh sb="3" eb="5">
      <t>チイキ</t>
    </rPh>
    <phoneticPr fontId="26"/>
  </si>
  <si>
    <r>
      <t>a</t>
    </r>
    <r>
      <rPr>
        <sz val="11"/>
        <rFont val="ＭＳ Ｐゴシック"/>
        <family val="3"/>
        <charset val="128"/>
      </rPr>
      <t>（傾き）</t>
    </r>
    <rPh sb="2" eb="3">
      <t>カタム</t>
    </rPh>
    <phoneticPr fontId="26"/>
  </si>
  <si>
    <r>
      <rPr>
        <sz val="11"/>
        <rFont val="ＭＳ Ｐゴシック"/>
        <family val="3"/>
        <charset val="128"/>
      </rPr>
      <t>ｂ（切片）</t>
    </r>
    <rPh sb="2" eb="4">
      <t>セッペン</t>
    </rPh>
    <phoneticPr fontId="26"/>
  </si>
  <si>
    <r>
      <rPr>
        <sz val="11"/>
        <rFont val="ＭＳ Ｐゴシック"/>
        <family val="3"/>
        <charset val="128"/>
      </rPr>
      <t>住宅</t>
    </r>
    <rPh sb="0" eb="2">
      <t>ジュウタク</t>
    </rPh>
    <phoneticPr fontId="26"/>
  </si>
  <si>
    <r>
      <rPr>
        <sz val="11"/>
        <rFont val="ＭＳ Ｐゴシック"/>
        <family val="3"/>
        <charset val="128"/>
      </rPr>
      <t>評価建物</t>
    </r>
    <rPh sb="0" eb="2">
      <t>ヒョウカ</t>
    </rPh>
    <rPh sb="2" eb="4">
      <t>タテモノ</t>
    </rPh>
    <phoneticPr fontId="26"/>
  </si>
  <si>
    <r>
      <rPr>
        <sz val="9"/>
        <rFont val="ＭＳ Ｐゴシック"/>
        <family val="3"/>
        <charset val="128"/>
      </rPr>
      <t>〇〇</t>
    </r>
    <r>
      <rPr>
        <sz val="9"/>
        <rFont val="Arial"/>
        <family val="2"/>
      </rPr>
      <t xml:space="preserve">kW installed in </t>
    </r>
    <r>
      <rPr>
        <sz val="9"/>
        <rFont val="ＭＳ Ｐゴシック"/>
        <family val="3"/>
        <charset val="128"/>
      </rPr>
      <t>〇〇</t>
    </r>
    <r>
      <rPr>
        <sz val="9"/>
        <rFont val="Arial"/>
        <family val="2"/>
      </rPr>
      <t xml:space="preserve"> City, used </t>
    </r>
    <r>
      <rPr>
        <sz val="9"/>
        <rFont val="ＭＳ Ｐゴシック"/>
        <family val="3"/>
        <charset val="128"/>
      </rPr>
      <t>〇〇</t>
    </r>
    <r>
      <rPr>
        <sz val="9"/>
        <rFont val="Arial"/>
        <family val="2"/>
      </rPr>
      <t>GJ/yr, etc.</t>
    </r>
    <phoneticPr fontId="26"/>
  </si>
  <si>
    <r>
      <t>BEI</t>
    </r>
    <r>
      <rPr>
        <sz val="9"/>
        <rFont val="ＭＳ Ｐゴシック"/>
        <family val="3"/>
        <charset val="128"/>
      </rPr>
      <t>＊＝</t>
    </r>
    <phoneticPr fontId="26"/>
  </si>
  <si>
    <r>
      <t>&lt;</t>
    </r>
    <r>
      <rPr>
        <sz val="9"/>
        <color rgb="FFFF0000"/>
        <rFont val="ＭＳ Ｐゴシック"/>
        <family val="3"/>
        <charset val="128"/>
      </rPr>
      <t>運用期間が</t>
    </r>
    <r>
      <rPr>
        <sz val="9"/>
        <color rgb="FFFF0000"/>
        <rFont val="Arial"/>
        <family val="2"/>
      </rPr>
      <t>1</t>
    </r>
    <r>
      <rPr>
        <sz val="9"/>
        <color rgb="FFFF0000"/>
        <rFont val="ＭＳ Ｐゴシック"/>
        <family val="3"/>
        <charset val="128"/>
      </rPr>
      <t>年未満の場合</t>
    </r>
    <r>
      <rPr>
        <sz val="9"/>
        <color rgb="FFFF0000"/>
        <rFont val="Arial"/>
        <family val="2"/>
      </rPr>
      <t>&gt;</t>
    </r>
    <phoneticPr fontId="26"/>
  </si>
  <si>
    <r>
      <rPr>
        <sz val="9"/>
        <color rgb="FFFF0000"/>
        <rFont val="ＭＳ Ｐゴシック"/>
        <family val="3"/>
        <charset val="128"/>
      </rPr>
      <t>　期間積算の基準一次エネルギー消費量に対する設計一次エネルギー消費量の比率</t>
    </r>
    <r>
      <rPr>
        <sz val="9"/>
        <color rgb="FFFF0000"/>
        <rFont val="Arial"/>
        <family val="2"/>
      </rPr>
      <t xml:space="preserve"> [BEI</t>
    </r>
    <r>
      <rPr>
        <vertAlign val="superscript"/>
        <sz val="9"/>
        <color rgb="FFFF0000"/>
        <rFont val="Arial"/>
        <family val="2"/>
      </rPr>
      <t>TC</t>
    </r>
    <r>
      <rPr>
        <sz val="9"/>
        <color rgb="FFFF0000"/>
        <rFont val="Arial"/>
        <family val="2"/>
      </rPr>
      <t xml:space="preserve">] </t>
    </r>
    <r>
      <rPr>
        <sz val="9"/>
        <color rgb="FFFF0000"/>
        <rFont val="ＭＳ Ｐゴシック"/>
        <family val="3"/>
        <charset val="128"/>
      </rPr>
      <t>を</t>
    </r>
    <r>
      <rPr>
        <sz val="9"/>
        <color rgb="FFFF0000"/>
        <rFont val="Arial"/>
        <family val="2"/>
      </rPr>
      <t>[BEI]</t>
    </r>
    <r>
      <rPr>
        <sz val="9"/>
        <color rgb="FFFF0000"/>
        <rFont val="ＭＳ Ｐゴシック"/>
        <family val="3"/>
        <charset val="128"/>
      </rPr>
      <t>欄に入力</t>
    </r>
    <rPh sb="52" eb="53">
      <t>ラン</t>
    </rPh>
    <phoneticPr fontId="26"/>
  </si>
  <si>
    <r>
      <rPr>
        <sz val="11"/>
        <rFont val="ＭＳ Ｐゴシック"/>
        <family val="3"/>
        <charset val="128"/>
      </rPr>
      <t>－</t>
    </r>
    <phoneticPr fontId="26"/>
  </si>
  <si>
    <r>
      <rPr>
        <sz val="9"/>
        <rFont val="ＭＳ Ｐゴシック"/>
        <family val="3"/>
        <charset val="128"/>
      </rPr>
      <t>－</t>
    </r>
    <r>
      <rPr>
        <sz val="9"/>
        <rFont val="Arial"/>
        <family val="2"/>
      </rPr>
      <t>: Other than above (or unknown)</t>
    </r>
  </si>
  <si>
    <r>
      <t>MJ/yr-</t>
    </r>
    <r>
      <rPr>
        <sz val="9"/>
        <rFont val="ＭＳ Ｐゴシック"/>
        <family val="3"/>
        <charset val="128"/>
      </rPr>
      <t>㎡</t>
    </r>
    <phoneticPr fontId="26"/>
  </si>
  <si>
    <r>
      <t>Floor area [</t>
    </r>
    <r>
      <rPr>
        <b/>
        <sz val="9"/>
        <rFont val="ＭＳ Ｐゴシック"/>
        <family val="3"/>
        <charset val="128"/>
      </rPr>
      <t>㎡</t>
    </r>
    <r>
      <rPr>
        <b/>
        <sz val="9"/>
        <rFont val="Arial"/>
        <family val="2"/>
      </rPr>
      <t>] to be evaluated by calculation program</t>
    </r>
    <phoneticPr fontId="26"/>
  </si>
  <si>
    <r>
      <t>&lt;Ref.&gt;</t>
    </r>
    <r>
      <rPr>
        <sz val="10"/>
        <rFont val="ＭＳ Ｐゴシック"/>
        <family val="3"/>
        <charset val="128"/>
      </rPr>
      <t>　</t>
    </r>
    <r>
      <rPr>
        <sz val="10"/>
        <rFont val="Arial"/>
        <family val="2"/>
      </rPr>
      <t>BEI</t>
    </r>
    <r>
      <rPr>
        <sz val="10"/>
        <rFont val="ＭＳ Ｐゴシック"/>
        <family val="3"/>
        <charset val="128"/>
      </rPr>
      <t>＊</t>
    </r>
    <phoneticPr fontId="26"/>
  </si>
  <si>
    <r>
      <t>Statistic data [MJ/yr-</t>
    </r>
    <r>
      <rPr>
        <sz val="10"/>
        <rFont val="ＭＳ Ｐゴシック"/>
        <family val="3"/>
        <charset val="128"/>
      </rPr>
      <t>㎡</t>
    </r>
    <r>
      <rPr>
        <sz val="10"/>
        <rFont val="Arial"/>
        <family val="2"/>
      </rPr>
      <t>]</t>
    </r>
    <phoneticPr fontId="26"/>
  </si>
  <si>
    <r>
      <rPr>
        <sz val="11"/>
        <rFont val="ＭＳ Ｐゴシック"/>
        <family val="3"/>
        <charset val="128"/>
      </rPr>
      <t>電気％</t>
    </r>
    <rPh sb="0" eb="2">
      <t>デンキ</t>
    </rPh>
    <phoneticPr fontId="26"/>
  </si>
  <si>
    <r>
      <rPr>
        <sz val="11"/>
        <rFont val="ＭＳ Ｐゴシック"/>
        <family val="3"/>
        <charset val="128"/>
      </rPr>
      <t>電気分</t>
    </r>
    <rPh sb="0" eb="2">
      <t>デンキ</t>
    </rPh>
    <rPh sb="2" eb="3">
      <t>ブン</t>
    </rPh>
    <phoneticPr fontId="26"/>
  </si>
  <si>
    <r>
      <rPr>
        <sz val="10"/>
        <color theme="8"/>
        <rFont val="ＭＳ Ｐゴシック"/>
        <family val="3"/>
        <charset val="128"/>
      </rPr>
      <t>■自然エネルギーの直接利用量</t>
    </r>
    <rPh sb="1" eb="3">
      <t>シゼン</t>
    </rPh>
    <rPh sb="9" eb="11">
      <t>チョクセツ</t>
    </rPh>
    <rPh sb="11" eb="13">
      <t>リヨウ</t>
    </rPh>
    <rPh sb="13" eb="14">
      <t>リョウ</t>
    </rPh>
    <phoneticPr fontId="26"/>
  </si>
  <si>
    <r>
      <rPr>
        <sz val="10"/>
        <color theme="8"/>
        <rFont val="ＭＳ Ｐゴシック"/>
        <family val="3"/>
        <charset val="128"/>
      </rPr>
      <t>用途別面積</t>
    </r>
    <rPh sb="0" eb="2">
      <t>ヨウト</t>
    </rPh>
    <rPh sb="2" eb="3">
      <t>ベツ</t>
    </rPh>
    <rPh sb="3" eb="5">
      <t>メンセキ</t>
    </rPh>
    <phoneticPr fontId="28"/>
  </si>
  <si>
    <r>
      <t xml:space="preserve">LR1/2. </t>
    </r>
    <r>
      <rPr>
        <sz val="10"/>
        <color theme="8"/>
        <rFont val="ＭＳ Ｐゴシック"/>
        <family val="3"/>
        <charset val="128"/>
      </rPr>
      <t>自然ｴﾈﾙｷﾞｰ利用</t>
    </r>
    <rPh sb="7" eb="9">
      <t>シゼン</t>
    </rPh>
    <rPh sb="15" eb="17">
      <t>リヨウ</t>
    </rPh>
    <phoneticPr fontId="26"/>
  </si>
  <si>
    <r>
      <rPr>
        <sz val="9"/>
        <color theme="8"/>
        <rFont val="ＭＳ Ｐゴシック"/>
        <family val="3"/>
        <charset val="128"/>
      </rPr>
      <t>㎡</t>
    </r>
    <phoneticPr fontId="26"/>
  </si>
  <si>
    <r>
      <rPr>
        <sz val="10"/>
        <color theme="8"/>
        <rFont val="ＭＳ Ｐゴシック"/>
        <family val="3"/>
        <charset val="128"/>
      </rPr>
      <t>ﾚﾍﾞﾙ３</t>
    </r>
  </si>
  <si>
    <r>
      <rPr>
        <sz val="10"/>
        <color theme="8"/>
        <rFont val="ＭＳ Ｐゴシック"/>
        <family val="3"/>
        <charset val="128"/>
      </rPr>
      <t>ﾚﾍﾞﾙ４</t>
    </r>
  </si>
  <si>
    <r>
      <rPr>
        <sz val="10"/>
        <color theme="8"/>
        <rFont val="ＭＳ Ｐゴシック"/>
        <family val="3"/>
        <charset val="128"/>
      </rPr>
      <t>ﾚﾍﾞﾙ５</t>
    </r>
  </si>
  <si>
    <r>
      <rPr>
        <sz val="10"/>
        <color theme="8"/>
        <rFont val="ＭＳ Ｐゴシック"/>
        <family val="3"/>
        <charset val="128"/>
      </rPr>
      <t>採点結果</t>
    </r>
    <rPh sb="0" eb="2">
      <t>サイテン</t>
    </rPh>
    <rPh sb="2" eb="4">
      <t>ケッカ</t>
    </rPh>
    <phoneticPr fontId="26"/>
  </si>
  <si>
    <r>
      <rPr>
        <sz val="10"/>
        <color theme="8"/>
        <rFont val="ＭＳ Ｐゴシック"/>
        <family val="3"/>
        <charset val="128"/>
      </rPr>
      <t>削減量</t>
    </r>
    <rPh sb="0" eb="2">
      <t>サクゲン</t>
    </rPh>
    <rPh sb="2" eb="3">
      <t>リョウ</t>
    </rPh>
    <phoneticPr fontId="26"/>
  </si>
  <si>
    <r>
      <rPr>
        <sz val="10"/>
        <color theme="8"/>
        <rFont val="ＭＳ Ｐゴシック"/>
        <family val="3"/>
        <charset val="128"/>
      </rPr>
      <t>小中高校・集合住宅</t>
    </r>
    <rPh sb="0" eb="3">
      <t>ショウチュウコウ</t>
    </rPh>
    <rPh sb="3" eb="4">
      <t>コウ</t>
    </rPh>
    <rPh sb="5" eb="7">
      <t>シュウゴウ</t>
    </rPh>
    <rPh sb="7" eb="9">
      <t>ジュウタク</t>
    </rPh>
    <phoneticPr fontId="26"/>
  </si>
  <si>
    <r>
      <rPr>
        <sz val="10"/>
        <color theme="8"/>
        <rFont val="ＭＳ Ｐゴシック"/>
        <family val="3"/>
        <charset val="128"/>
      </rPr>
      <t>上記以外</t>
    </r>
    <rPh sb="0" eb="2">
      <t>ジョウキ</t>
    </rPh>
    <rPh sb="2" eb="4">
      <t>イガイ</t>
    </rPh>
    <phoneticPr fontId="26"/>
  </si>
  <si>
    <r>
      <t>MJ/</t>
    </r>
    <r>
      <rPr>
        <sz val="9"/>
        <color theme="8"/>
        <rFont val="ＭＳ Ｐゴシック"/>
        <family val="3"/>
        <charset val="128"/>
      </rPr>
      <t>年㎡</t>
    </r>
    <rPh sb="3" eb="4">
      <t>ネン</t>
    </rPh>
    <phoneticPr fontId="26"/>
  </si>
  <si>
    <r>
      <t>BEI</t>
    </r>
    <r>
      <rPr>
        <sz val="10"/>
        <rFont val="ＭＳ Ｐゴシック"/>
        <family val="3"/>
        <charset val="128"/>
      </rPr>
      <t>＊</t>
    </r>
    <r>
      <rPr>
        <sz val="10"/>
        <rFont val="Arial"/>
        <family val="2"/>
      </rPr>
      <t>=</t>
    </r>
    <phoneticPr fontId="26"/>
  </si>
  <si>
    <r>
      <rPr>
        <sz val="11"/>
        <rFont val="ＭＳ Ｐゴシック"/>
        <family val="3"/>
        <charset val="128"/>
      </rPr>
      <t>→レベル４以上は</t>
    </r>
    <r>
      <rPr>
        <sz val="11"/>
        <rFont val="Arial"/>
        <family val="2"/>
      </rPr>
      <t>BEI</t>
    </r>
    <r>
      <rPr>
        <sz val="11"/>
        <rFont val="ＭＳ Ｐゴシック"/>
        <family val="3"/>
        <charset val="128"/>
      </rPr>
      <t>に</t>
    </r>
    <r>
      <rPr>
        <sz val="11"/>
        <rFont val="Arial"/>
        <family val="2"/>
      </rPr>
      <t>PV</t>
    </r>
    <r>
      <rPr>
        <sz val="11"/>
        <rFont val="ＭＳ Ｐゴシック"/>
        <family val="3"/>
        <charset val="128"/>
      </rPr>
      <t>売電分含む</t>
    </r>
    <rPh sb="5" eb="7">
      <t>イジョウ</t>
    </rPh>
    <rPh sb="14" eb="17">
      <t>バイデンブン</t>
    </rPh>
    <rPh sb="17" eb="18">
      <t>フク</t>
    </rPh>
    <phoneticPr fontId="26"/>
  </si>
  <si>
    <r>
      <rPr>
        <sz val="11"/>
        <rFont val="ＭＳ Ｐゴシック"/>
        <family val="3"/>
        <charset val="128"/>
      </rPr>
      <t>→</t>
    </r>
    <r>
      <rPr>
        <sz val="11"/>
        <rFont val="Arial"/>
        <family val="2"/>
      </rPr>
      <t>PV</t>
    </r>
    <r>
      <rPr>
        <sz val="11"/>
        <rFont val="ＭＳ Ｐゴシック"/>
        <family val="3"/>
        <charset val="128"/>
      </rPr>
      <t>・コジェネ売電分含む</t>
    </r>
    <rPh sb="8" eb="11">
      <t>バイデンブン</t>
    </rPh>
    <rPh sb="11" eb="12">
      <t>フク</t>
    </rPh>
    <phoneticPr fontId="26"/>
  </si>
  <si>
    <r>
      <rPr>
        <sz val="11"/>
        <rFont val="ＭＳ Ｐゴシック"/>
        <family val="3"/>
        <charset val="128"/>
      </rPr>
      <t>→</t>
    </r>
    <r>
      <rPr>
        <sz val="11"/>
        <rFont val="Arial"/>
        <family val="2"/>
      </rPr>
      <t>PV</t>
    </r>
    <r>
      <rPr>
        <sz val="11"/>
        <rFont val="ＭＳ Ｐゴシック"/>
        <family val="3"/>
        <charset val="128"/>
      </rPr>
      <t>売電分含む</t>
    </r>
    <rPh sb="3" eb="6">
      <t>バイデンブン</t>
    </rPh>
    <rPh sb="6" eb="7">
      <t>フク</t>
    </rPh>
    <phoneticPr fontId="26"/>
  </si>
  <si>
    <t>* can be omitted. Guestrooms may be included in dwelling unit subtotal.</t>
    <phoneticPr fontId="26"/>
  </si>
  <si>
    <r>
      <t>Floor area [</t>
    </r>
    <r>
      <rPr>
        <sz val="8"/>
        <rFont val="ＭＳ Ｐゴシック"/>
        <family val="3"/>
        <charset val="128"/>
      </rPr>
      <t>㎡</t>
    </r>
    <r>
      <rPr>
        <sz val="8"/>
        <rFont val="Arial"/>
        <family val="2"/>
      </rPr>
      <t>]</t>
    </r>
    <phoneticPr fontId="26"/>
  </si>
  <si>
    <r>
      <t>Evaluated level 4 or higher with BEI</t>
    </r>
    <r>
      <rPr>
        <sz val="9"/>
        <rFont val="Yu Gothic"/>
        <family val="2"/>
        <charset val="128"/>
      </rPr>
      <t>＊</t>
    </r>
    <phoneticPr fontId="26"/>
  </si>
  <si>
    <t>Score weighted average</t>
    <phoneticPr fontId="26"/>
  </si>
  <si>
    <t>Floor area evaluated based on specification std.</t>
    <phoneticPr fontId="26"/>
  </si>
  <si>
    <t>Evaluated based on specification std.</t>
    <phoneticPr fontId="26"/>
  </si>
  <si>
    <t>Prim. Ene. Cons. Perf. incl. on-site renewables (total)</t>
    <phoneticPr fontId="26"/>
  </si>
  <si>
    <r>
      <t>** For apartments, enter the “primary energy consumption reduction rate” including common areas converted to BEI or BEI</t>
    </r>
    <r>
      <rPr>
        <sz val="8"/>
        <rFont val="Yu Gothic"/>
        <family val="2"/>
        <charset val="128"/>
      </rPr>
      <t>＊</t>
    </r>
    <r>
      <rPr>
        <sz val="8"/>
        <rFont val="Arial"/>
        <family val="2"/>
      </rPr>
      <t xml:space="preserve"> (1 - “primary energy consumption reduction rate”). Evaluations are also acceptable with BEI and BEI</t>
    </r>
    <r>
      <rPr>
        <sz val="8"/>
        <rFont val="Yu Gothic"/>
        <family val="2"/>
        <charset val="128"/>
      </rPr>
      <t>＊</t>
    </r>
    <r>
      <rPr>
        <sz val="8"/>
        <rFont val="Arial"/>
        <family val="2"/>
      </rPr>
      <t xml:space="preserve"> for dwelling areas only (common areas may be omitted).</t>
    </r>
    <phoneticPr fontId="26"/>
  </si>
  <si>
    <r>
      <rPr>
        <sz val="8"/>
        <rFont val="ＭＳ Ｐゴシック"/>
        <family val="3"/>
        <charset val="128"/>
      </rPr>
      <t>←</t>
    </r>
    <r>
      <rPr>
        <sz val="8"/>
        <rFont val="Arial"/>
        <family val="2"/>
      </rPr>
      <t>Fill in the details of [1] and [2] below.</t>
    </r>
    <phoneticPr fontId="26"/>
  </si>
  <si>
    <t>Applicable if the on-site renewable energy is introduced, and the effectiveness is presented, and  [BEI＊] ≤ 0.5.</t>
  </si>
  <si>
    <t>Initiatives for Efficient Operation</t>
  </si>
  <si>
    <t>Initiatives for Efficient Operation</t>
    <phoneticPr fontId="26"/>
  </si>
  <si>
    <t>&lt;Ref.&gt;[4] Above Initiatives + Other Off-site Measures</t>
    <phoneticPr fontId="26"/>
  </si>
  <si>
    <t>[3] Above Initiatives + Other On-site Measures</t>
    <phoneticPr fontId="26"/>
  </si>
  <si>
    <t>[2] Building-related Initiatives</t>
    <phoneticPr fontId="26"/>
  </si>
  <si>
    <t>Eval. bldg.</t>
    <phoneticPr fontId="26"/>
  </si>
  <si>
    <r>
      <rPr>
        <sz val="10"/>
        <rFont val="ＭＳ Ｐゴシック"/>
        <family val="3"/>
        <charset val="128"/>
      </rPr>
      <t>＜</t>
    </r>
    <r>
      <rPr>
        <sz val="10"/>
        <rFont val="Arial"/>
        <family val="2"/>
      </rPr>
      <t>Ref.</t>
    </r>
    <r>
      <rPr>
        <sz val="10"/>
        <rFont val="ＭＳ Ｐゴシック"/>
        <family val="3"/>
        <charset val="128"/>
      </rPr>
      <t>＞</t>
    </r>
    <r>
      <rPr>
        <sz val="10"/>
        <rFont val="Arial"/>
        <family val="2"/>
      </rPr>
      <t>adjusted emission factors</t>
    </r>
    <phoneticPr fontId="26"/>
  </si>
  <si>
    <t>Basic / alternative factors</t>
    <phoneticPr fontId="26"/>
  </si>
  <si>
    <t>Electricity (basic factor)</t>
    <phoneticPr fontId="26"/>
  </si>
  <si>
    <t>* Source;</t>
    <phoneticPr fontId="26"/>
  </si>
  <si>
    <t>Repair,</t>
    <phoneticPr fontId="26"/>
  </si>
  <si>
    <t xml:space="preserve"> Renewal/</t>
    <phoneticPr fontId="26"/>
  </si>
  <si>
    <t>Initiatives for Efficient Operation</t>
    <phoneticPr fontId="35" type="noConversion"/>
  </si>
  <si>
    <t>Sound Environment</t>
    <phoneticPr fontId="26"/>
  </si>
  <si>
    <t xml:space="preserve"> Sound Environment</t>
    <phoneticPr fontId="35" type="noConversion"/>
  </si>
  <si>
    <t>Indoor Environment</t>
    <phoneticPr fontId="26"/>
  </si>
  <si>
    <t>Select from pull-down menus or enter figures and comments.</t>
  </si>
  <si>
    <t>Indoor Noise Level</t>
  </si>
  <si>
    <t>Hsp,Htl,Apt</t>
    <phoneticPr fontId="26"/>
  </si>
  <si>
    <t>50 &lt; [Background noise level]</t>
  </si>
  <si>
    <t>45 &lt; [Background noise level]</t>
  </si>
  <si>
    <t>55 &lt; [Background noise level]</t>
  </si>
  <si>
    <t>40 &lt; [Background noise level]</t>
  </si>
  <si>
    <t xml:space="preserve">60 &lt; [Background noise level]  </t>
  </si>
  <si>
    <t>(No corresponding level)</t>
  </si>
  <si>
    <r>
      <t xml:space="preserve">50 &lt; [Background noise level] </t>
    </r>
    <r>
      <rPr>
        <sz val="8"/>
        <rFont val="ＭＳ Ｐゴシック"/>
        <family val="3"/>
        <charset val="128"/>
      </rPr>
      <t>≦</t>
    </r>
    <r>
      <rPr>
        <sz val="8"/>
        <rFont val="Arial"/>
        <family val="2"/>
      </rPr>
      <t xml:space="preserve"> 60</t>
    </r>
  </si>
  <si>
    <r>
      <t xml:space="preserve">45 &lt; [Background noise level] </t>
    </r>
    <r>
      <rPr>
        <sz val="8"/>
        <rFont val="ＭＳ Ｐゴシック"/>
        <family val="3"/>
        <charset val="128"/>
      </rPr>
      <t>≦</t>
    </r>
    <r>
      <rPr>
        <sz val="8"/>
        <rFont val="Arial"/>
        <family val="2"/>
      </rPr>
      <t xml:space="preserve"> 50</t>
    </r>
  </si>
  <si>
    <r>
      <t xml:space="preserve">40 &lt; [Background noise level] </t>
    </r>
    <r>
      <rPr>
        <sz val="8"/>
        <rFont val="ＭＳ Ｐゴシック"/>
        <family val="3"/>
        <charset val="128"/>
      </rPr>
      <t>≦</t>
    </r>
    <r>
      <rPr>
        <sz val="8"/>
        <rFont val="Arial"/>
        <family val="2"/>
      </rPr>
      <t xml:space="preserve"> 45</t>
    </r>
  </si>
  <si>
    <r>
      <t xml:space="preserve">50 &lt; [Background noise level] </t>
    </r>
    <r>
      <rPr>
        <sz val="8"/>
        <rFont val="ＭＳ Ｐゴシック"/>
        <family val="3"/>
        <charset val="128"/>
      </rPr>
      <t>≦</t>
    </r>
    <r>
      <rPr>
        <sz val="8"/>
        <rFont val="Arial"/>
        <family val="2"/>
      </rPr>
      <t xml:space="preserve"> 55</t>
    </r>
  </si>
  <si>
    <r>
      <t xml:space="preserve">35 &lt; [Background noise level] </t>
    </r>
    <r>
      <rPr>
        <sz val="8"/>
        <rFont val="ＭＳ Ｐゴシック"/>
        <family val="3"/>
        <charset val="128"/>
      </rPr>
      <t>≦</t>
    </r>
    <r>
      <rPr>
        <sz val="8"/>
        <rFont val="Arial"/>
        <family val="2"/>
      </rPr>
      <t xml:space="preserve"> 40</t>
    </r>
  </si>
  <si>
    <r>
      <t xml:space="preserve">30 &lt; [Background noise level] </t>
    </r>
    <r>
      <rPr>
        <sz val="8"/>
        <rFont val="ＭＳ Ｐゴシック"/>
        <family val="3"/>
        <charset val="128"/>
      </rPr>
      <t>≦</t>
    </r>
    <r>
      <rPr>
        <sz val="8"/>
        <rFont val="Arial"/>
        <family val="2"/>
      </rPr>
      <t xml:space="preserve"> 35</t>
    </r>
  </si>
  <si>
    <r>
      <t xml:space="preserve">35 &lt; [Background noise level] </t>
    </r>
    <r>
      <rPr>
        <sz val="8"/>
        <rFont val="ＭＳ Ｐゴシック"/>
        <family val="3"/>
        <charset val="128"/>
      </rPr>
      <t>≦</t>
    </r>
    <r>
      <rPr>
        <sz val="8"/>
        <rFont val="Arial"/>
        <family val="2"/>
      </rPr>
      <t xml:space="preserve"> 45</t>
    </r>
  </si>
  <si>
    <r>
      <t xml:space="preserve">[Background noise level] </t>
    </r>
    <r>
      <rPr>
        <sz val="8"/>
        <rFont val="ＭＳ Ｐゴシック"/>
        <family val="3"/>
        <charset val="128"/>
      </rPr>
      <t>≦</t>
    </r>
    <r>
      <rPr>
        <sz val="8"/>
        <rFont val="Arial"/>
        <family val="2"/>
      </rPr>
      <t xml:space="preserve"> 40</t>
    </r>
  </si>
  <si>
    <r>
      <t xml:space="preserve">[Background noise level] </t>
    </r>
    <r>
      <rPr>
        <sz val="8"/>
        <rFont val="ＭＳ Ｐゴシック"/>
        <family val="3"/>
        <charset val="128"/>
      </rPr>
      <t>≦</t>
    </r>
    <r>
      <rPr>
        <sz val="8"/>
        <rFont val="Arial"/>
        <family val="2"/>
      </rPr>
      <t xml:space="preserve"> 35</t>
    </r>
  </si>
  <si>
    <r>
      <t xml:space="preserve">[Background noise level] </t>
    </r>
    <r>
      <rPr>
        <sz val="8"/>
        <rFont val="ＭＳ Ｐゴシック"/>
        <family val="3"/>
        <charset val="128"/>
      </rPr>
      <t>≦</t>
    </r>
    <r>
      <rPr>
        <sz val="8"/>
        <rFont val="Arial"/>
        <family val="2"/>
      </rPr>
      <t xml:space="preserve"> 45</t>
    </r>
  </si>
  <si>
    <r>
      <t xml:space="preserve">[Background noise level] </t>
    </r>
    <r>
      <rPr>
        <sz val="8"/>
        <rFont val="ＭＳ Ｐゴシック"/>
        <family val="3"/>
        <charset val="128"/>
      </rPr>
      <t>≦</t>
    </r>
    <r>
      <rPr>
        <sz val="8"/>
        <rFont val="Arial"/>
        <family val="2"/>
      </rPr>
      <t xml:space="preserve"> 30</t>
    </r>
    <phoneticPr fontId="26"/>
  </si>
  <si>
    <r>
      <t xml:space="preserve">40 &lt; [Background noise level] </t>
    </r>
    <r>
      <rPr>
        <sz val="9"/>
        <rFont val="ＭＳ Ｐゴシック"/>
        <family val="3"/>
        <charset val="128"/>
      </rPr>
      <t>≦</t>
    </r>
    <r>
      <rPr>
        <sz val="9"/>
        <rFont val="Arial"/>
        <family val="2"/>
      </rPr>
      <t xml:space="preserve"> 45</t>
    </r>
  </si>
  <si>
    <r>
      <t xml:space="preserve">35 &lt; [Background noise level] </t>
    </r>
    <r>
      <rPr>
        <sz val="9"/>
        <rFont val="ＭＳ Ｐゴシック"/>
        <family val="3"/>
        <charset val="128"/>
      </rPr>
      <t>≦</t>
    </r>
    <r>
      <rPr>
        <sz val="9"/>
        <rFont val="Arial"/>
        <family val="2"/>
      </rPr>
      <t xml:space="preserve"> 40</t>
    </r>
  </si>
  <si>
    <r>
      <t xml:space="preserve">[Background noise level] </t>
    </r>
    <r>
      <rPr>
        <sz val="9"/>
        <rFont val="ＭＳ Ｐゴシック"/>
        <family val="3"/>
        <charset val="128"/>
      </rPr>
      <t>≦</t>
    </r>
    <r>
      <rPr>
        <sz val="9"/>
        <rFont val="Arial"/>
        <family val="2"/>
      </rPr>
      <t xml:space="preserve"> 35</t>
    </r>
  </si>
  <si>
    <t>Noise: Allowable indoor noise levels</t>
    <phoneticPr fontId="26"/>
  </si>
  <si>
    <t>dB (A)</t>
  </si>
  <si>
    <t>NC-NR</t>
  </si>
  <si>
    <r>
      <t>10</t>
    </r>
    <r>
      <rPr>
        <sz val="9"/>
        <rFont val="ＭＳ Ｐゴシック"/>
        <family val="3"/>
        <charset val="128"/>
      </rPr>
      <t>～</t>
    </r>
    <r>
      <rPr>
        <sz val="9"/>
        <rFont val="Arial"/>
        <family val="2"/>
      </rPr>
      <t>15</t>
    </r>
  </si>
  <si>
    <r>
      <t>15</t>
    </r>
    <r>
      <rPr>
        <sz val="9"/>
        <rFont val="ＭＳ Ｐゴシック"/>
        <family val="3"/>
        <charset val="128"/>
      </rPr>
      <t>～</t>
    </r>
    <r>
      <rPr>
        <sz val="9"/>
        <rFont val="Arial"/>
        <family val="2"/>
      </rPr>
      <t>20</t>
    </r>
  </si>
  <si>
    <r>
      <t>20</t>
    </r>
    <r>
      <rPr>
        <sz val="9"/>
        <rFont val="ＭＳ Ｐゴシック"/>
        <family val="3"/>
        <charset val="128"/>
      </rPr>
      <t>～</t>
    </r>
    <r>
      <rPr>
        <sz val="9"/>
        <rFont val="Arial"/>
        <family val="2"/>
      </rPr>
      <t>25</t>
    </r>
  </si>
  <si>
    <r>
      <t>25</t>
    </r>
    <r>
      <rPr>
        <sz val="9"/>
        <rFont val="ＭＳ Ｐゴシック"/>
        <family val="3"/>
        <charset val="128"/>
      </rPr>
      <t>～</t>
    </r>
    <r>
      <rPr>
        <sz val="9"/>
        <rFont val="Arial"/>
        <family val="2"/>
      </rPr>
      <t>30</t>
    </r>
  </si>
  <si>
    <r>
      <t>30</t>
    </r>
    <r>
      <rPr>
        <sz val="9"/>
        <rFont val="ＭＳ Ｐゴシック"/>
        <family val="3"/>
        <charset val="128"/>
      </rPr>
      <t>～</t>
    </r>
    <r>
      <rPr>
        <sz val="9"/>
        <rFont val="Arial"/>
        <family val="2"/>
      </rPr>
      <t>35</t>
    </r>
  </si>
  <si>
    <r>
      <t>35</t>
    </r>
    <r>
      <rPr>
        <sz val="9"/>
        <rFont val="ＭＳ Ｐゴシック"/>
        <family val="3"/>
        <charset val="128"/>
      </rPr>
      <t>～</t>
    </r>
    <r>
      <rPr>
        <sz val="9"/>
        <rFont val="Arial"/>
        <family val="2"/>
      </rPr>
      <t>40</t>
    </r>
  </si>
  <si>
    <r>
      <t>40</t>
    </r>
    <r>
      <rPr>
        <sz val="9"/>
        <rFont val="ＭＳ Ｐゴシック"/>
        <family val="3"/>
        <charset val="128"/>
      </rPr>
      <t>～</t>
    </r>
    <r>
      <rPr>
        <sz val="9"/>
        <rFont val="Arial"/>
        <family val="2"/>
      </rPr>
      <t>45</t>
    </r>
  </si>
  <si>
    <r>
      <t>45</t>
    </r>
    <r>
      <rPr>
        <sz val="9"/>
        <rFont val="ＭＳ Ｐゴシック"/>
        <family val="3"/>
        <charset val="128"/>
      </rPr>
      <t>～</t>
    </r>
    <r>
      <rPr>
        <sz val="9"/>
        <rFont val="Arial"/>
        <family val="2"/>
      </rPr>
      <t>50</t>
    </r>
  </si>
  <si>
    <r>
      <t>50</t>
    </r>
    <r>
      <rPr>
        <sz val="9"/>
        <rFont val="ＭＳ Ｐゴシック"/>
        <family val="3"/>
        <charset val="128"/>
      </rPr>
      <t>～</t>
    </r>
    <r>
      <rPr>
        <sz val="9"/>
        <rFont val="Arial"/>
        <family val="2"/>
      </rPr>
      <t>55</t>
    </r>
  </si>
  <si>
    <t>Intrusiveness</t>
  </si>
  <si>
    <t>Silent―――</t>
  </si>
  <si>
    <t>―――――――――Very Quiet―――――――――</t>
  </si>
  <si>
    <t>―Not significantly noticeable――――――</t>
  </si>
  <si>
    <t>Perceived noise―</t>
  </si>
  <si>
    <t>――――――Noise cannot be ignored</t>
  </si>
  <si>
    <t>Impact on</t>
  </si>
  <si>
    <t>A whispering voice is audible from 5m away</t>
  </si>
  <si>
    <t>Possible from 10m apart</t>
  </si>
  <si>
    <t>Possible from 3m apart</t>
  </si>
  <si>
    <t>Loud conversation (3m)</t>
  </si>
  <si>
    <t>conversation</t>
  </si>
  <si>
    <t>Telephone use (normal)</t>
  </si>
  <si>
    <t>――――――</t>
  </si>
  <si>
    <t>Telephone use (bearable)</t>
  </si>
  <si>
    <t>Telephone use (unbearable)</t>
  </si>
  <si>
    <t>Studios</t>
  </si>
  <si>
    <t>Silent room</t>
  </si>
  <si>
    <t xml:space="preserve">Announcement </t>
  </si>
  <si>
    <t>Radio studio</t>
  </si>
  <si>
    <t>Television studios</t>
  </si>
  <si>
    <t>General offices</t>
  </si>
  <si>
    <t>Venues and halls</t>
  </si>
  <si>
    <t>studio</t>
  </si>
  <si>
    <t>Music hall</t>
  </si>
  <si>
    <t>Theater (medium)</t>
  </si>
  <si>
    <t>Stage theaters</t>
  </si>
  <si>
    <t xml:space="preserve">Movie theater </t>
  </si>
  <si>
    <t>Hotel lobbies</t>
  </si>
  <si>
    <t>Hotels and</t>
  </si>
  <si>
    <t>and planetarium</t>
  </si>
  <si>
    <t>residentials</t>
  </si>
  <si>
    <t>Hearing test</t>
  </si>
  <si>
    <t>Special sickrooms</t>
  </si>
  <si>
    <t>Operating rooms and bedrooms</t>
  </si>
  <si>
    <t>Examining room</t>
  </si>
  <si>
    <t>Laboratories</t>
  </si>
  <si>
    <t>Waiting rooms</t>
  </si>
  <si>
    <t>room</t>
  </si>
  <si>
    <t>Public buildings</t>
  </si>
  <si>
    <t>Reading rooms</t>
  </si>
  <si>
    <t>Bedrooms</t>
  </si>
  <si>
    <t>Banquet halls</t>
  </si>
  <si>
    <t>Lobbies</t>
  </si>
  <si>
    <t>Schools and churches</t>
  </si>
  <si>
    <t>Executive rooms</t>
  </si>
  <si>
    <t>Reception rooms</t>
  </si>
  <si>
    <t>Meeting rooms</t>
  </si>
  <si>
    <t>Typing and accounting rooms</t>
  </si>
  <si>
    <t>Commercial buildings</t>
  </si>
  <si>
    <t>and large meeting rooms</t>
  </si>
  <si>
    <t>Refer to Architectural Institute of Japan, Handbook of Building Environmental Design 1 - Environment, 1978. P13</t>
    <phoneticPr fontId="26"/>
  </si>
  <si>
    <t>Less than T-1</t>
  </si>
  <si>
    <t>T-1</t>
  </si>
  <si>
    <t>1.2.1 Sound Insulation of Openings</t>
    <phoneticPr fontId="26"/>
  </si>
  <si>
    <t>Sound Insulation</t>
    <phoneticPr fontId="26"/>
  </si>
  <si>
    <t>Lower than T-1</t>
  </si>
  <si>
    <t>T-2 or higher</t>
  </si>
  <si>
    <t>Entire Building and Common Areas</t>
  </si>
  <si>
    <t>.Entire Building and Common Areas</t>
  </si>
  <si>
    <t>Dwelling and Accommodation Areas</t>
  </si>
  <si>
    <t>Dwelling and Accommodation Areas</t>
    <phoneticPr fontId="26"/>
  </si>
  <si>
    <t>Hsp,Htl,Apt</t>
  </si>
  <si>
    <t>Off,Sch,Rtl,Rst,Hal,Hsp,Htl,Fct,Apt</t>
  </si>
  <si>
    <t>Off,Sch,Rtl,Rst,Hal,Hsp,Htl,Fct,Apt</t>
    <phoneticPr fontId="26"/>
  </si>
  <si>
    <t>1.2.2 Sound Insulation of Partition Walls</t>
    <phoneticPr fontId="26"/>
  </si>
  <si>
    <t>1.2.3 Sound Insulation Performance of Floor Slabs (light-weight impact source)</t>
    <phoneticPr fontId="26"/>
  </si>
  <si>
    <t>Less than Dr-30</t>
  </si>
  <si>
    <t>Less than Dr-35</t>
  </si>
  <si>
    <t xml:space="preserve">Dr-35 </t>
  </si>
  <si>
    <t xml:space="preserve">Dr-40 </t>
  </si>
  <si>
    <t xml:space="preserve">Dr-45 </t>
  </si>
  <si>
    <t>Off,Sch,Rst,Fct</t>
    <phoneticPr fontId="26"/>
  </si>
  <si>
    <t>Hsp (Doctor’s Off.)</t>
    <phoneticPr fontId="26"/>
  </si>
  <si>
    <t>Weighting coef.(default) =</t>
  </si>
  <si>
    <t>Less than Dr-40</t>
  </si>
  <si>
    <t>Dr-50</t>
  </si>
  <si>
    <t>Worse than Lr-65</t>
  </si>
  <si>
    <t>Lr-65</t>
  </si>
  <si>
    <t>Lr-60</t>
  </si>
  <si>
    <t>Lr-55</t>
  </si>
  <si>
    <t>Lr-50 or better</t>
  </si>
  <si>
    <t>Worse than Lr-55</t>
  </si>
  <si>
    <t>Lr-50</t>
  </si>
  <si>
    <t>Lr-45</t>
  </si>
  <si>
    <t>Lr-40 or better</t>
  </si>
  <si>
    <t>1.2.4 Sound Insulation Performance of Floor Slabs (heavy-weight impact source)</t>
    <phoneticPr fontId="26"/>
  </si>
  <si>
    <t>Worse than Lr-60</t>
  </si>
  <si>
    <t>Lr-45 or better</t>
  </si>
  <si>
    <t>Sound Absorption</t>
    <phoneticPr fontId="26"/>
  </si>
  <si>
    <t>Off,Sch,Rtl,Rst,Hal,Hsp,Htl,Fct</t>
    <phoneticPr fontId="26"/>
  </si>
  <si>
    <t>Hsp,Htl</t>
    <phoneticPr fontId="26"/>
  </si>
  <si>
    <t>Sound absorbing materials are not used</t>
  </si>
  <si>
    <t xml:space="preserve"> Thermal Comfort</t>
    <phoneticPr fontId="26"/>
  </si>
  <si>
    <t>Room Temperature Control</t>
    <phoneticPr fontId="26"/>
  </si>
  <si>
    <t>2.1.1 Room Temperature</t>
    <phoneticPr fontId="26"/>
  </si>
  <si>
    <t>Not adequate for Level 2.</t>
  </si>
  <si>
    <r>
      <t>Minimum equipment capacity to achieve room temperatures of 20</t>
    </r>
    <r>
      <rPr>
        <sz val="9"/>
        <rFont val="ＭＳ Ｐゴシック"/>
        <family val="3"/>
        <charset val="128"/>
      </rPr>
      <t>˚</t>
    </r>
    <r>
      <rPr>
        <sz val="9"/>
        <rFont val="Arial"/>
        <family val="2"/>
      </rPr>
      <t>C in winter and 28</t>
    </r>
    <r>
      <rPr>
        <sz val="9"/>
        <rFont val="ＭＳ Ｐゴシック"/>
        <family val="3"/>
        <charset val="128"/>
      </rPr>
      <t>˚</t>
    </r>
    <r>
      <rPr>
        <sz val="9"/>
        <rFont val="Arial"/>
        <family val="2"/>
      </rPr>
      <t>C in summer with some occupant discomfort</t>
    </r>
  </si>
  <si>
    <r>
      <t>The minimum equipment capacity is provided to achieve temperatures of 10</t>
    </r>
    <r>
      <rPr>
        <sz val="9"/>
        <rFont val="ＭＳ Ｐゴシック"/>
        <family val="3"/>
        <charset val="128"/>
      </rPr>
      <t>˚</t>
    </r>
    <r>
      <rPr>
        <sz val="9"/>
        <rFont val="Arial"/>
        <family val="2"/>
      </rPr>
      <t>C or more in winter and 30</t>
    </r>
    <r>
      <rPr>
        <sz val="9"/>
        <rFont val="ＭＳ Ｐゴシック"/>
        <family val="3"/>
        <charset val="128"/>
      </rPr>
      <t>˚</t>
    </r>
    <r>
      <rPr>
        <sz val="9"/>
        <rFont val="Arial"/>
        <family val="2"/>
      </rPr>
      <t>C or less in summer, which require tolerance of some discomfort</t>
    </r>
  </si>
  <si>
    <r>
      <t>Minimum equipment capacity to achieve room temperatures of 18</t>
    </r>
    <r>
      <rPr>
        <sz val="9"/>
        <rFont val="ＭＳ Ｐゴシック"/>
        <family val="3"/>
        <charset val="128"/>
      </rPr>
      <t>˚</t>
    </r>
    <r>
      <rPr>
        <sz val="9"/>
        <rFont val="Arial"/>
        <family val="2"/>
      </rPr>
      <t>C in winter and 28</t>
    </r>
    <r>
      <rPr>
        <sz val="9"/>
        <rFont val="ＭＳ Ｐゴシック"/>
        <family val="3"/>
        <charset val="128"/>
      </rPr>
      <t>˚</t>
    </r>
    <r>
      <rPr>
        <sz val="9"/>
        <rFont val="Arial"/>
        <family val="2"/>
      </rPr>
      <t>C in summer with some occupant discomfort</t>
    </r>
  </si>
  <si>
    <r>
      <t>Minimum equipment capacity to achieve temperatures of 20</t>
    </r>
    <r>
      <rPr>
        <sz val="9"/>
        <rFont val="ＭＳ Ｐゴシック"/>
        <family val="3"/>
        <charset val="128"/>
      </rPr>
      <t>˚</t>
    </r>
    <r>
      <rPr>
        <sz val="9"/>
        <rFont val="Arial"/>
        <family val="2"/>
      </rPr>
      <t>C in winter and 28</t>
    </r>
    <r>
      <rPr>
        <sz val="9"/>
        <rFont val="ＭＳ Ｐゴシック"/>
        <family val="3"/>
        <charset val="128"/>
      </rPr>
      <t>˚</t>
    </r>
    <r>
      <rPr>
        <sz val="9"/>
        <rFont val="Arial"/>
        <family val="2"/>
      </rPr>
      <t>C in summer with some occupant discomfort</t>
    </r>
  </si>
  <si>
    <r>
      <t>Sufficient equipment capacity for achieving commonly-applied room temperatures of 20</t>
    </r>
    <r>
      <rPr>
        <sz val="9"/>
        <rFont val="ＭＳ Ｐゴシック"/>
        <family val="3"/>
        <charset val="128"/>
      </rPr>
      <t>˚</t>
    </r>
    <r>
      <rPr>
        <sz val="9"/>
        <rFont val="Arial"/>
        <family val="2"/>
      </rPr>
      <t>C in winter and 27</t>
    </r>
    <r>
      <rPr>
        <sz val="9"/>
        <rFont val="ＭＳ Ｐゴシック"/>
        <family val="3"/>
        <charset val="128"/>
      </rPr>
      <t>˚</t>
    </r>
    <r>
      <rPr>
        <sz val="9"/>
        <rFont val="Arial"/>
        <family val="2"/>
      </rPr>
      <t>C in summer</t>
    </r>
  </si>
  <si>
    <r>
      <t>Minimum equipment capacity to achieve room temperatures of 18</t>
    </r>
    <r>
      <rPr>
        <sz val="9"/>
        <rFont val="ＭＳ Ｐゴシック"/>
        <family val="3"/>
        <charset val="128"/>
      </rPr>
      <t>˚</t>
    </r>
    <r>
      <rPr>
        <sz val="9"/>
        <rFont val="Arial"/>
        <family val="2"/>
      </rPr>
      <t>C or higher in winter and 28</t>
    </r>
    <r>
      <rPr>
        <sz val="9"/>
        <rFont val="ＭＳ Ｐゴシック"/>
        <family val="3"/>
        <charset val="128"/>
      </rPr>
      <t>˚</t>
    </r>
    <r>
      <rPr>
        <sz val="9"/>
        <rFont val="Arial"/>
        <family val="2"/>
      </rPr>
      <t>C or lower in summer</t>
    </r>
  </si>
  <si>
    <r>
      <t>Sufficient equipment capacity to achieve general room temperatures of 20</t>
    </r>
    <r>
      <rPr>
        <sz val="9"/>
        <rFont val="ＭＳ Ｐゴシック"/>
        <family val="3"/>
        <charset val="128"/>
      </rPr>
      <t>˚</t>
    </r>
    <r>
      <rPr>
        <sz val="9"/>
        <rFont val="Arial"/>
        <family val="2"/>
      </rPr>
      <t>C in winter and 26</t>
    </r>
    <r>
      <rPr>
        <sz val="9"/>
        <rFont val="ＭＳ Ｐゴシック"/>
        <family val="3"/>
        <charset val="128"/>
      </rPr>
      <t>˚</t>
    </r>
    <r>
      <rPr>
        <sz val="9"/>
        <rFont val="Arial"/>
        <family val="2"/>
      </rPr>
      <t>C in summer</t>
    </r>
  </si>
  <si>
    <r>
      <t>Sufficient equipment capacity to achieve general room temperatures of 22</t>
    </r>
    <r>
      <rPr>
        <sz val="9"/>
        <rFont val="ＭＳ Ｐゴシック"/>
        <family val="3"/>
        <charset val="128"/>
      </rPr>
      <t>˚</t>
    </r>
    <r>
      <rPr>
        <sz val="9"/>
        <rFont val="Arial"/>
        <family val="2"/>
      </rPr>
      <t>C in winter and 26</t>
    </r>
    <r>
      <rPr>
        <sz val="9"/>
        <rFont val="ＭＳ Ｐゴシック"/>
        <family val="3"/>
        <charset val="128"/>
      </rPr>
      <t>˚</t>
    </r>
    <r>
      <rPr>
        <sz val="9"/>
        <rFont val="Arial"/>
        <family val="2"/>
      </rPr>
      <t>C in summer</t>
    </r>
    <phoneticPr fontId="26"/>
  </si>
  <si>
    <r>
      <t>Sufficient equipment capacity to achieve room temperatures of 20</t>
    </r>
    <r>
      <rPr>
        <sz val="9"/>
        <rFont val="ＭＳ Ｐゴシック"/>
        <family val="3"/>
        <charset val="128"/>
      </rPr>
      <t>˚</t>
    </r>
    <r>
      <rPr>
        <sz val="9"/>
        <rFont val="Arial"/>
        <family val="2"/>
      </rPr>
      <t>C or higher in winter and 25</t>
    </r>
    <r>
      <rPr>
        <sz val="9"/>
        <rFont val="ＭＳ Ｐゴシック"/>
        <family val="3"/>
        <charset val="128"/>
      </rPr>
      <t>˚</t>
    </r>
    <r>
      <rPr>
        <sz val="9"/>
        <rFont val="Arial"/>
        <family val="2"/>
      </rPr>
      <t>C or lower in summer</t>
    </r>
  </si>
  <si>
    <r>
      <t>Sufficient equipment capacity to achieve room temperatures of 24</t>
    </r>
    <r>
      <rPr>
        <sz val="9"/>
        <rFont val="ＭＳ Ｐゴシック"/>
        <family val="3"/>
        <charset val="128"/>
      </rPr>
      <t>˚</t>
    </r>
    <r>
      <rPr>
        <sz val="9"/>
        <rFont val="Arial"/>
        <family val="2"/>
      </rPr>
      <t>C in both winter and summer</t>
    </r>
    <phoneticPr fontId="26"/>
  </si>
  <si>
    <r>
      <t>Sufficient equipment capacity to achieve room temperatures of 22</t>
    </r>
    <r>
      <rPr>
        <sz val="9"/>
        <rFont val="ＭＳ Ｐゴシック"/>
        <family val="3"/>
        <charset val="128"/>
      </rPr>
      <t>˚</t>
    </r>
    <r>
      <rPr>
        <sz val="9"/>
        <rFont val="Arial"/>
        <family val="2"/>
      </rPr>
      <t>C in winter and 24</t>
    </r>
    <r>
      <rPr>
        <sz val="9"/>
        <rFont val="ＭＳ Ｐゴシック"/>
        <family val="3"/>
        <charset val="128"/>
      </rPr>
      <t>˚</t>
    </r>
    <r>
      <rPr>
        <sz val="9"/>
        <rFont val="Arial"/>
        <family val="2"/>
      </rPr>
      <t>C in summer</t>
    </r>
  </si>
  <si>
    <r>
      <t>Sufficient equipment capacity to achieve room temperature of 24</t>
    </r>
    <r>
      <rPr>
        <sz val="9"/>
        <rFont val="ＭＳ Ｐゴシック"/>
        <family val="3"/>
        <charset val="128"/>
      </rPr>
      <t>˚</t>
    </r>
    <r>
      <rPr>
        <sz val="9"/>
        <rFont val="Arial"/>
        <family val="2"/>
      </rPr>
      <t>C in both winter and in summer</t>
    </r>
    <phoneticPr fontId="26"/>
  </si>
  <si>
    <r>
      <t>Sufficient equipment capacity to achieve general room temperatures of 23</t>
    </r>
    <r>
      <rPr>
        <sz val="9"/>
        <rFont val="ＭＳ Ｐゴシック"/>
        <family val="3"/>
        <charset val="128"/>
      </rPr>
      <t>˚</t>
    </r>
    <r>
      <rPr>
        <sz val="9"/>
        <rFont val="Arial"/>
        <family val="2"/>
      </rPr>
      <t>C in winter and 26</t>
    </r>
    <r>
      <rPr>
        <sz val="9"/>
        <rFont val="ＭＳ Ｐゴシック"/>
        <family val="3"/>
        <charset val="128"/>
      </rPr>
      <t>˚</t>
    </r>
    <r>
      <rPr>
        <sz val="9"/>
        <rFont val="Arial"/>
        <family val="2"/>
      </rPr>
      <t>C in summer</t>
    </r>
    <phoneticPr fontId="26"/>
  </si>
  <si>
    <t>2.1.2 Perimeter Performance</t>
    <phoneticPr fontId="26"/>
  </si>
  <si>
    <t>Not adequate for Level 2.</t>
    <phoneticPr fontId="26"/>
  </si>
  <si>
    <t>Requirements for Grade 3 in 5-1 Thermal Insulation Performance Grade of the Japan Housing Performance Indication Standard are satisfied.</t>
    <phoneticPr fontId="26"/>
  </si>
  <si>
    <t>Requirements for Grade 4 in 5-1 Thermal Insulation Performance Grade of the Japan Housing Performance Indication Standard are satisfied.</t>
    <phoneticPr fontId="26"/>
  </si>
  <si>
    <t>Requirements for Grade 5 in 5-1 Thermal Insulation Performance Grade of the Japan Housing Performance Indication Standard are satisfied.</t>
    <phoneticPr fontId="26"/>
  </si>
  <si>
    <t>Window system SC</t>
    <phoneticPr fontId="26"/>
  </si>
  <si>
    <t>outer walls</t>
    <phoneticPr fontId="26"/>
  </si>
  <si>
    <t>floor</t>
    <phoneticPr fontId="26"/>
  </si>
  <si>
    <t>roof</t>
    <phoneticPr fontId="26"/>
  </si>
  <si>
    <t>window system</t>
    <phoneticPr fontId="26"/>
  </si>
  <si>
    <t>Window system U value</t>
    <phoneticPr fontId="26"/>
  </si>
  <si>
    <t>perimeter UA value</t>
    <phoneticPr fontId="26"/>
  </si>
  <si>
    <t>U value [W/m2K]</t>
    <phoneticPr fontId="26"/>
  </si>
  <si>
    <r>
      <t>No attention has been paid to the infiltration of heat through window systems, outside walls, roof and floor (particularly where piloti are used), and insulation performance is poor.
(Window system SC: around 0.7, U = 6.0 [W/m</t>
    </r>
    <r>
      <rPr>
        <vertAlign val="superscript"/>
        <sz val="9"/>
        <rFont val="Arial"/>
        <family val="2"/>
      </rPr>
      <t>2</t>
    </r>
    <r>
      <rPr>
        <sz val="9"/>
        <rFont val="Arial"/>
        <family val="2"/>
      </rPr>
      <t>K], outer walls and others: U = 3.0 [W/m</t>
    </r>
    <r>
      <rPr>
        <vertAlign val="superscript"/>
        <sz val="9"/>
        <rFont val="Arial"/>
        <family val="2"/>
      </rPr>
      <t>2</t>
    </r>
    <r>
      <rPr>
        <sz val="9"/>
        <rFont val="Arial"/>
        <family val="2"/>
      </rPr>
      <t>K])</t>
    </r>
    <phoneticPr fontId="26"/>
  </si>
  <si>
    <r>
      <t>No attention has been paid to the infiltration of heat through window systems, outside walls, roof and floor (particularly where piloti are used), and insulation performance is poor. (Window system SC: around 0.7, U = 6.0 [W/m</t>
    </r>
    <r>
      <rPr>
        <vertAlign val="superscript"/>
        <sz val="9"/>
        <rFont val="Arial"/>
        <family val="2"/>
      </rPr>
      <t>2</t>
    </r>
    <r>
      <rPr>
        <sz val="9"/>
        <rFont val="Arial"/>
        <family val="2"/>
      </rPr>
      <t>K], outer walls and others: U = 3.0 [W/m</t>
    </r>
    <r>
      <rPr>
        <vertAlign val="superscript"/>
        <sz val="9"/>
        <rFont val="Arial"/>
        <family val="2"/>
      </rPr>
      <t>2</t>
    </r>
    <r>
      <rPr>
        <sz val="9"/>
        <rFont val="Arial"/>
        <family val="2"/>
      </rPr>
      <t>K])</t>
    </r>
    <phoneticPr fontId="26"/>
  </si>
  <si>
    <r>
      <t>Attention has been paid to the infiltration of heat to the interior through windows, outside walls, roof and floor (particularly where piloti are used), and there is no practical problem with insolation blocking and insulation performance.
(Window system SC: around 0.5, U = 4.0 [W/m</t>
    </r>
    <r>
      <rPr>
        <vertAlign val="superscript"/>
        <sz val="9"/>
        <rFont val="Arial"/>
        <family val="2"/>
      </rPr>
      <t>2</t>
    </r>
    <r>
      <rPr>
        <sz val="9"/>
        <rFont val="Arial"/>
        <family val="2"/>
      </rPr>
      <t>K], outer walls and others: U = 2.0 [W/m</t>
    </r>
    <r>
      <rPr>
        <vertAlign val="superscript"/>
        <sz val="9"/>
        <rFont val="Arial"/>
        <family val="2"/>
      </rPr>
      <t>2</t>
    </r>
    <r>
      <rPr>
        <sz val="9"/>
        <rFont val="Arial"/>
        <family val="2"/>
      </rPr>
      <t>K])</t>
    </r>
    <phoneticPr fontId="26"/>
  </si>
  <si>
    <r>
      <t>Attention has been paid to the infiltration of heat to the interior through windows, outside walls, roof and floor (particularly where piloti are used), and there is no practical problem with insolation blocking and insulation performance. (Window system SC: around 0.5, U = 4.0 [(W/m</t>
    </r>
    <r>
      <rPr>
        <vertAlign val="superscript"/>
        <sz val="9"/>
        <rFont val="Arial"/>
        <family val="2"/>
      </rPr>
      <t>2</t>
    </r>
    <r>
      <rPr>
        <sz val="9"/>
        <rFont val="Arial"/>
        <family val="2"/>
      </rPr>
      <t>K], outer walls and others: U = 2.0 [W/m</t>
    </r>
    <r>
      <rPr>
        <vertAlign val="superscript"/>
        <sz val="9"/>
        <rFont val="Arial"/>
        <family val="2"/>
      </rPr>
      <t>2</t>
    </r>
    <r>
      <rPr>
        <sz val="9"/>
        <rFont val="Arial"/>
        <family val="2"/>
      </rPr>
      <t>K])</t>
    </r>
    <phoneticPr fontId="26"/>
  </si>
  <si>
    <r>
      <t>Close attention has been paid to the infiltration of heat to the interior through windows systems, outside walls, roof and floor (particularly where piloti are used), and the building has the highest level of insolation blocking and insulation performance.
(Window system SC: around 0.2, U = 3.0 [W/m</t>
    </r>
    <r>
      <rPr>
        <vertAlign val="superscript"/>
        <sz val="9"/>
        <rFont val="Arial"/>
        <family val="2"/>
      </rPr>
      <t>2</t>
    </r>
    <r>
      <rPr>
        <sz val="9"/>
        <rFont val="Arial"/>
        <family val="2"/>
      </rPr>
      <t>K], outer walls and others: U = 1.0 [W/m</t>
    </r>
    <r>
      <rPr>
        <vertAlign val="superscript"/>
        <sz val="9"/>
        <rFont val="Arial"/>
        <family val="2"/>
      </rPr>
      <t>2</t>
    </r>
    <r>
      <rPr>
        <sz val="9"/>
        <rFont val="Arial"/>
        <family val="2"/>
      </rPr>
      <t>K])</t>
    </r>
    <phoneticPr fontId="26"/>
  </si>
  <si>
    <r>
      <t>Close attention has been paid to the infiltration of heat to the interior through windows systems, outside walls, roof and floor (particularly where piloti are used), and the building has the highest level of insolation blocking and insulation performance. (Window system SC: around 0.2, U = 3.0 [W/m</t>
    </r>
    <r>
      <rPr>
        <vertAlign val="superscript"/>
        <sz val="9"/>
        <rFont val="Arial"/>
        <family val="2"/>
      </rPr>
      <t>2</t>
    </r>
    <r>
      <rPr>
        <sz val="9"/>
        <rFont val="Arial"/>
        <family val="2"/>
      </rPr>
      <t>K], outer walls and others: U = 1.0 [W/m</t>
    </r>
    <r>
      <rPr>
        <vertAlign val="superscript"/>
        <sz val="9"/>
        <rFont val="Arial"/>
        <family val="2"/>
      </rPr>
      <t>2</t>
    </r>
    <r>
      <rPr>
        <sz val="9"/>
        <rFont val="Arial"/>
        <family val="2"/>
      </rPr>
      <t>K])</t>
    </r>
    <phoneticPr fontId="26"/>
  </si>
  <si>
    <t>2.1.3 Zoned Control</t>
    <phoneticPr fontId="26"/>
  </si>
  <si>
    <t>No distinction is made between orientation directions, or between perimeter and interior, and only one air conditioning system is planned*1, which must be switched between heating and cooling for each season</t>
  </si>
  <si>
    <t>There is no zoning of heating and cooling within a single floor, and a single-circuit air conditioning system is planned. Switching between heating and cooling is required for the selection of air conditioning modes.</t>
  </si>
  <si>
    <t>There are air conditioning zoning*1 that differentiates between orientation directions, between perimeter and interior, and between internal load distributions. The air conditioning system can provide either heating or cooling separately to each zone.</t>
  </si>
  <si>
    <t>Each floor is divided into multiple zones according to their thermal loads, and the air conditioning system is planned to allow either heating or cooling in each zone.</t>
  </si>
  <si>
    <t>There is air conditioning zoning at around the standard of level 3*1, and the system also allows selection between cooling and heating for each zone.</t>
  </si>
  <si>
    <t>There is air conditioning zoning at around the standard of level 3, and the planned system also allows selection between cooling and heating for each zone.</t>
  </si>
  <si>
    <t>There are separate air conditioning systems for each orientation direction, and for perimeter and interior*1, allowing more detailed zoning (broadly, zones of 40 m2 or less). The air conditioning system can provide either heating or cooling separately to each zone.</t>
  </si>
  <si>
    <t>Each floor is divided into many small zones for individual sales areas or tenants, and the air conditioning system is planned to allow either heating or cooling in zone units.</t>
  </si>
  <si>
    <t>examples of HVAC systems</t>
    <phoneticPr fontId="26"/>
  </si>
  <si>
    <t>Single duct system, two-pipe FCU system (no zoning, switching between heating and cooling).</t>
  </si>
  <si>
    <t>Single duct system, two-pipe FCU system (zoning grade assessment, switching between heating and cooling).</t>
  </si>
  <si>
    <t>Double duct system (4 pipes for AHU), four-pipe FCU system, task/ambient air conditioning system (evaluate both the zoning grade and simultaneous heating and cooling).</t>
  </si>
  <si>
    <t>Multi-unit heat pump system (simultaneous heating and cooling), double duct system (4 pipes for AHU), and four-pipe FCU system level with more detailed zoning than levels 3 and 4 (zones of around 40 m2).</t>
  </si>
  <si>
    <t>Humidity Control</t>
    <phoneticPr fontId="26"/>
  </si>
  <si>
    <t>Not adequate for level 3.</t>
  </si>
  <si>
    <t>Humidification equipment is also available, and equipment capacity is generally sufficient to keep humidity to 40-70% in winter and 50-65% in summer.</t>
  </si>
  <si>
    <t>Sufficient equipment capacity to achieve general indoor humidity of 30 to 45% in winter and 55 to 80% in summer.</t>
  </si>
  <si>
    <t>Humidification and dehumidification equipment is available, and equipment capacity is sufficient to keep humidity in the range 45-55%.</t>
  </si>
  <si>
    <t>Sufficient equipment capacity with humidifier/dehumidifier to achieve humidity of 45 to 55%.</t>
  </si>
  <si>
    <t>No consideration given.</t>
  </si>
  <si>
    <t>Sufficient equipment capacity with humidifier to achieve general humidity of 50% in summer and 40% in winter.</t>
    <phoneticPr fontId="26"/>
  </si>
  <si>
    <t>Appropriate ventilation functions are provided, and anti-condensation measures have been taken on elements that can act as heat bridges, such as insulation reinforcement, humidity barriers and permeable layers.</t>
  </si>
  <si>
    <t>Dehumidification functions are provided, and anti-condensation measures have been taken on elements that can act as heat bridges, such as insulation reinforcement, humidity barriers and permeable layers.</t>
  </si>
  <si>
    <t>Dehumidification and humidification functions are provided and set to a comfort range of 45-55%, and anti-condensation measures have been taken on elements that can act as heat bridges, such as insulation reinforcement, humidity barriers and permeable layers.</t>
  </si>
  <si>
    <t>Humidification equipment is available, and equipment capacity is generally sufficient to keep humidity to 50% in summer and 40% in winter.</t>
    <phoneticPr fontId="26"/>
  </si>
  <si>
    <t>Humidification and dehumidification equipment is available, and equipment capacity is sufficient to keep humidity in the range 45-55%.</t>
    <phoneticPr fontId="26"/>
  </si>
  <si>
    <t>Type of Air Conditioning System</t>
    <phoneticPr fontId="26"/>
  </si>
  <si>
    <t>The air conditioning system was planned with no particular consideration for the vertical temperature distribution and airflow speed in occupancy zone.</t>
  </si>
  <si>
    <t>Air conditioning system designed without specific consideration of vertical temperature variation and air flow in occupied areas</t>
  </si>
  <si>
    <t>The air conditioning system is normal, but the air supply and extraction plan considered the vertical temperature distribution and airflow speed in occupancy zone.</t>
  </si>
  <si>
    <t>Air conditioning system designed without specific consideration of vertical temperature variation and air flow in air-conditioned occupied areas, or of temperature difference between air-conditioned and non-air-conditioned areas</t>
    <phoneticPr fontId="26"/>
  </si>
  <si>
    <t>Air conditioning system designed in consideration of vertical temperature variation and air flow in air-conditioned occupied areas, or of temperature difference between air- conditioned and non-air-conditioned areas</t>
    <phoneticPr fontId="26"/>
  </si>
  <si>
    <t>and non-air-conditioned areas</t>
    <phoneticPr fontId="26"/>
  </si>
  <si>
    <t>Lighting &amp; Illumination</t>
    <phoneticPr fontId="26"/>
  </si>
  <si>
    <t>Daylight</t>
    <phoneticPr fontId="26"/>
  </si>
  <si>
    <t>3.1.1 Daylight Factor</t>
    <phoneticPr fontId="26"/>
  </si>
  <si>
    <t>[Daylight factor] &lt; 1.0%</t>
  </si>
  <si>
    <r>
      <t xml:space="preserve">1.0% </t>
    </r>
    <r>
      <rPr>
        <sz val="9"/>
        <rFont val="ＭＳ Ｐゴシック"/>
        <family val="3"/>
        <charset val="128"/>
      </rPr>
      <t>≦</t>
    </r>
    <r>
      <rPr>
        <sz val="9"/>
        <rFont val="Arial"/>
        <family val="2"/>
      </rPr>
      <t xml:space="preserve"> [Daylight factor] &lt; 1.5%</t>
    </r>
  </si>
  <si>
    <r>
      <t xml:space="preserve">1.5% </t>
    </r>
    <r>
      <rPr>
        <sz val="9"/>
        <rFont val="ＭＳ Ｐゴシック"/>
        <family val="3"/>
        <charset val="128"/>
      </rPr>
      <t>≦</t>
    </r>
    <r>
      <rPr>
        <sz val="9"/>
        <rFont val="Arial"/>
        <family val="2"/>
      </rPr>
      <t xml:space="preserve"> [Daylight factor] &lt; 2.0%</t>
    </r>
  </si>
  <si>
    <r>
      <t xml:space="preserve">2.0% </t>
    </r>
    <r>
      <rPr>
        <sz val="9"/>
        <rFont val="ＭＳ Ｐゴシック"/>
        <family val="3"/>
        <charset val="128"/>
      </rPr>
      <t>≦</t>
    </r>
    <r>
      <rPr>
        <sz val="9"/>
        <rFont val="Arial"/>
        <family val="2"/>
      </rPr>
      <t xml:space="preserve"> [Daylight factor] &lt; 2.5%</t>
    </r>
  </si>
  <si>
    <r>
      <t xml:space="preserve">2.5% </t>
    </r>
    <r>
      <rPr>
        <sz val="9"/>
        <rFont val="ＭＳ Ｐゴシック"/>
        <family val="3"/>
        <charset val="128"/>
      </rPr>
      <t>≦</t>
    </r>
    <r>
      <rPr>
        <sz val="9"/>
        <rFont val="Arial"/>
        <family val="2"/>
      </rPr>
      <t xml:space="preserve"> [Daylight factor]</t>
    </r>
  </si>
  <si>
    <t>[Daylight factor] &lt; 0.5%</t>
  </si>
  <si>
    <r>
      <t xml:space="preserve">0.5%  </t>
    </r>
    <r>
      <rPr>
        <sz val="9"/>
        <rFont val="ＭＳ Ｐゴシック"/>
        <family val="3"/>
        <charset val="128"/>
      </rPr>
      <t>≦</t>
    </r>
    <r>
      <rPr>
        <sz val="9"/>
        <rFont val="Arial"/>
        <family val="2"/>
      </rPr>
      <t xml:space="preserve"> [Daylight factor] &lt; 0.75%</t>
    </r>
  </si>
  <si>
    <r>
      <t xml:space="preserve">0.5% </t>
    </r>
    <r>
      <rPr>
        <sz val="9"/>
        <rFont val="ＭＳ Ｐゴシック"/>
        <family val="3"/>
        <charset val="128"/>
      </rPr>
      <t>≦</t>
    </r>
    <r>
      <rPr>
        <sz val="9"/>
        <rFont val="Arial"/>
        <family val="2"/>
      </rPr>
      <t xml:space="preserve"> [Daylight factor] &lt; 1.0%</t>
    </r>
  </si>
  <si>
    <r>
      <t xml:space="preserve">0.75% </t>
    </r>
    <r>
      <rPr>
        <sz val="9"/>
        <rFont val="ＭＳ Ｐゴシック"/>
        <family val="3"/>
        <charset val="128"/>
      </rPr>
      <t>≦</t>
    </r>
    <r>
      <rPr>
        <sz val="9"/>
        <rFont val="Arial"/>
        <family val="2"/>
      </rPr>
      <t xml:space="preserve"> [Daylight factor] &lt; 1.0%</t>
    </r>
  </si>
  <si>
    <r>
      <t xml:space="preserve">1.0%  </t>
    </r>
    <r>
      <rPr>
        <sz val="9"/>
        <rFont val="ＭＳ Ｐゴシック"/>
        <family val="3"/>
        <charset val="128"/>
      </rPr>
      <t>≦</t>
    </r>
    <r>
      <rPr>
        <sz val="9"/>
        <rFont val="Arial"/>
        <family val="2"/>
      </rPr>
      <t xml:space="preserve"> [Daylight factor] &lt; 1.25%</t>
    </r>
  </si>
  <si>
    <r>
      <t xml:space="preserve">1.25% </t>
    </r>
    <r>
      <rPr>
        <sz val="9"/>
        <rFont val="ＭＳ Ｐゴシック"/>
        <family val="3"/>
        <charset val="128"/>
      </rPr>
      <t>≦</t>
    </r>
    <r>
      <rPr>
        <sz val="9"/>
        <rFont val="Arial"/>
        <family val="2"/>
      </rPr>
      <t xml:space="preserve"> [Daylight factor]</t>
    </r>
  </si>
  <si>
    <r>
      <t xml:space="preserve">2.0% </t>
    </r>
    <r>
      <rPr>
        <sz val="9"/>
        <rFont val="ＭＳ Ｐゴシック"/>
        <family val="3"/>
        <charset val="128"/>
      </rPr>
      <t>≦</t>
    </r>
    <r>
      <rPr>
        <sz val="9"/>
        <rFont val="Arial"/>
        <family val="2"/>
      </rPr>
      <t xml:space="preserve"> [Daylight factor]</t>
    </r>
  </si>
  <si>
    <t>3.1.2 Openings by Orientation</t>
    <phoneticPr fontId="26"/>
  </si>
  <si>
    <t>No south-facing windows</t>
  </si>
  <si>
    <t>South-facing windows</t>
  </si>
  <si>
    <t>South and east-facing windows</t>
  </si>
  <si>
    <t>3.1.3 Daylight Devices</t>
    <phoneticPr fontId="26"/>
  </si>
  <si>
    <t>There are no daylight devices.</t>
  </si>
  <si>
    <t>There is one type of daylight device.</t>
  </si>
  <si>
    <t>There are two or more types of daylight device, or they have advanced functions.</t>
  </si>
  <si>
    <t>There are some daylight devices.</t>
  </si>
  <si>
    <t>Anti-glare Measures</t>
    <phoneticPr fontId="26"/>
  </si>
  <si>
    <r>
      <rPr>
        <sz val="9"/>
        <rFont val="ＭＳ Ｐゴシック"/>
        <family val="3"/>
        <charset val="128"/>
      </rPr>
      <t>建</t>
    </r>
    <r>
      <rPr>
        <sz val="9"/>
        <rFont val="Arial"/>
        <family val="2"/>
      </rPr>
      <t>Rtl</t>
    </r>
    <r>
      <rPr>
        <sz val="9"/>
        <rFont val="ＭＳ Ｐゴシック"/>
        <family val="3"/>
        <charset val="128"/>
      </rPr>
      <t>全体</t>
    </r>
    <r>
      <rPr>
        <sz val="9"/>
        <rFont val="Arial"/>
        <family val="2"/>
      </rPr>
      <t>,</t>
    </r>
    <r>
      <rPr>
        <sz val="9"/>
        <rFont val="ＭＳ Ｐゴシック"/>
        <family val="3"/>
        <charset val="128"/>
      </rPr>
      <t>共用部分</t>
    </r>
  </si>
  <si>
    <t>3.2.1 Daylight Control</t>
    <phoneticPr fontId="26"/>
  </si>
  <si>
    <t>No countermeasures.</t>
  </si>
  <si>
    <t>No countermeasures.</t>
    <phoneticPr fontId="26"/>
  </si>
  <si>
    <t>Glare is controlled with screens, awnings and eaves.</t>
    <phoneticPr fontId="26"/>
  </si>
  <si>
    <t>Glare is controlled with blinds, together with any of one among screens, awnings and eaves.</t>
  </si>
  <si>
    <t>Glare is controlled with automatically-controlled blinds.</t>
    <phoneticPr fontId="26"/>
  </si>
  <si>
    <t>Glare is controlled with blinds, or by a combination of any two among screens, awnings and eaves.</t>
    <phoneticPr fontId="26"/>
  </si>
  <si>
    <t>Glare is controlled with  blinds or any combination of two or more fixtures including curtains, screens, awnings and eaves</t>
    <phoneticPr fontId="26"/>
  </si>
  <si>
    <t>Glare is controlled with blinds and at least one other fixture, including curtains, screens, awnings and eaves</t>
    <phoneticPr fontId="26"/>
  </si>
  <si>
    <t>Glare is controlled with blinds, or a combination of any two among curtains, screens, awnings and eaves.</t>
  </si>
  <si>
    <t>Glare is controlled with blinds, together with any of one among curtains, screens, awnings and eaves.</t>
  </si>
  <si>
    <t>Glare is controlled with curtains, screens, awnings and eaves.</t>
    <phoneticPr fontId="26"/>
  </si>
  <si>
    <t>3.2.2 Reflection Control</t>
    <phoneticPr fontId="26"/>
  </si>
  <si>
    <t>Illuminance Level</t>
    <phoneticPr fontId="26"/>
  </si>
  <si>
    <t>[Illuminance] &lt; 300 lx</t>
  </si>
  <si>
    <t>[Illuminance] &lt; 150 lx</t>
  </si>
  <si>
    <t>[Illuminance] &lt; 100 lx</t>
  </si>
  <si>
    <r>
      <t>[Illuminance] &lt;300 lx, or</t>
    </r>
    <r>
      <rPr>
        <sz val="9"/>
        <rFont val="ＭＳ Ｐゴシック"/>
        <family val="3"/>
        <charset val="128"/>
      </rPr>
      <t> </t>
    </r>
    <r>
      <rPr>
        <sz val="9"/>
        <rFont val="Arial"/>
        <family val="2"/>
      </rPr>
      <t xml:space="preserve">1,000 lx </t>
    </r>
    <r>
      <rPr>
        <sz val="9"/>
        <rFont val="ＭＳ Ｐゴシック"/>
        <family val="3"/>
        <charset val="128"/>
      </rPr>
      <t>≦</t>
    </r>
    <r>
      <rPr>
        <sz val="9"/>
        <rFont val="Arial"/>
        <family val="2"/>
      </rPr>
      <t xml:space="preserve"> [Illuminance]</t>
    </r>
  </si>
  <si>
    <t>(No corresponding level)</t>
    <phoneticPr fontId="26"/>
  </si>
  <si>
    <t xml:space="preserve">Overall lighting system: </t>
  </si>
  <si>
    <r>
      <t xml:space="preserve">300 lx </t>
    </r>
    <r>
      <rPr>
        <sz val="9"/>
        <rFont val="ＭＳ Ｐゴシック"/>
        <family val="3"/>
        <charset val="128"/>
      </rPr>
      <t>≦</t>
    </r>
    <r>
      <rPr>
        <sz val="9"/>
        <rFont val="Arial"/>
        <family val="2"/>
      </rPr>
      <t xml:space="preserve"> [Illuminance] &lt; 500 lx, 
or
750 lx </t>
    </r>
    <r>
      <rPr>
        <sz val="9"/>
        <rFont val="ＭＳ Ｐゴシック"/>
        <family val="3"/>
        <charset val="128"/>
      </rPr>
      <t>≦</t>
    </r>
    <r>
      <rPr>
        <sz val="9"/>
        <rFont val="Arial"/>
        <family val="2"/>
      </rPr>
      <t xml:space="preserve"> [Illuminance]</t>
    </r>
    <phoneticPr fontId="26"/>
  </si>
  <si>
    <r>
      <t xml:space="preserve">150 lx </t>
    </r>
    <r>
      <rPr>
        <sz val="9"/>
        <rFont val="ＭＳ Ｐゴシック"/>
        <family val="3"/>
        <charset val="128"/>
      </rPr>
      <t xml:space="preserve">≦
</t>
    </r>
    <r>
      <rPr>
        <sz val="9"/>
        <rFont val="Arial"/>
        <family val="2"/>
      </rPr>
      <t xml:space="preserve"> [Illuminance]</t>
    </r>
    <phoneticPr fontId="26"/>
  </si>
  <si>
    <r>
      <t xml:space="preserve">100 lx </t>
    </r>
    <r>
      <rPr>
        <sz val="9"/>
        <rFont val="ＭＳ Ｐゴシック"/>
        <family val="3"/>
        <charset val="128"/>
      </rPr>
      <t>≦</t>
    </r>
    <r>
      <rPr>
        <sz val="9"/>
        <rFont val="Arial"/>
        <family val="2"/>
      </rPr>
      <t xml:space="preserve"> [Illuminance]</t>
    </r>
  </si>
  <si>
    <r>
      <t xml:space="preserve">300 lx </t>
    </r>
    <r>
      <rPr>
        <sz val="9"/>
        <rFont val="ＭＳ Ｐゴシック"/>
        <family val="3"/>
        <charset val="128"/>
      </rPr>
      <t>≦</t>
    </r>
    <r>
      <rPr>
        <sz val="9"/>
        <rFont val="Arial"/>
        <family val="2"/>
      </rPr>
      <t xml:space="preserve"> [Illuminance] &lt; 500 lx; </t>
    </r>
  </si>
  <si>
    <r>
      <t xml:space="preserve">500 lx </t>
    </r>
    <r>
      <rPr>
        <sz val="9"/>
        <rFont val="ＭＳ Ｐゴシック"/>
        <family val="3"/>
        <charset val="128"/>
      </rPr>
      <t xml:space="preserve">≦
</t>
    </r>
    <r>
      <rPr>
        <sz val="9"/>
        <rFont val="Arial"/>
        <family val="2"/>
      </rPr>
      <t xml:space="preserve"> [Illuminance] &lt; 750 lx
</t>
    </r>
    <phoneticPr fontId="26"/>
  </si>
  <si>
    <r>
      <t xml:space="preserve">Equivalent to level 3 and 100 lx </t>
    </r>
    <r>
      <rPr>
        <sz val="9"/>
        <rFont val="ＭＳ Ｐゴシック"/>
        <family val="3"/>
        <charset val="128"/>
      </rPr>
      <t>≦</t>
    </r>
    <r>
      <rPr>
        <sz val="9"/>
        <rFont val="Arial"/>
        <family val="2"/>
      </rPr>
      <t xml:space="preserve"> [vertical illuminance] for walls</t>
    </r>
    <phoneticPr fontId="26"/>
  </si>
  <si>
    <r>
      <t xml:space="preserve">Equivalent to level 3 and 100 lx </t>
    </r>
    <r>
      <rPr>
        <sz val="9"/>
        <rFont val="ＭＳ Ｐゴシック"/>
        <family val="3"/>
        <charset val="128"/>
      </rPr>
      <t>≦</t>
    </r>
    <r>
      <rPr>
        <sz val="9"/>
        <rFont val="Arial"/>
        <family val="2"/>
      </rPr>
      <t xml:space="preserve"> [vertical illuminance] for walls</t>
    </r>
  </si>
  <si>
    <t>In cases of the task/ambient lighting system or its equivalent,
-the task illuminance is more than 500 lx and less than 1,000 lx, and
-the ambient illuminance is more than 1/3 and less than 2/3 of the task illuminance, and 
-the illuminance of vertical surfaces of the walls is 100 lx or more and the reflectance is 30% or more, or horizontal surfaces of the ceiling is 100 lx or more and the reflectivity is 50% or more.</t>
    <phoneticPr fontId="26"/>
  </si>
  <si>
    <r>
      <t xml:space="preserve">150 lx </t>
    </r>
    <r>
      <rPr>
        <sz val="9"/>
        <rFont val="ＭＳ Ｐゴシック"/>
        <family val="3"/>
        <charset val="128"/>
      </rPr>
      <t>≦</t>
    </r>
    <r>
      <rPr>
        <sz val="9"/>
        <rFont val="Arial"/>
        <family val="2"/>
      </rPr>
      <t xml:space="preserve"> [Illuminance]</t>
    </r>
  </si>
  <si>
    <t>Equivalent to level 3 and a [vertical illuminance] for walls of 100 lx or higher</t>
  </si>
  <si>
    <t>Equivalent to level 3 and individual controls of multiple devices</t>
    <phoneticPr fontId="26"/>
  </si>
  <si>
    <t>Lighting Controllability</t>
    <phoneticPr fontId="26"/>
  </si>
  <si>
    <t>Lighting control is not zoned and no control panel/devices are available for adjustment</t>
  </si>
  <si>
    <t>Lighting control is not zoned in accordance with illuminance levels and learning methods</t>
  </si>
  <si>
    <t>Lighting control per four-task unit is available or control panel/devices are available for adjustment</t>
  </si>
  <si>
    <t>Lighting control is zoned in accordance with illuminance levels and learning methods, and on/off control by the occupants is available</t>
  </si>
  <si>
    <t>Level 3 is satisfied and automatic lighting adjustment is partially available</t>
  </si>
  <si>
    <t>No lighting control is available</t>
  </si>
  <si>
    <t>Lighting control per multi-bed unit is available or control panel/devices for adjustment are available</t>
  </si>
  <si>
    <t>Control panel/devices are available for broad lighting adjustment for the entire room</t>
  </si>
  <si>
    <t>Detailed lighting control per bed is available</t>
  </si>
  <si>
    <t>Detailed lighting control per multi-zone unit is available via computer terminal/remote control OR automatic control system</t>
  </si>
  <si>
    <t>Air Quality</t>
    <phoneticPr fontId="26"/>
  </si>
  <si>
    <t>Source Control</t>
    <phoneticPr fontId="26"/>
  </si>
  <si>
    <t>4.1.1 Chemical Pollutants</t>
    <phoneticPr fontId="26"/>
  </si>
  <si>
    <r>
      <t>Sch</t>
    </r>
    <r>
      <rPr>
        <sz val="9"/>
        <rFont val="ＭＳ Ｐゴシック"/>
        <family val="3"/>
        <charset val="128"/>
      </rPr>
      <t>（</t>
    </r>
    <r>
      <rPr>
        <sz val="9"/>
        <rFont val="Arial"/>
        <family val="2"/>
      </rPr>
      <t>ES/JS/JHS</t>
    </r>
    <r>
      <rPr>
        <sz val="9"/>
        <rFont val="ＭＳ Ｐゴシック"/>
        <family val="3"/>
        <charset val="128"/>
      </rPr>
      <t>）</t>
    </r>
  </si>
  <si>
    <t>Satisfies the Building Standard Law.</t>
  </si>
  <si>
    <t>The Building Standard Law is satisfied and building materials not regulated under the Building Standard Law (i.e. materials not included in its directives and materials with JIS/JAS F-4 star rating) are used in at least 70% of the total area of floors, walls, ceilings and attics.</t>
  </si>
  <si>
    <t>The Building Standard Law is satisfied and building materials not regulated under the Building Standard Law (i.e. materials not included in its directives and materials with JIS/JAS F-4 star rating) are used in at least 90% of the total area of floors, walls, ceilings and attics; most material used has a low level of formaldehyde and other VOC emissions.</t>
  </si>
  <si>
    <t>4.1.2 Asbestos</t>
    <phoneticPr fontId="26"/>
  </si>
  <si>
    <t>Ventilation</t>
    <phoneticPr fontId="26"/>
  </si>
  <si>
    <t>4.2.1 Ventilation Rate</t>
    <phoneticPr fontId="26"/>
  </si>
  <si>
    <t>For rooms equipped with a centrally-controlled air mixing system, a ventilation rate of 25 m3/h per person or higher; or if not centrally controlled, a ventilation rate as required in the Building Standard Law (including measures for sick house syndrome) and the Law for Maintenance of Sanitation in Buildings.</t>
  </si>
  <si>
    <t>Ventilation rate required in the Building Standard Law (including measures for sick house syndrome) and the School Sanitation Standards.</t>
  </si>
  <si>
    <t>For rooms equipped with a centrally-controlled air mixing system, a ventilation rate of 30 m3/h per person or higher; or if not centrally controlled, a ventilation rate 20% higher than required in the Building Standard Law (including measures for sick house syndrome) and the Law for Maintenance of Sanitation in Buildings.</t>
  </si>
  <si>
    <t>Ventilation rate that is 20% higher than required in the Building Standard Law (including measures for sick house syndrome) and the School Sanitation Standards.</t>
  </si>
  <si>
    <t>For rooms equipped with a centrally-controlled air mixing system, a ventilation rate of 35 m3/h per person or higher; or if not centrally controlled, a ventilation rate 40% higher than required in the Building Standard Law (including measures for sick house syndrome) and the Law for Maintenance of Sanitation in Buildings.</t>
  </si>
  <si>
    <t>Ventilation rate that is 40% higher than required in the Building Standard Law (including measures for sick house syndrome) and the School Sanitation Standards.</t>
  </si>
  <si>
    <t>For rooms equipped with a centrally-controlled air mixing system, a ventilation rate of 25 m3/h per person or higher; or if not centrally controlled, a ventilation rate required in the Building Standard Law (including measures for sick house syndrome) and the Law for Maintenance of Sanitation in Buildings.</t>
  </si>
  <si>
    <t>4.2.2 Natural Ventilation Performance</t>
    <phoneticPr fontId="26"/>
  </si>
  <si>
    <t>Fixed windows and no valid opening for natural ventilation; or fixed windows and valid opening area for natural ventilation of less than 25 cm2/m2; or openable windows and valid opening area for natural ventilation of at least 1/50 of the total floor space of an occupied room.</t>
  </si>
  <si>
    <t>Valid opening area for natural ventilation of at least 1/20 of the total floor space of an occupied room.</t>
  </si>
  <si>
    <t>Fixed windows and valid opening area for natural ventilation of at least 25 cm2/m2; or openable windows and valid opening area for natural ventilation of at least 1/30 of the total floor space of an occupied room; or where in-room air quality improvement is expected with use of outdoor air cooling system which can use more than double the required outdoor air volume.</t>
  </si>
  <si>
    <t>Valid opening area for natural ventilation of at least 1/15 of the total floor space of an occupied room.</t>
  </si>
  <si>
    <t>Valid opening area for natural ventilation of at least 1/10 of the total floor space of an occupied room.</t>
  </si>
  <si>
    <t>Fixed windows and no valid opening for natural ventilation; or fixed windows and valid opening area for natural ventilation of less than 50 cm2/m2; or openable windows and valid opening area for natural ventilation of at least 1/20 of the total floor space of an occupied room.</t>
  </si>
  <si>
    <t>Area of openable windows at least 1/10 of floor space of occupied room.</t>
  </si>
  <si>
    <t>Fixed windows and valid opening area for natural ventilation of at least 50 cm2/m2; or openable windows and valid opening area for natural ventilation of at least 1/15 of the total floor space of an occupied room; or where in-room air quality improvement is expected with use of outdoor air cooling system which can use more than double the required outdoor air volume.</t>
  </si>
  <si>
    <t>Area of openable windows at least 1/8 of floor space of occupied room.</t>
  </si>
  <si>
    <t>Fixed windows and valid opening area for natural ventilation of at least 100 cm2/m2; or openable windows and valid opening area for natural ventilation of at least 1/10 of the total floor space of an occupied room; or valid opening area for natural ventilation is equivalent to Level 4, and in-room air quality improvement is expected with use of outdoor air cooling system that can use more than double the required outdoor air volume.</t>
  </si>
  <si>
    <t>Area of openable windows at least 1/6 of floor space of occupied room.</t>
  </si>
  <si>
    <t>4.2.3 Consideration for Outside Air Intake</t>
    <phoneticPr fontId="26"/>
  </si>
  <si>
    <t>The air intakes are oriented away from pollution sources, considering conditions in areas surrounding the site. They are also oriented away from extraction vents or positioned at least 3 m away.</t>
  </si>
  <si>
    <t>The air intakes are oriented away from pollution sources, considering conditions in areas surrounding the site.</t>
  </si>
  <si>
    <t>The air intakes are oriented away from pollution sources, considering conditions in areas surrounding the site. They are also positioned at least 6 m away from extraction vents.</t>
  </si>
  <si>
    <t>The air intakes are oriented away from pollution sources, considering conditions in areas surrounding the site. They are also oriented away from extraction vents and positioned at least 6 m away.</t>
  </si>
  <si>
    <t>Operation Plan</t>
    <phoneticPr fontId="26"/>
  </si>
  <si>
    <r>
      <t>4.3.1 CO</t>
    </r>
    <r>
      <rPr>
        <b/>
        <vertAlign val="subscript"/>
        <sz val="10"/>
        <rFont val="Arial"/>
        <family val="2"/>
      </rPr>
      <t>2</t>
    </r>
    <r>
      <rPr>
        <b/>
        <sz val="10"/>
        <rFont val="Arial"/>
        <family val="2"/>
      </rPr>
      <t xml:space="preserve"> Monitoring</t>
    </r>
    <phoneticPr fontId="26"/>
  </si>
  <si>
    <t>4.3.2 Control of Smoking</t>
    <phoneticPr fontId="26"/>
  </si>
  <si>
    <t>The system is based on manual measurement, with the minimum necessary level of recording.</t>
  </si>
  <si>
    <t>The system is based on manual measurement, a management manual, etc. has been provided for properly maintaining air quality, and it functions effectively.</t>
  </si>
  <si>
    <t>The system has constant central monitoring of CO2. Also, a management manual, etc. has been provided for properly maintaining air quality, and it functions effectively.</t>
  </si>
  <si>
    <t>There is a minimum level of measures, such as smoking booths, to avoid exposing non-smokers to smoke.</t>
  </si>
  <si>
    <t>Smoking is confirmed to be prohibited in the entire building. Alternatively, there is an adequate level of measures, such as smoking booths, to avoid exposing non-smokers to smoke.</t>
  </si>
  <si>
    <t xml:space="preserve">For Hal (oth.), only museums and exhibition facilities are applicable, and only the exhibition rooms will be evaluated. </t>
    <phoneticPr fontId="26"/>
  </si>
  <si>
    <t>&lt;N.A.&gt;</t>
    <phoneticPr fontId="26"/>
  </si>
  <si>
    <t>Yes</t>
  </si>
  <si>
    <t>No</t>
    <phoneticPr fontId="26"/>
  </si>
  <si>
    <t>Not apply</t>
    <phoneticPr fontId="26"/>
  </si>
  <si>
    <t>Apply</t>
    <phoneticPr fontId="26"/>
  </si>
  <si>
    <t>Expanding adoption of non-fossil energy</t>
  </si>
  <si>
    <t>Promoting Commissioning</t>
    <phoneticPr fontId="26"/>
  </si>
  <si>
    <t>Promoting Commissioning</t>
    <phoneticPr fontId="35" type="noConversion"/>
  </si>
  <si>
    <t>Expanding adoption of non-fossil energy</t>
    <phoneticPr fontId="35" type="noConversion"/>
  </si>
  <si>
    <t>Functionality &amp; Usability</t>
  </si>
  <si>
    <t>1.1.1 Provision of Space &amp; Storage</t>
  </si>
  <si>
    <t>Sch</t>
    <phoneticPr fontId="26"/>
  </si>
  <si>
    <t>Off,Fct</t>
  </si>
  <si>
    <r>
      <t>Private rooms at least 8 m</t>
    </r>
    <r>
      <rPr>
        <vertAlign val="superscript"/>
        <sz val="9"/>
        <rFont val="Arial"/>
        <family val="2"/>
      </rPr>
      <t>2</t>
    </r>
    <r>
      <rPr>
        <sz val="9"/>
        <rFont val="Arial"/>
        <family val="2"/>
      </rPr>
      <t>/bed, multi-bed rooms at least 6 m</t>
    </r>
    <r>
      <rPr>
        <vertAlign val="superscript"/>
        <sz val="9"/>
        <rFont val="Arial"/>
        <family val="2"/>
      </rPr>
      <t>2</t>
    </r>
    <r>
      <rPr>
        <sz val="9"/>
        <rFont val="Arial"/>
        <family val="2"/>
      </rPr>
      <t>/bed.</t>
    </r>
    <phoneticPr fontId="26"/>
  </si>
  <si>
    <r>
      <t>Single room at least 15 m</t>
    </r>
    <r>
      <rPr>
        <vertAlign val="superscript"/>
        <sz val="9"/>
        <rFont val="Arial"/>
        <family val="2"/>
      </rPr>
      <t>2</t>
    </r>
    <r>
      <rPr>
        <sz val="9"/>
        <rFont val="Arial"/>
        <family val="2"/>
      </rPr>
      <t>, twin room at least 22 m</t>
    </r>
    <r>
      <rPr>
        <vertAlign val="superscript"/>
        <sz val="9"/>
        <rFont val="Arial"/>
        <family val="2"/>
      </rPr>
      <t>2</t>
    </r>
    <r>
      <rPr>
        <sz val="9"/>
        <rFont val="Arial"/>
        <family val="2"/>
      </rPr>
      <t>.</t>
    </r>
    <phoneticPr fontId="26"/>
  </si>
  <si>
    <r>
      <t>Single room at least 22 m</t>
    </r>
    <r>
      <rPr>
        <vertAlign val="superscript"/>
        <sz val="9"/>
        <rFont val="Arial"/>
        <family val="2"/>
      </rPr>
      <t>2</t>
    </r>
    <r>
      <rPr>
        <sz val="9"/>
        <rFont val="Arial"/>
        <family val="2"/>
      </rPr>
      <t>, twin room at least 32 m</t>
    </r>
    <r>
      <rPr>
        <vertAlign val="superscript"/>
        <sz val="9"/>
        <rFont val="Arial"/>
        <family val="2"/>
      </rPr>
      <t>2</t>
    </r>
    <r>
      <rPr>
        <sz val="9"/>
        <rFont val="Arial"/>
        <family val="2"/>
      </rPr>
      <t>.</t>
    </r>
    <phoneticPr fontId="26"/>
  </si>
  <si>
    <r>
      <t>Private rooms at least 10 m</t>
    </r>
    <r>
      <rPr>
        <vertAlign val="superscript"/>
        <sz val="9"/>
        <rFont val="Arial"/>
        <family val="2"/>
      </rPr>
      <t>2</t>
    </r>
    <r>
      <rPr>
        <sz val="9"/>
        <rFont val="Arial"/>
        <family val="2"/>
      </rPr>
      <t>/bed, multi-bed rooms at least 8 m</t>
    </r>
    <r>
      <rPr>
        <vertAlign val="superscript"/>
        <sz val="9"/>
        <rFont val="Arial"/>
        <family val="2"/>
      </rPr>
      <t>2</t>
    </r>
    <r>
      <rPr>
        <sz val="9"/>
        <rFont val="Arial"/>
        <family val="2"/>
      </rPr>
      <t>/bed.</t>
    </r>
    <phoneticPr fontId="26"/>
  </si>
  <si>
    <r>
      <t>Single room at least 30 m</t>
    </r>
    <r>
      <rPr>
        <vertAlign val="superscript"/>
        <sz val="9"/>
        <rFont val="Arial"/>
        <family val="2"/>
      </rPr>
      <t>2</t>
    </r>
    <r>
      <rPr>
        <sz val="9"/>
        <rFont val="Arial"/>
        <family val="2"/>
      </rPr>
      <t>, twin room at least 40 m</t>
    </r>
    <r>
      <rPr>
        <vertAlign val="superscript"/>
        <sz val="9"/>
        <rFont val="Arial"/>
        <family val="2"/>
      </rPr>
      <t>2</t>
    </r>
    <r>
      <rPr>
        <sz val="9"/>
        <rFont val="Arial"/>
        <family val="2"/>
      </rPr>
      <t>.</t>
    </r>
    <phoneticPr fontId="26"/>
  </si>
  <si>
    <t>Working space per person is at least 6 m2.</t>
    <phoneticPr fontId="26"/>
  </si>
  <si>
    <t>Working space per person is at least 9 m2.</t>
    <phoneticPr fontId="26"/>
  </si>
  <si>
    <t>Working space per person is at least 12 m2</t>
    <phoneticPr fontId="26"/>
  </si>
  <si>
    <t>Working space</t>
    <phoneticPr fontId="26"/>
  </si>
  <si>
    <t>Hsp</t>
    <phoneticPr fontId="26"/>
  </si>
  <si>
    <t>Bedroom</t>
    <phoneticPr fontId="26"/>
  </si>
  <si>
    <t>Single room</t>
    <phoneticPr fontId="26"/>
  </si>
  <si>
    <t>Twin room</t>
    <phoneticPr fontId="26"/>
  </si>
  <si>
    <t>Not adequate for level 2.</t>
  </si>
  <si>
    <r>
      <t>Measures such as OA floors* accommodate layout changes, and electrical sockets for OA equipment have at least 30 VA/m</t>
    </r>
    <r>
      <rPr>
        <vertAlign val="superscript"/>
        <sz val="9"/>
        <rFont val="Arial"/>
        <family val="2"/>
      </rPr>
      <t>2</t>
    </r>
    <r>
      <rPr>
        <sz val="9"/>
        <rFont val="Arial"/>
        <family val="2"/>
      </rPr>
      <t xml:space="preserve"> socket capacity. In addition, optical fiber is routed into the building for communications.</t>
    </r>
    <phoneticPr fontId="26"/>
  </si>
  <si>
    <r>
      <t>Measures such as OA floors accommodate layout changes, and electrical sockets for OA equipment have at least 30 VA/m</t>
    </r>
    <r>
      <rPr>
        <vertAlign val="superscript"/>
        <sz val="9"/>
        <rFont val="Arial"/>
        <family val="2"/>
      </rPr>
      <t>2</t>
    </r>
    <r>
      <rPr>
        <sz val="9"/>
        <rFont val="Arial"/>
        <family val="2"/>
      </rPr>
      <t xml:space="preserve"> socket capacity. Also, level 2 is satisfied for communications, and communications lines with capacity for one data communications device per 8 m</t>
    </r>
    <r>
      <rPr>
        <vertAlign val="superscript"/>
        <sz val="9"/>
        <rFont val="Arial"/>
        <family val="2"/>
      </rPr>
      <t>2</t>
    </r>
    <r>
      <rPr>
        <sz val="9"/>
        <rFont val="Arial"/>
        <family val="2"/>
      </rPr>
      <t xml:space="preserve"> (one phone, one PC) is routed onto each floor.</t>
    </r>
    <phoneticPr fontId="26"/>
  </si>
  <si>
    <r>
      <t>Measures such as OA floors accommodate layout changes, and electrical sockets for OA equipment have at least 40 VA/m</t>
    </r>
    <r>
      <rPr>
        <vertAlign val="superscript"/>
        <sz val="9"/>
        <rFont val="Arial"/>
        <family val="2"/>
      </rPr>
      <t>2</t>
    </r>
    <r>
      <rPr>
        <sz val="9"/>
        <rFont val="Arial"/>
        <family val="2"/>
      </rPr>
      <t xml:space="preserve"> socket capacity. Also, level 3 is satisfied for communications, lines for multiple communications carriers are routed into the building, and space is provided for each communications carrier to lay cables onto each floor.</t>
    </r>
    <phoneticPr fontId="26"/>
  </si>
  <si>
    <r>
      <t>Measures such as OA floors accommodate layout changes, and electrical sockets for OA equipment have at least 50 VA/m</t>
    </r>
    <r>
      <rPr>
        <vertAlign val="superscript"/>
        <sz val="9"/>
        <rFont val="Arial"/>
        <family val="2"/>
      </rPr>
      <t>2</t>
    </r>
    <r>
      <rPr>
        <sz val="9"/>
        <rFont val="Arial"/>
        <family val="2"/>
      </rPr>
      <t xml:space="preserve"> socket capacity. Also, level 4 is satisfied for communications, Gigabit communications lines are routed onto each floor, and tenant EPS is ensured for communications between floors.</t>
    </r>
    <phoneticPr fontId="26"/>
  </si>
  <si>
    <t>Htl,Apt</t>
  </si>
  <si>
    <t>Communications lines able to carry telephone and broadcasting are routed into each dwelling or guest room.</t>
  </si>
  <si>
    <t>Level 2 is satisfied, and Internet services not adequate for level 4 are provided.</t>
    <phoneticPr fontId="26"/>
  </si>
  <si>
    <t>Each dwelling or guest room is equipped with a communications environment able to use 100 Mbit-class broadband.</t>
  </si>
  <si>
    <t>Each dwelling or guest room is equipped with a communications environment able to use Gbit-class broadband.</t>
  </si>
  <si>
    <t>Socket capacity</t>
    <phoneticPr fontId="26"/>
  </si>
  <si>
    <t>1.1.2 Use of Advanced Information System</t>
    <phoneticPr fontId="26"/>
  </si>
  <si>
    <t>1.1.3 Barrier-free Planning</t>
    <phoneticPr fontId="26"/>
  </si>
  <si>
    <t>The building satisfies the standard for easing building use (the minimum level) under the Barrier-free Building Law.</t>
    <phoneticPr fontId="26"/>
  </si>
  <si>
    <t>The building satisfies the standard for easing building use (the preferred level) under the Barrier-free Building Law.</t>
    <phoneticPr fontId="26"/>
  </si>
  <si>
    <t>The building exceeds the standard for easing and guiding building use (the preferred level) under the Barrier-free Building Law, achieving the universal design level.</t>
    <phoneticPr fontId="26"/>
  </si>
  <si>
    <t>At least half of the building satisfies the standard for easing building use (the minimum level) under the Barrier-free Building Law.</t>
    <phoneticPr fontId="26"/>
  </si>
  <si>
    <t>The building satisfies the standard for easing building use (the desirable level) under the Barrier-free Building Law.</t>
    <phoneticPr fontId="26"/>
  </si>
  <si>
    <t>1.2.1 Perceived Spaciousness &amp; Access to View</t>
  </si>
  <si>
    <t>Rtl,Rst</t>
  </si>
  <si>
    <t>Ceiling height of at least 2.5 m in office space and windows provide all occupants with sufficient awareness of the outside environment.</t>
  </si>
  <si>
    <t>Ceiling height at least 3.0 m in sales area.</t>
  </si>
  <si>
    <t>Ceiling height of at least 2.7 m in office space and windows provide all occupants with sufficient awareness of the outside environment.</t>
  </si>
  <si>
    <t>Ceiling height at least 3.3 m in sales area.</t>
  </si>
  <si>
    <t>Ceiling height of at least 2.9 m in office space and windows provide all occupants with sufficient awareness of outside the environment.</t>
  </si>
  <si>
    <t>Sch(Univ.,etc)</t>
  </si>
  <si>
    <t>Ceiling height of at least 2.7 m in classrooms.</t>
  </si>
  <si>
    <t>Ceiling height of at least 3.0 m in classrooms.</t>
  </si>
  <si>
    <t>Ceiling height at least 2.7 m in most classrooms.</t>
  </si>
  <si>
    <t>Ceiling height of at least 3.1 m in classrooms.</t>
  </si>
  <si>
    <t>Ceiling height of at least 3.2 m in classrooms.</t>
  </si>
  <si>
    <t>Ceiling height exceeding 2.7 m in classrooms.</t>
  </si>
  <si>
    <t>Celling height</t>
    <phoneticPr fontId="26"/>
  </si>
  <si>
    <t>There is no refreshment space.</t>
  </si>
  <si>
    <t>Refreshment space is less than 1% of the working space.</t>
  </si>
  <si>
    <t>Refreshment space is at least 1% of the working space.</t>
  </si>
  <si>
    <t>Rest space is at least 2% of the sales floor area.</t>
  </si>
  <si>
    <t>Rest space is at least 4% of the sales floor area.</t>
  </si>
  <si>
    <t>Refreshment space accounts for at least 1% of the working space and refreshment equipment such as a vending machine is provided.</t>
    <phoneticPr fontId="26"/>
  </si>
  <si>
    <t>Refreshment space</t>
    <phoneticPr fontId="26"/>
  </si>
  <si>
    <t>Rest space is at least 3% of the sales floor area</t>
    <phoneticPr fontId="26"/>
  </si>
  <si>
    <t>Rest space</t>
    <phoneticPr fontId="26"/>
  </si>
  <si>
    <t>2.2.1 Service Life of Structural Materials</t>
  </si>
  <si>
    <t>2.2.2 Necessary Refurbishment Interval for Exterior Finishes</t>
  </si>
  <si>
    <t>Level equivalent to Grade 1 of “3-1. Durability Grade (Structural Frame, etc.)” in the Japan Housing Performance Indication Standards</t>
    <phoneticPr fontId="26"/>
  </si>
  <si>
    <t>Level equivalent to Grade 2 of “3-1. Durability Grade (Structural Frame, etc.)” in the Japan Housing Performance Indication Standards</t>
    <phoneticPr fontId="26"/>
  </si>
  <si>
    <t>Level equivalent to Grade 3 of “3-1. Durability Grade (Structural Frame, etc.)” in the Japan Housing Performance Indication Standards</t>
    <phoneticPr fontId="26"/>
  </si>
  <si>
    <t>Less than 10 years</t>
  </si>
  <si>
    <t>10 years or more, less than 20 years</t>
  </si>
  <si>
    <t>20 years</t>
  </si>
  <si>
    <t>21 years or more, less than 30 years</t>
  </si>
  <si>
    <t>30 years or more</t>
  </si>
  <si>
    <t>2.2.3 Necessary Renewal Interval for Main Interior Finishes</t>
  </si>
  <si>
    <t>Expected lifespan</t>
    <phoneticPr fontId="26"/>
  </si>
  <si>
    <t>2.2.4 Necessary Renewal Interval for Air Conditioning and Ventilation Ducts</t>
    <phoneticPr fontId="26"/>
  </si>
  <si>
    <t>2.2.6 Necessary Replacement Interval for Major Equipment and Services</t>
    <phoneticPr fontId="26"/>
  </si>
  <si>
    <t>2.2.5 Necessary Renewal Interval for HVAC and Water Supply and Drainage Pipes</t>
    <phoneticPr fontId="26"/>
  </si>
  <si>
    <t>Expected necessary interval</t>
    <phoneticPr fontId="26"/>
  </si>
  <si>
    <t xml:space="preserve">yr. </t>
    <phoneticPr fontId="26"/>
  </si>
  <si>
    <t>Necessary Renewal Interval for Air Conditioning and Ventilation Ducts</t>
    <phoneticPr fontId="26"/>
  </si>
  <si>
    <t>Necessary Replacement Interval for Major Equipment and Services</t>
    <phoneticPr fontId="26"/>
  </si>
  <si>
    <t>Necessary Replacement Interval for 
Major Equipment and Services</t>
    <phoneticPr fontId="35" type="noConversion"/>
  </si>
  <si>
    <t>Off,Sch,Rtl,Rst,Hal,Hsp,Htl,Fct</t>
  </si>
  <si>
    <t>Less than 5 years</t>
  </si>
  <si>
    <t>5 years or more, less than 10 years</t>
  </si>
  <si>
    <t>10 years</t>
  </si>
  <si>
    <t>11 years or more, less than 20 years</t>
  </si>
  <si>
    <t>20 year or more</t>
  </si>
  <si>
    <t>10 years or more, less than 15 years</t>
  </si>
  <si>
    <t>15 years</t>
  </si>
  <si>
    <t>16 years or more, less than 25 years</t>
  </si>
  <si>
    <t>25 years or more</t>
  </si>
  <si>
    <t>Zinc-plated steel sheet used almost throughout.</t>
  </si>
  <si>
    <t>Exposed exterior ducts, kitchen venting ducts, high-humidity venting ducts and similar applications that would have shorter service lives than other applications when made from zinc-plated steel sheet are made from stainless steel or Galvalume to extend service life. Alternatively, appropriate provision has been made for drainage of internal condensation.</t>
  </si>
  <si>
    <t>At least 90% of exposed exterior ducts, kitchen venting ducts, high-humidity venting ducts and similar applications that would have shorter service lives than other applications when made from zinc-plated steel sheet are made from stainless steel or Galvalume to extend service life.</t>
  </si>
  <si>
    <t>D or better used in almost all the top three main building types.</t>
  </si>
  <si>
    <t>C or better used in at least two of the top three main building types.</t>
  </si>
  <si>
    <t>B or better used in at least two of the top three main building types, and E is not used.</t>
  </si>
  <si>
    <t>Less than 7 years</t>
  </si>
  <si>
    <t>7 years or more, less than 15 years</t>
  </si>
  <si>
    <t>16 years or more, less than 30 years</t>
  </si>
  <si>
    <t>Appropriate Renewal</t>
  </si>
  <si>
    <t>Floor height</t>
    <phoneticPr fontId="26"/>
  </si>
  <si>
    <t>3.1.1 Allowance for Floor-to-floor Height</t>
  </si>
  <si>
    <t>3.1.2 Flexibility in Floor Layout</t>
  </si>
  <si>
    <t>Off,Sch,Rtl,Rst,Hal,Hsp,Fct</t>
  </si>
  <si>
    <t xml:space="preserve"> [Wall length/area ratio] &lt; 0.1</t>
  </si>
  <si>
    <t>[Wall length/area ratio] &lt; 0.1</t>
  </si>
  <si>
    <t>Wall length/area ratio</t>
    <phoneticPr fontId="26"/>
  </si>
  <si>
    <t>Length of perimeter walls [m] + length of bearing walls [m]</t>
    <phoneticPr fontId="26"/>
  </si>
  <si>
    <t>Exclusive area [m2]</t>
    <phoneticPr fontId="26"/>
  </si>
  <si>
    <t>Less than 3.3 m</t>
  </si>
  <si>
    <t>Less than 3.1 m</t>
  </si>
  <si>
    <t>3.3 m or more, less than 3.5 m</t>
  </si>
  <si>
    <t>3.1 m or more, less than 3.3 m</t>
  </si>
  <si>
    <t>3.5 m or more, less than 3.7 m</t>
  </si>
  <si>
    <t>3.7 m or more, less than 3.9 m</t>
  </si>
  <si>
    <t>3.9 m or more</t>
  </si>
  <si>
    <t>3.7 m or more</t>
  </si>
  <si>
    <t>Less than 2.7 m</t>
  </si>
  <si>
    <t>2.7 m or more, less than 2.8 m</t>
  </si>
  <si>
    <t>2.8 m or more, less than 2.9 m</t>
  </si>
  <si>
    <t>2.9 m or more, less than 3.0 m</t>
  </si>
  <si>
    <t>3.0 m or more</t>
  </si>
  <si>
    <t>Hsp,Htl</t>
  </si>
  <si>
    <t>Off,Sch,Rtl,Rst,Hsp,Fct</t>
  </si>
  <si>
    <t>Off,Sch,Rtl,Rst,Hsp,Fct [&lt;2000m2]</t>
  </si>
  <si>
    <t>Off,Rtl,Rst,Hal(fixed sheets),Hsp,Fct</t>
    <phoneticPr fontId="26"/>
  </si>
  <si>
    <t>Hal(unfixed sheets)</t>
    <phoneticPr fontId="26"/>
  </si>
  <si>
    <r>
      <t>Less than 2,900 N/m</t>
    </r>
    <r>
      <rPr>
        <vertAlign val="superscript"/>
        <sz val="9"/>
        <rFont val="Arial"/>
        <family val="2"/>
      </rPr>
      <t>2</t>
    </r>
    <phoneticPr fontId="26"/>
  </si>
  <si>
    <r>
      <t>Less than 3,500 N/m</t>
    </r>
    <r>
      <rPr>
        <vertAlign val="superscript"/>
        <sz val="9"/>
        <rFont val="Arial"/>
        <family val="2"/>
      </rPr>
      <t>2</t>
    </r>
    <phoneticPr fontId="26"/>
  </si>
  <si>
    <r>
      <t>Less than 2,300 N/m</t>
    </r>
    <r>
      <rPr>
        <vertAlign val="superscript"/>
        <sz val="9"/>
        <rFont val="Arial"/>
        <family val="2"/>
      </rPr>
      <t>2</t>
    </r>
    <phoneticPr fontId="26"/>
  </si>
  <si>
    <r>
      <t>2,900 N/m</t>
    </r>
    <r>
      <rPr>
        <vertAlign val="superscript"/>
        <sz val="9"/>
        <rFont val="Arial"/>
        <family val="2"/>
      </rPr>
      <t>2</t>
    </r>
    <r>
      <rPr>
        <sz val="9"/>
        <rFont val="Arial"/>
        <family val="2"/>
      </rPr>
      <t xml:space="preserve"> or more, less than 3,500 N/m</t>
    </r>
    <r>
      <rPr>
        <vertAlign val="superscript"/>
        <sz val="9"/>
        <rFont val="Arial"/>
        <family val="2"/>
      </rPr>
      <t>2</t>
    </r>
    <phoneticPr fontId="26"/>
  </si>
  <si>
    <r>
      <t>3,500 N/m</t>
    </r>
    <r>
      <rPr>
        <vertAlign val="superscript"/>
        <sz val="9"/>
        <rFont val="Arial"/>
        <family val="2"/>
      </rPr>
      <t>2</t>
    </r>
    <r>
      <rPr>
        <sz val="9"/>
        <rFont val="Arial"/>
        <family val="2"/>
      </rPr>
      <t xml:space="preserve"> or more, less than 4,200 N/m</t>
    </r>
    <r>
      <rPr>
        <vertAlign val="superscript"/>
        <sz val="9"/>
        <rFont val="Arial"/>
        <family val="2"/>
      </rPr>
      <t>2</t>
    </r>
    <phoneticPr fontId="26"/>
  </si>
  <si>
    <r>
      <t>2,300 N/m</t>
    </r>
    <r>
      <rPr>
        <vertAlign val="superscript"/>
        <sz val="9"/>
        <rFont val="Arial"/>
        <family val="2"/>
      </rPr>
      <t>2</t>
    </r>
    <r>
      <rPr>
        <sz val="9"/>
        <rFont val="Arial"/>
        <family val="2"/>
      </rPr>
      <t xml:space="preserve"> or more, less than 2,900 N/m</t>
    </r>
    <r>
      <rPr>
        <vertAlign val="superscript"/>
        <sz val="9"/>
        <rFont val="Arial"/>
        <family val="2"/>
      </rPr>
      <t>2</t>
    </r>
    <phoneticPr fontId="26"/>
  </si>
  <si>
    <r>
      <t>3,500 N/m</t>
    </r>
    <r>
      <rPr>
        <vertAlign val="superscript"/>
        <sz val="9"/>
        <rFont val="Arial"/>
        <family val="2"/>
      </rPr>
      <t>2</t>
    </r>
    <r>
      <rPr>
        <sz val="9"/>
        <rFont val="Arial"/>
        <family val="2"/>
      </rPr>
      <t xml:space="preserve"> or more, less than 4,500 N/m</t>
    </r>
    <r>
      <rPr>
        <vertAlign val="superscript"/>
        <sz val="9"/>
        <rFont val="Arial"/>
        <family val="2"/>
      </rPr>
      <t>2</t>
    </r>
    <phoneticPr fontId="26"/>
  </si>
  <si>
    <r>
      <t>4,200 N/m</t>
    </r>
    <r>
      <rPr>
        <vertAlign val="superscript"/>
        <sz val="9"/>
        <rFont val="Arial"/>
        <family val="2"/>
      </rPr>
      <t>2</t>
    </r>
    <r>
      <rPr>
        <sz val="9"/>
        <rFont val="Arial"/>
        <family val="2"/>
      </rPr>
      <t xml:space="preserve"> or more, less than 5,200 N/m</t>
    </r>
    <r>
      <rPr>
        <vertAlign val="superscript"/>
        <sz val="9"/>
        <rFont val="Arial"/>
        <family val="2"/>
      </rPr>
      <t>2</t>
    </r>
    <phoneticPr fontId="26"/>
  </si>
  <si>
    <r>
      <t>4,500 N/m</t>
    </r>
    <r>
      <rPr>
        <vertAlign val="superscript"/>
        <sz val="9"/>
        <rFont val="Arial"/>
        <family val="2"/>
      </rPr>
      <t>2</t>
    </r>
    <r>
      <rPr>
        <sz val="9"/>
        <rFont val="Arial"/>
        <family val="2"/>
      </rPr>
      <t xml:space="preserve"> or more</t>
    </r>
    <phoneticPr fontId="26"/>
  </si>
  <si>
    <r>
      <t>5,200 N/m</t>
    </r>
    <r>
      <rPr>
        <vertAlign val="superscript"/>
        <sz val="9"/>
        <rFont val="Arial"/>
        <family val="2"/>
      </rPr>
      <t>2</t>
    </r>
    <r>
      <rPr>
        <sz val="9"/>
        <rFont val="Arial"/>
        <family val="2"/>
      </rPr>
      <t xml:space="preserve"> or more</t>
    </r>
    <phoneticPr fontId="26"/>
  </si>
  <si>
    <r>
      <t>3,500 N/m</t>
    </r>
    <r>
      <rPr>
        <vertAlign val="superscript"/>
        <sz val="9"/>
        <rFont val="Arial"/>
        <family val="2"/>
      </rPr>
      <t>2</t>
    </r>
    <r>
      <rPr>
        <sz val="9"/>
        <rFont val="Arial"/>
        <family val="2"/>
      </rPr>
      <t xml:space="preserve"> or more</t>
    </r>
    <phoneticPr fontId="26"/>
  </si>
  <si>
    <r>
      <t>Less than 1,800 N/m</t>
    </r>
    <r>
      <rPr>
        <vertAlign val="superscript"/>
        <sz val="9"/>
        <rFont val="Arial"/>
        <family val="2"/>
      </rPr>
      <t>2</t>
    </r>
    <phoneticPr fontId="26"/>
  </si>
  <si>
    <r>
      <t>1,800 N/m</t>
    </r>
    <r>
      <rPr>
        <vertAlign val="superscript"/>
        <sz val="9"/>
        <rFont val="Arial"/>
        <family val="2"/>
      </rPr>
      <t>2</t>
    </r>
    <r>
      <rPr>
        <sz val="9"/>
        <rFont val="Arial"/>
        <family val="2"/>
      </rPr>
      <t xml:space="preserve"> or more, less than 2,100 N/m</t>
    </r>
    <r>
      <rPr>
        <vertAlign val="superscript"/>
        <sz val="9"/>
        <rFont val="Arial"/>
        <family val="2"/>
      </rPr>
      <t>2</t>
    </r>
    <phoneticPr fontId="26"/>
  </si>
  <si>
    <r>
      <t>2,100 N/m</t>
    </r>
    <r>
      <rPr>
        <vertAlign val="superscript"/>
        <sz val="9"/>
        <rFont val="Arial"/>
        <family val="2"/>
      </rPr>
      <t>2</t>
    </r>
    <r>
      <rPr>
        <sz val="9"/>
        <rFont val="Arial"/>
        <family val="2"/>
      </rPr>
      <t xml:space="preserve"> or more, less than 2,900 N/m</t>
    </r>
    <r>
      <rPr>
        <vertAlign val="superscript"/>
        <sz val="9"/>
        <rFont val="Arial"/>
        <family val="2"/>
      </rPr>
      <t>2</t>
    </r>
    <phoneticPr fontId="26"/>
  </si>
  <si>
    <r>
      <t>2,900 N/m</t>
    </r>
    <r>
      <rPr>
        <vertAlign val="superscript"/>
        <sz val="9"/>
        <rFont val="Arial"/>
        <family val="2"/>
      </rPr>
      <t>2</t>
    </r>
    <r>
      <rPr>
        <sz val="9"/>
        <rFont val="Arial"/>
        <family val="2"/>
      </rPr>
      <t xml:space="preserve"> or more</t>
    </r>
    <phoneticPr fontId="26"/>
  </si>
  <si>
    <t>Floor Load Margin</t>
    <phoneticPr fontId="26"/>
  </si>
  <si>
    <t>Floor Load</t>
    <phoneticPr fontId="26"/>
  </si>
  <si>
    <t>Fixed windows and valid opening area for natural ventilation of at least 50 cm2/m2; or openable windows and valid opening area for natural ventilation of at least 1/15 of the total floor space of an occupied room; or valid opening area for natural ventilation is equivalent to Level 4, and in-room air quality improvement is expected with use of outdoor air cooling system that can use more than double the required outdoor air volume.</t>
    <phoneticPr fontId="26"/>
  </si>
  <si>
    <t>Valid opening area for natural ventilation</t>
    <phoneticPr fontId="26"/>
  </si>
  <si>
    <t>of the total floor area of an occupied room</t>
    <phoneticPr fontId="26"/>
  </si>
  <si>
    <t>/person</t>
    <phoneticPr fontId="26"/>
  </si>
  <si>
    <t>/bed</t>
    <phoneticPr fontId="26"/>
  </si>
  <si>
    <t>Daylight factor</t>
    <phoneticPr fontId="26"/>
  </si>
  <si>
    <t>Exterior area</t>
    <phoneticPr fontId="26"/>
  </si>
  <si>
    <t>Roof planting</t>
    <phoneticPr fontId="26"/>
  </si>
  <si>
    <t>Wall planting</t>
    <phoneticPr fontId="26"/>
  </si>
  <si>
    <t>Horizontal projection areas of medium and tall trees</t>
    <phoneticPr fontId="26"/>
  </si>
  <si>
    <t>Low trees and ground cover</t>
    <phoneticPr fontId="26"/>
  </si>
  <si>
    <t>green area</t>
    <phoneticPr fontId="26"/>
  </si>
  <si>
    <t>horizontal projection areas of piloti, eaves, pergolas, etc.</t>
    <phoneticPr fontId="26"/>
  </si>
  <si>
    <t>ground surface</t>
    <phoneticPr fontId="26"/>
  </si>
  <si>
    <t>subtotal area</t>
    <phoneticPr fontId="26"/>
  </si>
  <si>
    <t>Countermeasure area ratio</t>
    <phoneticPr fontId="26"/>
  </si>
  <si>
    <t xml:space="preserve">  horizontal projection areas</t>
    <phoneticPr fontId="26"/>
  </si>
  <si>
    <t xml:space="preserve">  paved surface</t>
    <phoneticPr fontId="26"/>
  </si>
  <si>
    <t>Green cover ratio</t>
    <phoneticPr fontId="26"/>
  </si>
  <si>
    <t xml:space="preserve">  appropriate exterior wall surface</t>
    <phoneticPr fontId="26"/>
  </si>
  <si>
    <t xml:space="preserve">  appropriate ground surface</t>
    <phoneticPr fontId="26"/>
  </si>
  <si>
    <t xml:space="preserve">Percentage of </t>
    <phoneticPr fontId="26"/>
  </si>
  <si>
    <t>Horizontal projection area ratio of piloti, eaves, pergolas, etc.</t>
    <phoneticPr fontId="26"/>
  </si>
  <si>
    <t>Paved surface ratio</t>
    <phoneticPr fontId="26"/>
  </si>
  <si>
    <t>Paved area</t>
    <phoneticPr fontId="26"/>
  </si>
  <si>
    <t>Retroreflective surface ratio</t>
    <phoneticPr fontId="26"/>
  </si>
  <si>
    <t>exterior wall</t>
    <phoneticPr fontId="26"/>
  </si>
  <si>
    <t>equivalent</t>
    <phoneticPr fontId="35" type="noConversion"/>
  </si>
  <si>
    <t>GWP</t>
    <phoneticPr fontId="35" type="noConversion"/>
  </si>
  <si>
    <t xml:space="preserve"> w/o</t>
    <phoneticPr fontId="35" type="noConversion"/>
  </si>
  <si>
    <t xml:space="preserve"> [W/m2K]</t>
    <phoneticPr fontId="35" type="noConversion"/>
  </si>
  <si>
    <t>U value</t>
    <phoneticPr fontId="35" type="noConversion"/>
  </si>
  <si>
    <t>% of impact</t>
    <phoneticPr fontId="26"/>
  </si>
  <si>
    <t>% of classrooms w/ adequate ventilation</t>
    <phoneticPr fontId="26"/>
  </si>
  <si>
    <t>% of dwellings w/ adequate ventilation</t>
    <phoneticPr fontId="26"/>
  </si>
  <si>
    <t>% of dwellings w/ adequate natural light</t>
    <phoneticPr fontId="26"/>
  </si>
  <si>
    <t>% of classrooms w/ adequate natural light</t>
    <phoneticPr fontId="26"/>
  </si>
  <si>
    <t>Solar power generation</t>
    <phoneticPr fontId="26"/>
  </si>
  <si>
    <t>Note; In addition to environmental considerations, describe the calculation method and compliance status with ZEB/ZEH, BELS, etc.</t>
    <phoneticPr fontId="26"/>
  </si>
  <si>
    <t>Note; Present calculation methods, etc. State if average UA of entire building is used.</t>
    <phoneticPr fontId="26"/>
  </si>
  <si>
    <t>Note; Describe other initiatives. Describe architectural innovations and their impact for evaluation of Sch &amp; Apt (if Level 4 or higher).</t>
    <phoneticPr fontId="26"/>
  </si>
  <si>
    <t>Rain water 
usage rate</t>
    <phoneticPr fontId="26"/>
  </si>
  <si>
    <t>Proportion of 
timber used</t>
    <phoneticPr fontId="26"/>
  </si>
  <si>
    <t>Total quantity of timber used from sustainable forests (volume) [m3]</t>
    <phoneticPr fontId="26"/>
  </si>
  <si>
    <t>Total quantity of timber used in the building (volume) [m3]</t>
    <phoneticPr fontId="26"/>
  </si>
  <si>
    <t>Note; Describe the extent of efforts in terms of countermeasure area ratio, etc.</t>
    <phoneticPr fontId="26"/>
  </si>
  <si>
    <t>Note; Describe the type of fire extinguishing agent, etc.</t>
    <phoneticPr fontId="26"/>
  </si>
  <si>
    <t>Note; If no foaming agent is used, state it here.</t>
    <phoneticPr fontId="26"/>
  </si>
  <si>
    <t>Note; Describe refrigerant type, etc.</t>
    <phoneticPr fontId="26"/>
  </si>
  <si>
    <t>Exposed area ratio</t>
    <phoneticPr fontId="26"/>
  </si>
  <si>
    <t>Building spacing index Rw</t>
    <phoneticPr fontId="26"/>
  </si>
  <si>
    <t xml:space="preserve">  appropriate roof top surface</t>
    <phoneticPr fontId="26"/>
  </si>
  <si>
    <t>water surface</t>
    <phoneticPr fontId="26"/>
  </si>
  <si>
    <t>Water /evaporative surface ratio</t>
    <phoneticPr fontId="26"/>
  </si>
  <si>
    <t>Evaporative surface ratio</t>
    <phoneticPr fontId="26"/>
  </si>
  <si>
    <t>high solar reflectance material covered area</t>
    <phoneticPr fontId="26"/>
  </si>
  <si>
    <t>High solar reflectance surface ratio</t>
    <phoneticPr fontId="26"/>
  </si>
  <si>
    <t>roof top</t>
    <phoneticPr fontId="26"/>
  </si>
  <si>
    <t>Exposed area Sb</t>
    <phoneticPr fontId="26"/>
  </si>
  <si>
    <t>Ws: Maximum width of the site perpendicular to the prevailing wind direction</t>
    <phoneticPr fontId="26"/>
  </si>
  <si>
    <t>Hb: Standard height</t>
    <phoneticPr fontId="26"/>
  </si>
  <si>
    <t xml:space="preserve">Other than apartment </t>
  </si>
  <si>
    <t>Apartment</t>
  </si>
  <si>
    <t>The outline of efforts for environment should be filled in short if the score exceeds Level 3. If there is a lot to write, describe it on the consideration sheet.</t>
    <phoneticPr fontId="26"/>
  </si>
  <si>
    <t>Outline of env. efforts</t>
  </si>
  <si>
    <t>Note; State the types of building materials that have been confirmed.</t>
    <phoneticPr fontId="26"/>
  </si>
  <si>
    <t>Non (Confirmed)</t>
    <phoneticPr fontId="26"/>
  </si>
  <si>
    <r>
      <rPr>
        <sz val="11"/>
        <rFont val="ＭＳ Ｐゴシック"/>
        <family val="3"/>
        <charset val="128"/>
      </rPr>
      <t>　</t>
    </r>
    <r>
      <rPr>
        <sz val="11"/>
        <rFont val="Arial"/>
        <family val="2"/>
      </rPr>
      <t>Level 1</t>
    </r>
  </si>
  <si>
    <r>
      <rPr>
        <sz val="11"/>
        <rFont val="ＭＳ Ｐゴシック"/>
        <family val="3"/>
        <charset val="128"/>
      </rPr>
      <t>■</t>
    </r>
    <r>
      <rPr>
        <sz val="11"/>
        <rFont val="Arial"/>
        <family val="2"/>
      </rPr>
      <t>Level 1</t>
    </r>
  </si>
  <si>
    <r>
      <rPr>
        <sz val="11"/>
        <rFont val="ＭＳ Ｐゴシック"/>
        <family val="3"/>
        <charset val="128"/>
      </rPr>
      <t>　</t>
    </r>
    <r>
      <rPr>
        <sz val="11"/>
        <rFont val="Arial"/>
        <family val="2"/>
      </rPr>
      <t>Level 2</t>
    </r>
  </si>
  <si>
    <r>
      <rPr>
        <sz val="11"/>
        <rFont val="ＭＳ Ｐゴシック"/>
        <family val="3"/>
        <charset val="128"/>
      </rPr>
      <t>■</t>
    </r>
    <r>
      <rPr>
        <sz val="11"/>
        <rFont val="Arial"/>
        <family val="2"/>
      </rPr>
      <t>Level 2</t>
    </r>
  </si>
  <si>
    <r>
      <rPr>
        <sz val="11"/>
        <rFont val="ＭＳ Ｐゴシック"/>
        <family val="3"/>
        <charset val="128"/>
      </rPr>
      <t>プルダウン選択肢</t>
    </r>
    <rPh sb="5" eb="8">
      <t>センタクシ</t>
    </rPh>
    <phoneticPr fontId="26"/>
  </si>
  <si>
    <r>
      <rPr>
        <sz val="11"/>
        <rFont val="ＭＳ Ｐゴシック"/>
        <family val="3"/>
        <charset val="128"/>
      </rPr>
      <t>　</t>
    </r>
    <r>
      <rPr>
        <sz val="11"/>
        <rFont val="Arial"/>
        <family val="2"/>
      </rPr>
      <t>Level 3</t>
    </r>
  </si>
  <si>
    <r>
      <rPr>
        <sz val="11"/>
        <rFont val="ＭＳ Ｐゴシック"/>
        <family val="3"/>
        <charset val="128"/>
      </rPr>
      <t>■</t>
    </r>
    <r>
      <rPr>
        <sz val="11"/>
        <rFont val="Arial"/>
        <family val="2"/>
      </rPr>
      <t>Level 3</t>
    </r>
  </si>
  <si>
    <r>
      <rPr>
        <sz val="11"/>
        <rFont val="ＭＳ Ｐゴシック"/>
        <family val="3"/>
        <charset val="128"/>
      </rPr>
      <t>　</t>
    </r>
    <r>
      <rPr>
        <sz val="11"/>
        <rFont val="Arial"/>
        <family val="2"/>
      </rPr>
      <t>Level 4</t>
    </r>
  </si>
  <si>
    <r>
      <rPr>
        <sz val="11"/>
        <rFont val="ＭＳ Ｐゴシック"/>
        <family val="3"/>
        <charset val="128"/>
      </rPr>
      <t>■</t>
    </r>
    <r>
      <rPr>
        <sz val="11"/>
        <rFont val="Arial"/>
        <family val="2"/>
      </rPr>
      <t>Level 4</t>
    </r>
  </si>
  <si>
    <r>
      <rPr>
        <sz val="11"/>
        <rFont val="ＭＳ Ｐゴシック"/>
        <family val="3"/>
        <charset val="128"/>
      </rPr>
      <t>　</t>
    </r>
    <r>
      <rPr>
        <sz val="11"/>
        <rFont val="Arial"/>
        <family val="2"/>
      </rPr>
      <t>Level 5</t>
    </r>
  </si>
  <si>
    <r>
      <rPr>
        <sz val="11"/>
        <rFont val="ＭＳ Ｐゴシック"/>
        <family val="3"/>
        <charset val="128"/>
      </rPr>
      <t>■</t>
    </r>
    <r>
      <rPr>
        <sz val="11"/>
        <rFont val="Arial"/>
        <family val="2"/>
      </rPr>
      <t>Level 5</t>
    </r>
  </si>
  <si>
    <r>
      <rPr>
        <sz val="11"/>
        <rFont val="ＭＳ Ｐゴシック"/>
        <family val="3"/>
        <charset val="128"/>
      </rPr>
      <t>　</t>
    </r>
    <r>
      <rPr>
        <sz val="11"/>
        <rFont val="Arial"/>
        <family val="2"/>
      </rPr>
      <t>Level</t>
    </r>
    <phoneticPr fontId="26"/>
  </si>
  <si>
    <t>Q1 Indoor Environment</t>
    <phoneticPr fontId="26"/>
  </si>
  <si>
    <r>
      <rPr>
        <sz val="9"/>
        <rFont val="ＭＳ Ｐゴシック"/>
        <family val="3"/>
        <charset val="128"/>
      </rPr>
      <t>住</t>
    </r>
  </si>
  <si>
    <r>
      <rPr>
        <sz val="9"/>
        <rFont val="ＭＳ Ｐゴシック"/>
        <family val="3"/>
        <charset val="128"/>
      </rPr>
      <t>騒音対策を行っていない（評価する取組みにおいてなんら取組みがない）</t>
    </r>
  </si>
  <si>
    <r>
      <rPr>
        <sz val="9"/>
        <rFont val="ＭＳ Ｐゴシック"/>
        <family val="3"/>
        <charset val="128"/>
      </rPr>
      <t>若干の対策を行っている（評価する取組みにおいて</t>
    </r>
    <r>
      <rPr>
        <sz val="9"/>
        <rFont val="Arial"/>
        <family val="2"/>
      </rPr>
      <t>2</t>
    </r>
    <r>
      <rPr>
        <sz val="9"/>
        <rFont val="ＭＳ Ｐゴシック"/>
        <family val="3"/>
        <charset val="128"/>
      </rPr>
      <t>項目以上を採用）</t>
    </r>
  </si>
  <si>
    <r>
      <rPr>
        <sz val="9"/>
        <rFont val="ＭＳ Ｐゴシック"/>
        <family val="3"/>
        <charset val="128"/>
      </rPr>
      <t>若干の対策を行っている（評価する取組みにおいて</t>
    </r>
    <r>
      <rPr>
        <sz val="9"/>
        <rFont val="Arial"/>
        <family val="2"/>
      </rPr>
      <t>1</t>
    </r>
    <r>
      <rPr>
        <sz val="9"/>
        <rFont val="ＭＳ Ｐゴシック"/>
        <family val="3"/>
        <charset val="128"/>
      </rPr>
      <t>項目以上を採用）</t>
    </r>
    <phoneticPr fontId="26"/>
  </si>
  <si>
    <r>
      <rPr>
        <sz val="9"/>
        <rFont val="ＭＳ Ｐゴシック"/>
        <family val="3"/>
        <charset val="128"/>
      </rPr>
      <t>対策を行っている（評価する取組みにおいて</t>
    </r>
    <r>
      <rPr>
        <sz val="9"/>
        <rFont val="Arial"/>
        <family val="2"/>
      </rPr>
      <t>4</t>
    </r>
    <r>
      <rPr>
        <sz val="9"/>
        <rFont val="ＭＳ Ｐゴシック"/>
        <family val="3"/>
        <charset val="128"/>
      </rPr>
      <t>項目以上を採用）</t>
    </r>
  </si>
  <si>
    <r>
      <rPr>
        <sz val="9"/>
        <rFont val="ＭＳ Ｐゴシック"/>
        <family val="3"/>
        <charset val="128"/>
      </rPr>
      <t>対策を行っている（評価する取組みにおいて</t>
    </r>
    <r>
      <rPr>
        <sz val="9"/>
        <rFont val="Arial"/>
        <family val="2"/>
      </rPr>
      <t>2</t>
    </r>
    <r>
      <rPr>
        <sz val="9"/>
        <rFont val="ＭＳ Ｐゴシック"/>
        <family val="3"/>
        <charset val="128"/>
      </rPr>
      <t>項目以上を採用）</t>
    </r>
    <phoneticPr fontId="26"/>
  </si>
  <si>
    <r>
      <rPr>
        <sz val="9"/>
        <rFont val="ＭＳ Ｐゴシック"/>
        <family val="3"/>
        <charset val="128"/>
      </rPr>
      <t>対策を行っている（評価する取組みにおいて</t>
    </r>
    <r>
      <rPr>
        <sz val="9"/>
        <rFont val="Arial"/>
        <family val="2"/>
      </rPr>
      <t>2</t>
    </r>
    <r>
      <rPr>
        <sz val="9"/>
        <rFont val="ＭＳ Ｐゴシック"/>
        <family val="3"/>
        <charset val="128"/>
      </rPr>
      <t>～</t>
    </r>
    <r>
      <rPr>
        <sz val="9"/>
        <rFont val="Arial"/>
        <family val="2"/>
      </rPr>
      <t>3</t>
    </r>
    <r>
      <rPr>
        <sz val="9"/>
        <rFont val="ＭＳ Ｐゴシック"/>
        <family val="3"/>
        <charset val="128"/>
      </rPr>
      <t>項目以上を採用）</t>
    </r>
  </si>
  <si>
    <r>
      <rPr>
        <sz val="9"/>
        <rFont val="ＭＳ Ｐゴシック"/>
        <family val="3"/>
        <charset val="128"/>
      </rPr>
      <t>やや高度な対策を行っている（評価する取組みにおいて</t>
    </r>
    <r>
      <rPr>
        <sz val="9"/>
        <rFont val="Arial"/>
        <family val="2"/>
      </rPr>
      <t>6</t>
    </r>
    <r>
      <rPr>
        <sz val="9"/>
        <rFont val="ＭＳ Ｐゴシック"/>
        <family val="3"/>
        <charset val="128"/>
      </rPr>
      <t>項目以上を採用）</t>
    </r>
  </si>
  <si>
    <r>
      <rPr>
        <sz val="9"/>
        <rFont val="ＭＳ Ｐゴシック"/>
        <family val="3"/>
        <charset val="128"/>
      </rPr>
      <t>やや高度な対策を行っている（評価する取組みにおいて</t>
    </r>
    <r>
      <rPr>
        <sz val="9"/>
        <rFont val="Arial"/>
        <family val="2"/>
      </rPr>
      <t>3</t>
    </r>
    <r>
      <rPr>
        <sz val="9"/>
        <rFont val="ＭＳ Ｐゴシック"/>
        <family val="3"/>
        <charset val="128"/>
      </rPr>
      <t>項目以上を採用）</t>
    </r>
    <phoneticPr fontId="26"/>
  </si>
  <si>
    <r>
      <rPr>
        <sz val="9"/>
        <rFont val="ＭＳ Ｐゴシック"/>
        <family val="3"/>
        <charset val="128"/>
      </rPr>
      <t>高度な対策を行っている（評価する取組みにおいて全ての項目を採用）</t>
    </r>
  </si>
  <si>
    <r>
      <t>2,000</t>
    </r>
    <r>
      <rPr>
        <sz val="9"/>
        <rFont val="ＭＳ Ｐゴシック"/>
        <family val="3"/>
        <charset val="128"/>
      </rPr>
      <t>㎡未満の基準で評価する。</t>
    </r>
    <rPh sb="6" eb="8">
      <t>ミマン</t>
    </rPh>
    <rPh sb="9" eb="11">
      <t>キジュン</t>
    </rPh>
    <rPh sb="12" eb="14">
      <t>ヒョウカ</t>
    </rPh>
    <phoneticPr fontId="26"/>
  </si>
  <si>
    <r>
      <rPr>
        <sz val="9"/>
        <rFont val="ＭＳ Ｐゴシック"/>
        <family val="3"/>
        <charset val="128"/>
      </rPr>
      <t>←　直接入力</t>
    </r>
    <rPh sb="2" eb="4">
      <t>チョクセツ</t>
    </rPh>
    <rPh sb="4" eb="6">
      <t>ニュウリョク</t>
    </rPh>
    <phoneticPr fontId="26"/>
  </si>
  <si>
    <r>
      <rPr>
        <sz val="9"/>
        <rFont val="ＭＳ Ｐゴシック"/>
        <family val="3"/>
        <charset val="128"/>
      </rPr>
      <t>設備騒音の種類</t>
    </r>
    <phoneticPr fontId="26"/>
  </si>
  <si>
    <r>
      <rPr>
        <sz val="10"/>
        <rFont val="ＭＳ Ｐゴシック"/>
        <family val="3"/>
        <charset val="128"/>
      </rPr>
      <t>対策例</t>
    </r>
    <phoneticPr fontId="26"/>
  </si>
  <si>
    <r>
      <rPr>
        <sz val="9"/>
        <rFont val="ＭＳ Ｐゴシック"/>
        <family val="3"/>
        <charset val="128"/>
      </rPr>
      <t>延床面積</t>
    </r>
    <rPh sb="0" eb="4">
      <t>ノベユカメンセキ</t>
    </rPh>
    <phoneticPr fontId="26"/>
  </si>
  <si>
    <r>
      <rPr>
        <sz val="9"/>
        <rFont val="ＭＳ Ｐゴシック"/>
        <family val="3"/>
        <charset val="128"/>
      </rPr>
      <t>　</t>
    </r>
  </si>
  <si>
    <r>
      <rPr>
        <sz val="8"/>
        <rFont val="ＭＳ Ｐゴシック"/>
        <family val="3"/>
        <charset val="128"/>
      </rPr>
      <t>吹出し口、吸込み口からの騒音</t>
    </r>
    <rPh sb="12" eb="14">
      <t>ソウオン</t>
    </rPh>
    <phoneticPr fontId="26"/>
  </si>
  <si>
    <r>
      <rPr>
        <sz val="8"/>
        <rFont val="ＭＳ Ｐゴシック"/>
        <family val="3"/>
        <charset val="128"/>
      </rPr>
      <t>低騒音型吹出し口、低騒音型吸込み口、位置、風量・風速の適正化など</t>
    </r>
  </si>
  <si>
    <r>
      <rPr>
        <sz val="9"/>
        <rFont val="ＭＳ Ｐゴシック"/>
        <family val="3"/>
        <charset val="128"/>
      </rPr>
      <t>○</t>
    </r>
  </si>
  <si>
    <r>
      <rPr>
        <sz val="8"/>
        <rFont val="ＭＳ Ｐゴシック"/>
        <family val="3"/>
        <charset val="128"/>
      </rPr>
      <t>室内空調機からの騒音</t>
    </r>
    <rPh sb="8" eb="10">
      <t>ソウオン</t>
    </rPh>
    <phoneticPr fontId="26"/>
  </si>
  <si>
    <r>
      <rPr>
        <sz val="8"/>
        <rFont val="ＭＳ Ｐゴシック"/>
        <family val="3"/>
        <charset val="128"/>
      </rPr>
      <t>防音カバー、位置など</t>
    </r>
  </si>
  <si>
    <r>
      <rPr>
        <sz val="8"/>
        <rFont val="ＭＳ Ｐゴシック"/>
        <family val="3"/>
        <charset val="128"/>
      </rPr>
      <t>機械室からの騒音（透過騒音）</t>
    </r>
  </si>
  <si>
    <r>
      <rPr>
        <sz val="8"/>
        <rFont val="ＭＳ Ｐゴシック"/>
        <family val="3"/>
        <charset val="128"/>
      </rPr>
      <t>防音カバー、機械室の吸音・遮音、位置など</t>
    </r>
    <phoneticPr fontId="26"/>
  </si>
  <si>
    <r>
      <rPr>
        <sz val="8"/>
        <rFont val="ＭＳ Ｐゴシック"/>
        <family val="3"/>
        <charset val="128"/>
      </rPr>
      <t>同上（固体伝搬音）</t>
    </r>
  </si>
  <si>
    <r>
      <rPr>
        <sz val="8"/>
        <rFont val="ＭＳ Ｐゴシック"/>
        <family val="3"/>
        <charset val="128"/>
      </rPr>
      <t>防振架台、防振支持など</t>
    </r>
    <rPh sb="7" eb="9">
      <t>シジ</t>
    </rPh>
    <phoneticPr fontId="26"/>
  </si>
  <si>
    <r>
      <rPr>
        <sz val="8"/>
        <rFont val="ＭＳ Ｐゴシック"/>
        <family val="3"/>
        <charset val="128"/>
      </rPr>
      <t>ダクト・配管からの騒音（透過騒音）</t>
    </r>
  </si>
  <si>
    <r>
      <rPr>
        <sz val="8"/>
        <rFont val="ＭＳ Ｐゴシック"/>
        <family val="3"/>
        <charset val="128"/>
      </rPr>
      <t>消音ダクト、消音エルボ、消音ボックス、防音管巻き、位置など</t>
    </r>
  </si>
  <si>
    <r>
      <rPr>
        <sz val="8"/>
        <rFont val="ＭＳ Ｐゴシック"/>
        <family val="3"/>
        <charset val="128"/>
      </rPr>
      <t>配管からの騒音（透過騒音）</t>
    </r>
    <rPh sb="0" eb="2">
      <t>ハイカン</t>
    </rPh>
    <rPh sb="5" eb="7">
      <t>ソウオン</t>
    </rPh>
    <rPh sb="8" eb="10">
      <t>トウカ</t>
    </rPh>
    <rPh sb="10" eb="12">
      <t>ソウオン</t>
    </rPh>
    <phoneticPr fontId="26"/>
  </si>
  <si>
    <r>
      <rPr>
        <sz val="8"/>
        <rFont val="ＭＳ Ｐゴシック"/>
        <family val="3"/>
        <charset val="128"/>
      </rPr>
      <t>防音管巻き、位置など</t>
    </r>
    <rPh sb="0" eb="2">
      <t>ボウオン</t>
    </rPh>
    <rPh sb="2" eb="3">
      <t>カン</t>
    </rPh>
    <rPh sb="3" eb="4">
      <t>マ</t>
    </rPh>
    <rPh sb="6" eb="8">
      <t>イチ</t>
    </rPh>
    <phoneticPr fontId="26"/>
  </si>
  <si>
    <r>
      <rPr>
        <sz val="8"/>
        <rFont val="ＭＳ Ｐゴシック"/>
        <family val="3"/>
        <charset val="128"/>
      </rPr>
      <t>同上（固体伝播音）</t>
    </r>
    <rPh sb="0" eb="2">
      <t>ドウジョウ</t>
    </rPh>
    <rPh sb="3" eb="5">
      <t>コタイ</t>
    </rPh>
    <rPh sb="5" eb="7">
      <t>デンパン</t>
    </rPh>
    <rPh sb="7" eb="8">
      <t>オン</t>
    </rPh>
    <phoneticPr fontId="26"/>
  </si>
  <si>
    <r>
      <rPr>
        <sz val="8"/>
        <rFont val="ＭＳ Ｐゴシック"/>
        <family val="3"/>
        <charset val="128"/>
      </rPr>
      <t>（屋外）冷却塔、室外機等からの騒音</t>
    </r>
    <phoneticPr fontId="26"/>
  </si>
  <si>
    <r>
      <rPr>
        <sz val="8"/>
        <rFont val="ＭＳ Ｐゴシック"/>
        <family val="3"/>
        <charset val="128"/>
      </rPr>
      <t>防音塀、遮蔽体、防振支持、位置など</t>
    </r>
    <rPh sb="0" eb="2">
      <t>ボウオン</t>
    </rPh>
    <rPh sb="2" eb="3">
      <t>ヘイ</t>
    </rPh>
    <phoneticPr fontId="26"/>
  </si>
  <si>
    <r>
      <rPr>
        <sz val="8"/>
        <rFont val="ＭＳ Ｐゴシック"/>
        <family val="3"/>
        <charset val="128"/>
      </rPr>
      <t>ビルマルチエアコン室内機等からの騒音</t>
    </r>
    <rPh sb="9" eb="12">
      <t>シツナイキ</t>
    </rPh>
    <rPh sb="12" eb="13">
      <t>トウ</t>
    </rPh>
    <rPh sb="16" eb="18">
      <t>ソウオン</t>
    </rPh>
    <phoneticPr fontId="26"/>
  </si>
  <si>
    <r>
      <rPr>
        <sz val="8"/>
        <rFont val="ＭＳ Ｐゴシック"/>
        <family val="3"/>
        <charset val="128"/>
      </rPr>
      <t>低騒音タイプの機器の採用など</t>
    </r>
    <rPh sb="0" eb="3">
      <t>テイソウオン</t>
    </rPh>
    <rPh sb="7" eb="9">
      <t>キキ</t>
    </rPh>
    <rPh sb="10" eb="12">
      <t>サイヨウ</t>
    </rPh>
    <phoneticPr fontId="26"/>
  </si>
  <si>
    <r>
      <rPr>
        <sz val="8"/>
        <rFont val="ＭＳ Ｐゴシック"/>
        <family val="3"/>
        <charset val="128"/>
      </rPr>
      <t>（屋外）吸込み口・排気口からの騒音</t>
    </r>
    <phoneticPr fontId="26"/>
  </si>
  <si>
    <r>
      <rPr>
        <sz val="8"/>
        <rFont val="ＭＳ Ｐゴシック"/>
        <family val="3"/>
        <charset val="128"/>
      </rPr>
      <t>位置、風量・風速の適正化など</t>
    </r>
  </si>
  <si>
    <r>
      <rPr>
        <sz val="8"/>
        <rFont val="ＭＳ Ｐゴシック"/>
        <family val="3"/>
        <charset val="128"/>
      </rPr>
      <t>ビルマルチエアコン室外機等からの騒音</t>
    </r>
    <rPh sb="9" eb="12">
      <t>シツガイキ</t>
    </rPh>
    <rPh sb="12" eb="13">
      <t>トウ</t>
    </rPh>
    <rPh sb="16" eb="18">
      <t>ソウオン</t>
    </rPh>
    <phoneticPr fontId="26"/>
  </si>
  <si>
    <r>
      <rPr>
        <sz val="8"/>
        <rFont val="ＭＳ Ｐゴシック"/>
        <family val="3"/>
        <charset val="128"/>
      </rPr>
      <t>防音塀、遮蔽体、防振支持、位置など</t>
    </r>
    <rPh sb="0" eb="2">
      <t>ボウオン</t>
    </rPh>
    <rPh sb="2" eb="3">
      <t>ヘイ</t>
    </rPh>
    <rPh sb="4" eb="6">
      <t>シャヘイ</t>
    </rPh>
    <rPh sb="6" eb="7">
      <t>タイ</t>
    </rPh>
    <rPh sb="8" eb="12">
      <t>ボウシンシジ</t>
    </rPh>
    <rPh sb="13" eb="15">
      <t>イチ</t>
    </rPh>
    <phoneticPr fontId="26"/>
  </si>
  <si>
    <r>
      <rPr>
        <sz val="9"/>
        <rFont val="ＭＳ Ｐゴシック"/>
        <family val="3"/>
        <charset val="128"/>
      </rPr>
      <t>項目</t>
    </r>
    <rPh sb="0" eb="2">
      <t>コウモク</t>
    </rPh>
    <phoneticPr fontId="26"/>
  </si>
  <si>
    <r>
      <t>B</t>
    </r>
    <r>
      <rPr>
        <b/>
        <sz val="9"/>
        <rFont val="ＭＳ Ｐゴシック"/>
        <family val="3"/>
        <charset val="128"/>
      </rPr>
      <t>．住宅における設備騒音対策の評価する取組み</t>
    </r>
    <rPh sb="2" eb="4">
      <t>ジュウタク</t>
    </rPh>
    <rPh sb="8" eb="10">
      <t>セツビ</t>
    </rPh>
    <rPh sb="10" eb="12">
      <t>ソウオン</t>
    </rPh>
    <rPh sb="12" eb="14">
      <t>タイサク</t>
    </rPh>
    <rPh sb="15" eb="17">
      <t>ヒョウカ</t>
    </rPh>
    <rPh sb="19" eb="20">
      <t>ト</t>
    </rPh>
    <rPh sb="20" eb="21">
      <t>ク</t>
    </rPh>
    <phoneticPr fontId="26"/>
  </si>
  <si>
    <r>
      <rPr>
        <sz val="9"/>
        <rFont val="ＭＳ Ｐゴシック"/>
        <family val="3"/>
        <charset val="128"/>
      </rPr>
      <t>住宅</t>
    </r>
    <rPh sb="0" eb="2">
      <t>ジュウタク</t>
    </rPh>
    <phoneticPr fontId="26"/>
  </si>
  <si>
    <r>
      <rPr>
        <sz val="8"/>
        <rFont val="ＭＳ Ｐゴシック"/>
        <family val="3"/>
        <charset val="128"/>
      </rPr>
      <t>トイレ、浴室等の給配水音、排水音、使用音</t>
    </r>
    <rPh sb="11" eb="12">
      <t>オン</t>
    </rPh>
    <rPh sb="13" eb="15">
      <t>ハイスイ</t>
    </rPh>
    <rPh sb="15" eb="16">
      <t>オン</t>
    </rPh>
    <rPh sb="17" eb="19">
      <t>シヨウ</t>
    </rPh>
    <rPh sb="19" eb="20">
      <t>オン</t>
    </rPh>
    <phoneticPr fontId="26"/>
  </si>
  <si>
    <r>
      <rPr>
        <sz val="8"/>
        <rFont val="ＭＳ Ｐゴシック"/>
        <family val="3"/>
        <charset val="128"/>
      </rPr>
      <t>適正な水圧、防音管巻き、管の防振支持金具、便器の防振支持、浴室の防振支持、位置など</t>
    </r>
    <rPh sb="0" eb="2">
      <t>テキセイ</t>
    </rPh>
    <rPh sb="3" eb="5">
      <t>スイアツ</t>
    </rPh>
    <rPh sb="6" eb="8">
      <t>ボウオン</t>
    </rPh>
    <rPh sb="8" eb="9">
      <t>カン</t>
    </rPh>
    <rPh sb="9" eb="10">
      <t>マ</t>
    </rPh>
    <rPh sb="12" eb="13">
      <t>カン</t>
    </rPh>
    <rPh sb="14" eb="16">
      <t>ボウシン</t>
    </rPh>
    <rPh sb="16" eb="18">
      <t>シジ</t>
    </rPh>
    <rPh sb="18" eb="20">
      <t>カナグ</t>
    </rPh>
    <rPh sb="21" eb="23">
      <t>ベンキ</t>
    </rPh>
    <rPh sb="24" eb="28">
      <t>ボウシンシジ</t>
    </rPh>
    <rPh sb="29" eb="31">
      <t>ヨクシツ</t>
    </rPh>
    <rPh sb="32" eb="36">
      <t>ボウシンシジ</t>
    </rPh>
    <rPh sb="37" eb="39">
      <t>イチ</t>
    </rPh>
    <phoneticPr fontId="26"/>
  </si>
  <si>
    <r>
      <rPr>
        <sz val="8"/>
        <rFont val="ＭＳ Ｐゴシック"/>
        <family val="3"/>
        <charset val="128"/>
      </rPr>
      <t>ウォーターハンマー</t>
    </r>
  </si>
  <si>
    <r>
      <rPr>
        <sz val="8"/>
        <rFont val="ＭＳ Ｐゴシック"/>
        <family val="3"/>
        <charset val="128"/>
      </rPr>
      <t>適正な水圧、ウォーターハンマー防止器の採用など</t>
    </r>
  </si>
  <si>
    <r>
      <rPr>
        <sz val="8"/>
        <rFont val="ＭＳ Ｐゴシック"/>
        <family val="3"/>
        <charset val="128"/>
      </rPr>
      <t>エアコン室内機等からの騒音</t>
    </r>
  </si>
  <si>
    <r>
      <rPr>
        <sz val="8"/>
        <rFont val="ＭＳ Ｐゴシック"/>
        <family val="3"/>
        <charset val="128"/>
      </rPr>
      <t>低騒音タイプの機器の採用など</t>
    </r>
  </si>
  <si>
    <r>
      <rPr>
        <sz val="8"/>
        <rFont val="ＭＳ Ｐゴシック"/>
        <family val="3"/>
        <charset val="128"/>
      </rPr>
      <t>エアコン室外機からの騒音</t>
    </r>
  </si>
  <si>
    <r>
      <rPr>
        <sz val="8"/>
        <rFont val="ＭＳ Ｐゴシック"/>
        <family val="3"/>
        <charset val="128"/>
      </rPr>
      <t>防振ゴム、防振マット、低騒音タイプの機器</t>
    </r>
  </si>
  <si>
    <r>
      <rPr>
        <sz val="8"/>
        <rFont val="ＭＳ Ｐゴシック"/>
        <family val="3"/>
        <charset val="128"/>
      </rPr>
      <t>換気扇からの騒音</t>
    </r>
    <rPh sb="6" eb="8">
      <t>ソウオン</t>
    </rPh>
    <phoneticPr fontId="26"/>
  </si>
  <si>
    <r>
      <rPr>
        <sz val="9"/>
        <rFont val="ＭＳ Ｐゴシック"/>
        <family val="3"/>
        <charset val="128"/>
      </rPr>
      <t>基本</t>
    </r>
    <rPh sb="0" eb="2">
      <t>キホン</t>
    </rPh>
    <phoneticPr fontId="26"/>
  </si>
  <si>
    <r>
      <rPr>
        <sz val="9"/>
        <rFont val="ＭＳ Ｐゴシック"/>
        <family val="3"/>
        <charset val="128"/>
      </rPr>
      <t>騒音が気になる。</t>
    </r>
    <phoneticPr fontId="26"/>
  </si>
  <si>
    <r>
      <rPr>
        <sz val="9"/>
        <rFont val="ＭＳ Ｐゴシック"/>
        <family val="3"/>
        <charset val="128"/>
      </rPr>
      <t>騒音が気になる。</t>
    </r>
    <rPh sb="0" eb="2">
      <t>ソウオン</t>
    </rPh>
    <rPh sb="3" eb="4">
      <t>キ</t>
    </rPh>
    <phoneticPr fontId="26"/>
  </si>
  <si>
    <r>
      <rPr>
        <sz val="9"/>
        <rFont val="ＭＳ Ｐゴシック"/>
        <family val="3"/>
        <charset val="128"/>
      </rPr>
      <t>騒音がほとんど気にならない。</t>
    </r>
    <phoneticPr fontId="26"/>
  </si>
  <si>
    <r>
      <rPr>
        <sz val="9"/>
        <rFont val="ＭＳ Ｐゴシック"/>
        <family val="3"/>
        <charset val="128"/>
      </rPr>
      <t>騒音がほとんど気にならない。</t>
    </r>
    <rPh sb="0" eb="2">
      <t>ソウオン</t>
    </rPh>
    <rPh sb="7" eb="8">
      <t>キ</t>
    </rPh>
    <phoneticPr fontId="26"/>
  </si>
  <si>
    <r>
      <rPr>
        <sz val="9"/>
        <rFont val="ＭＳ Ｐゴシック"/>
        <family val="3"/>
        <charset val="128"/>
      </rPr>
      <t>騒音が気にならない</t>
    </r>
    <rPh sb="0" eb="2">
      <t>ソウオン</t>
    </rPh>
    <rPh sb="3" eb="4">
      <t>キ</t>
    </rPh>
    <phoneticPr fontId="26"/>
  </si>
  <si>
    <r>
      <rPr>
        <sz val="9"/>
        <rFont val="ＭＳ Ｐゴシック"/>
        <family val="3"/>
        <charset val="128"/>
      </rPr>
      <t>騒音が気にならない。</t>
    </r>
    <rPh sb="0" eb="2">
      <t>ソウオン</t>
    </rPh>
    <rPh sb="3" eb="4">
      <t>キ</t>
    </rPh>
    <phoneticPr fontId="26"/>
  </si>
  <si>
    <r>
      <rPr>
        <sz val="9"/>
        <rFont val="ＭＳ Ｐゴシック"/>
        <family val="3"/>
        <charset val="128"/>
      </rPr>
      <t>人の話し声が気になる。</t>
    </r>
    <phoneticPr fontId="26"/>
  </si>
  <si>
    <r>
      <rPr>
        <sz val="9"/>
        <rFont val="ＭＳ Ｐゴシック"/>
        <family val="3"/>
        <charset val="128"/>
      </rPr>
      <t>隣戸の生活がかなり分かる。</t>
    </r>
    <r>
      <rPr>
        <sz val="9"/>
        <rFont val="Arial"/>
        <family val="2"/>
      </rPr>
      <t xml:space="preserve"> </t>
    </r>
    <phoneticPr fontId="26"/>
  </si>
  <si>
    <r>
      <rPr>
        <sz val="9"/>
        <rFont val="ＭＳ Ｐゴシック"/>
        <family val="3"/>
        <charset val="128"/>
      </rPr>
      <t>人の話し声が気にならない。</t>
    </r>
    <phoneticPr fontId="26"/>
  </si>
  <si>
    <r>
      <rPr>
        <sz val="9"/>
        <rFont val="ＭＳ Ｐゴシック"/>
        <family val="3"/>
        <charset val="128"/>
      </rPr>
      <t>隣戸住宅の生活がわかるがあまり気にならない。</t>
    </r>
    <phoneticPr fontId="26"/>
  </si>
  <si>
    <r>
      <rPr>
        <sz val="9"/>
        <rFont val="ＭＳ Ｐゴシック"/>
        <family val="3"/>
        <charset val="128"/>
      </rPr>
      <t>　　　　　　　　　　　　　　　　　</t>
    </r>
  </si>
  <si>
    <r>
      <rPr>
        <sz val="9"/>
        <rFont val="ＭＳ Ｐゴシック"/>
        <family val="3"/>
        <charset val="128"/>
      </rPr>
      <t>人の話し声がほとんど聞こえない。</t>
    </r>
  </si>
  <si>
    <r>
      <rPr>
        <sz val="9"/>
        <rFont val="ＭＳ Ｐゴシック"/>
        <family val="3"/>
        <charset val="128"/>
      </rPr>
      <t>隣戸の気配を感じない。</t>
    </r>
  </si>
  <si>
    <r>
      <rPr>
        <sz val="9"/>
        <rFont val="ＭＳ Ｐゴシック"/>
        <family val="3"/>
        <charset val="128"/>
      </rPr>
      <t>人のとびはねや走り回る音がうるさい。　</t>
    </r>
    <phoneticPr fontId="26"/>
  </si>
  <si>
    <r>
      <rPr>
        <sz val="9"/>
        <rFont val="ＭＳ Ｐゴシック"/>
        <family val="3"/>
        <charset val="128"/>
      </rPr>
      <t>人のとびはねや走り回る音がかなり気になる。</t>
    </r>
    <phoneticPr fontId="26"/>
  </si>
  <si>
    <r>
      <rPr>
        <sz val="9"/>
        <rFont val="ＭＳ Ｐゴシック"/>
        <family val="3"/>
        <charset val="128"/>
      </rPr>
      <t>人のとびはねや走り回る音がよく聞こえる。</t>
    </r>
    <phoneticPr fontId="26"/>
  </si>
  <si>
    <r>
      <rPr>
        <sz val="9"/>
        <rFont val="ＭＳ Ｐゴシック"/>
        <family val="3"/>
        <charset val="128"/>
      </rPr>
      <t>人のとびはねや走り回る音が聞こえる。</t>
    </r>
    <phoneticPr fontId="26"/>
  </si>
  <si>
    <r>
      <rPr>
        <sz val="9"/>
        <rFont val="ＭＳ Ｐゴシック"/>
        <family val="3"/>
        <charset val="128"/>
      </rPr>
      <t>人のとびはねや走り回る音が小さく聞こえる。</t>
    </r>
    <phoneticPr fontId="26"/>
  </si>
  <si>
    <r>
      <rPr>
        <sz val="9"/>
        <rFont val="ＭＳ Ｐゴシック"/>
        <family val="3"/>
        <charset val="128"/>
      </rPr>
      <t>人のとびはねや走り回る音が聞こえるが意識することはあまりない。</t>
    </r>
    <phoneticPr fontId="26"/>
  </si>
  <si>
    <r>
      <rPr>
        <sz val="9"/>
        <rFont val="ＭＳ Ｐゴシック"/>
        <family val="3"/>
        <charset val="128"/>
      </rPr>
      <t>レベル２を満たさない。</t>
    </r>
  </si>
  <si>
    <r>
      <rPr>
        <sz val="9"/>
        <rFont val="ＭＳ Ｐゴシック"/>
        <family val="3"/>
        <charset val="128"/>
      </rPr>
      <t>冬期</t>
    </r>
    <r>
      <rPr>
        <sz val="9"/>
        <rFont val="Arial"/>
        <family val="2"/>
      </rPr>
      <t>20</t>
    </r>
    <r>
      <rPr>
        <sz val="9"/>
        <rFont val="ＭＳ Ｐゴシック"/>
        <family val="3"/>
        <charset val="128"/>
      </rPr>
      <t>℃、夏期</t>
    </r>
    <r>
      <rPr>
        <sz val="9"/>
        <rFont val="Arial"/>
        <family val="2"/>
      </rPr>
      <t>28</t>
    </r>
    <r>
      <rPr>
        <sz val="9"/>
        <rFont val="ＭＳ Ｐゴシック"/>
        <family val="3"/>
        <charset val="128"/>
      </rPr>
      <t>℃と多少我慢を強いる室温設定。</t>
    </r>
    <phoneticPr fontId="26"/>
  </si>
  <si>
    <r>
      <rPr>
        <sz val="9"/>
        <rFont val="ＭＳ Ｐゴシック"/>
        <family val="3"/>
        <charset val="128"/>
      </rPr>
      <t>冬期</t>
    </r>
    <r>
      <rPr>
        <sz val="9"/>
        <rFont val="Arial"/>
        <family val="2"/>
      </rPr>
      <t>21</t>
    </r>
    <r>
      <rPr>
        <sz val="9"/>
        <rFont val="ＭＳ Ｐゴシック"/>
        <family val="3"/>
        <charset val="128"/>
      </rPr>
      <t>℃、夏期</t>
    </r>
    <r>
      <rPr>
        <sz val="9"/>
        <rFont val="Arial"/>
        <family val="2"/>
      </rPr>
      <t>28</t>
    </r>
    <r>
      <rPr>
        <sz val="9"/>
        <rFont val="ＭＳ Ｐゴシック"/>
        <family val="3"/>
        <charset val="128"/>
      </rPr>
      <t>℃と程度と多少我慢を強いる室温設定。</t>
    </r>
    <rPh sb="12" eb="14">
      <t>テイド</t>
    </rPh>
    <phoneticPr fontId="26"/>
  </si>
  <si>
    <r>
      <rPr>
        <sz val="9"/>
        <rFont val="ＭＳ Ｐゴシック"/>
        <family val="3"/>
        <charset val="128"/>
      </rPr>
      <t>冬期</t>
    </r>
    <r>
      <rPr>
        <sz val="9"/>
        <rFont val="Arial"/>
        <family val="2"/>
      </rPr>
      <t>10</t>
    </r>
    <r>
      <rPr>
        <sz val="9"/>
        <rFont val="ＭＳ Ｐゴシック"/>
        <family val="3"/>
        <charset val="128"/>
      </rPr>
      <t>℃以上、夏期</t>
    </r>
    <r>
      <rPr>
        <sz val="9"/>
        <rFont val="Arial"/>
        <family val="2"/>
      </rPr>
      <t>30</t>
    </r>
    <r>
      <rPr>
        <sz val="9"/>
        <rFont val="ＭＳ Ｐゴシック"/>
        <family val="3"/>
        <charset val="128"/>
      </rPr>
      <t>℃以下と多少我慢を強いる室温設定。</t>
    </r>
    <phoneticPr fontId="26"/>
  </si>
  <si>
    <r>
      <t>(</t>
    </r>
    <r>
      <rPr>
        <sz val="9"/>
        <rFont val="ＭＳ Ｐゴシック"/>
        <family val="3"/>
        <charset val="128"/>
      </rPr>
      <t>該当するレベルなし</t>
    </r>
    <r>
      <rPr>
        <sz val="9"/>
        <rFont val="Arial"/>
        <family val="2"/>
      </rPr>
      <t>)</t>
    </r>
  </si>
  <si>
    <r>
      <rPr>
        <sz val="9"/>
        <rFont val="ＭＳ Ｐゴシック"/>
        <family val="3"/>
        <charset val="128"/>
      </rPr>
      <t>冬期</t>
    </r>
    <r>
      <rPr>
        <sz val="9"/>
        <rFont val="Arial"/>
        <family val="2"/>
      </rPr>
      <t>18</t>
    </r>
    <r>
      <rPr>
        <sz val="9"/>
        <rFont val="ＭＳ Ｐゴシック"/>
        <family val="3"/>
        <charset val="128"/>
      </rPr>
      <t>℃、夏期</t>
    </r>
    <r>
      <rPr>
        <sz val="9"/>
        <rFont val="Arial"/>
        <family val="2"/>
      </rPr>
      <t>28</t>
    </r>
    <r>
      <rPr>
        <sz val="9"/>
        <rFont val="ＭＳ Ｐゴシック"/>
        <family val="3"/>
        <charset val="128"/>
      </rPr>
      <t>℃程度と多少我慢を強いる室温設定。</t>
    </r>
    <phoneticPr fontId="26"/>
  </si>
  <si>
    <r>
      <rPr>
        <sz val="9"/>
        <rFont val="ＭＳ Ｐゴシック"/>
        <family val="3"/>
        <charset val="128"/>
      </rPr>
      <t>各室において冬期</t>
    </r>
    <r>
      <rPr>
        <sz val="9"/>
        <rFont val="Arial"/>
        <family val="2"/>
      </rPr>
      <t>18</t>
    </r>
    <r>
      <rPr>
        <sz val="9"/>
        <rFont val="ＭＳ Ｐゴシック"/>
        <family val="3"/>
        <charset val="128"/>
      </rPr>
      <t>℃、夏期</t>
    </r>
    <r>
      <rPr>
        <sz val="9"/>
        <rFont val="Arial"/>
        <family val="2"/>
      </rPr>
      <t>28</t>
    </r>
    <r>
      <rPr>
        <sz val="9"/>
        <rFont val="ＭＳ Ｐゴシック"/>
        <family val="3"/>
        <charset val="128"/>
      </rPr>
      <t>℃程度を強いる設定としている。</t>
    </r>
    <phoneticPr fontId="26"/>
  </si>
  <si>
    <r>
      <rPr>
        <sz val="9"/>
        <rFont val="ＭＳ Ｐゴシック"/>
        <family val="3"/>
        <charset val="128"/>
      </rPr>
      <t>冬期</t>
    </r>
    <r>
      <rPr>
        <sz val="9"/>
        <rFont val="Arial"/>
        <family val="2"/>
      </rPr>
      <t>20</t>
    </r>
    <r>
      <rPr>
        <sz val="9"/>
        <rFont val="ＭＳ Ｐゴシック"/>
        <family val="3"/>
        <charset val="128"/>
      </rPr>
      <t>℃、夏期</t>
    </r>
    <r>
      <rPr>
        <sz val="9"/>
        <rFont val="Arial"/>
        <family val="2"/>
      </rPr>
      <t>28</t>
    </r>
    <r>
      <rPr>
        <sz val="9"/>
        <rFont val="ＭＳ Ｐゴシック"/>
        <family val="3"/>
        <charset val="128"/>
      </rPr>
      <t>℃と多少我慢を強いる室温設定。</t>
    </r>
  </si>
  <si>
    <r>
      <rPr>
        <sz val="9"/>
        <rFont val="ＭＳ Ｐゴシック"/>
        <family val="3"/>
        <charset val="128"/>
      </rPr>
      <t>一般的な冬期</t>
    </r>
    <r>
      <rPr>
        <sz val="9"/>
        <rFont val="Arial"/>
        <family val="2"/>
      </rPr>
      <t>22</t>
    </r>
    <r>
      <rPr>
        <sz val="9"/>
        <rFont val="ＭＳ Ｐゴシック"/>
        <family val="3"/>
        <charset val="128"/>
      </rPr>
      <t>℃、夏期</t>
    </r>
    <r>
      <rPr>
        <sz val="9"/>
        <rFont val="Arial"/>
        <family val="2"/>
      </rPr>
      <t>26</t>
    </r>
    <r>
      <rPr>
        <sz val="9"/>
        <rFont val="ＭＳ Ｐゴシック"/>
        <family val="3"/>
        <charset val="128"/>
      </rPr>
      <t>℃の設定。</t>
    </r>
    <phoneticPr fontId="26"/>
  </si>
  <si>
    <r>
      <rPr>
        <sz val="9"/>
        <rFont val="ＭＳ Ｐゴシック"/>
        <family val="3"/>
        <charset val="128"/>
      </rPr>
      <t>一般的な冬期</t>
    </r>
    <r>
      <rPr>
        <sz val="9"/>
        <rFont val="Arial"/>
        <family val="2"/>
      </rPr>
      <t>23</t>
    </r>
    <r>
      <rPr>
        <sz val="9"/>
        <rFont val="ＭＳ Ｐゴシック"/>
        <family val="3"/>
        <charset val="128"/>
      </rPr>
      <t>℃、夏期</t>
    </r>
    <r>
      <rPr>
        <sz val="9"/>
        <rFont val="Arial"/>
        <family val="2"/>
      </rPr>
      <t>26</t>
    </r>
    <r>
      <rPr>
        <sz val="9"/>
        <rFont val="ＭＳ Ｐゴシック"/>
        <family val="3"/>
        <charset val="128"/>
      </rPr>
      <t>℃の設定。</t>
    </r>
    <phoneticPr fontId="26"/>
  </si>
  <si>
    <r>
      <rPr>
        <sz val="9"/>
        <rFont val="ＭＳ Ｐゴシック"/>
        <family val="3"/>
        <charset val="128"/>
      </rPr>
      <t>一般的な冬期</t>
    </r>
    <r>
      <rPr>
        <sz val="9"/>
        <rFont val="Arial"/>
        <family val="2"/>
      </rPr>
      <t>18</t>
    </r>
    <r>
      <rPr>
        <sz val="9"/>
        <rFont val="ＭＳ Ｐゴシック"/>
        <family val="3"/>
        <charset val="128"/>
      </rPr>
      <t>～</t>
    </r>
    <r>
      <rPr>
        <sz val="9"/>
        <rFont val="Arial"/>
        <family val="2"/>
      </rPr>
      <t>20</t>
    </r>
    <r>
      <rPr>
        <sz val="9"/>
        <rFont val="ＭＳ Ｐゴシック"/>
        <family val="3"/>
        <charset val="128"/>
      </rPr>
      <t>℃、夏期</t>
    </r>
    <r>
      <rPr>
        <sz val="9"/>
        <rFont val="Arial"/>
        <family val="2"/>
      </rPr>
      <t>25</t>
    </r>
    <r>
      <rPr>
        <sz val="9"/>
        <rFont val="ＭＳ Ｐゴシック"/>
        <family val="3"/>
        <charset val="128"/>
      </rPr>
      <t>～</t>
    </r>
    <r>
      <rPr>
        <sz val="9"/>
        <rFont val="Arial"/>
        <family val="2"/>
      </rPr>
      <t>28</t>
    </r>
    <r>
      <rPr>
        <sz val="9"/>
        <rFont val="ＭＳ Ｐゴシック"/>
        <family val="3"/>
        <charset val="128"/>
      </rPr>
      <t>℃の設定。</t>
    </r>
    <phoneticPr fontId="26"/>
  </si>
  <si>
    <r>
      <rPr>
        <sz val="9"/>
        <rFont val="ＭＳ Ｐゴシック"/>
        <family val="3"/>
        <charset val="128"/>
      </rPr>
      <t>冬期</t>
    </r>
    <r>
      <rPr>
        <sz val="9"/>
        <rFont val="Arial"/>
        <family val="2"/>
      </rPr>
      <t>18</t>
    </r>
    <r>
      <rPr>
        <sz val="9"/>
        <rFont val="ＭＳ Ｐゴシック"/>
        <family val="3"/>
        <charset val="128"/>
      </rPr>
      <t>℃以上、夏期</t>
    </r>
    <r>
      <rPr>
        <sz val="9"/>
        <rFont val="Arial"/>
        <family val="2"/>
      </rPr>
      <t>28</t>
    </r>
    <r>
      <rPr>
        <sz val="9"/>
        <rFont val="ＭＳ Ｐゴシック"/>
        <family val="3"/>
        <charset val="128"/>
      </rPr>
      <t>℃以下の範囲を設定している。</t>
    </r>
    <phoneticPr fontId="26"/>
  </si>
  <si>
    <r>
      <rPr>
        <sz val="9"/>
        <rFont val="ＭＳ Ｐゴシック"/>
        <family val="3"/>
        <charset val="128"/>
      </rPr>
      <t>一般的な冬期</t>
    </r>
    <r>
      <rPr>
        <sz val="9"/>
        <rFont val="Arial"/>
        <family val="2"/>
      </rPr>
      <t>20</t>
    </r>
    <r>
      <rPr>
        <sz val="9"/>
        <rFont val="ＭＳ Ｐゴシック"/>
        <family val="3"/>
        <charset val="128"/>
      </rPr>
      <t>℃、夏期</t>
    </r>
    <r>
      <rPr>
        <sz val="9"/>
        <rFont val="Arial"/>
        <family val="2"/>
      </rPr>
      <t>26</t>
    </r>
    <r>
      <rPr>
        <sz val="9"/>
        <rFont val="ＭＳ Ｐゴシック"/>
        <family val="3"/>
        <charset val="128"/>
      </rPr>
      <t>℃の設定。</t>
    </r>
    <phoneticPr fontId="26"/>
  </si>
  <si>
    <r>
      <rPr>
        <sz val="9"/>
        <rFont val="ＭＳ Ｐゴシック"/>
        <family val="3"/>
        <charset val="128"/>
      </rPr>
      <t>各居室において一般的な冬期</t>
    </r>
    <r>
      <rPr>
        <sz val="9"/>
        <rFont val="Arial"/>
        <family val="2"/>
      </rPr>
      <t>22</t>
    </r>
    <r>
      <rPr>
        <sz val="9"/>
        <rFont val="ＭＳ Ｐゴシック"/>
        <family val="3"/>
        <charset val="128"/>
      </rPr>
      <t>℃、夏期</t>
    </r>
    <r>
      <rPr>
        <sz val="9"/>
        <rFont val="Arial"/>
        <family val="2"/>
      </rPr>
      <t>26</t>
    </r>
    <r>
      <rPr>
        <sz val="9"/>
        <rFont val="ＭＳ Ｐゴシック"/>
        <family val="3"/>
        <charset val="128"/>
      </rPr>
      <t>℃を設定している。</t>
    </r>
    <phoneticPr fontId="26"/>
  </si>
  <si>
    <r>
      <rPr>
        <sz val="9"/>
        <rFont val="ＭＳ Ｐゴシック"/>
        <family val="3"/>
        <charset val="128"/>
      </rPr>
      <t>冬期</t>
    </r>
    <r>
      <rPr>
        <sz val="9"/>
        <rFont val="Arial"/>
        <family val="2"/>
      </rPr>
      <t>20</t>
    </r>
    <r>
      <rPr>
        <sz val="9"/>
        <rFont val="ＭＳ Ｐゴシック"/>
        <family val="3"/>
        <charset val="128"/>
      </rPr>
      <t>℃以上</t>
    </r>
    <r>
      <rPr>
        <sz val="9"/>
        <rFont val="Arial"/>
        <family val="2"/>
      </rPr>
      <t xml:space="preserve"> </t>
    </r>
    <r>
      <rPr>
        <sz val="9"/>
        <rFont val="ＭＳ Ｐゴシック"/>
        <family val="3"/>
        <charset val="128"/>
      </rPr>
      <t>、夏期</t>
    </r>
    <r>
      <rPr>
        <sz val="9"/>
        <rFont val="Arial"/>
        <family val="2"/>
      </rPr>
      <t>25</t>
    </r>
    <r>
      <rPr>
        <sz val="9"/>
        <rFont val="ＭＳ Ｐゴシック"/>
        <family val="3"/>
        <charset val="128"/>
      </rPr>
      <t>℃以下の設定。</t>
    </r>
    <rPh sb="5" eb="7">
      <t>イジョウ</t>
    </rPh>
    <rPh sb="14" eb="16">
      <t>イカ</t>
    </rPh>
    <phoneticPr fontId="26"/>
  </si>
  <si>
    <r>
      <t>ASHRAE</t>
    </r>
    <r>
      <rPr>
        <sz val="9"/>
        <rFont val="ＭＳ Ｐゴシック"/>
        <family val="3"/>
        <charset val="128"/>
      </rPr>
      <t>快適域や</t>
    </r>
    <r>
      <rPr>
        <sz val="9"/>
        <rFont val="Arial"/>
        <family val="2"/>
      </rPr>
      <t>POEM-O</t>
    </r>
    <r>
      <rPr>
        <sz val="9"/>
        <rFont val="ＭＳ Ｐゴシック"/>
        <family val="3"/>
        <charset val="128"/>
      </rPr>
      <t>を参考に冬期</t>
    </r>
    <r>
      <rPr>
        <sz val="9"/>
        <rFont val="Arial"/>
        <family val="2"/>
      </rPr>
      <t>22</t>
    </r>
    <r>
      <rPr>
        <sz val="9"/>
        <rFont val="ＭＳ Ｐゴシック"/>
        <family val="3"/>
        <charset val="128"/>
      </rPr>
      <t>℃～</t>
    </r>
    <r>
      <rPr>
        <sz val="9"/>
        <rFont val="Arial"/>
        <family val="2"/>
      </rPr>
      <t>24</t>
    </r>
    <r>
      <rPr>
        <sz val="9"/>
        <rFont val="ＭＳ Ｐゴシック"/>
        <family val="3"/>
        <charset val="128"/>
      </rPr>
      <t>℃、夏期</t>
    </r>
    <r>
      <rPr>
        <sz val="9"/>
        <rFont val="Arial"/>
        <family val="2"/>
      </rPr>
      <t>24</t>
    </r>
    <r>
      <rPr>
        <sz val="9"/>
        <rFont val="ＭＳ Ｐゴシック"/>
        <family val="3"/>
        <charset val="128"/>
      </rPr>
      <t>℃～</t>
    </r>
    <r>
      <rPr>
        <sz val="9"/>
        <rFont val="Arial"/>
        <family val="2"/>
      </rPr>
      <t>26</t>
    </r>
    <r>
      <rPr>
        <sz val="9"/>
        <rFont val="ＭＳ Ｐゴシック"/>
        <family val="3"/>
        <charset val="128"/>
      </rPr>
      <t>℃の範囲を設定している。</t>
    </r>
    <phoneticPr fontId="26"/>
  </si>
  <si>
    <r>
      <rPr>
        <sz val="9"/>
        <rFont val="ＭＳ Ｐゴシック"/>
        <family val="3"/>
        <charset val="128"/>
      </rPr>
      <t>冬期</t>
    </r>
    <r>
      <rPr>
        <sz val="9"/>
        <rFont val="Arial"/>
        <family val="2"/>
      </rPr>
      <t>22</t>
    </r>
    <r>
      <rPr>
        <sz val="9"/>
        <rFont val="ＭＳ Ｐゴシック"/>
        <family val="3"/>
        <charset val="128"/>
      </rPr>
      <t>℃以上、夏期</t>
    </r>
    <r>
      <rPr>
        <sz val="9"/>
        <rFont val="Arial"/>
        <family val="2"/>
      </rPr>
      <t>24</t>
    </r>
    <r>
      <rPr>
        <sz val="9"/>
        <rFont val="ＭＳ Ｐゴシック"/>
        <family val="3"/>
        <charset val="128"/>
      </rPr>
      <t>℃以下の設定。</t>
    </r>
    <rPh sb="5" eb="7">
      <t>イジョウ</t>
    </rPh>
    <rPh sb="13" eb="15">
      <t>イカ</t>
    </rPh>
    <phoneticPr fontId="26"/>
  </si>
  <si>
    <r>
      <t>ASHRAE</t>
    </r>
    <r>
      <rPr>
        <sz val="9"/>
        <rFont val="ＭＳ Ｐゴシック"/>
        <family val="3"/>
        <charset val="128"/>
      </rPr>
      <t>快適域や</t>
    </r>
    <r>
      <rPr>
        <sz val="9"/>
        <rFont val="Arial"/>
        <family val="2"/>
      </rPr>
      <t>POEM-O</t>
    </r>
    <r>
      <rPr>
        <sz val="9"/>
        <rFont val="ＭＳ Ｐゴシック"/>
        <family val="3"/>
        <charset val="128"/>
      </rPr>
      <t>を参考に冬期</t>
    </r>
    <r>
      <rPr>
        <sz val="9"/>
        <rFont val="Arial"/>
        <family val="2"/>
      </rPr>
      <t>20</t>
    </r>
    <r>
      <rPr>
        <sz val="9"/>
        <rFont val="ＭＳ Ｐゴシック"/>
        <family val="3"/>
        <charset val="128"/>
      </rPr>
      <t>℃～</t>
    </r>
    <r>
      <rPr>
        <sz val="9"/>
        <rFont val="Arial"/>
        <family val="2"/>
      </rPr>
      <t>22</t>
    </r>
    <r>
      <rPr>
        <sz val="9"/>
        <rFont val="ＭＳ Ｐゴシック"/>
        <family val="3"/>
        <charset val="128"/>
      </rPr>
      <t>℃、夏期</t>
    </r>
    <r>
      <rPr>
        <sz val="9"/>
        <rFont val="Arial"/>
        <family val="2"/>
      </rPr>
      <t>24</t>
    </r>
    <r>
      <rPr>
        <sz val="9"/>
        <rFont val="ＭＳ Ｐゴシック"/>
        <family val="3"/>
        <charset val="128"/>
      </rPr>
      <t>℃～</t>
    </r>
    <r>
      <rPr>
        <sz val="9"/>
        <rFont val="Arial"/>
        <family val="2"/>
      </rPr>
      <t>26</t>
    </r>
    <r>
      <rPr>
        <sz val="9"/>
        <rFont val="ＭＳ Ｐゴシック"/>
        <family val="3"/>
        <charset val="128"/>
      </rPr>
      <t>℃の範囲を設定している。</t>
    </r>
    <phoneticPr fontId="26"/>
  </si>
  <si>
    <r>
      <rPr>
        <sz val="9"/>
        <rFont val="ＭＳ Ｐゴシック"/>
        <family val="3"/>
        <charset val="128"/>
      </rPr>
      <t>各居室において冬期</t>
    </r>
    <r>
      <rPr>
        <sz val="9"/>
        <rFont val="Arial"/>
        <family val="2"/>
      </rPr>
      <t>22</t>
    </r>
    <r>
      <rPr>
        <sz val="9"/>
        <rFont val="ＭＳ Ｐゴシック"/>
        <family val="3"/>
        <charset val="128"/>
      </rPr>
      <t>～</t>
    </r>
    <r>
      <rPr>
        <sz val="9"/>
        <rFont val="Arial"/>
        <family val="2"/>
      </rPr>
      <t>24</t>
    </r>
    <r>
      <rPr>
        <sz val="9"/>
        <rFont val="ＭＳ Ｐゴシック"/>
        <family val="3"/>
        <charset val="128"/>
      </rPr>
      <t>℃、夏期</t>
    </r>
    <r>
      <rPr>
        <sz val="9"/>
        <rFont val="Arial"/>
        <family val="2"/>
      </rPr>
      <t>24</t>
    </r>
    <r>
      <rPr>
        <sz val="9"/>
        <rFont val="ＭＳ Ｐゴシック"/>
        <family val="3"/>
        <charset val="128"/>
      </rPr>
      <t>～</t>
    </r>
    <r>
      <rPr>
        <sz val="9"/>
        <rFont val="Arial"/>
        <family val="2"/>
      </rPr>
      <t>26</t>
    </r>
    <r>
      <rPr>
        <sz val="9"/>
        <rFont val="ＭＳ Ｐゴシック"/>
        <family val="3"/>
        <charset val="128"/>
      </rPr>
      <t>℃の範囲を設定している。</t>
    </r>
    <phoneticPr fontId="26"/>
  </si>
  <si>
    <r>
      <rPr>
        <sz val="9"/>
        <rFont val="ＭＳ Ｐゴシック"/>
        <family val="3"/>
        <charset val="128"/>
      </rPr>
      <t>急激な負荷変動に対する考慮は特にしていない。</t>
    </r>
  </si>
  <si>
    <r>
      <rPr>
        <sz val="9"/>
        <rFont val="ＭＳ Ｐゴシック"/>
        <family val="3"/>
        <charset val="128"/>
      </rPr>
      <t>一般的な負荷変動を考慮し、ある程度制御可能なシステムになっている。</t>
    </r>
  </si>
  <si>
    <r>
      <rPr>
        <sz val="9"/>
        <rFont val="ＭＳ Ｐゴシック"/>
        <family val="3"/>
        <charset val="128"/>
      </rPr>
      <t>高度な負荷変動追従ができるような制御システムである。</t>
    </r>
    <phoneticPr fontId="26"/>
  </si>
  <si>
    <r>
      <rPr>
        <sz val="9"/>
        <rFont val="ＭＳ Ｐゴシック"/>
        <family val="3"/>
        <charset val="128"/>
      </rPr>
      <t>窓</t>
    </r>
    <r>
      <rPr>
        <sz val="9"/>
        <rFont val="Arial"/>
        <family val="2"/>
      </rPr>
      <t>,</t>
    </r>
    <r>
      <rPr>
        <sz val="9"/>
        <rFont val="ＭＳ Ｐゴシック"/>
        <family val="3"/>
        <charset val="128"/>
      </rPr>
      <t>外壁</t>
    </r>
    <r>
      <rPr>
        <sz val="9"/>
        <rFont val="Arial"/>
        <family val="2"/>
      </rPr>
      <t>,</t>
    </r>
    <r>
      <rPr>
        <sz val="9"/>
        <rFont val="ＭＳ Ｐゴシック"/>
        <family val="3"/>
        <charset val="128"/>
      </rPr>
      <t>屋根や床（特にピロティ）において室内への熱の侵入に対しての配慮が十分でなく、日射遮蔽性能や断熱性能が低い。</t>
    </r>
  </si>
  <si>
    <r>
      <rPr>
        <sz val="9"/>
        <rFont val="ＭＳ Ｐゴシック"/>
        <family val="3"/>
        <charset val="128"/>
      </rPr>
      <t>窓</t>
    </r>
    <r>
      <rPr>
        <sz val="9"/>
        <rFont val="Arial"/>
        <family val="2"/>
      </rPr>
      <t>,</t>
    </r>
    <r>
      <rPr>
        <sz val="9"/>
        <rFont val="ＭＳ Ｐゴシック"/>
        <family val="3"/>
        <charset val="128"/>
      </rPr>
      <t>外壁</t>
    </r>
    <r>
      <rPr>
        <sz val="9"/>
        <rFont val="Arial"/>
        <family val="2"/>
      </rPr>
      <t>,</t>
    </r>
    <r>
      <rPr>
        <sz val="9"/>
        <rFont val="ＭＳ Ｐゴシック"/>
        <family val="3"/>
        <charset val="128"/>
      </rPr>
      <t>屋根や床（特にピロティ）において室内への熱の侵入に対しての配慮が十分でなく、日射遮蔽性能や断熱性能が低い。</t>
    </r>
    <phoneticPr fontId="26"/>
  </si>
  <si>
    <r>
      <rPr>
        <sz val="9"/>
        <rFont val="ＭＳ Ｐゴシック"/>
        <family val="3"/>
        <charset val="128"/>
      </rPr>
      <t>日本住宅性能表示基準「</t>
    </r>
    <r>
      <rPr>
        <sz val="9"/>
        <rFont val="Arial"/>
        <family val="2"/>
      </rPr>
      <t>5-1</t>
    </r>
    <r>
      <rPr>
        <sz val="9"/>
        <rFont val="ＭＳ Ｐゴシック"/>
        <family val="3"/>
        <charset val="128"/>
      </rPr>
      <t>断熱等性能等級」における等級</t>
    </r>
    <r>
      <rPr>
        <sz val="9"/>
        <rFont val="Arial"/>
        <family val="2"/>
      </rPr>
      <t>1</t>
    </r>
    <r>
      <rPr>
        <sz val="9"/>
        <rFont val="ＭＳ Ｐゴシック"/>
        <family val="3"/>
        <charset val="128"/>
      </rPr>
      <t>相当の屋根・外壁・床の部材構成、開口部の仕様を設定している。</t>
    </r>
    <rPh sb="14" eb="16">
      <t>ダンネツ</t>
    </rPh>
    <rPh sb="16" eb="17">
      <t>トウ</t>
    </rPh>
    <rPh sb="17" eb="19">
      <t>セイノウ</t>
    </rPh>
    <rPh sb="19" eb="21">
      <t>トウキュウ</t>
    </rPh>
    <phoneticPr fontId="26"/>
  </si>
  <si>
    <r>
      <rPr>
        <sz val="9"/>
        <rFont val="ＭＳ Ｐゴシック"/>
        <family val="3"/>
        <charset val="128"/>
      </rPr>
      <t>日本住宅性能表示基準「</t>
    </r>
    <r>
      <rPr>
        <sz val="9"/>
        <rFont val="Arial"/>
        <family val="2"/>
      </rPr>
      <t>5-1</t>
    </r>
    <r>
      <rPr>
        <sz val="9"/>
        <rFont val="ＭＳ Ｐゴシック"/>
        <family val="3"/>
        <charset val="128"/>
      </rPr>
      <t>断熱等性能等級」における等級</t>
    </r>
    <r>
      <rPr>
        <sz val="9"/>
        <rFont val="Arial"/>
        <family val="2"/>
      </rPr>
      <t>2</t>
    </r>
    <r>
      <rPr>
        <sz val="9"/>
        <rFont val="ＭＳ Ｐゴシック"/>
        <family val="3"/>
        <charset val="128"/>
      </rPr>
      <t>相当の屋根・外壁・床の部材構成、開口部の仕様を設定している。</t>
    </r>
    <phoneticPr fontId="26"/>
  </si>
  <si>
    <r>
      <rPr>
        <sz val="9"/>
        <rFont val="ＭＳ Ｐゴシック"/>
        <family val="3"/>
        <charset val="128"/>
      </rPr>
      <t>窓</t>
    </r>
    <r>
      <rPr>
        <sz val="9"/>
        <rFont val="Arial"/>
        <family val="2"/>
      </rPr>
      <t>,</t>
    </r>
    <r>
      <rPr>
        <sz val="9"/>
        <rFont val="ＭＳ Ｐゴシック"/>
        <family val="3"/>
        <charset val="128"/>
      </rPr>
      <t>外壁</t>
    </r>
    <r>
      <rPr>
        <sz val="9"/>
        <rFont val="Arial"/>
        <family val="2"/>
      </rPr>
      <t>,</t>
    </r>
    <r>
      <rPr>
        <sz val="9"/>
        <rFont val="ＭＳ Ｐゴシック"/>
        <family val="3"/>
        <charset val="128"/>
      </rPr>
      <t>屋根や床（特にピロティ）において、室内への熱の侵入に対しての配慮がなされており、実用上、日射遮蔽性能および断熱性能に問題がない。</t>
    </r>
  </si>
  <si>
    <r>
      <rPr>
        <sz val="9"/>
        <rFont val="ＭＳ Ｐゴシック"/>
        <family val="3"/>
        <charset val="128"/>
      </rPr>
      <t>窓</t>
    </r>
    <r>
      <rPr>
        <sz val="9"/>
        <rFont val="Arial"/>
        <family val="2"/>
      </rPr>
      <t>,</t>
    </r>
    <r>
      <rPr>
        <sz val="9"/>
        <rFont val="ＭＳ Ｐゴシック"/>
        <family val="3"/>
        <charset val="128"/>
      </rPr>
      <t>外壁</t>
    </r>
    <r>
      <rPr>
        <sz val="9"/>
        <rFont val="Arial"/>
        <family val="2"/>
      </rPr>
      <t>,</t>
    </r>
    <r>
      <rPr>
        <sz val="9"/>
        <rFont val="ＭＳ Ｐゴシック"/>
        <family val="3"/>
        <charset val="128"/>
      </rPr>
      <t>屋根や床（特にピロティ）において、室内への熱の侵入に対しての配慮がなされており、実用上、日射遮蔽性能および断熱性能に問題がない。</t>
    </r>
    <phoneticPr fontId="26"/>
  </si>
  <si>
    <r>
      <rPr>
        <sz val="9"/>
        <rFont val="ＭＳ Ｐゴシック"/>
        <family val="3"/>
        <charset val="128"/>
      </rPr>
      <t>日本住宅性能表示基準「</t>
    </r>
    <r>
      <rPr>
        <sz val="9"/>
        <rFont val="Arial"/>
        <family val="2"/>
      </rPr>
      <t>5-1</t>
    </r>
    <r>
      <rPr>
        <sz val="9"/>
        <rFont val="ＭＳ Ｐゴシック"/>
        <family val="3"/>
        <charset val="128"/>
      </rPr>
      <t>断熱等性能等級」における等級</t>
    </r>
    <r>
      <rPr>
        <sz val="9"/>
        <rFont val="Arial"/>
        <family val="2"/>
      </rPr>
      <t>3</t>
    </r>
    <r>
      <rPr>
        <sz val="9"/>
        <rFont val="ＭＳ Ｐゴシック"/>
        <family val="3"/>
        <charset val="128"/>
      </rPr>
      <t>相当の屋根・外壁・床の部材構成、開口部の仕様を設定している。</t>
    </r>
    <phoneticPr fontId="26"/>
  </si>
  <si>
    <r>
      <rPr>
        <sz val="9"/>
        <rFont val="ＭＳ Ｐゴシック"/>
        <family val="3"/>
        <charset val="128"/>
      </rPr>
      <t>窓</t>
    </r>
    <r>
      <rPr>
        <sz val="9"/>
        <rFont val="Arial"/>
        <family val="2"/>
      </rPr>
      <t>,</t>
    </r>
    <r>
      <rPr>
        <sz val="9"/>
        <rFont val="ＭＳ Ｐゴシック"/>
        <family val="3"/>
        <charset val="128"/>
      </rPr>
      <t>外壁</t>
    </r>
    <r>
      <rPr>
        <sz val="9"/>
        <rFont val="Arial"/>
        <family val="2"/>
      </rPr>
      <t>,</t>
    </r>
    <r>
      <rPr>
        <sz val="9"/>
        <rFont val="ＭＳ Ｐゴシック"/>
        <family val="3"/>
        <charset val="128"/>
      </rPr>
      <t>屋根や床（特にピロティ）において、室内への熱の侵入に対して、十分な配慮がなされており、最良の日射遮蔽性能および断熱性能を有する。</t>
    </r>
  </si>
  <si>
    <r>
      <rPr>
        <sz val="9"/>
        <rFont val="ＭＳ Ｐゴシック"/>
        <family val="3"/>
        <charset val="128"/>
      </rPr>
      <t>窓</t>
    </r>
    <r>
      <rPr>
        <sz val="9"/>
        <rFont val="Arial"/>
        <family val="2"/>
      </rPr>
      <t>,</t>
    </r>
    <r>
      <rPr>
        <sz val="9"/>
        <rFont val="ＭＳ Ｐゴシック"/>
        <family val="3"/>
        <charset val="128"/>
      </rPr>
      <t>外壁</t>
    </r>
    <r>
      <rPr>
        <sz val="9"/>
        <rFont val="Arial"/>
        <family val="2"/>
      </rPr>
      <t>,</t>
    </r>
    <r>
      <rPr>
        <sz val="9"/>
        <rFont val="ＭＳ Ｐゴシック"/>
        <family val="3"/>
        <charset val="128"/>
      </rPr>
      <t>屋根や床（特にピロティ）において、室内への熱の侵入に対して、十分な配慮がなされており、最良の日射遮蔽性能および断熱性能を有する。</t>
    </r>
    <phoneticPr fontId="26"/>
  </si>
  <si>
    <r>
      <rPr>
        <sz val="9"/>
        <rFont val="ＭＳ Ｐゴシック"/>
        <family val="3"/>
        <charset val="128"/>
      </rPr>
      <t>日本住宅性能表示基準「</t>
    </r>
    <r>
      <rPr>
        <sz val="9"/>
        <rFont val="Arial"/>
        <family val="2"/>
      </rPr>
      <t>5-1</t>
    </r>
    <r>
      <rPr>
        <sz val="9"/>
        <rFont val="ＭＳ Ｐゴシック"/>
        <family val="3"/>
        <charset val="128"/>
      </rPr>
      <t>断熱等性能等級」における等級</t>
    </r>
    <r>
      <rPr>
        <sz val="9"/>
        <rFont val="Arial"/>
        <family val="2"/>
      </rPr>
      <t>4</t>
    </r>
    <r>
      <rPr>
        <sz val="9"/>
        <rFont val="ＭＳ Ｐゴシック"/>
        <family val="3"/>
        <charset val="128"/>
      </rPr>
      <t>相当の屋根・外壁・床の部材構成、開口部の仕様を設定している。</t>
    </r>
    <phoneticPr fontId="26"/>
  </si>
  <si>
    <r>
      <rPr>
        <sz val="9"/>
        <rFont val="ＭＳ Ｐゴシック"/>
        <family val="3"/>
        <charset val="128"/>
      </rPr>
      <t>備考</t>
    </r>
    <rPh sb="0" eb="2">
      <t>ビコウ</t>
    </rPh>
    <phoneticPr fontId="26"/>
  </si>
  <si>
    <r>
      <rPr>
        <sz val="9"/>
        <rFont val="ＭＳ Ｐゴシック"/>
        <family val="3"/>
        <charset val="128"/>
      </rPr>
      <t>ＯＮ</t>
    </r>
    <r>
      <rPr>
        <sz val="9"/>
        <rFont val="Arial"/>
        <family val="2"/>
      </rPr>
      <t>-</t>
    </r>
    <r>
      <rPr>
        <sz val="9"/>
        <rFont val="ＭＳ Ｐゴシック"/>
        <family val="3"/>
        <charset val="128"/>
      </rPr>
      <t>ＯＦＦによる温度・湿度制御になっている。</t>
    </r>
  </si>
  <si>
    <r>
      <rPr>
        <sz val="9"/>
        <rFont val="ＭＳ Ｐゴシック"/>
        <family val="3"/>
        <charset val="128"/>
      </rPr>
      <t>比例制御、多位置制御による温度・湿度制御になっている。</t>
    </r>
  </si>
  <si>
    <r>
      <rPr>
        <sz val="9"/>
        <rFont val="ＭＳ Ｐゴシック"/>
        <family val="3"/>
        <charset val="128"/>
      </rPr>
      <t>ＰＩＤ制御による温度・室内湿度になっている。</t>
    </r>
  </si>
  <si>
    <r>
      <rPr>
        <sz val="9"/>
        <rFont val="ＭＳ Ｐゴシック"/>
        <family val="3"/>
        <charset val="128"/>
      </rPr>
      <t>ＰＩＤ制御による温度・室内湿度になっている。</t>
    </r>
    <phoneticPr fontId="26"/>
  </si>
  <si>
    <r>
      <rPr>
        <sz val="9"/>
        <rFont val="ＭＳ Ｐゴシック"/>
        <family val="3"/>
        <charset val="128"/>
      </rPr>
      <t>快適センサーなどによる温度・湿度制御（快適範囲における温度制御）が可能である。</t>
    </r>
  </si>
  <si>
    <r>
      <rPr>
        <sz val="9"/>
        <rFont val="ＭＳ Ｐゴシック"/>
        <family val="3"/>
        <charset val="128"/>
      </rPr>
      <t>快適センサーなどによる温度・湿度制御（快適範囲における温度制御）が可能である。</t>
    </r>
    <phoneticPr fontId="26"/>
  </si>
  <si>
    <r>
      <rPr>
        <sz val="9"/>
        <rFont val="ＭＳ Ｐゴシック"/>
        <family val="3"/>
        <charset val="128"/>
      </rPr>
      <t>在室者は手元で、</t>
    </r>
    <r>
      <rPr>
        <sz val="9"/>
        <rFont val="Arial"/>
        <family val="2"/>
      </rPr>
      <t>Low-Middle-High</t>
    </r>
    <r>
      <rPr>
        <sz val="9"/>
        <rFont val="ＭＳ Ｐゴシック"/>
        <family val="3"/>
        <charset val="128"/>
      </rPr>
      <t>の風量切り替えが可能である。</t>
    </r>
  </si>
  <si>
    <r>
      <rPr>
        <sz val="9"/>
        <rFont val="ＭＳ Ｐゴシック"/>
        <family val="3"/>
        <charset val="128"/>
      </rPr>
      <t>レベル３を満たさない。</t>
    </r>
  </si>
  <si>
    <r>
      <rPr>
        <sz val="9"/>
        <rFont val="ＭＳ Ｐゴシック"/>
        <family val="3"/>
        <charset val="128"/>
      </rPr>
      <t>在室者は手元で、直接温度設定や</t>
    </r>
    <r>
      <rPr>
        <sz val="9"/>
        <rFont val="Arial"/>
        <family val="2"/>
      </rPr>
      <t>Low-Middle-High</t>
    </r>
    <r>
      <rPr>
        <sz val="9"/>
        <rFont val="ＭＳ Ｐゴシック"/>
        <family val="3"/>
        <charset val="128"/>
      </rPr>
      <t>の風量調整が可能である。ただし、熱源側は季節に応じて冷暖切り替えである。</t>
    </r>
  </si>
  <si>
    <r>
      <rPr>
        <sz val="9"/>
        <rFont val="ＭＳ Ｐゴシック"/>
        <family val="3"/>
        <charset val="128"/>
      </rPr>
      <t>各室内で温度設定が可能。</t>
    </r>
  </si>
  <si>
    <r>
      <rPr>
        <sz val="9"/>
        <rFont val="ＭＳ Ｐゴシック"/>
        <family val="3"/>
        <charset val="128"/>
      </rPr>
      <t>在室者は手元で、直接、温度設定や風量調整が可能である。（熱源側は冷暖同時）</t>
    </r>
  </si>
  <si>
    <r>
      <rPr>
        <sz val="9"/>
        <rFont val="ＭＳ Ｐゴシック"/>
        <family val="3"/>
        <charset val="128"/>
      </rPr>
      <t>住戸内の温度を設定しつつ、各室において温度の個別設定が可能。</t>
    </r>
  </si>
  <si>
    <r>
      <rPr>
        <sz val="9"/>
        <rFont val="ＭＳ Ｐゴシック"/>
        <family val="3"/>
        <charset val="128"/>
      </rPr>
      <t>時間外や休日時には、空調運転を行わない。</t>
    </r>
  </si>
  <si>
    <r>
      <rPr>
        <sz val="9"/>
        <rFont val="ＭＳ Ｐゴシック"/>
        <family val="3"/>
        <charset val="128"/>
      </rPr>
      <t>同一フロアで熱負荷別に複数にゾーニングがなされておらず、代表的なゾーン監視のためにセンサー等の監視システムが設置されている。</t>
    </r>
  </si>
  <si>
    <r>
      <rPr>
        <sz val="9"/>
        <rFont val="ＭＳ Ｐゴシック"/>
        <family val="3"/>
        <charset val="128"/>
      </rPr>
      <t>時間外や休日時には、居住者のフロア全体が空調可能なシステムとなっている。</t>
    </r>
  </si>
  <si>
    <r>
      <rPr>
        <sz val="9"/>
        <rFont val="ＭＳ Ｐゴシック"/>
        <family val="3"/>
        <charset val="128"/>
      </rPr>
      <t>同一フロアで熱負荷別に複数にゾーニングがなされており、複数ゾーン監視のために制御センサとは別に複数の監視・計測用センサがある監視システムが設置されている。</t>
    </r>
    <phoneticPr fontId="26"/>
  </si>
  <si>
    <r>
      <rPr>
        <sz val="9"/>
        <rFont val="ＭＳ Ｐゴシック"/>
        <family val="3"/>
        <charset val="128"/>
      </rPr>
      <t>時間外や休日時には、居住者のゾーンのみ空調可能なシステムとなっている。</t>
    </r>
  </si>
  <si>
    <r>
      <rPr>
        <sz val="9"/>
        <rFont val="ＭＳ Ｐゴシック"/>
        <family val="3"/>
        <charset val="128"/>
      </rPr>
      <t>同一フロアで、売り場・テナント用に細かくゾーニングがなされており、それを細かく監視するために制御センサとは別に複数の監視・計測用センサがある監視システムが設置されている。</t>
    </r>
    <phoneticPr fontId="26"/>
  </si>
  <si>
    <r>
      <rPr>
        <sz val="9"/>
        <rFont val="ＭＳ Ｐゴシック"/>
        <family val="3"/>
        <charset val="128"/>
      </rPr>
      <t>レベル３を満たさない。</t>
    </r>
    <phoneticPr fontId="26"/>
  </si>
  <si>
    <r>
      <rPr>
        <sz val="9"/>
        <rFont val="ＭＳ Ｐゴシック"/>
        <family val="3"/>
        <charset val="128"/>
      </rPr>
      <t>何も配慮していない。</t>
    </r>
  </si>
  <si>
    <r>
      <rPr>
        <sz val="9"/>
        <rFont val="ＭＳ Ｐゴシック"/>
        <family val="3"/>
        <charset val="128"/>
      </rPr>
      <t>加湿機能を有し、かつ一般的な冬期</t>
    </r>
    <r>
      <rPr>
        <sz val="9"/>
        <rFont val="Arial"/>
        <family val="2"/>
      </rPr>
      <t>40</t>
    </r>
    <r>
      <rPr>
        <sz val="9"/>
        <rFont val="ＭＳ Ｐゴシック"/>
        <family val="3"/>
        <charset val="128"/>
      </rPr>
      <t>％、夏期</t>
    </r>
    <r>
      <rPr>
        <sz val="9"/>
        <rFont val="Arial"/>
        <family val="2"/>
      </rPr>
      <t>50</t>
    </r>
    <r>
      <rPr>
        <sz val="9"/>
        <rFont val="ＭＳ Ｐゴシック"/>
        <family val="3"/>
        <charset val="128"/>
      </rPr>
      <t>％の設定で計画されている。</t>
    </r>
    <phoneticPr fontId="26"/>
  </si>
  <si>
    <r>
      <rPr>
        <sz val="9"/>
        <rFont val="ＭＳ Ｐゴシック"/>
        <family val="3"/>
        <charset val="128"/>
      </rPr>
      <t>加湿機能を有し、かつ一般的な冬期</t>
    </r>
    <r>
      <rPr>
        <sz val="9"/>
        <rFont val="Arial"/>
        <family val="2"/>
      </rPr>
      <t>40</t>
    </r>
    <r>
      <rPr>
        <sz val="9"/>
        <rFont val="ＭＳ Ｐゴシック"/>
        <family val="3"/>
        <charset val="128"/>
      </rPr>
      <t>～</t>
    </r>
    <r>
      <rPr>
        <sz val="9"/>
        <rFont val="Arial"/>
        <family val="2"/>
      </rPr>
      <t>70</t>
    </r>
    <r>
      <rPr>
        <sz val="9"/>
        <rFont val="ＭＳ Ｐゴシック"/>
        <family val="3"/>
        <charset val="128"/>
      </rPr>
      <t>％、夏期</t>
    </r>
    <r>
      <rPr>
        <sz val="9"/>
        <rFont val="Arial"/>
        <family val="2"/>
      </rPr>
      <t>50</t>
    </r>
    <r>
      <rPr>
        <sz val="9"/>
        <rFont val="ＭＳ Ｐゴシック"/>
        <family val="3"/>
        <charset val="128"/>
      </rPr>
      <t>～</t>
    </r>
    <r>
      <rPr>
        <sz val="9"/>
        <rFont val="Arial"/>
        <family val="2"/>
      </rPr>
      <t>65</t>
    </r>
    <r>
      <rPr>
        <sz val="9"/>
        <rFont val="ＭＳ Ｐゴシック"/>
        <family val="3"/>
        <charset val="128"/>
      </rPr>
      <t>％。の範囲で計画されている。　　　　　　　　　　</t>
    </r>
    <phoneticPr fontId="26"/>
  </si>
  <si>
    <r>
      <rPr>
        <sz val="9"/>
        <rFont val="ＭＳ Ｐゴシック"/>
        <family val="3"/>
        <charset val="128"/>
      </rPr>
      <t>一般的な冬期</t>
    </r>
    <r>
      <rPr>
        <sz val="9"/>
        <rFont val="Arial"/>
        <family val="2"/>
      </rPr>
      <t>30</t>
    </r>
    <r>
      <rPr>
        <sz val="9"/>
        <rFont val="ＭＳ Ｐゴシック"/>
        <family val="3"/>
        <charset val="128"/>
      </rPr>
      <t>～</t>
    </r>
    <r>
      <rPr>
        <sz val="9"/>
        <rFont val="Arial"/>
        <family val="2"/>
      </rPr>
      <t>45</t>
    </r>
    <r>
      <rPr>
        <sz val="9"/>
        <rFont val="ＭＳ Ｐゴシック"/>
        <family val="3"/>
        <charset val="128"/>
      </rPr>
      <t>％、夏期</t>
    </r>
    <r>
      <rPr>
        <sz val="9"/>
        <rFont val="Arial"/>
        <family val="2"/>
      </rPr>
      <t>55</t>
    </r>
    <r>
      <rPr>
        <sz val="9"/>
        <rFont val="ＭＳ Ｐゴシック"/>
        <family val="3"/>
        <charset val="128"/>
      </rPr>
      <t>％～</t>
    </r>
    <r>
      <rPr>
        <sz val="9"/>
        <rFont val="Arial"/>
        <family val="2"/>
      </rPr>
      <t>80</t>
    </r>
    <r>
      <rPr>
        <sz val="9"/>
        <rFont val="ＭＳ Ｐゴシック"/>
        <family val="3"/>
        <charset val="128"/>
      </rPr>
      <t>％の範囲で計画されている。</t>
    </r>
    <phoneticPr fontId="26"/>
  </si>
  <si>
    <r>
      <rPr>
        <sz val="9"/>
        <rFont val="ＭＳ Ｐゴシック"/>
        <family val="3"/>
        <charset val="128"/>
      </rPr>
      <t>適切な換気機能を有し、熱橋となる部分の断熱補強、防湿層、通気層の設置等の結露防止対策がとられている。</t>
    </r>
  </si>
  <si>
    <r>
      <rPr>
        <sz val="9"/>
        <rFont val="ＭＳ Ｐゴシック"/>
        <family val="3"/>
        <charset val="128"/>
      </rPr>
      <t>除湿機能を有し、熱橋となる部分の断熱補強、防湿層、通気層の設置等の結露防止対策がとられている。</t>
    </r>
  </si>
  <si>
    <r>
      <rPr>
        <sz val="9"/>
        <rFont val="ＭＳ Ｐゴシック"/>
        <family val="3"/>
        <charset val="128"/>
      </rPr>
      <t>加湿・除湿機能を有し、かつ</t>
    </r>
    <r>
      <rPr>
        <sz val="9"/>
        <rFont val="Arial"/>
        <family val="2"/>
      </rPr>
      <t>ASHRAE</t>
    </r>
    <r>
      <rPr>
        <sz val="9"/>
        <rFont val="ＭＳ Ｐゴシック"/>
        <family val="3"/>
        <charset val="128"/>
      </rPr>
      <t>快適域や</t>
    </r>
    <r>
      <rPr>
        <sz val="9"/>
        <rFont val="Arial"/>
        <family val="2"/>
      </rPr>
      <t>POEM-O</t>
    </r>
    <r>
      <rPr>
        <sz val="9"/>
        <rFont val="ＭＳ Ｐゴシック"/>
        <family val="3"/>
        <charset val="128"/>
      </rPr>
      <t>を参考に</t>
    </r>
    <r>
      <rPr>
        <sz val="9"/>
        <rFont val="Arial"/>
        <family val="2"/>
      </rPr>
      <t>45</t>
    </r>
    <r>
      <rPr>
        <sz val="9"/>
        <rFont val="ＭＳ Ｐゴシック"/>
        <family val="3"/>
        <charset val="128"/>
      </rPr>
      <t>％～</t>
    </r>
    <r>
      <rPr>
        <sz val="9"/>
        <rFont val="Arial"/>
        <family val="2"/>
      </rPr>
      <t>55</t>
    </r>
    <r>
      <rPr>
        <sz val="9"/>
        <rFont val="ＭＳ Ｐゴシック"/>
        <family val="3"/>
        <charset val="128"/>
      </rPr>
      <t>％の範囲で計画されている。</t>
    </r>
    <phoneticPr fontId="26"/>
  </si>
  <si>
    <r>
      <rPr>
        <sz val="9"/>
        <rFont val="ＭＳ Ｐゴシック"/>
        <family val="3"/>
        <charset val="128"/>
      </rPr>
      <t>加湿・除湿機能を有し、</t>
    </r>
    <r>
      <rPr>
        <sz val="9"/>
        <rFont val="Arial"/>
        <family val="2"/>
      </rPr>
      <t>ASHRAE</t>
    </r>
    <r>
      <rPr>
        <sz val="9"/>
        <rFont val="ＭＳ Ｐゴシック"/>
        <family val="3"/>
        <charset val="128"/>
      </rPr>
      <t>快適域や</t>
    </r>
    <r>
      <rPr>
        <sz val="9"/>
        <rFont val="Arial"/>
        <family val="2"/>
      </rPr>
      <t>POEM-O</t>
    </r>
    <r>
      <rPr>
        <sz val="9"/>
        <rFont val="ＭＳ Ｐゴシック"/>
        <family val="3"/>
        <charset val="128"/>
      </rPr>
      <t>を参考に</t>
    </r>
    <r>
      <rPr>
        <sz val="9"/>
        <rFont val="Arial"/>
        <family val="2"/>
      </rPr>
      <t>45</t>
    </r>
    <r>
      <rPr>
        <sz val="9"/>
        <rFont val="ＭＳ Ｐゴシック"/>
        <family val="3"/>
        <charset val="128"/>
      </rPr>
      <t>％～</t>
    </r>
    <r>
      <rPr>
        <sz val="9"/>
        <rFont val="Arial"/>
        <family val="2"/>
      </rPr>
      <t>55</t>
    </r>
    <r>
      <rPr>
        <sz val="9"/>
        <rFont val="ＭＳ Ｐゴシック"/>
        <family val="3"/>
        <charset val="128"/>
      </rPr>
      <t>％の範囲で計画されている。</t>
    </r>
    <phoneticPr fontId="26"/>
  </si>
  <si>
    <r>
      <rPr>
        <sz val="9"/>
        <rFont val="ＭＳ Ｐゴシック"/>
        <family val="3"/>
        <charset val="128"/>
      </rPr>
      <t>加湿・除湿機能を有し、</t>
    </r>
    <r>
      <rPr>
        <sz val="9"/>
        <rFont val="Arial"/>
        <family val="2"/>
      </rPr>
      <t>45</t>
    </r>
    <r>
      <rPr>
        <sz val="9"/>
        <rFont val="ＭＳ Ｐゴシック"/>
        <family val="3"/>
        <charset val="128"/>
      </rPr>
      <t>％～</t>
    </r>
    <r>
      <rPr>
        <sz val="9"/>
        <rFont val="Arial"/>
        <family val="2"/>
      </rPr>
      <t>55</t>
    </r>
    <r>
      <rPr>
        <sz val="9"/>
        <rFont val="ＭＳ Ｐゴシック"/>
        <family val="3"/>
        <charset val="128"/>
      </rPr>
      <t>％の快適範囲を設定し、なおかつ、熱橋となる部分の断熱補強、防湿層、通気層の設置等の結露防止対策がとられている。</t>
    </r>
    <phoneticPr fontId="26"/>
  </si>
  <si>
    <r>
      <rPr>
        <sz val="9"/>
        <rFont val="ＭＳ Ｐゴシック"/>
        <family val="3"/>
        <charset val="128"/>
      </rPr>
      <t>居住域の上下温度差や気流速度について特に配慮していない空調方式が計画されている。</t>
    </r>
    <phoneticPr fontId="26"/>
  </si>
  <si>
    <r>
      <rPr>
        <sz val="9"/>
        <rFont val="ＭＳ Ｐゴシック"/>
        <family val="3"/>
        <charset val="128"/>
      </rPr>
      <t>空調居住域の上下温度差、気流速度や非空調部屋との室間温度差などについて特に配慮していない空調方式が採用されている。</t>
    </r>
    <phoneticPr fontId="26"/>
  </si>
  <si>
    <r>
      <rPr>
        <sz val="9"/>
        <rFont val="ＭＳ Ｐゴシック"/>
        <family val="3"/>
        <charset val="128"/>
      </rPr>
      <t>通常の空調方式であるが、居住域の上下温度差や気流速度に配慮した給排気計画がされている。上下温度差及び気流速度の目標値をおおよそ</t>
    </r>
    <r>
      <rPr>
        <sz val="9"/>
        <rFont val="Arial"/>
        <family val="2"/>
      </rPr>
      <t>5</t>
    </r>
    <r>
      <rPr>
        <sz val="9"/>
        <rFont val="ＭＳ Ｐゴシック"/>
        <family val="3"/>
        <charset val="128"/>
      </rPr>
      <t>℃以内、</t>
    </r>
    <r>
      <rPr>
        <sz val="9"/>
        <rFont val="Arial"/>
        <family val="2"/>
      </rPr>
      <t>0.35m/s</t>
    </r>
    <r>
      <rPr>
        <sz val="9"/>
        <rFont val="ＭＳ Ｐゴシック"/>
        <family val="3"/>
        <charset val="128"/>
      </rPr>
      <t>程度に設定している。</t>
    </r>
    <phoneticPr fontId="26"/>
  </si>
  <si>
    <r>
      <rPr>
        <sz val="9"/>
        <rFont val="ＭＳ Ｐゴシック"/>
        <family val="3"/>
        <charset val="128"/>
      </rPr>
      <t>通常の空調方式であるが、居住域の上下温度差や気流速度および診療室内の間仕切りなどに配慮した給排気計画がされている。上下温度差及び気流速度の目標値をおおよそ</t>
    </r>
    <r>
      <rPr>
        <sz val="9"/>
        <rFont val="Arial"/>
        <family val="2"/>
      </rPr>
      <t>5</t>
    </r>
    <r>
      <rPr>
        <sz val="9"/>
        <rFont val="ＭＳ Ｐゴシック"/>
        <family val="3"/>
        <charset val="128"/>
      </rPr>
      <t>℃以内、</t>
    </r>
    <r>
      <rPr>
        <sz val="9"/>
        <rFont val="Arial"/>
        <family val="2"/>
      </rPr>
      <t>0.35m/s</t>
    </r>
    <r>
      <rPr>
        <sz val="9"/>
        <rFont val="ＭＳ Ｐゴシック"/>
        <family val="3"/>
        <charset val="128"/>
      </rPr>
      <t>程度に設定している。</t>
    </r>
    <phoneticPr fontId="26"/>
  </si>
  <si>
    <r>
      <rPr>
        <sz val="9"/>
        <rFont val="ＭＳ Ｐゴシック"/>
        <family val="3"/>
        <charset val="128"/>
      </rPr>
      <t>空調居住域の上下温度差、気流速度の目標値をおおよそ</t>
    </r>
    <r>
      <rPr>
        <sz val="9"/>
        <rFont val="Arial"/>
        <family val="2"/>
      </rPr>
      <t>4</t>
    </r>
    <r>
      <rPr>
        <sz val="9"/>
        <rFont val="ＭＳ Ｐゴシック"/>
        <family val="3"/>
        <charset val="128"/>
      </rPr>
      <t>℃以内、</t>
    </r>
    <r>
      <rPr>
        <sz val="9"/>
        <rFont val="Arial"/>
        <family val="2"/>
      </rPr>
      <t>0.4m/s</t>
    </r>
    <r>
      <rPr>
        <sz val="9"/>
        <rFont val="ＭＳ Ｐゴシック"/>
        <family val="3"/>
        <charset val="128"/>
      </rPr>
      <t>程度に設定している。トイレ・浴室などを含めた非空調部分でもスポット的空調対応が可能で、室間温度差を軽減することができる。</t>
    </r>
    <phoneticPr fontId="26"/>
  </si>
  <si>
    <r>
      <rPr>
        <sz val="9"/>
        <rFont val="ＭＳ Ｐゴシック"/>
        <family val="3"/>
        <charset val="128"/>
      </rPr>
      <t>居住域の上下温度差や気流速度が少なくなるように配慮された空調方式</t>
    </r>
    <r>
      <rPr>
        <vertAlign val="superscript"/>
        <sz val="9"/>
        <rFont val="ＭＳ Ｐゴシック"/>
        <family val="3"/>
        <charset val="128"/>
      </rPr>
      <t>＊</t>
    </r>
    <r>
      <rPr>
        <sz val="9"/>
        <rFont val="ＭＳ Ｐゴシック"/>
        <family val="3"/>
        <charset val="128"/>
      </rPr>
      <t>が採用されている。あるいは、その他の空調方式で、上下温度差および気流速度の目標値をおおよそ</t>
    </r>
    <r>
      <rPr>
        <sz val="9"/>
        <rFont val="Arial"/>
        <family val="2"/>
      </rPr>
      <t>2</t>
    </r>
    <r>
      <rPr>
        <sz val="9"/>
        <rFont val="ＭＳ Ｐゴシック"/>
        <family val="3"/>
        <charset val="128"/>
      </rPr>
      <t>℃以内、</t>
    </r>
    <r>
      <rPr>
        <sz val="9"/>
        <rFont val="Arial"/>
        <family val="2"/>
      </rPr>
      <t>0.15m/s</t>
    </r>
    <r>
      <rPr>
        <sz val="9"/>
        <rFont val="ＭＳ Ｐゴシック"/>
        <family val="3"/>
        <charset val="128"/>
      </rPr>
      <t>程度に設定している。</t>
    </r>
    <rPh sb="49" eb="50">
      <t>タ</t>
    </rPh>
    <rPh sb="51" eb="53">
      <t>クウチョウ</t>
    </rPh>
    <rPh sb="53" eb="55">
      <t>ホウシキ</t>
    </rPh>
    <phoneticPr fontId="26"/>
  </si>
  <si>
    <r>
      <rPr>
        <sz val="9"/>
        <rFont val="ＭＳ Ｐゴシック"/>
        <family val="3"/>
        <charset val="128"/>
      </rPr>
      <t>居住域の上下温度差や気流速度が少なくなり、また診療室内の間仕切りに配慮された空調方式＊が採用されている。あるいは、その他の空調方式で、上下温度差および気流速度の目標値をおおよそ</t>
    </r>
    <r>
      <rPr>
        <sz val="9"/>
        <rFont val="Arial"/>
        <family val="2"/>
      </rPr>
      <t>2</t>
    </r>
    <r>
      <rPr>
        <sz val="9"/>
        <rFont val="ＭＳ Ｐゴシック"/>
        <family val="3"/>
        <charset val="128"/>
      </rPr>
      <t>℃以内、</t>
    </r>
    <r>
      <rPr>
        <sz val="9"/>
        <rFont val="Arial"/>
        <family val="2"/>
      </rPr>
      <t>0.15m/s</t>
    </r>
    <r>
      <rPr>
        <sz val="9"/>
        <rFont val="ＭＳ Ｐゴシック"/>
        <family val="3"/>
        <charset val="128"/>
      </rPr>
      <t>程度に設定している。</t>
    </r>
    <rPh sb="59" eb="60">
      <t>タ</t>
    </rPh>
    <rPh sb="61" eb="63">
      <t>クウチョウ</t>
    </rPh>
    <rPh sb="63" eb="65">
      <t>ホウシキ</t>
    </rPh>
    <phoneticPr fontId="26"/>
  </si>
  <si>
    <r>
      <rPr>
        <sz val="9"/>
        <rFont val="ＭＳ Ｐゴシック"/>
        <family val="3"/>
        <charset val="128"/>
      </rPr>
      <t>居住域の上下温度差や気流速度が少なくなるように配慮された空調方式＊が採用されている。上下温度差および気流速度の目標値をおおよそ</t>
    </r>
    <r>
      <rPr>
        <sz val="9"/>
        <rFont val="Arial"/>
        <family val="2"/>
      </rPr>
      <t>2</t>
    </r>
    <r>
      <rPr>
        <sz val="9"/>
        <rFont val="ＭＳ Ｐゴシック"/>
        <family val="3"/>
        <charset val="128"/>
      </rPr>
      <t>℃以内、</t>
    </r>
    <r>
      <rPr>
        <sz val="9"/>
        <rFont val="Arial"/>
        <family val="2"/>
      </rPr>
      <t>0.15m/s</t>
    </r>
    <r>
      <rPr>
        <sz val="9"/>
        <rFont val="ＭＳ Ｐゴシック"/>
        <family val="3"/>
        <charset val="128"/>
      </rPr>
      <t>程度に設定している。</t>
    </r>
    <phoneticPr fontId="26"/>
  </si>
  <si>
    <r>
      <rPr>
        <sz val="9"/>
        <rFont val="ＭＳ Ｐゴシック"/>
        <family val="3"/>
        <charset val="128"/>
      </rPr>
      <t>空調居住域の上下温度差、気流速度の目標値をおおよそ</t>
    </r>
    <r>
      <rPr>
        <sz val="9"/>
        <rFont val="Arial"/>
        <family val="2"/>
      </rPr>
      <t>2</t>
    </r>
    <r>
      <rPr>
        <sz val="9"/>
        <rFont val="ＭＳ Ｐゴシック"/>
        <family val="3"/>
        <charset val="128"/>
      </rPr>
      <t>℃以内、</t>
    </r>
    <r>
      <rPr>
        <sz val="9"/>
        <rFont val="Arial"/>
        <family val="2"/>
      </rPr>
      <t>0.2m/s</t>
    </r>
    <r>
      <rPr>
        <sz val="9"/>
        <rFont val="ＭＳ Ｐゴシック"/>
        <family val="3"/>
        <charset val="128"/>
      </rPr>
      <t>程度に設定している。トイレ・浴室などを含めた全室が空調可能とし、室間温度差を無くすことができる。</t>
    </r>
    <phoneticPr fontId="26"/>
  </si>
  <si>
    <r>
      <rPr>
        <sz val="9"/>
        <rFont val="ＭＳ Ｐゴシック"/>
        <family val="3"/>
        <charset val="128"/>
      </rPr>
      <t>＊　例えば、天井・床輻射冷暖房方式や床吹出し方式などを指す。</t>
    </r>
    <phoneticPr fontId="26"/>
  </si>
  <si>
    <r>
      <t>5</t>
    </r>
    <r>
      <rPr>
        <sz val="9"/>
        <rFont val="ＭＳ Ｐゴシック"/>
        <family val="3"/>
        <charset val="128"/>
      </rPr>
      <t>℃＜</t>
    </r>
    <r>
      <rPr>
        <sz val="9"/>
        <rFont val="Arial"/>
        <family val="2"/>
      </rPr>
      <t xml:space="preserve"> [</t>
    </r>
    <r>
      <rPr>
        <sz val="9"/>
        <rFont val="ＭＳ Ｐゴシック"/>
        <family val="3"/>
        <charset val="128"/>
      </rPr>
      <t>上下温度差</t>
    </r>
    <r>
      <rPr>
        <sz val="9"/>
        <rFont val="Arial"/>
        <family val="2"/>
      </rPr>
      <t>]</t>
    </r>
    <phoneticPr fontId="26"/>
  </si>
  <si>
    <r>
      <t>0.45</t>
    </r>
    <r>
      <rPr>
        <sz val="9"/>
        <rFont val="ＭＳ Ｐゴシック"/>
        <family val="3"/>
        <charset val="128"/>
      </rPr>
      <t>ｍ</t>
    </r>
    <r>
      <rPr>
        <sz val="9"/>
        <rFont val="Arial"/>
        <family val="2"/>
      </rPr>
      <t>/</t>
    </r>
    <r>
      <rPr>
        <sz val="9"/>
        <rFont val="ＭＳ Ｐゴシック"/>
        <family val="3"/>
        <charset val="128"/>
      </rPr>
      <t>ｓ＜</t>
    </r>
    <r>
      <rPr>
        <sz val="9"/>
        <rFont val="Arial"/>
        <family val="2"/>
      </rPr>
      <t xml:space="preserve"> [</t>
    </r>
    <r>
      <rPr>
        <sz val="9"/>
        <rFont val="ＭＳ Ｐゴシック"/>
        <family val="3"/>
        <charset val="128"/>
      </rPr>
      <t>平均気流速度</t>
    </r>
    <r>
      <rPr>
        <sz val="9"/>
        <rFont val="Arial"/>
        <family val="2"/>
      </rPr>
      <t>]</t>
    </r>
  </si>
  <si>
    <r>
      <t>0.35</t>
    </r>
    <r>
      <rPr>
        <sz val="9"/>
        <rFont val="ＭＳ Ｐゴシック"/>
        <family val="3"/>
        <charset val="128"/>
      </rPr>
      <t>ｍ</t>
    </r>
    <r>
      <rPr>
        <sz val="9"/>
        <rFont val="Arial"/>
        <family val="2"/>
      </rPr>
      <t>/</t>
    </r>
    <r>
      <rPr>
        <sz val="9"/>
        <rFont val="ＭＳ Ｐゴシック"/>
        <family val="3"/>
        <charset val="128"/>
      </rPr>
      <t>ｓ＜</t>
    </r>
    <r>
      <rPr>
        <sz val="9"/>
        <rFont val="Arial"/>
        <family val="2"/>
      </rPr>
      <t xml:space="preserve"> [</t>
    </r>
    <r>
      <rPr>
        <sz val="9"/>
        <rFont val="ＭＳ Ｐゴシック"/>
        <family val="3"/>
        <charset val="128"/>
      </rPr>
      <t>平均気流速度</t>
    </r>
    <r>
      <rPr>
        <sz val="9"/>
        <rFont val="Arial"/>
        <family val="2"/>
      </rPr>
      <t xml:space="preserve">] </t>
    </r>
    <r>
      <rPr>
        <sz val="9"/>
        <rFont val="ＭＳ Ｐゴシック"/>
        <family val="3"/>
        <charset val="128"/>
      </rPr>
      <t>≦</t>
    </r>
    <r>
      <rPr>
        <sz val="9"/>
        <rFont val="Arial"/>
        <family val="2"/>
      </rPr>
      <t>0.45</t>
    </r>
    <r>
      <rPr>
        <sz val="9"/>
        <rFont val="ＭＳ Ｐゴシック"/>
        <family val="3"/>
        <charset val="128"/>
      </rPr>
      <t>ｍ</t>
    </r>
    <r>
      <rPr>
        <sz val="9"/>
        <rFont val="Arial"/>
        <family val="2"/>
      </rPr>
      <t>/</t>
    </r>
    <r>
      <rPr>
        <sz val="9"/>
        <rFont val="ＭＳ Ｐゴシック"/>
        <family val="3"/>
        <charset val="128"/>
      </rPr>
      <t>ｓ</t>
    </r>
  </si>
  <si>
    <r>
      <t>2</t>
    </r>
    <r>
      <rPr>
        <sz val="9"/>
        <rFont val="ＭＳ Ｐゴシック"/>
        <family val="3"/>
        <charset val="128"/>
      </rPr>
      <t>℃＜</t>
    </r>
    <r>
      <rPr>
        <sz val="9"/>
        <rFont val="Arial"/>
        <family val="2"/>
      </rPr>
      <t xml:space="preserve"> [</t>
    </r>
    <r>
      <rPr>
        <sz val="9"/>
        <rFont val="ＭＳ Ｐゴシック"/>
        <family val="3"/>
        <charset val="128"/>
      </rPr>
      <t>上下温度差</t>
    </r>
    <r>
      <rPr>
        <sz val="9"/>
        <rFont val="Arial"/>
        <family val="2"/>
      </rPr>
      <t xml:space="preserve">] </t>
    </r>
    <r>
      <rPr>
        <sz val="9"/>
        <rFont val="ＭＳ Ｐゴシック"/>
        <family val="3"/>
        <charset val="128"/>
      </rPr>
      <t>≦</t>
    </r>
    <r>
      <rPr>
        <sz val="9"/>
        <rFont val="Arial"/>
        <family val="2"/>
      </rPr>
      <t>5</t>
    </r>
    <r>
      <rPr>
        <sz val="9"/>
        <rFont val="ＭＳ Ｐゴシック"/>
        <family val="3"/>
        <charset val="128"/>
      </rPr>
      <t>℃</t>
    </r>
    <phoneticPr fontId="26"/>
  </si>
  <si>
    <r>
      <t>0.25</t>
    </r>
    <r>
      <rPr>
        <sz val="9"/>
        <rFont val="ＭＳ Ｐゴシック"/>
        <family val="3"/>
        <charset val="128"/>
      </rPr>
      <t>ｍ</t>
    </r>
    <r>
      <rPr>
        <sz val="9"/>
        <rFont val="Arial"/>
        <family val="2"/>
      </rPr>
      <t>/</t>
    </r>
    <r>
      <rPr>
        <sz val="9"/>
        <rFont val="ＭＳ Ｐゴシック"/>
        <family val="3"/>
        <charset val="128"/>
      </rPr>
      <t>ｓ＜</t>
    </r>
    <r>
      <rPr>
        <sz val="9"/>
        <rFont val="Arial"/>
        <family val="2"/>
      </rPr>
      <t xml:space="preserve"> [</t>
    </r>
    <r>
      <rPr>
        <sz val="9"/>
        <rFont val="ＭＳ Ｐゴシック"/>
        <family val="3"/>
        <charset val="128"/>
      </rPr>
      <t>平均気流速度</t>
    </r>
    <r>
      <rPr>
        <sz val="9"/>
        <rFont val="Arial"/>
        <family val="2"/>
      </rPr>
      <t xml:space="preserve">] </t>
    </r>
    <r>
      <rPr>
        <sz val="9"/>
        <rFont val="ＭＳ Ｐゴシック"/>
        <family val="3"/>
        <charset val="128"/>
      </rPr>
      <t>≦</t>
    </r>
    <r>
      <rPr>
        <sz val="9"/>
        <rFont val="Arial"/>
        <family val="2"/>
      </rPr>
      <t>0.35</t>
    </r>
    <r>
      <rPr>
        <sz val="9"/>
        <rFont val="ＭＳ Ｐゴシック"/>
        <family val="3"/>
        <charset val="128"/>
      </rPr>
      <t>ｍ</t>
    </r>
    <r>
      <rPr>
        <sz val="9"/>
        <rFont val="Arial"/>
        <family val="2"/>
      </rPr>
      <t>/</t>
    </r>
    <r>
      <rPr>
        <sz val="9"/>
        <rFont val="ＭＳ Ｐゴシック"/>
        <family val="3"/>
        <charset val="128"/>
      </rPr>
      <t>ｓ</t>
    </r>
  </si>
  <si>
    <r>
      <t>0.15</t>
    </r>
    <r>
      <rPr>
        <sz val="9"/>
        <rFont val="ＭＳ Ｐゴシック"/>
        <family val="3"/>
        <charset val="128"/>
      </rPr>
      <t>ｍ</t>
    </r>
    <r>
      <rPr>
        <sz val="9"/>
        <rFont val="Arial"/>
        <family val="2"/>
      </rPr>
      <t>/</t>
    </r>
    <r>
      <rPr>
        <sz val="9"/>
        <rFont val="ＭＳ Ｐゴシック"/>
        <family val="3"/>
        <charset val="128"/>
      </rPr>
      <t>ｓ＜</t>
    </r>
    <r>
      <rPr>
        <sz val="9"/>
        <rFont val="Arial"/>
        <family val="2"/>
      </rPr>
      <t xml:space="preserve"> [</t>
    </r>
    <r>
      <rPr>
        <sz val="9"/>
        <rFont val="ＭＳ Ｐゴシック"/>
        <family val="3"/>
        <charset val="128"/>
      </rPr>
      <t>平均気流速度</t>
    </r>
    <r>
      <rPr>
        <sz val="9"/>
        <rFont val="Arial"/>
        <family val="2"/>
      </rPr>
      <t xml:space="preserve">] </t>
    </r>
    <r>
      <rPr>
        <sz val="9"/>
        <rFont val="ＭＳ Ｐゴシック"/>
        <family val="3"/>
        <charset val="128"/>
      </rPr>
      <t>≦</t>
    </r>
    <r>
      <rPr>
        <sz val="9"/>
        <rFont val="Arial"/>
        <family val="2"/>
      </rPr>
      <t>0.25</t>
    </r>
    <r>
      <rPr>
        <sz val="9"/>
        <rFont val="ＭＳ Ｐゴシック"/>
        <family val="3"/>
        <charset val="128"/>
      </rPr>
      <t>ｍ</t>
    </r>
    <r>
      <rPr>
        <sz val="9"/>
        <rFont val="Arial"/>
        <family val="2"/>
      </rPr>
      <t>/</t>
    </r>
    <r>
      <rPr>
        <sz val="9"/>
        <rFont val="ＭＳ Ｐゴシック"/>
        <family val="3"/>
        <charset val="128"/>
      </rPr>
      <t>ｓ</t>
    </r>
  </si>
  <si>
    <r>
      <t>[</t>
    </r>
    <r>
      <rPr>
        <sz val="9"/>
        <rFont val="ＭＳ Ｐゴシック"/>
        <family val="3"/>
        <charset val="128"/>
      </rPr>
      <t>上下温度差</t>
    </r>
    <r>
      <rPr>
        <sz val="9"/>
        <rFont val="Arial"/>
        <family val="2"/>
      </rPr>
      <t xml:space="preserve">] </t>
    </r>
    <r>
      <rPr>
        <sz val="9"/>
        <rFont val="ＭＳ Ｐゴシック"/>
        <family val="3"/>
        <charset val="128"/>
      </rPr>
      <t>≦</t>
    </r>
    <r>
      <rPr>
        <sz val="9"/>
        <rFont val="Arial"/>
        <family val="2"/>
      </rPr>
      <t>2</t>
    </r>
    <r>
      <rPr>
        <sz val="9"/>
        <rFont val="ＭＳ Ｐゴシック"/>
        <family val="3"/>
        <charset val="128"/>
      </rPr>
      <t>℃</t>
    </r>
  </si>
  <si>
    <r>
      <t>[</t>
    </r>
    <r>
      <rPr>
        <sz val="9"/>
        <rFont val="ＭＳ Ｐゴシック"/>
        <family val="3"/>
        <charset val="128"/>
      </rPr>
      <t>平均気流速度</t>
    </r>
    <r>
      <rPr>
        <sz val="9"/>
        <rFont val="Arial"/>
        <family val="2"/>
      </rPr>
      <t xml:space="preserve">] </t>
    </r>
    <r>
      <rPr>
        <sz val="9"/>
        <rFont val="ＭＳ Ｐゴシック"/>
        <family val="3"/>
        <charset val="128"/>
      </rPr>
      <t>≦</t>
    </r>
    <r>
      <rPr>
        <sz val="9"/>
        <rFont val="Arial"/>
        <family val="2"/>
      </rPr>
      <t>0.15</t>
    </r>
    <r>
      <rPr>
        <sz val="9"/>
        <rFont val="ＭＳ Ｐゴシック"/>
        <family val="3"/>
        <charset val="128"/>
      </rPr>
      <t>ｍ</t>
    </r>
    <r>
      <rPr>
        <sz val="9"/>
        <rFont val="Arial"/>
        <family val="2"/>
      </rPr>
      <t>/</t>
    </r>
    <r>
      <rPr>
        <sz val="9"/>
        <rFont val="ＭＳ Ｐゴシック"/>
        <family val="3"/>
        <charset val="128"/>
      </rPr>
      <t>ｓ</t>
    </r>
  </si>
  <si>
    <r>
      <rPr>
        <sz val="11"/>
        <rFont val="ＭＳ Ｐゴシック"/>
        <family val="3"/>
        <charset val="128"/>
      </rPr>
      <t>水平方向から見て光源が露出し、グレアを制限していない器具。</t>
    </r>
    <r>
      <rPr>
        <sz val="11"/>
        <rFont val="Arial"/>
        <family val="2"/>
      </rPr>
      <t>G3</t>
    </r>
    <r>
      <rPr>
        <sz val="11"/>
        <rFont val="ＭＳ Ｐゴシック"/>
        <family val="3"/>
        <charset val="128"/>
      </rPr>
      <t>分類の器具。</t>
    </r>
  </si>
  <si>
    <r>
      <rPr>
        <sz val="11"/>
        <rFont val="ＭＳ Ｐゴシック"/>
        <family val="3"/>
        <charset val="128"/>
      </rPr>
      <t>水平方向から見て光源が露出しグレアを制限していない器具。</t>
    </r>
    <r>
      <rPr>
        <sz val="11"/>
        <rFont val="Arial"/>
        <family val="2"/>
      </rPr>
      <t>G3</t>
    </r>
    <r>
      <rPr>
        <sz val="11"/>
        <rFont val="ＭＳ Ｐゴシック"/>
        <family val="3"/>
        <charset val="128"/>
      </rPr>
      <t>分類の器具。</t>
    </r>
  </si>
  <si>
    <r>
      <t>(</t>
    </r>
    <r>
      <rPr>
        <sz val="11"/>
        <rFont val="ＭＳ Ｐゴシック"/>
        <family val="3"/>
        <charset val="128"/>
      </rPr>
      <t>該当するレベルなし</t>
    </r>
    <r>
      <rPr>
        <sz val="11"/>
        <rFont val="Arial"/>
        <family val="2"/>
      </rPr>
      <t>)</t>
    </r>
  </si>
  <si>
    <r>
      <rPr>
        <sz val="11"/>
        <rFont val="ＭＳ Ｐゴシック"/>
        <family val="3"/>
        <charset val="128"/>
      </rPr>
      <t>水平方向から見て光源が露出せず、グレアを制限している器具。</t>
    </r>
    <r>
      <rPr>
        <sz val="11"/>
        <rFont val="Arial"/>
        <family val="2"/>
      </rPr>
      <t>G2</t>
    </r>
    <r>
      <rPr>
        <sz val="11"/>
        <rFont val="ＭＳ Ｐゴシック"/>
        <family val="3"/>
        <charset val="128"/>
      </rPr>
      <t>分類の器具。</t>
    </r>
  </si>
  <si>
    <r>
      <rPr>
        <sz val="11"/>
        <rFont val="ＭＳ Ｐゴシック"/>
        <family val="3"/>
        <charset val="128"/>
      </rPr>
      <t>水平方向から見て光源が露出せずグレアを制限している器具。</t>
    </r>
    <r>
      <rPr>
        <sz val="11"/>
        <rFont val="Arial"/>
        <family val="2"/>
      </rPr>
      <t>G2</t>
    </r>
    <r>
      <rPr>
        <sz val="11"/>
        <rFont val="ＭＳ Ｐゴシック"/>
        <family val="3"/>
        <charset val="128"/>
      </rPr>
      <t>分類の器具。</t>
    </r>
    <phoneticPr fontId="26"/>
  </si>
  <si>
    <r>
      <rPr>
        <sz val="11"/>
        <rFont val="ＭＳ Ｐゴシック"/>
        <family val="3"/>
        <charset val="128"/>
      </rPr>
      <t>既存</t>
    </r>
    <rPh sb="0" eb="2">
      <t>キソン</t>
    </rPh>
    <phoneticPr fontId="26"/>
  </si>
  <si>
    <r>
      <rPr>
        <sz val="9"/>
        <rFont val="ＭＳ Ｐゴシック"/>
        <family val="3"/>
        <charset val="128"/>
      </rPr>
      <t>教室内で視界に見え方を妨害するような「まぶしさ」を感じさせる強い光源がないこと。
（解説（ア）～（ウ））</t>
    </r>
    <phoneticPr fontId="26"/>
  </si>
  <si>
    <r>
      <rPr>
        <sz val="9"/>
        <rFont val="ＭＳ Ｐゴシック"/>
        <family val="3"/>
        <charset val="128"/>
      </rPr>
      <t>レベル３を満たし、かつ、カーテンを使用する、などの運用面の取り組みを行っている。</t>
    </r>
    <phoneticPr fontId="26"/>
  </si>
  <si>
    <r>
      <t>30</t>
    </r>
    <r>
      <rPr>
        <sz val="8"/>
        <rFont val="ＭＳ Ｐゴシック"/>
        <family val="3"/>
        <charset val="128"/>
      </rPr>
      <t>字以内で記入</t>
    </r>
    <rPh sb="2" eb="3">
      <t>ジ</t>
    </rPh>
    <rPh sb="3" eb="5">
      <t>イナイ</t>
    </rPh>
    <rPh sb="6" eb="8">
      <t>キニュウ</t>
    </rPh>
    <phoneticPr fontId="26"/>
  </si>
  <si>
    <r>
      <rPr>
        <sz val="11"/>
        <rFont val="ＭＳ Ｐゴシック"/>
        <family val="3"/>
        <charset val="128"/>
      </rPr>
      <t>判定表</t>
    </r>
    <rPh sb="0" eb="2">
      <t>ハンテイ</t>
    </rPh>
    <rPh sb="2" eb="3">
      <t>ヒョウ</t>
    </rPh>
    <phoneticPr fontId="26"/>
  </si>
  <si>
    <r>
      <rPr>
        <sz val="9"/>
        <rFont val="ＭＳ Ｐゴシック"/>
        <family val="3"/>
        <charset val="128"/>
      </rPr>
      <t>　評価項目</t>
    </r>
  </si>
  <si>
    <r>
      <rPr>
        <sz val="9"/>
        <rFont val="ＭＳ Ｐゴシック"/>
        <family val="3"/>
        <charset val="128"/>
      </rPr>
      <t>判定基準</t>
    </r>
    <phoneticPr fontId="26"/>
  </si>
  <si>
    <r>
      <rPr>
        <sz val="9"/>
        <rFont val="ＭＳ Ｐゴシック"/>
        <family val="3"/>
        <charset val="128"/>
      </rPr>
      <t>（ア）</t>
    </r>
  </si>
  <si>
    <r>
      <rPr>
        <sz val="9"/>
        <rFont val="ＭＳ Ｐゴシック"/>
        <family val="3"/>
        <charset val="128"/>
      </rPr>
      <t>児童生徒等から見て、黒板の外側</t>
    </r>
    <r>
      <rPr>
        <sz val="9"/>
        <rFont val="Arial"/>
        <family val="2"/>
      </rPr>
      <t>15°</t>
    </r>
    <r>
      <rPr>
        <sz val="9"/>
        <rFont val="ＭＳ Ｐゴシック"/>
        <family val="3"/>
        <charset val="128"/>
      </rPr>
      <t>以内の範囲に輝きの強い光源（昼光の場合は窓）がない。</t>
    </r>
  </si>
  <si>
    <r>
      <rPr>
        <sz val="9"/>
        <rFont val="ＭＳ Ｐゴシック"/>
        <family val="3"/>
        <charset val="128"/>
      </rPr>
      <t>（イ）</t>
    </r>
  </si>
  <si>
    <r>
      <rPr>
        <sz val="9"/>
        <rFont val="ＭＳ Ｐゴシック"/>
        <family val="3"/>
        <charset val="128"/>
      </rPr>
      <t>見え方を妨害するような光沢が、黒板及び机上面にない。</t>
    </r>
  </si>
  <si>
    <r>
      <rPr>
        <sz val="9"/>
        <rFont val="ＭＳ Ｐゴシック"/>
        <family val="3"/>
        <charset val="128"/>
      </rPr>
      <t>（ウ）</t>
    </r>
  </si>
  <si>
    <r>
      <rPr>
        <sz val="9"/>
        <rFont val="ＭＳ Ｐゴシック"/>
        <family val="3"/>
        <charset val="128"/>
      </rPr>
      <t>見え方を妨害するような電灯や明るい窓等が、テレビ及びコンピュータ等の画面に映じていない。</t>
    </r>
  </si>
  <si>
    <r>
      <rPr>
        <sz val="9"/>
        <rFont val="ＭＳ Ｐゴシック"/>
        <family val="3"/>
        <charset val="128"/>
      </rPr>
      <t>全般照明方式の場合で室内にかなり不快に感じる程度の非常に暗い部分がある。</t>
    </r>
    <phoneticPr fontId="26"/>
  </si>
  <si>
    <r>
      <rPr>
        <sz val="9"/>
        <rFont val="ＭＳ Ｐゴシック"/>
        <family val="3"/>
        <charset val="128"/>
      </rPr>
      <t>全般照明方式の場合で室内にやや不快に感じる程度の暗い部分がある。</t>
    </r>
    <phoneticPr fontId="26"/>
  </si>
  <si>
    <r>
      <rPr>
        <sz val="9"/>
        <rFont val="ＭＳ Ｐゴシック"/>
        <family val="3"/>
        <charset val="128"/>
      </rPr>
      <t>全般照明方式の場合で室内に許容できる程度の暗い部分がある。タスク・アンビエント照明方式の場合で作業面の明るさと周りの明るさのバランスが不十分。</t>
    </r>
    <rPh sb="41" eb="43">
      <t>ホウシキ</t>
    </rPh>
    <phoneticPr fontId="26"/>
  </si>
  <si>
    <r>
      <rPr>
        <sz val="9"/>
        <rFont val="ＭＳ Ｐゴシック"/>
        <family val="3"/>
        <charset val="128"/>
      </rPr>
      <t>全般照明方式の場合で室内にほとんど暗い部分がない。</t>
    </r>
    <phoneticPr fontId="26"/>
  </si>
  <si>
    <r>
      <rPr>
        <sz val="9"/>
        <rFont val="ＭＳ Ｐゴシック"/>
        <family val="3"/>
        <charset val="128"/>
      </rPr>
      <t>全般照明方式の場合で室内に暗い部分がない。タスク・アンビエント照明方式の場合で作業面の明るさと周りの明るさのバランスが良い。</t>
    </r>
    <rPh sb="33" eb="35">
      <t>ホウシキ</t>
    </rPh>
    <phoneticPr fontId="26"/>
  </si>
  <si>
    <r>
      <rPr>
        <sz val="9"/>
        <rFont val="ＭＳ Ｐゴシック"/>
        <family val="3"/>
        <charset val="128"/>
      </rPr>
      <t>照明制御ができない。</t>
    </r>
    <phoneticPr fontId="26"/>
  </si>
  <si>
    <r>
      <rPr>
        <sz val="9"/>
        <rFont val="ＭＳ Ｐゴシック"/>
        <family val="3"/>
        <charset val="128"/>
      </rPr>
      <t>照明制御ができない。</t>
    </r>
  </si>
  <si>
    <r>
      <rPr>
        <sz val="9"/>
        <rFont val="ＭＳ Ｐゴシック"/>
        <family val="3"/>
        <charset val="128"/>
      </rPr>
      <t>執務者・売り場等について複数単位の大まかな照明制御ができる。</t>
    </r>
    <phoneticPr fontId="26"/>
  </si>
  <si>
    <r>
      <rPr>
        <sz val="9"/>
        <rFont val="ＭＳ Ｐゴシック"/>
        <family val="3"/>
        <charset val="128"/>
      </rPr>
      <t>複数ベッド単位の大まかな照明制御ができる。</t>
    </r>
  </si>
  <si>
    <r>
      <rPr>
        <sz val="9"/>
        <rFont val="ＭＳ Ｐゴシック"/>
        <family val="3"/>
        <charset val="128"/>
      </rPr>
      <t>室内で大まかな照明制御ができる。</t>
    </r>
  </si>
  <si>
    <r>
      <rPr>
        <sz val="9"/>
        <rFont val="ＭＳ Ｐゴシック"/>
        <family val="3"/>
        <charset val="128"/>
      </rPr>
      <t>各執務者・売り場等の部分について、細かな照明制御ができる、または、自動照明制御ができる。</t>
    </r>
    <phoneticPr fontId="26"/>
  </si>
  <si>
    <r>
      <rPr>
        <sz val="9"/>
        <rFont val="ＭＳ Ｐゴシック"/>
        <family val="3"/>
        <charset val="128"/>
      </rPr>
      <t>レベル３を満たしている。かつ、部分的に自動調光ができる。</t>
    </r>
    <phoneticPr fontId="26"/>
  </si>
  <si>
    <r>
      <rPr>
        <sz val="9"/>
        <rFont val="ＭＳ Ｐゴシック"/>
        <family val="3"/>
        <charset val="128"/>
      </rPr>
      <t>ベッド単位の細かな照明制御ができる。</t>
    </r>
  </si>
  <si>
    <r>
      <rPr>
        <sz val="9"/>
        <rFont val="ＭＳ Ｐゴシック"/>
        <family val="3"/>
        <charset val="128"/>
      </rPr>
      <t>室内の複数部分に対して細かい照明制御ができる、または、自動照明制御ができる。</t>
    </r>
    <rPh sb="27" eb="29">
      <t>ジドウ</t>
    </rPh>
    <rPh sb="29" eb="31">
      <t>ショウメイ</t>
    </rPh>
    <rPh sb="31" eb="33">
      <t>セイギョ</t>
    </rPh>
    <phoneticPr fontId="26"/>
  </si>
  <si>
    <r>
      <rPr>
        <sz val="11"/>
        <rFont val="ＭＳ Ｐゴシック"/>
        <family val="3"/>
        <charset val="128"/>
      </rPr>
      <t>既存のみ評価</t>
    </r>
    <rPh sb="0" eb="2">
      <t>キソン</t>
    </rPh>
    <rPh sb="4" eb="6">
      <t>ヒョウカ</t>
    </rPh>
    <phoneticPr fontId="26"/>
  </si>
  <si>
    <r>
      <rPr>
        <sz val="9"/>
        <rFont val="ＭＳ Ｐゴシック"/>
        <family val="3"/>
        <charset val="128"/>
      </rPr>
      <t>レベル２を満たさない。</t>
    </r>
    <phoneticPr fontId="26"/>
  </si>
  <si>
    <r>
      <rPr>
        <sz val="9"/>
        <rFont val="ＭＳ Ｐゴシック"/>
        <family val="3"/>
        <charset val="128"/>
      </rPr>
      <t>吹き付けアスベスト等を使用しているが、封じ込め又は囲い込みが行われている。</t>
    </r>
    <phoneticPr fontId="26"/>
  </si>
  <si>
    <r>
      <rPr>
        <sz val="9"/>
        <rFont val="ＭＳ Ｐゴシック"/>
        <family val="3"/>
        <charset val="128"/>
      </rPr>
      <t>吹き付けアスベスト等を一切使用していない。</t>
    </r>
    <phoneticPr fontId="26"/>
  </si>
  <si>
    <r>
      <rPr>
        <sz val="9"/>
        <rFont val="ＭＳ Ｐゴシック"/>
        <family val="3"/>
        <charset val="128"/>
      </rPr>
      <t>内装は、床・壁の</t>
    </r>
    <r>
      <rPr>
        <sz val="9"/>
        <rFont val="Arial"/>
        <family val="2"/>
      </rPr>
      <t>50</t>
    </r>
    <r>
      <rPr>
        <sz val="9"/>
        <rFont val="ＭＳ Ｐゴシック"/>
        <family val="3"/>
        <charset val="128"/>
      </rPr>
      <t>％以上～</t>
    </r>
    <r>
      <rPr>
        <sz val="9"/>
        <rFont val="Arial"/>
        <family val="2"/>
      </rPr>
      <t>65</t>
    </r>
    <r>
      <rPr>
        <sz val="9"/>
        <rFont val="ＭＳ Ｐゴシック"/>
        <family val="3"/>
        <charset val="128"/>
      </rPr>
      <t>％未満の面積において、ダニ・カビの発生を抑制、あるいは清掃・メンテナンスに配慮したものとなっている。</t>
    </r>
    <rPh sb="17" eb="19">
      <t>ミマン</t>
    </rPh>
    <phoneticPr fontId="26"/>
  </si>
  <si>
    <r>
      <rPr>
        <sz val="9"/>
        <rFont val="ＭＳ Ｐゴシック"/>
        <family val="3"/>
        <charset val="128"/>
      </rPr>
      <t>［ダニ又はダニアレルゲン］≦１００匹／㎡</t>
    </r>
    <phoneticPr fontId="26"/>
  </si>
  <si>
    <r>
      <rPr>
        <sz val="9"/>
        <rFont val="ＭＳ Ｐゴシック"/>
        <family val="3"/>
        <charset val="128"/>
      </rPr>
      <t>内装は、床・壁の</t>
    </r>
    <r>
      <rPr>
        <sz val="9"/>
        <rFont val="Arial"/>
        <family val="2"/>
      </rPr>
      <t>50</t>
    </r>
    <r>
      <rPr>
        <sz val="9"/>
        <rFont val="ＭＳ Ｐゴシック"/>
        <family val="3"/>
        <charset val="128"/>
      </rPr>
      <t>％以上～</t>
    </r>
    <r>
      <rPr>
        <sz val="9"/>
        <rFont val="Arial"/>
        <family val="2"/>
      </rPr>
      <t>65</t>
    </r>
    <r>
      <rPr>
        <sz val="9"/>
        <rFont val="ＭＳ Ｐゴシック"/>
        <family val="3"/>
        <charset val="128"/>
      </rPr>
      <t>％未満の面積において、ダニ・カビの発生を抑制、あるいは清掃・メンテナンスに配慮したものとなっている。</t>
    </r>
    <phoneticPr fontId="26"/>
  </si>
  <si>
    <r>
      <rPr>
        <sz val="9"/>
        <rFont val="ＭＳ Ｐゴシック"/>
        <family val="3"/>
        <charset val="128"/>
      </rPr>
      <t>内装は、床・壁の</t>
    </r>
    <r>
      <rPr>
        <sz val="9"/>
        <rFont val="Arial"/>
        <family val="2"/>
      </rPr>
      <t>65</t>
    </r>
    <r>
      <rPr>
        <sz val="9"/>
        <rFont val="ＭＳ Ｐゴシック"/>
        <family val="3"/>
        <charset val="128"/>
      </rPr>
      <t>％以上～</t>
    </r>
    <r>
      <rPr>
        <sz val="9"/>
        <rFont val="Arial"/>
        <family val="2"/>
      </rPr>
      <t>80</t>
    </r>
    <r>
      <rPr>
        <sz val="9"/>
        <rFont val="ＭＳ Ｐゴシック"/>
        <family val="3"/>
        <charset val="128"/>
      </rPr>
      <t>％未満の面積において、ダニ・カビの発生を抑制、あるいは清掃・メンテナンスに配慮したものとなっている。</t>
    </r>
    <phoneticPr fontId="26"/>
  </si>
  <si>
    <r>
      <rPr>
        <sz val="9"/>
        <rFont val="ＭＳ Ｐゴシック"/>
        <family val="3"/>
        <charset val="128"/>
      </rPr>
      <t>内装は、床・壁の</t>
    </r>
    <r>
      <rPr>
        <sz val="9"/>
        <rFont val="Arial"/>
        <family val="2"/>
      </rPr>
      <t>80</t>
    </r>
    <r>
      <rPr>
        <sz val="9"/>
        <rFont val="ＭＳ Ｐゴシック"/>
        <family val="3"/>
        <charset val="128"/>
      </rPr>
      <t>％以上の面積において、ダニ・カビの発生を抑制、あるいは清掃・メンテナンスに配慮したものとなっている。</t>
    </r>
    <phoneticPr fontId="26"/>
  </si>
  <si>
    <r>
      <rPr>
        <sz val="9"/>
        <rFont val="ＭＳ Ｐゴシック"/>
        <family val="3"/>
        <charset val="128"/>
      </rPr>
      <t>レベル３の基準に加え、定期的に掃除を行っている、などの運用面の取組を行っている。</t>
    </r>
    <phoneticPr fontId="26"/>
  </si>
  <si>
    <r>
      <rPr>
        <sz val="9"/>
        <rFont val="ＭＳ Ｐゴシック"/>
        <family val="3"/>
        <charset val="128"/>
      </rPr>
      <t>冷却塔の水処理、飛散対策等が最低限施されており、給湯器も最低限の対策が施されている。</t>
    </r>
  </si>
  <si>
    <r>
      <rPr>
        <sz val="9"/>
        <rFont val="ＭＳ Ｐゴシック"/>
        <family val="3"/>
        <charset val="128"/>
      </rPr>
      <t>冷却塔の水処理、飛散対策等が最低限施されており、給湯器も最低限の対策が施されている。</t>
    </r>
    <phoneticPr fontId="26"/>
  </si>
  <si>
    <r>
      <rPr>
        <sz val="9"/>
        <rFont val="ＭＳ Ｐゴシック"/>
        <family val="3"/>
        <charset val="128"/>
      </rPr>
      <t>冷却塔がない。または、冷却塔の水処理、飛散対策等が十分に施されており、給湯器は最低限の対策が施されている。</t>
    </r>
  </si>
  <si>
    <r>
      <rPr>
        <sz val="9"/>
        <rFont val="ＭＳ Ｐゴシック"/>
        <family val="3"/>
        <charset val="128"/>
      </rPr>
      <t>冷却塔がない。または、冷却塔の水処理、飛散対策等が十分に施されており、給湯器は最低限の対策が施されている。</t>
    </r>
    <phoneticPr fontId="26"/>
  </si>
  <si>
    <r>
      <rPr>
        <sz val="9"/>
        <rFont val="ＭＳ Ｐゴシック"/>
        <family val="3"/>
        <charset val="128"/>
      </rPr>
      <t>確実な対策を行うために、レベル４を超える特別な配慮を行っている。かつ、それらの設備のメンテナンスが容易な計画となっている。</t>
    </r>
    <phoneticPr fontId="26"/>
  </si>
  <si>
    <r>
      <rPr>
        <sz val="9"/>
        <rFont val="ＭＳ Ｐゴシック"/>
        <family val="3"/>
        <charset val="128"/>
      </rPr>
      <t>外気が空調機でレタンと混合され各室に熱負荷から決まる風量で配分される等、各室の負荷条件によっては、必ずしも必要な場所に必要な外気量が保証されないシステムとなっている。</t>
    </r>
  </si>
  <si>
    <r>
      <rPr>
        <sz val="9"/>
        <rFont val="ＭＳ Ｐゴシック"/>
        <family val="3"/>
        <charset val="128"/>
      </rPr>
      <t>外気が空調機でレタンと混合され各室に熱負荷から決まる風量で配分される等、各室の負荷条件によっては、必ずしも必要な場所に必要な外気量が保証されないシステムとなっている。</t>
    </r>
    <phoneticPr fontId="26"/>
  </si>
  <si>
    <r>
      <rPr>
        <sz val="9"/>
        <rFont val="ＭＳ Ｐゴシック"/>
        <family val="3"/>
        <charset val="128"/>
      </rPr>
      <t>外気がレタンと混合されず、各室の必要外気量が直接各室に供給されている等、各室の負荷条件によらず、必要な場所に必要な外気量が保証されるシステムとなっている。</t>
    </r>
  </si>
  <si>
    <r>
      <rPr>
        <sz val="9"/>
        <rFont val="ＭＳ Ｐゴシック"/>
        <family val="3"/>
        <charset val="128"/>
      </rPr>
      <t>外気がレタンと混合されず、各室の必要外気量が直接各室に供給されている等、各室の負荷条件によらず、必要な場所に必要な外気量が保証されるシステムとなっている。</t>
    </r>
    <phoneticPr fontId="26"/>
  </si>
  <si>
    <t>Weighting coef.(default) =</t>
    <phoneticPr fontId="26"/>
  </si>
  <si>
    <t>Rtl,Rst</t>
    <phoneticPr fontId="26"/>
  </si>
  <si>
    <t>Off,Hal(O.D.),Fct,Hsp(Waiting Room), Htl,Apt</t>
    <phoneticPr fontId="26"/>
  </si>
  <si>
    <t>Hal(oth.)</t>
    <phoneticPr fontId="26"/>
  </si>
  <si>
    <t>Sch (ES/JS/JHS)</t>
    <phoneticPr fontId="26"/>
  </si>
  <si>
    <t>HCFC is used as the refrigerant.</t>
  </si>
  <si>
    <t>Refrigerant of ODP = 0 is used as the refrigerant.</t>
  </si>
  <si>
    <t>Exclude from assessment if no refrigerant gases are used.</t>
    <phoneticPr fontId="26"/>
  </si>
  <si>
    <t>Excluded from the assessment; buildings with no fire-extinguishing equipment, or sprinklers only, or no gas fire extinguishing facilities. Exclude foam extinguisher.</t>
    <phoneticPr fontId="26"/>
  </si>
  <si>
    <t>3.2.3 Refrigerants</t>
  </si>
  <si>
    <t>3.2.2 Foaming Agents (Insulation Materials, etc.)</t>
  </si>
  <si>
    <t>Remarks</t>
    <phoneticPr fontId="26"/>
  </si>
  <si>
    <t>3.2.1 Fire Retardant</t>
  </si>
  <si>
    <t>Not adequate for Level 3</t>
  </si>
  <si>
    <t>Insulation foaming materials with zero-ODP are used.</t>
  </si>
  <si>
    <t>Insulation foaming materials with zero-ODP and low GWP (less than 10 in 100-year value) are used.</t>
    <phoneticPr fontId="26"/>
  </si>
  <si>
    <t>Insulation foaming materials with zero-ODP and low GWP (less than 1 in 100-year value) are used; or, no insulation foaming material used.</t>
    <phoneticPr fontId="26"/>
  </si>
  <si>
    <t>Halon flame retardants with high ODP/GWP are used (incl. critical uses).</t>
  </si>
  <si>
    <t>Halogenated flame retardants are used.</t>
  </si>
  <si>
    <t>Inert gas flame retardants are used. Or, flame retardants with 0 ODP and less than 50 GWP are used.</t>
  </si>
  <si>
    <t>Sufficient level of measures for the surrounding landscape have not established. (1-2 points in total)</t>
    <phoneticPr fontId="26"/>
  </si>
  <si>
    <t>Sufficient level of measures for the surrounding landscape have been established. (3 points in total)</t>
    <phoneticPr fontId="26"/>
  </si>
  <si>
    <t>More than the sufficient level of measures for the surrounding landscape have been established. (4 points in total)</t>
    <phoneticPr fontId="26"/>
  </si>
  <si>
    <t>Not adequate for Level 2. (0 points in total)</t>
    <phoneticPr fontId="26"/>
  </si>
  <si>
    <t>Townscape &amp; Landscape</t>
    <phoneticPr fontId="26"/>
  </si>
  <si>
    <t>Efforts to be evaluated</t>
    <phoneticPr fontId="26"/>
  </si>
  <si>
    <t>Assessment Item</t>
  </si>
  <si>
    <t>Description</t>
  </si>
  <si>
    <t>1) Integration with surrounding landscape through positioning and design of the building</t>
    <phoneticPr fontId="26"/>
  </si>
  <si>
    <t>Building features are designed in harmony with surrounding landscape (i.e. height, wall positions, color and form of exterior finish, roof, eaves, openings fences, etc.).</t>
  </si>
  <si>
    <t>2) Use of green space to enhance landscape</t>
    <phoneticPr fontId="26"/>
  </si>
  <si>
    <t>Aesthetic landscape is created by the building's green space.</t>
  </si>
  <si>
    <t>3) Conservation of historic landscape</t>
    <phoneticPr fontId="26"/>
  </si>
  <si>
    <t>Historic landscape is maintained through conservation, restoration or recreation of the exterior of historic buildings and the existing natural environment the area.</t>
  </si>
  <si>
    <t>4) Use of local materials to enhance landscape</t>
    <phoneticPr fontId="26"/>
  </si>
  <si>
    <t>Locally-significant materials are used in the building exterior to create aesthetic landscape.</t>
  </si>
  <si>
    <t>5) Aesthetics from main viewpoints of surrounding area</t>
    <phoneticPr fontId="26"/>
  </si>
  <si>
    <t>Aesthetic panoramic view of the building and surrounding areas is offered from nearby parks and gathering space or distant viewpoints.</t>
  </si>
  <si>
    <t>6) Other</t>
    <phoneticPr fontId="26"/>
  </si>
  <si>
    <t>Point allocation</t>
    <phoneticPr fontId="26"/>
  </si>
  <si>
    <t>[1] Evaluate level three if the building is almost entirely unseen from public spaces, or if there is no way to give consideration to urban context and scenery.
[2] Evaluate efforts based on the locally applied rules, such as urban context guidelines, etc., if any.
[3] Evaluate level five if scenery is clearly stated as a reason for winning a local scenery prize, or any similar situation indicating the building has gained a certain level of positive assessment.</t>
    <phoneticPr fontId="26"/>
  </si>
  <si>
    <t>implemented</t>
  </si>
  <si>
    <r>
      <t>2-3 Results of Major categories</t>
    </r>
    <r>
      <rPr>
        <b/>
        <sz val="9"/>
        <color rgb="FFFFFFFF"/>
        <rFont val="Arial"/>
        <family val="2"/>
      </rPr>
      <t xml:space="preserve"> (radar chart)</t>
    </r>
    <phoneticPr fontId="26"/>
  </si>
  <si>
    <r>
      <rPr>
        <sz val="8"/>
        <rFont val="ＭＳ Ｐゴシック"/>
        <family val="3"/>
        <charset val="128"/>
      </rPr>
      <t>㎡</t>
    </r>
    <r>
      <rPr>
        <sz val="8"/>
        <rFont val="Arial"/>
        <family val="2"/>
      </rPr>
      <t xml:space="preserve"> </t>
    </r>
    <r>
      <rPr>
        <sz val="8"/>
        <rFont val="ＭＳ Ｐゴシック"/>
        <family val="3"/>
        <charset val="128"/>
      </rPr>
      <t>　</t>
    </r>
    <r>
      <rPr>
        <sz val="8"/>
        <rFont val="Arial"/>
        <family val="3"/>
      </rPr>
      <t>A</t>
    </r>
    <r>
      <rPr>
        <sz val="8"/>
        <rFont val="Arial"/>
        <family val="2"/>
      </rPr>
      <t>rea subjected for energy efficiency calc</t>
    </r>
    <phoneticPr fontId="26"/>
  </si>
  <si>
    <r>
      <rPr>
        <b/>
        <sz val="9"/>
        <rFont val="ＭＳ Ｐゴシック"/>
        <family val="3"/>
        <charset val="128"/>
      </rPr>
      <t>建物全体・共用部分</t>
    </r>
    <rPh sb="0" eb="2">
      <t>タテモノ</t>
    </rPh>
    <rPh sb="2" eb="4">
      <t>ゼンタイ</t>
    </rPh>
    <rPh sb="5" eb="7">
      <t>キョウヨウ</t>
    </rPh>
    <rPh sb="7" eb="9">
      <t>ブブン</t>
    </rPh>
    <phoneticPr fontId="26"/>
  </si>
  <si>
    <r>
      <rPr>
        <b/>
        <sz val="9"/>
        <rFont val="ＭＳ Ｐゴシック"/>
        <family val="3"/>
        <charset val="128"/>
      </rPr>
      <t>住居・宿泊部分</t>
    </r>
    <rPh sb="0" eb="2">
      <t>ジュウキョ</t>
    </rPh>
    <rPh sb="3" eb="5">
      <t>シュクハク</t>
    </rPh>
    <rPh sb="5" eb="7">
      <t>ブブン</t>
    </rPh>
    <phoneticPr fontId="26"/>
  </si>
  <si>
    <r>
      <rPr>
        <sz val="9"/>
        <color indexed="10"/>
        <rFont val="ＭＳ Ｐゴシック"/>
        <family val="3"/>
        <charset val="128"/>
      </rPr>
      <t>採点シートの
採点結果</t>
    </r>
    <rPh sb="0" eb="2">
      <t>サイテン</t>
    </rPh>
    <rPh sb="7" eb="9">
      <t>サイテン</t>
    </rPh>
    <rPh sb="9" eb="11">
      <t>ケッカ</t>
    </rPh>
    <phoneticPr fontId="26"/>
  </si>
  <si>
    <r>
      <rPr>
        <sz val="9"/>
        <rFont val="ＭＳ Ｐゴシック"/>
        <family val="3"/>
        <charset val="128"/>
      </rPr>
      <t>重み
係数</t>
    </r>
    <rPh sb="0" eb="1">
      <t>オモ</t>
    </rPh>
    <phoneticPr fontId="26"/>
  </si>
  <si>
    <r>
      <rPr>
        <sz val="9"/>
        <rFont val="ＭＳ Ｐゴシック"/>
        <family val="3"/>
        <charset val="128"/>
      </rPr>
      <t>全体</t>
    </r>
  </si>
  <si>
    <r>
      <rPr>
        <sz val="11"/>
        <rFont val="ＭＳ Ｐゴシック"/>
        <family val="3"/>
        <charset val="128"/>
      </rPr>
      <t>・</t>
    </r>
    <r>
      <rPr>
        <sz val="11"/>
        <rFont val="Arial"/>
        <family val="2"/>
      </rPr>
      <t>LR2/3.2.3</t>
    </r>
    <r>
      <rPr>
        <sz val="11"/>
        <rFont val="ＭＳ Ｐゴシック"/>
        <family val="3"/>
        <charset val="128"/>
      </rPr>
      <t>　発泡材</t>
    </r>
    <phoneticPr fontId="26"/>
  </si>
  <si>
    <r>
      <rPr>
        <sz val="10"/>
        <color rgb="FF008000"/>
        <rFont val="ＭＳ Ｐゴシック"/>
        <family val="3"/>
        <charset val="128"/>
      </rPr>
      <t>空調方式</t>
    </r>
    <rPh sb="0" eb="2">
      <t>クウチョウ</t>
    </rPh>
    <rPh sb="2" eb="4">
      <t>ホウシキ</t>
    </rPh>
    <phoneticPr fontId="26"/>
  </si>
  <si>
    <r>
      <rPr>
        <sz val="10"/>
        <color rgb="FF008000"/>
        <rFont val="ＭＳ Ｐゴシック"/>
        <family val="3"/>
        <charset val="128"/>
      </rPr>
      <t>上下温度差</t>
    </r>
    <rPh sb="0" eb="2">
      <t>ジョウゲ</t>
    </rPh>
    <rPh sb="2" eb="5">
      <t>オンドサ</t>
    </rPh>
    <phoneticPr fontId="26"/>
  </si>
  <si>
    <r>
      <rPr>
        <sz val="10"/>
        <color rgb="FF008000"/>
        <rFont val="ＭＳ Ｐゴシック"/>
        <family val="3"/>
        <charset val="128"/>
      </rPr>
      <t>平均気流速度</t>
    </r>
    <rPh sb="0" eb="2">
      <t>ヘイキン</t>
    </rPh>
    <rPh sb="2" eb="4">
      <t>キリュウ</t>
    </rPh>
    <rPh sb="4" eb="6">
      <t>ソクド</t>
    </rPh>
    <phoneticPr fontId="26"/>
  </si>
  <si>
    <r>
      <rPr>
        <sz val="10"/>
        <color theme="5"/>
        <rFont val="ＭＳ Ｐゴシック"/>
        <family val="3"/>
        <charset val="128"/>
      </rPr>
      <t>（窓の配置）</t>
    </r>
    <rPh sb="1" eb="2">
      <t>マド</t>
    </rPh>
    <rPh sb="3" eb="5">
      <t>ハイチ</t>
    </rPh>
    <phoneticPr fontId="26"/>
  </si>
  <si>
    <r>
      <rPr>
        <strike/>
        <sz val="10"/>
        <rFont val="ＭＳ Ｐゴシック"/>
        <family val="3"/>
        <charset val="128"/>
      </rPr>
      <t>空調設備</t>
    </r>
  </si>
  <si>
    <r>
      <rPr>
        <strike/>
        <sz val="10"/>
        <rFont val="ＭＳ Ｐゴシック"/>
        <family val="3"/>
        <charset val="128"/>
      </rPr>
      <t>換気設備</t>
    </r>
  </si>
  <si>
    <r>
      <rPr>
        <strike/>
        <sz val="10"/>
        <rFont val="ＭＳ Ｐゴシック"/>
        <family val="3"/>
        <charset val="128"/>
      </rPr>
      <t>照明設備</t>
    </r>
  </si>
  <si>
    <r>
      <rPr>
        <strike/>
        <sz val="10"/>
        <rFont val="ＭＳ Ｐゴシック"/>
        <family val="3"/>
        <charset val="128"/>
      </rPr>
      <t>給湯設備</t>
    </r>
  </si>
  <si>
    <r>
      <rPr>
        <strike/>
        <sz val="10"/>
        <rFont val="ＭＳ Ｐゴシック"/>
        <family val="3"/>
        <charset val="128"/>
      </rPr>
      <t>昇降機設備</t>
    </r>
  </si>
  <si>
    <r>
      <rPr>
        <strike/>
        <sz val="10"/>
        <rFont val="ＭＳ Ｐゴシック"/>
        <family val="3"/>
        <charset val="128"/>
      </rPr>
      <t>エネルギー利用効率化設備</t>
    </r>
  </si>
  <si>
    <r>
      <rPr>
        <sz val="10"/>
        <color rgb="FFFF0000"/>
        <rFont val="ＭＳ Ｐゴシック"/>
        <family val="3"/>
        <charset val="128"/>
      </rPr>
      <t>部材の再利用可能性向上への取組み</t>
    </r>
    <rPh sb="9" eb="11">
      <t>コウジョウ</t>
    </rPh>
    <rPh sb="13" eb="15">
      <t>トリク</t>
    </rPh>
    <phoneticPr fontId="26"/>
  </si>
  <si>
    <r>
      <rPr>
        <sz val="10"/>
        <color rgb="FFFF0000"/>
        <rFont val="ＭＳ Ｐゴシック"/>
        <family val="3"/>
        <charset val="128"/>
      </rPr>
      <t>躯体のリサイクル・リユース</t>
    </r>
  </si>
  <si>
    <r>
      <rPr>
        <sz val="10"/>
        <color rgb="FFFF0000"/>
        <rFont val="ＭＳ Ｐゴシック"/>
        <family val="3"/>
        <charset val="128"/>
      </rPr>
      <t>屋根材のリサイクル・リユース</t>
    </r>
  </si>
  <si>
    <r>
      <rPr>
        <sz val="10"/>
        <color rgb="FFFF0000"/>
        <rFont val="ＭＳ Ｐゴシック"/>
        <family val="3"/>
        <charset val="128"/>
      </rPr>
      <t>外壁材のリサイクル・リユース</t>
    </r>
  </si>
  <si>
    <r>
      <rPr>
        <sz val="10"/>
        <color rgb="FFFF0000"/>
        <rFont val="ＭＳ Ｐゴシック"/>
        <family val="3"/>
        <charset val="128"/>
      </rPr>
      <t>内装材のリサイクル・リユース</t>
    </r>
  </si>
  <si>
    <r>
      <rPr>
        <sz val="10"/>
        <color rgb="FFFF0000"/>
        <rFont val="ＭＳ Ｐゴシック"/>
        <family val="3"/>
        <charset val="128"/>
      </rPr>
      <t>設備機器のリサイクル・リユース</t>
    </r>
  </si>
  <si>
    <r>
      <rPr>
        <sz val="10"/>
        <color rgb="FFFF0000"/>
        <rFont val="ＭＳ Ｐゴシック"/>
        <family val="3"/>
        <charset val="128"/>
      </rPr>
      <t>外構資材のリユース</t>
    </r>
  </si>
  <si>
    <r>
      <rPr>
        <sz val="10"/>
        <color rgb="FFFF0000"/>
        <rFont val="ＭＳ Ｐゴシック"/>
        <family val="3"/>
        <charset val="128"/>
      </rPr>
      <t>廃棄物発生量の最小化</t>
    </r>
    <phoneticPr fontId="26"/>
  </si>
  <si>
    <r>
      <rPr>
        <sz val="9"/>
        <rFont val="ＭＳ Ｐゴシック"/>
        <family val="3"/>
        <charset val="128"/>
      </rPr>
      <t>合計</t>
    </r>
    <rPh sb="0" eb="2">
      <t>ゴウケイ</t>
    </rPh>
    <phoneticPr fontId="26"/>
  </si>
  <si>
    <r>
      <t>VA/</t>
    </r>
    <r>
      <rPr>
        <sz val="8"/>
        <rFont val="ＭＳ Ｐゴシック"/>
        <family val="3"/>
        <charset val="128"/>
      </rPr>
      <t>㎡</t>
    </r>
    <phoneticPr fontId="26"/>
  </si>
  <si>
    <t>Necessary Renewal Interval for HVAC and Water Supply and Drainage Pipes</t>
    <phoneticPr fontId="35" type="noConversion"/>
  </si>
  <si>
    <t>Necessary Renewal Interval for Air Conditioning and Ventilation Ducts</t>
    <phoneticPr fontId="35" type="noConversion"/>
  </si>
  <si>
    <r>
      <rPr>
        <b/>
        <sz val="14"/>
        <rFont val="Wingdings"/>
        <charset val="2"/>
      </rPr>
      <t>n</t>
    </r>
    <r>
      <rPr>
        <b/>
        <sz val="14"/>
        <rFont val="Arial"/>
        <family val="2"/>
      </rPr>
      <t xml:space="preserve"> Weighting coefficients</t>
    </r>
    <phoneticPr fontId="26"/>
  </si>
  <si>
    <t>Thermal Comfort</t>
    <phoneticPr fontId="26"/>
  </si>
  <si>
    <t>Consideration of Surrounding Environment</t>
    <phoneticPr fontId="26"/>
  </si>
  <si>
    <t>2.1.3</t>
    <phoneticPr fontId="26"/>
  </si>
  <si>
    <t xml:space="preserve">[BEI] [BEIm] = </t>
    <phoneticPr fontId="26"/>
  </si>
  <si>
    <r>
      <t>[BEI</t>
    </r>
    <r>
      <rPr>
        <b/>
        <sz val="10"/>
        <rFont val="Yu Gothic"/>
        <family val="2"/>
        <charset val="128"/>
      </rPr>
      <t>＊</t>
    </r>
    <r>
      <rPr>
        <b/>
        <sz val="10"/>
        <rFont val="Arial"/>
        <family val="2"/>
      </rPr>
      <t>] [BEIm</t>
    </r>
    <r>
      <rPr>
        <b/>
        <sz val="10"/>
        <rFont val="Yu Gothic"/>
        <family val="2"/>
        <charset val="128"/>
      </rPr>
      <t>＊</t>
    </r>
    <r>
      <rPr>
        <b/>
        <sz val="10"/>
        <rFont val="Arial"/>
        <family val="2"/>
      </rPr>
      <t>] =</t>
    </r>
    <phoneticPr fontId="26"/>
  </si>
  <si>
    <t xml:space="preserve">[BEI] 
 [BEIm] </t>
    <phoneticPr fontId="35" type="noConversion"/>
  </si>
  <si>
    <r>
      <t>[BEI</t>
    </r>
    <r>
      <rPr>
        <sz val="7"/>
        <rFont val="ＭＳ ゴシック"/>
        <family val="3"/>
        <charset val="128"/>
      </rPr>
      <t>＊</t>
    </r>
    <r>
      <rPr>
        <sz val="7"/>
        <rFont val="Arial"/>
        <family val="2"/>
      </rPr>
      <t>] 
[BEIm*]</t>
    </r>
    <phoneticPr fontId="35" type="noConversion"/>
  </si>
  <si>
    <t>[BEI+]</t>
    <phoneticPr fontId="35" type="noConversion"/>
  </si>
  <si>
    <t>BEI/BEIm;</t>
    <phoneticPr fontId="26"/>
  </si>
  <si>
    <t>BPI/BPIm;</t>
    <phoneticPr fontId="26"/>
  </si>
  <si>
    <t>Natural refrigerants and new chilling systems (ODP = 0) with GWP less than 50 are used.</t>
    <phoneticPr fontId="26"/>
  </si>
  <si>
    <t>Blast furnace cement (structural use)</t>
    <phoneticPr fontId="26"/>
  </si>
  <si>
    <t>Construction area</t>
    <phoneticPr fontId="26"/>
  </si>
  <si>
    <t>Q3 Outdoor 
Environment 
on Site</t>
    <phoneticPr fontId="26"/>
  </si>
  <si>
    <t>Natural Energy Utilization (Direct Use)</t>
    <phoneticPr fontId="26"/>
  </si>
  <si>
    <t>Natural Energy Utilization (Direct Use)</t>
    <phoneticPr fontId="35" type="noConversion"/>
  </si>
  <si>
    <t>Reducing Use of Non-renewable Resources</t>
    <phoneticPr fontId="35" type="noConversion"/>
  </si>
  <si>
    <t>Reducing Use of Non-renewable Resources</t>
    <phoneticPr fontId="26"/>
  </si>
  <si>
    <t>Earthquake Resistance, Seismic Isolation, Seismic Control, &amp; Vibration Control</t>
    <phoneticPr fontId="26"/>
  </si>
  <si>
    <t xml:space="preserve"> Appropriate Renewal</t>
    <phoneticPr fontId="26"/>
  </si>
  <si>
    <t>Reducing Use of Materials</t>
    <phoneticPr fontId="26"/>
  </si>
  <si>
    <t>Reducing Use of Materials</t>
    <phoneticPr fontId="35" type="noConversion"/>
  </si>
  <si>
    <t>Continuing Use of Existing Structural Frame, etc.</t>
  </si>
  <si>
    <t>Continuing Use of Existing Structural Frame, etc.</t>
    <phoneticPr fontId="26"/>
  </si>
  <si>
    <t>Use of Recycled Materials as Structural Materials</t>
  </si>
  <si>
    <t>Use of Recycled Materials as Structural Materials</t>
    <phoneticPr fontId="26"/>
  </si>
  <si>
    <t>Reusability of Components and Materials</t>
    <phoneticPr fontId="26"/>
  </si>
  <si>
    <t>Avoidance of CFCs and Halons</t>
    <phoneticPr fontId="26"/>
  </si>
  <si>
    <t>Foaming Agents (Insulation Materials, etc.)</t>
    <phoneticPr fontId="26"/>
  </si>
  <si>
    <t>Foaming Agents (Insulation Materials, etc.)</t>
    <phoneticPr fontId="35" type="noConversion"/>
  </si>
  <si>
    <t>Avoidance of CFCs and Halons</t>
    <phoneticPr fontId="35" type="noConversion"/>
  </si>
  <si>
    <t>Wind/Sand Damage &amp; Sunlight Obstruction</t>
    <phoneticPr fontId="26"/>
  </si>
  <si>
    <t>Wind/Sand Damage &amp; Sunlight Obstruction</t>
    <phoneticPr fontId="35" type="noConversion"/>
  </si>
  <si>
    <t>Extensive level of measures for the surrounding landscape have been established.
 (5 or more points in total. Or the building has won local landscape-related awards.)</t>
    <phoneticPr fontId="26"/>
  </si>
  <si>
    <t>Heat</t>
    <phoneticPr fontId="26"/>
  </si>
  <si>
    <t>GHG conversion coefficient</t>
  </si>
  <si>
    <t>GHG conversion coefficients</t>
  </si>
  <si>
    <t>Heat Island Effect</t>
    <phoneticPr fontId="26"/>
  </si>
  <si>
    <t>Room Temperature</t>
    <phoneticPr fontId="26"/>
  </si>
  <si>
    <t>Room Temperature</t>
    <phoneticPr fontId="35" type="noConversion"/>
  </si>
  <si>
    <t>Reflection Control</t>
    <phoneticPr fontId="26"/>
  </si>
  <si>
    <t>Design that Considers Maintenance Management</t>
    <phoneticPr fontId="26"/>
  </si>
  <si>
    <t>Design that Considers Maintenance 
Management</t>
    <phoneticPr fontId="35" type="noConversion"/>
  </si>
  <si>
    <t>Earthquake Resistance, Seismic Isolation, Seismic Control, &amp; Vibration Control</t>
  </si>
  <si>
    <t>Seismic Isolation, Seismic &amp; Vibration Control</t>
  </si>
  <si>
    <t>Seismic Isolation, Seismic &amp; Vibration Control</t>
    <phoneticPr fontId="26"/>
  </si>
  <si>
    <t>Service Life of Structural Materials</t>
    <phoneticPr fontId="26"/>
  </si>
  <si>
    <t>Service Life of Structural Materials</t>
    <phoneticPr fontId="35" type="noConversion"/>
  </si>
  <si>
    <t>Necessary Renewal Interval for HVAC and Water Supply and Drainage Pipes</t>
    <phoneticPr fontId="26"/>
  </si>
  <si>
    <t>Flexibility in Floor Layout</t>
    <phoneticPr fontId="26"/>
  </si>
  <si>
    <t>Flexibility in Floor Layout</t>
    <phoneticPr fontId="35" type="noConversion"/>
  </si>
  <si>
    <t>System Renewability</t>
    <phoneticPr fontId="26"/>
  </si>
  <si>
    <t>System Renewability</t>
    <phoneticPr fontId="35" type="noConversion"/>
  </si>
  <si>
    <t>Restriction of Sunlight Obstruction</t>
    <phoneticPr fontId="26"/>
  </si>
  <si>
    <t>Necessary Refurbishment Interval for Exterior Finishes</t>
    <phoneticPr fontId="26"/>
  </si>
  <si>
    <t>Reduction of Waste Treatment Loads</t>
    <phoneticPr fontId="26"/>
  </si>
  <si>
    <t>Reduction of Waste Treatment Loads</t>
    <phoneticPr fontId="35" type="noConversion"/>
  </si>
  <si>
    <t>Heat Island Effect</t>
    <phoneticPr fontId="35" type="noConversion"/>
  </si>
  <si>
    <t>convenience store</t>
  </si>
  <si>
    <t>Commercial zone</t>
  </si>
  <si>
    <r>
      <t>2-1 Built Environment Efficiency</t>
    </r>
    <r>
      <rPr>
        <b/>
        <sz val="10"/>
        <color rgb="FFFFFFFF"/>
        <rFont val="Arial"/>
        <family val="2"/>
      </rPr>
      <t xml:space="preserve"> </t>
    </r>
    <r>
      <rPr>
        <b/>
        <sz val="8"/>
        <color rgb="FFFFFFFF"/>
        <rFont val="Arial"/>
        <family val="2"/>
      </rPr>
      <t>(rank &amp; chart)</t>
    </r>
  </si>
  <si>
    <t>This chart indicates rough estimate of WLC of evaluated building in LR3.1 "Consideration of Global Warming" compared with that of reference building.</t>
  </si>
  <si>
    <t>Score(Round Down)</t>
  </si>
  <si>
    <t>SDGs Rank</t>
  </si>
  <si>
    <t>SDGs Rank(Ring)</t>
  </si>
  <si>
    <t>(Blank Ring)</t>
  </si>
  <si>
    <r>
      <t>L</t>
    </r>
    <r>
      <rPr>
        <sz val="8"/>
        <color indexed="10"/>
        <rFont val="ＭＳ Ｐゴシック"/>
        <family val="3"/>
        <charset val="128"/>
      </rPr>
      <t>:</t>
    </r>
    <r>
      <rPr>
        <sz val="8"/>
        <color indexed="10"/>
        <rFont val="Arial"/>
        <family val="2"/>
      </rPr>
      <t xml:space="preserve"> Load</t>
    </r>
  </si>
  <si>
    <r>
      <t>LR</t>
    </r>
    <r>
      <rPr>
        <sz val="8"/>
        <color indexed="10"/>
        <rFont val="ＭＳ Ｐゴシック"/>
        <family val="3"/>
        <charset val="128"/>
      </rPr>
      <t>:</t>
    </r>
    <r>
      <rPr>
        <sz val="8"/>
        <color indexed="10"/>
        <rFont val="Arial"/>
        <family val="2"/>
      </rPr>
      <t xml:space="preserve"> Load Reduction</t>
    </r>
  </si>
  <si>
    <r>
      <t>SQ</t>
    </r>
    <r>
      <rPr>
        <sz val="8"/>
        <color indexed="10"/>
        <rFont val="ＭＳ Ｐゴシック"/>
        <family val="3"/>
        <charset val="128"/>
      </rPr>
      <t>:</t>
    </r>
    <r>
      <rPr>
        <sz val="8"/>
        <color indexed="10"/>
        <rFont val="Arial"/>
        <family val="2"/>
      </rPr>
      <t xml:space="preserve"> Score of Q category</t>
    </r>
  </si>
  <si>
    <r>
      <t>SLR</t>
    </r>
    <r>
      <rPr>
        <sz val="8"/>
        <color indexed="10"/>
        <rFont val="ＭＳ Ｐゴシック"/>
        <family val="3"/>
        <charset val="128"/>
      </rPr>
      <t>:</t>
    </r>
    <r>
      <rPr>
        <sz val="8"/>
        <color indexed="10"/>
        <rFont val="Arial"/>
        <family val="2"/>
      </rPr>
      <t xml:space="preserve"> Score of LR category</t>
    </r>
  </si>
  <si>
    <r>
      <t>BEE</t>
    </r>
    <r>
      <rPr>
        <sz val="8"/>
        <color indexed="10"/>
        <rFont val="ＭＳ Ｐゴシック"/>
        <family val="3"/>
        <charset val="128"/>
      </rPr>
      <t>:</t>
    </r>
    <r>
      <rPr>
        <sz val="8"/>
        <color indexed="10"/>
        <rFont val="Arial"/>
        <family val="2"/>
      </rPr>
      <t xml:space="preserve"> Building Environmental Efficiency</t>
    </r>
  </si>
  <si>
    <t xml:space="preserve"> with renewables</t>
  </si>
  <si>
    <r>
      <t>weigh</t>
    </r>
    <r>
      <rPr>
        <sz val="9"/>
        <color indexed="8"/>
        <rFont val="ＭＳ Ｐゴシック"/>
        <family val="3"/>
        <charset val="128"/>
      </rPr>
      <t>t</t>
    </r>
  </si>
  <si>
    <t>Mites, Mold etc.</t>
  </si>
  <si>
    <t>Attention to Local Character &amp; Improvement of Comfort</t>
  </si>
  <si>
    <t>No Prim. Ene. input</t>
  </si>
  <si>
    <t>No corridor input</t>
  </si>
  <si>
    <t>No Grade input</t>
  </si>
  <si>
    <t>No BPI input</t>
  </si>
  <si>
    <t>Prim. Ene. Cons. performance w/o renewables</t>
  </si>
  <si>
    <t>Prim. Ene. Cons. Perf. incl. on-site and off-site renewables</t>
  </si>
  <si>
    <t>Reasons why effect of introduction is low</t>
  </si>
  <si>
    <r>
      <rPr>
        <sz val="11"/>
        <rFont val="ＭＳ Ｐゴシック"/>
        <family val="3"/>
        <charset val="128"/>
      </rPr>
      <t>←</t>
    </r>
    <r>
      <rPr>
        <sz val="11"/>
        <rFont val="Arial"/>
        <family val="2"/>
      </rPr>
      <t>No input of floor area [</t>
    </r>
    <r>
      <rPr>
        <sz val="11"/>
        <rFont val="ＭＳ Ｐゴシック"/>
        <family val="3"/>
        <charset val="128"/>
      </rPr>
      <t>㎡</t>
    </r>
    <r>
      <rPr>
        <sz val="11"/>
        <rFont val="Arial"/>
        <family val="2"/>
      </rPr>
      <t>] to be evaluated.</t>
    </r>
  </si>
  <si>
    <t>Input of Area subject to evaluation by Building type and BEI/BEIm settings, etc.</t>
  </si>
  <si>
    <t>Result of the calculation program for apartment</t>
  </si>
  <si>
    <t>D. Primary energy consumption of other equipment, such as home appliances</t>
  </si>
  <si>
    <t>- "A" and "B" include primary energy of other equipment "D."</t>
  </si>
  <si>
    <t>For apartments, input the primary energy consumption, as this is necessary for calculating GHG emissions at operation stage. For buildings other than apartment, inputting primary energy consumption isn't needed since BEIs are used for GHG calculation at operation stage and for scoring "LR1/3. Efficiency in Building Service System."</t>
  </si>
  <si>
    <t>No BEI input</t>
  </si>
  <si>
    <r>
      <t>B. Design primary energy consumption</t>
    </r>
    <r>
      <rPr>
        <sz val="9"/>
        <rFont val="ＭＳ Ｐゴシック"/>
        <family val="3"/>
        <charset val="128"/>
      </rPr>
      <t xml:space="preserve"> </t>
    </r>
    <r>
      <rPr>
        <sz val="9"/>
        <rFont val="Arial"/>
        <family val="2"/>
      </rPr>
      <t>(subtotal including CGS effect</t>
    </r>
    <r>
      <rPr>
        <sz val="9"/>
        <rFont val="ＭＳ Ｐゴシック"/>
        <family val="3"/>
        <charset val="128"/>
      </rPr>
      <t>）</t>
    </r>
  </si>
  <si>
    <r>
      <t>G. Design primary energy consumption</t>
    </r>
    <r>
      <rPr>
        <sz val="8"/>
        <rFont val="ＭＳ Ｐゴシック"/>
        <family val="3"/>
        <charset val="128"/>
      </rPr>
      <t xml:space="preserve"> </t>
    </r>
    <r>
      <rPr>
        <sz val="8"/>
        <rFont val="Arial"/>
        <family val="2"/>
      </rPr>
      <t>(subtotal including CGS &amp; PV effect</t>
    </r>
    <r>
      <rPr>
        <sz val="8"/>
        <rFont val="ＭＳ Ｐゴシック"/>
        <family val="3"/>
        <charset val="128"/>
      </rPr>
      <t>）</t>
    </r>
  </si>
  <si>
    <t>Lifespan of evaluated building</t>
  </si>
  <si>
    <t>Adjusted emission factor</t>
  </si>
  <si>
    <t>LR1.3 Primary energy consumption intensities based on housing specification standards for GHG emissions calculation (other energy consumption by home appliances  etc. included)</t>
    <phoneticPr fontId="26"/>
  </si>
  <si>
    <t>* Renewal intervals: 25 years (1 time for the evaluation period of 30 years, 2 times for 60 years, and 3 times for 90 years), Repair rate=0%, Waste related GHG is calculated based on the calculation method in J-CAT®</t>
  </si>
  <si>
    <t>e. GHG calculation conditions</t>
  </si>
  <si>
    <t>Primary energy (consumption) intensities by building type</t>
  </si>
  <si>
    <r>
      <t>Primary energy consumption  intensities by building size [MJ/m2-yr]</t>
    </r>
    <r>
      <rPr>
        <sz val="10"/>
        <rFont val="ＭＳ Ｐゴシック"/>
        <family val="3"/>
        <charset val="128"/>
      </rPr>
      <t>　　</t>
    </r>
  </si>
  <si>
    <t>Convenience store</t>
  </si>
  <si>
    <t>Horizontal projection area ratio of medium and tall trees</t>
  </si>
  <si>
    <t>water /evaporative material covered area</t>
  </si>
  <si>
    <t>retroreflective material covered area</t>
  </si>
  <si>
    <t>horizontal projection areas of medium and tall trees</t>
  </si>
  <si>
    <t>(d) Difference between basic and adjusted emissions (obtained from the adjusted emission factor)</t>
  </si>
  <si>
    <t>GHG emission factors for energy</t>
  </si>
  <si>
    <t>emission factors</t>
  </si>
  <si>
    <t>Examples of published emission factors by electricity supplier (for calculating greenhouse gas emissions by specified emitters) - FY2022 results - (August 29, 2024)</t>
  </si>
  <si>
    <t>Emission factor</t>
    <phoneticPr fontId="26"/>
  </si>
  <si>
    <t xml:space="preserve">  GHG emission factor of electricity consumption (for Std. Calculation)</t>
  </si>
  <si>
    <t>Dwelling &amp; Accommodation</t>
    <phoneticPr fontId="35" type="noConversion"/>
  </si>
  <si>
    <t>Std. Calc</t>
  </si>
  <si>
    <t>T-2 or higher</t>
    <phoneticPr fontId="26"/>
  </si>
  <si>
    <t>Dr-45 or higher</t>
    <phoneticPr fontId="26"/>
  </si>
  <si>
    <t>Dr-50 or higher</t>
    <phoneticPr fontId="26"/>
  </si>
  <si>
    <t>Dr-55 or higher</t>
    <phoneticPr fontId="26"/>
  </si>
  <si>
    <t>Sound absorbing materials are used in one of the following areas (walls, floor or ceiling)</t>
    <phoneticPr fontId="26"/>
  </si>
  <si>
    <t>Sound absorbing materials are used in two of the following areas (walls, floor or ceiling)</t>
    <phoneticPr fontId="26"/>
  </si>
  <si>
    <t>Sound absorbing materials are used in all of the following areas (walls, floor or ceiling)</t>
    <phoneticPr fontId="26"/>
  </si>
  <si>
    <r>
      <t>Minimum equipment capacity to achieve room temperatures of 21</t>
    </r>
    <r>
      <rPr>
        <sz val="9"/>
        <rFont val="ＭＳ Ｐゴシック"/>
        <family val="3"/>
        <charset val="128"/>
      </rPr>
      <t>˚</t>
    </r>
    <r>
      <rPr>
        <sz val="9"/>
        <rFont val="Arial"/>
        <family val="2"/>
      </rPr>
      <t>C in winter and 28</t>
    </r>
    <r>
      <rPr>
        <sz val="9"/>
        <rFont val="ＭＳ Ｐゴシック"/>
        <family val="3"/>
        <charset val="128"/>
      </rPr>
      <t>˚</t>
    </r>
    <r>
      <rPr>
        <sz val="9"/>
        <rFont val="Arial"/>
        <family val="2"/>
      </rPr>
      <t>C in summer with some occupant discomfort</t>
    </r>
    <phoneticPr fontId="26"/>
  </si>
  <si>
    <t>Sch (Univ., etc.)</t>
    <phoneticPr fontId="26"/>
  </si>
  <si>
    <t>window solar heat gain coef(η)</t>
    <phoneticPr fontId="26"/>
  </si>
  <si>
    <t>Dwelling area:</t>
    <phoneticPr fontId="26"/>
  </si>
  <si>
    <t>Sch (E.S./J.H.S./ H.S)</t>
    <phoneticPr fontId="26"/>
  </si>
  <si>
    <r>
      <t>Minimum equipment capacity to achieve room temperatures of 20</t>
    </r>
    <r>
      <rPr>
        <sz val="9"/>
        <rFont val="ＭＳ Ｐゴシック"/>
        <family val="3"/>
        <charset val="128"/>
      </rPr>
      <t>˚</t>
    </r>
    <r>
      <rPr>
        <sz val="9"/>
        <rFont val="Arial"/>
        <family val="2"/>
      </rPr>
      <t>C in winter and 28</t>
    </r>
    <r>
      <rPr>
        <sz val="9"/>
        <rFont val="ＭＳ Ｐゴシック"/>
        <family val="3"/>
        <charset val="128"/>
      </rPr>
      <t>˚</t>
    </r>
    <r>
      <rPr>
        <sz val="9"/>
        <rFont val="Arial"/>
        <family val="2"/>
      </rPr>
      <t>C in summer with some occupant discomfort</t>
    </r>
    <phoneticPr fontId="26"/>
  </si>
  <si>
    <t>Off,Hal (O.D.),Hal (Lib.)</t>
  </si>
  <si>
    <t>Rtl,Rst,Hal (oth.)</t>
  </si>
  <si>
    <t>Note; Describe introduced technics.</t>
  </si>
  <si>
    <t>The air conditioning system was chosen to mitigate the vertical temperature distribution and airflow speed in occupancy zone.</t>
    <phoneticPr fontId="26"/>
  </si>
  <si>
    <t>The air conditioning system was chosen to mitigate the vertical temperature distribution and airflow speed in occupancy zone, and to consider the partitions of the doctor's offices.</t>
    <phoneticPr fontId="26"/>
  </si>
  <si>
    <t>The air conditioning system was chosen to mitigate the vertical temperature distribution and airflow speed in the room.</t>
    <phoneticPr fontId="26"/>
  </si>
  <si>
    <t>Ceiling height at least 3.6 m in sales area.</t>
    <phoneticPr fontId="26"/>
  </si>
  <si>
    <t>Ceiling height at least 2.3 m in Dwelling and Accommodation Area.</t>
    <phoneticPr fontId="26"/>
  </si>
  <si>
    <t>Ceiling height at least 2.5 m in Dwelling and Accommodation Area.</t>
    <phoneticPr fontId="26"/>
  </si>
  <si>
    <t>Ceiling height at least 2.7 m in Dwelling and Accommodation Area.</t>
    <phoneticPr fontId="26"/>
  </si>
  <si>
    <t>Two of the efforts to be evaluated are addressed.</t>
  </si>
  <si>
    <t>Two of the efforts to be evaluated are addressed.</t>
    <phoneticPr fontId="26"/>
  </si>
  <si>
    <t>Three of the efforts to be evaluated are addressed.</t>
  </si>
  <si>
    <t>Three of the efforts to be evaluated are addressed.</t>
    <phoneticPr fontId="26"/>
  </si>
  <si>
    <t>Four of the efforts to be evaluated are addressed.</t>
  </si>
  <si>
    <t>Four of the efforts to be evaluated are addressed.</t>
    <phoneticPr fontId="26"/>
  </si>
  <si>
    <t>The concept of the building as a whole is well defined, and specific efforts to reflect the concept are made at the décor planning stage. (For example, shifting to natural and ecological materials in a building with an ecological theme).</t>
    <phoneticPr fontId="26"/>
  </si>
  <si>
    <t>The functions required of the building have been clarified, and specific measures to encourage those functions are indicated at the décor planning stage. (For example, in Hotels and similar facilities, the interior is perceived as living space, and natural materials such as wood and stone are introduced in deliberate efforts to produce a living room-like atmosphere).</t>
    <phoneticPr fontId="26"/>
  </si>
  <si>
    <t>Specific measures were taken during décor planning to integrate the lighting design (e.g. effective use of indirect lighting specific to activity type, décor planning in consideration of color temperatures of a light source, etc.).</t>
    <phoneticPr fontId="26"/>
  </si>
  <si>
    <t>Mockups and interior perspectives are used to verify the décor planning in advance.</t>
    <phoneticPr fontId="26"/>
  </si>
  <si>
    <t>1.2.3 Décor Planning</t>
    <phoneticPr fontId="26"/>
  </si>
  <si>
    <t>Category</t>
    <phoneticPr fontId="26"/>
  </si>
  <si>
    <t>I. Interior finishes</t>
    <phoneticPr fontId="26"/>
  </si>
  <si>
    <t>II. Décor design</t>
    <phoneticPr fontId="26"/>
  </si>
  <si>
    <t>III. Exterior finishes</t>
    <phoneticPr fontId="26"/>
  </si>
  <si>
    <t>IV. Facade design</t>
    <phoneticPr fontId="26"/>
  </si>
  <si>
    <t>V. Décor &amp; exterior space design</t>
    <phoneticPr fontId="26"/>
  </si>
  <si>
    <t>VI. Other</t>
    <phoneticPr fontId="26"/>
  </si>
  <si>
    <t>Building plan includes insufficient level of consideration of maintenance. (Not adequate for level 3.)</t>
  </si>
  <si>
    <t>Building plan includes standard level of consideration of maintenance. (3-5 of the efforts to be evaluated are addressed.)</t>
  </si>
  <si>
    <t>Building plan includes higher-than-standard level of consideration of maintenance. (6-8 of the efforts to be evaluated are addressed.)</t>
  </si>
  <si>
    <t>Building plan includes excellent level of consideration of maintenance. (More than 9 of the efforts to be evaluated are addressed.)</t>
  </si>
  <si>
    <t>1) Interior walls use finish methods, materials, paints or coatings that are highly dirt resistant.</t>
  </si>
  <si>
    <t>2) Floors use finish methods, materials, paints or coatings that are highly dirt resistant.</t>
  </si>
  <si>
    <t>3) The design and structure of floors enables washing with water.</t>
  </si>
  <si>
    <t>4) Design of interior walls and floors avoids creating dust traps and places to leave objects.</t>
  </si>
  <si>
    <t>5) The first and second doors of windbreak lobbies are distanced so that they are not open at the same time, or are otherwise designed to prevent the entry of dust, etc.</t>
  </si>
  <si>
    <t>6) Floor materials with very different maintenance methods are not placed close together.</t>
  </si>
  <si>
    <t>7) Exterior walls and glass are designed with highly dirt resistant construction materials, or with finishes such as weather-resistant paint and hydrophilic properties.</t>
  </si>
  <si>
    <t>8) Exterior walls are designed to maintain clean surface conditions by preventing water pooling and wet-dry effects from rain water by using rain flashing.</t>
  </si>
  <si>
    <t>9) Measures have been applied to prevent damage from the droppings of birds (pigeons, crows, starlings, etc.).</t>
  </si>
  <si>
    <t>10) Metal parts exposed on the exterior are plated or otherwise treated against corrosion.</t>
  </si>
  <si>
    <t>11) Movement routes, including outdoor spaces and management areas, are designed to eliminate steps as far as possible (steps not exceeding around 5 mm).</t>
  </si>
  <si>
    <t>12) Wall-mounted urinal and urinal are adopted.</t>
  </si>
  <si>
    <t>13) Efforts have been made in areas other than the above, with consideration for maintenance.</t>
  </si>
  <si>
    <t>Insufficient level of measures has been taken to ensure functionality of maintenance system. (0-8 of the efforts to be evaluated are addressed.)</t>
  </si>
  <si>
    <t>Standard level of measures has been taken to ensure functionality of maintenance system. (4-6 of the efforts to be evaluated are addressed.)</t>
  </si>
  <si>
    <t>Higher than standard level of measures has been taken to ensure functionality of maintenance system. (7-9 of the efforts to be evaluated are addressed.)</t>
  </si>
  <si>
    <t>Extensive level of measures has been taken to ensure functionality of maintenance system. (More than 10 of the efforts to be evaluated are addressed.)</t>
  </si>
  <si>
    <t>I. Specified buildings in the Law for Maintenance of Sanitation in Buildings</t>
    <phoneticPr fontId="26"/>
  </si>
  <si>
    <t>II. Non-specified buildings in the Law for Maintenance of Sanitation in Buildings</t>
    <phoneticPr fontId="26"/>
  </si>
  <si>
    <t>[1] Adequate space has been used for cleaning staff rooms, relative to the floor area.</t>
  </si>
  <si>
    <t>[2] Adequate space has been used for cleaning equipment rooms, relative to the floor area.</t>
  </si>
  <si>
    <t>[3] The cleaning equipment rooms have washing areas with drainage channels to safe drainage facilities.</t>
  </si>
  <si>
    <t>[4] Space is planned for washing and drying mops and rags, for the sake of hygiene.</t>
  </si>
  <si>
    <t>[5] Adequate space has been provided for sorting waste, materials for recycling, and bulky garbage items, relative to the floor area, and an easy way to move those materials outside has been planned.</t>
  </si>
  <si>
    <t>[6] Cleaning sinks are installed for each toilet, or for each floor.</t>
  </si>
  <si>
    <t>[7] Cleaning equipment for each type of floor material has been anticipated, and the layout of electrical receptacles (numbers and spacings) for use in cleaning work has been planned accordingly.</t>
  </si>
  <si>
    <t>[8] Design ensures that maintenance work can be performed safely on exterior glass and walls, air supply and vent holes, light fixtures and other fixtures in high places.</t>
  </si>
  <si>
    <t>[9] Suitable levels of lighting for cleaning purposes can be set.</t>
  </si>
  <si>
    <t>[10] Valves and other devices requiring day-to-day adjustment are installed in positions which allow convenient operation.</t>
  </si>
  <si>
    <t>[11] Inspection access holes for equipment concealed in ceiling voids are of the necessary sizes for inspection.</t>
  </si>
  <si>
    <t>[12] Equipment that is not in private areas can be accessed from common areas for maintenance.</t>
  </si>
  <si>
    <t>[13] Other than the above, points related to securing maintenance functions have been identified and implemented.</t>
  </si>
  <si>
    <t>[1] Storage space for cleaning materials is included in the design.</t>
  </si>
  <si>
    <t>[3] Areas cleaned with water (e.g. washrooms, garbage storage, kitchens) are designed with a 2% gradient.</t>
  </si>
  <si>
    <t>[4] Adequate space for waste material storage and removal is included in the design.</t>
  </si>
  <si>
    <t>[5] Dedicated sinks or water taps are installed.</t>
  </si>
  <si>
    <t>[6] Power outlets for outside/hallway cleaning are included in the design.</t>
  </si>
  <si>
    <t>[7] Safety of maintenance activities in high places (e.g. exterior glass, vents, lighting fixtures) is addressed in the design.</t>
  </si>
  <si>
    <t>[9] Devices requiring day-to-day adjustment (e.g. valves) are installed in positions which allow convenient operation.</t>
  </si>
  <si>
    <t>[10] Inspection access holes for equipment concealed in ceiling voids are of the necessary sizes for inspection.</t>
  </si>
  <si>
    <t>[11] Equipment that is not in private areas can be accessed from common areas for maintenance.</t>
  </si>
  <si>
    <t>Durability &amp; Reliability</t>
    <phoneticPr fontId="26"/>
  </si>
  <si>
    <t>2.1.1 Earthquake-resistance (Resistance to building breakage)</t>
    <phoneticPr fontId="26"/>
  </si>
  <si>
    <t>[12] Other than the above, points related to securing maintenance functions have been identified and implemented.</t>
    <phoneticPr fontId="26"/>
  </si>
  <si>
    <t>Sanitation management operations</t>
    <phoneticPr fontId="26"/>
  </si>
  <si>
    <t>The building's earthquake resistance meets the requirements of the Building Standard Law.</t>
  </si>
  <si>
    <t>The building's earthquake resistance exceeds the requirements of the Building Standard Law by a 25% margin.</t>
  </si>
  <si>
    <t>The building's earthquake resistance exceeds the requirements of the Building Standard Law by a 50% margin. Alternatively, damage control design has been used.</t>
  </si>
  <si>
    <t>A seismic isolation system is used.</t>
  </si>
  <si>
    <t>No device to suppress shaking is used.</t>
  </si>
  <si>
    <t>A device to suppress shaking has been introduced, and internal equipment is partially protected in the event of an earthquake or strong wind.</t>
  </si>
  <si>
    <t>Reliability</t>
    <phoneticPr fontId="26"/>
  </si>
  <si>
    <t>2.4.1 HVAC System</t>
    <phoneticPr fontId="26"/>
  </si>
  <si>
    <t>1) Circuits are divided according to the importance of their ventilation equipment, and more important circuits are given priority in operation after a disaster. Also, ways of running the ventilation with reduced load capacity have been examined.</t>
  </si>
  <si>
    <t>2) Dispersion and duplication of heat source types (electricity, gas, etc.), with backups.</t>
  </si>
  <si>
    <t>3) Countermeasures (such as suspended pipes) have been taken to ensure that overall function can continue even when the building is partially damaged by an earthquake.</t>
  </si>
  <si>
    <t>4) Circuits are divided according to the importance of their air conditioning equipment, and more important circuits are given priority in operation after a disaster. Also, ways of running the air conditioning with reduced load capacity have been examined.</t>
  </si>
  <si>
    <t>Buildings with no centrally-controlled  HVAC system</t>
    <phoneticPr fontId="26"/>
  </si>
  <si>
    <t>Not adequate for Level 3.</t>
  </si>
  <si>
    <t>One of the efforts to be evaluated is addressed. Alternatively, there is no centralized HVAC system.</t>
  </si>
  <si>
    <t>More than three of the efforts to be evaluated are addressed.</t>
  </si>
  <si>
    <t>More than two of the efforts to be evaluated are addressed.</t>
  </si>
  <si>
    <t>One of the efforts to be evaluated is addressed.</t>
  </si>
  <si>
    <t>2.4.2 Water Supply &amp; Drainage</t>
    <phoneticPr fontId="26"/>
  </si>
  <si>
    <t>Not adequate for Level 4.</t>
  </si>
  <si>
    <t>Not adequate for Level 4.</t>
    <phoneticPr fontId="26"/>
  </si>
  <si>
    <t>Water-saving equipment is used.</t>
  </si>
  <si>
    <t>This is limited to cases where it is used on a majority of the installed equipment. Water-saving devices are those approved as Eco Mark products, or those equivalent to water-saving equipment that is the approval standard for Eco Mark products (Toilet bowls: approx. 6 L/use, urinals: approx. 4 L/use).</t>
  </si>
  <si>
    <t>Plumbing systems are separated as far as possible to reduce the portions that become unserviceable in the event of a disaster.</t>
  </si>
  <si>
    <t>The building has a pit for temporary waste water storage, in case mains sewerage is unavailable after a disaster.</t>
  </si>
  <si>
    <t>The building has two separate tanks, one for water reception and one elevated tank.</t>
  </si>
  <si>
    <t>Planning enables the use of well water, gray water, etc.</t>
  </si>
  <si>
    <t>The building is equipped with a simple filtration system allowing conversion of rain water to potable water in the event of a disaster (Not applied to Rtl and Rst).</t>
  </si>
  <si>
    <t>More than four of the efforts to be evaluated are addressed.</t>
  </si>
  <si>
    <t>2.4.3 Electrical Equipment</t>
    <phoneticPr fontId="26"/>
  </si>
  <si>
    <t>1) Emergency generator is installed.</t>
  </si>
  <si>
    <t>2) Uninterruptible power supply system is installed</t>
  </si>
  <si>
    <t>3) Redundant power receiving system for key service equipment is installed.</t>
  </si>
  <si>
    <t>5) Wiring is installed for lighting and other equipment available when connected to a power-supply car.</t>
  </si>
  <si>
    <t>6) Power supply is secured from two different substations.</t>
  </si>
  <si>
    <t>{Not applicable to buildings with a total floor space of less than 2,000 m2}
4) Measures described in Item A and B below have been established in order to avoid power outages or damage to data network caused by flooding in power supply equipment or precision machinery (in apartments, circuit breakers, distribution boards, etc.), or Item C applies.
A. Power supply equipment and precision machinery are not installed below ground level.
B. Water blocking devices (e.g. waterproof doors and panels, raised mounds, dry ditches) and drainage system (e.g. pumps, etc.) are installed to prevent flooding below ground level.
C. No danger of flooding.</t>
    <phoneticPr fontId="26"/>
  </si>
  <si>
    <t>One or two of the efforts to be evaluated are addressed.</t>
  </si>
  <si>
    <t>2.4.4 Support Method of Machines &amp; Ducts</t>
    <phoneticPr fontId="26"/>
  </si>
  <si>
    <t>Earthquake resistance class A (In addition to Class B, important functions can be secured without major repairs). Or, the design lateral seismic coefficient KH is more than 1.5 after conducting the dynamic analysis.</t>
  </si>
  <si>
    <t>Earthquake resistance class S (In addition to Class A, all functions can be secured without major repairs). Or, the design lateral seismic coefficient KH is more than 2.0 after conducting the dynamic analysis.</t>
  </si>
  <si>
    <t>Earthquake resistance class B (Human safety is assured and secondary damage prevented after a major earthquake). Or, the design lateral seismic coefficient KH is more than 1.0 after conducting the dynamic analysis.</t>
    <phoneticPr fontId="26"/>
  </si>
  <si>
    <t>2.4.5 Communications &amp; IT Equipment</t>
    <phoneticPr fontId="26"/>
  </si>
  <si>
    <t>Countermeasures Item A and B below have been taken or Item C applies, in order to avoid damage to data networks due to water percolation into precision machinery (main wiring such as MDF and optical fiber Ethernet).
A. Installation of precision machinery below ground is avoided.
B. Devices to prevent the groundwater percolation (waterproof doors, waterproof panels, embankments, dry ditches) and drainage equipment (pumps, etc.) are installed.
C. No danger of water percolation.</t>
    <phoneticPr fontId="26"/>
  </si>
  <si>
    <t>1) Communications methods are diversified, using optical fiber cable, metal cable, cellular telephone network, PHS network and others.</t>
  </si>
  <si>
    <t>2) Connections are made from two telephone exchanges to secure two communications links.</t>
  </si>
  <si>
    <t>Communicative measures prioritized in case of a disaster have been taken, or community emergency radio systems are installed.</t>
  </si>
  <si>
    <t>Disaster information is available through a cable TV or other channels in the event of a disaster.</t>
  </si>
  <si>
    <t>An uninterruptible power supply system is installed for network devices.</t>
  </si>
  <si>
    <t>3.3.1 Ease of Air Conditioning Duct Renewal</t>
    <phoneticPr fontId="26"/>
  </si>
  <si>
    <t>3.3.2 Ease of Water Supply and Drain Pipe Renewal</t>
    <phoneticPr fontId="26"/>
  </si>
  <si>
    <t>Air conditioning ducts cannot be replaced or repaired without damaging structural elements.</t>
  </si>
  <si>
    <t>In some cases the air conditioning ducts can be replaced or repaired without damaging structural elements, if spare sleeves are used, but that method cannot be applied to all ducts.</t>
  </si>
  <si>
    <t>Space and routes for future use (future replacement work) have been provided, so that nearly all air conditioning ducts can be replaced or repaired without damaging structural elements. Alternatively, there is no central air conditioning equipment.</t>
  </si>
  <si>
    <t>Exterior air conditioning ducts are used or ceiling space provided so that ducts can be replaced or repaired without damaging either structural elements or surface finishes.</t>
  </si>
  <si>
    <t>ISS, equipment floor installation or other measures allow easy replacement or repair of air conditioning ducts without damaging surface finishes.</t>
    <phoneticPr fontId="26"/>
  </si>
  <si>
    <t>Repair and replacement are not possible without damaging structural elements and finishes.</t>
  </si>
  <si>
    <t>Repairs can be made without damaging structural elements, but replacements cannot.</t>
  </si>
  <si>
    <t>Repairs can be made without damaging structural elements and finishes, but replacements cannot.</t>
  </si>
  <si>
    <t>Repairs and replacements can be made without damaging structural elements.</t>
  </si>
  <si>
    <t>Repair and replacement are possible without damaging structural elements or finishes.</t>
  </si>
  <si>
    <t>3.3.3 Ease of Electrical Wiring Renewal</t>
  </si>
  <si>
    <t>3.3.4 Ease of Communications Cable Renewal</t>
  </si>
  <si>
    <t>Wiring cannot be replaced or repaired without damaging structural elements.</t>
  </si>
  <si>
    <t>Wiring can be replaced or repaired without damaging structural elements.</t>
  </si>
  <si>
    <t>Wiring can be replaced or repaired without damaging structural elements or surface finishes.</t>
  </si>
  <si>
    <t>Communications cables cannot be replaced or repaired without damaging structural elements.</t>
  </si>
  <si>
    <t>Communications cables can be replaced or repaired without damaging structural elements.</t>
  </si>
  <si>
    <t>Communications cables can be replaced or repaired without damaging structural elements or surface finishes.</t>
  </si>
  <si>
    <t>3.3.5 Ease of Equipment Renewal</t>
  </si>
  <si>
    <t>3.3.6 Provision of Backup Space</t>
  </si>
  <si>
    <t>No machine hatches or routes to accommodate replacement of major service equipment are provided, and building functions cannot be maintained through replacement and repair.</t>
  </si>
  <si>
    <t>Machine hatches or routes to accommodate replacement of major service equipment are provided, but building functions cannot be maintained through replacement and repair.</t>
  </si>
  <si>
    <t>A temporary space to accommodate replacement of major service equipment is secured, and building functions can be maintained through replacement and repair.</t>
  </si>
  <si>
    <t>Machine hatches or routes to accommodate replacement of major service equipment are provided, and building functions can be maintained through replacement and repair.</t>
  </si>
  <si>
    <t xml:space="preserve">There is no planned provision of space for backup equipment. </t>
  </si>
  <si>
    <t>There is planned provision of space for backup equipment.</t>
  </si>
  <si>
    <t>Maintenance</t>
  </si>
  <si>
    <t>Floor area =</t>
    <phoneticPr fontId="26"/>
  </si>
  <si>
    <t>Q3 Outdoor Environment on Site</t>
    <phoneticPr fontId="26"/>
  </si>
  <si>
    <r>
      <t>I. Identification of local characteristics and</t>
    </r>
    <r>
      <rPr>
        <sz val="9"/>
        <rFont val="ＭＳ Ｐゴシック"/>
        <family val="3"/>
        <charset val="128"/>
      </rPr>
      <t>　</t>
    </r>
    <r>
      <rPr>
        <sz val="9"/>
        <rFont val="Arial"/>
        <family val="2"/>
      </rPr>
      <t>biotope plan policy</t>
    </r>
    <phoneticPr fontId="26"/>
  </si>
  <si>
    <t>1) Local characteristics of the site and surrounding areas regarding habitat are identified and an appropriate biotope plan policy has been established</t>
  </si>
  <si>
    <t>II. Conservation and restoration of biological resources</t>
    <phoneticPr fontId="26"/>
  </si>
  <si>
    <t>1) Biological resources on site are protected or restored (e.g. flora and fauna, topsoil, wetland area composition)</t>
  </si>
  <si>
    <t>2) Inapplicable under CASBEE-BD/NC</t>
  </si>
  <si>
    <t>2) Inapplicable under CASBEE-BD/NC</t>
    <phoneticPr fontId="26"/>
  </si>
  <si>
    <t>lll. Securing the amount of greenery</t>
    <phoneticPr fontId="26"/>
  </si>
  <si>
    <t xml:space="preserve">Building Planting Index </t>
    <phoneticPr fontId="26"/>
  </si>
  <si>
    <t>-10% or more but less than 20% and mid/high trees are planted.    (1 point)
-20% or more but less than 50%.                 (2 points)
-50% or more.                                 (3 points)</t>
    <phoneticPr fontId="26"/>
  </si>
  <si>
    <t>1) Landscaping of exterior is carried out on a scale that Exterior planting index is measured at;</t>
    <phoneticPr fontId="26"/>
  </si>
  <si>
    <t xml:space="preserve">Exterior 
Planting Index </t>
    <phoneticPr fontId="26"/>
  </si>
  <si>
    <t>2) Building planting is carried out on a scale that Building planting index is measured at;</t>
    <phoneticPr fontId="26"/>
  </si>
  <si>
    <t>-0.05 or higher but less than 0.2.           (1 point)
-0.2 or higher.                               (2 points)</t>
    <phoneticPr fontId="26"/>
  </si>
  <si>
    <t>V Management and use of habita</t>
    <phoneticPr fontId="26"/>
  </si>
  <si>
    <t>IV. Quality of Green
 Space</t>
    <phoneticPr fontId="26"/>
  </si>
  <si>
    <t>2) The greenery plan facilitates conservation of native/local species.</t>
  </si>
  <si>
    <t>3) The greenery plan is appropriate for site and building characteristics.</t>
  </si>
  <si>
    <t>4) The greenery plan facilitates conservation of natural areas inhabited by small animals.</t>
  </si>
  <si>
    <t>1)Appropriate measures are taken against invasive species that adversely affect the ecosystems of Japan and local communities.</t>
    <phoneticPr fontId="26"/>
  </si>
  <si>
    <t>1) Equipment necessary for the maintenance of green areas at the building operation stage have been installed, and management policies have been established.</t>
  </si>
  <si>
    <t>3) Inapplicable under CASBEE-BD/NC</t>
  </si>
  <si>
    <t>4) An environment and facilities have been provided in which building users and local people can encounter living creatures and enjoy nature.</t>
  </si>
  <si>
    <t>Note; State the award in case of Level 5. Describe specific initiatives for each effort.</t>
    <phoneticPr fontId="26"/>
  </si>
  <si>
    <t>Note; Describe specific initiatives for each effort.</t>
    <phoneticPr fontId="26"/>
  </si>
  <si>
    <t>Other initiatives (State specific initiatives in the outline of env. efforts.)</t>
    <phoneticPr fontId="26"/>
  </si>
  <si>
    <t>No efforts have been made for local characteristics and outdoor amenity. (0 points in total)</t>
  </si>
  <si>
    <t>Efforts based on local characteristics and outdoor amenity are at a standard level. (2-3 points in total)</t>
  </si>
  <si>
    <t>Efforts based on local characteristics and outdoor amenity are at a relatively high level. (4 points in total)</t>
  </si>
  <si>
    <t>I. Continuation of unique local
character, history and culture</t>
    <phoneticPr fontId="26"/>
  </si>
  <si>
    <t>1) Local contribution by provision of space</t>
    <phoneticPr fontId="26"/>
  </si>
  <si>
    <t>Structural measures such as provision of alcoves, piloti and eaves are used to provide amenity for people using urban spaces, in the form of places to shelter from rain or wait for people.</t>
    <phoneticPr fontId="26"/>
  </si>
  <si>
    <t>III. Formation of rich intermediate zones linking the building interior and exterior</t>
    <phoneticPr fontId="26"/>
  </si>
  <si>
    <r>
      <t>1</t>
    </r>
    <r>
      <rPr>
        <sz val="9"/>
        <rFont val="ＭＳ Ｐゴシック"/>
        <family val="3"/>
        <charset val="128"/>
      </rPr>
      <t>）</t>
    </r>
    <r>
      <rPr>
        <sz val="9"/>
        <rFont val="Arial"/>
        <family val="2"/>
      </rPr>
      <t xml:space="preserve"> Formation of rich intermediate zones linking the building interior and exterior</t>
    </r>
    <phoneticPr fontId="26"/>
  </si>
  <si>
    <t>Open spaces that allow the passage of wind and light, such as courtyards, terraces, balconies, sun rooms, roofed plazas, light and air voids, and atria are skillfully linked to interior spaces.</t>
    <phoneticPr fontId="26"/>
  </si>
  <si>
    <t>IV. Consideration for crime
prevention</t>
    <phoneticPr fontId="26"/>
  </si>
  <si>
    <r>
      <t>1</t>
    </r>
    <r>
      <rPr>
        <sz val="9"/>
        <rFont val="ＭＳ Ｐゴシック"/>
        <family val="3"/>
        <charset val="128"/>
      </rPr>
      <t>）</t>
    </r>
    <r>
      <rPr>
        <sz val="9"/>
        <rFont val="Arial"/>
        <family val="2"/>
      </rPr>
      <t xml:space="preserve"> Consideration for crime prevention</t>
    </r>
    <phoneticPr fontId="26"/>
  </si>
  <si>
    <t>V. Participation of building users
etc.</t>
    <phoneticPr fontId="26"/>
  </si>
  <si>
    <t>1) Conservation of historic built spaces etc.</t>
    <phoneticPr fontId="26"/>
  </si>
  <si>
    <t>Historic interior and exterior spaces building remains preserved, restored or regenerated, contributing to local culture. (Do not evaluate if measures here overlap with areas evaluated under urban context and scenery.)</t>
    <phoneticPr fontId="26"/>
  </si>
  <si>
    <t>2) Use of locally-significant materials</t>
    <phoneticPr fontId="26"/>
  </si>
  <si>
    <t>Local materials are partially used in the building's structure, interior finishes or exterior space. (Do not include measures evaluated under the local landscape section.)</t>
    <phoneticPr fontId="26"/>
  </si>
  <si>
    <t>Or, space is provided in plazas, paths and side streets to provide amenity for people using the local area, in the form of rest areas and similar spaces.</t>
    <phoneticPr fontId="26"/>
  </si>
  <si>
    <t>Part of the building is equipped to provide public facilities and functions, such as meeting rooms, community halls and exhibition spaces, community centers, and community use of schools, contributing to greater activity in the community.</t>
    <phoneticPr fontId="26"/>
  </si>
  <si>
    <t>Or, in areas where private and public spaces intersect, such as around entrances and balconies, light and air voids, flower beds, pergolas, deep balconies and similar elements have been built to form rich intermediate spaces which give a lived-in atmosphere.</t>
    <phoneticPr fontId="26"/>
  </si>
  <si>
    <t>Crime prevention performance is considered, so that in spaces outside the building, such as plazas, trees are placed to avoid blocking lines of sight, nocturnal lighting and security cameras are installed, windows are placed where they will be useful for crime prevention, and other measures are used.</t>
    <phoneticPr fontId="26"/>
  </si>
  <si>
    <t>Or, if there are no plazas or pedestrian walkways, consideration is given to crime prevention in the form of avoiding the creation of blind spots, such as blind alleys and paths out of lines of sight, placing windows where they will be useful for crime prevention, and other measures.</t>
    <phoneticPr fontId="26"/>
  </si>
  <si>
    <t>Or, if there are boundary barriers around the site, crime and disaster prevention are considered, in the form of fences or low hedges which afford clear lines of sight, rather than continuous walls or similar barriers which block lines of sight.</t>
    <phoneticPr fontId="26"/>
  </si>
  <si>
    <t>User satisfaction assessments (POE) are used to involve building users in the design process for cooperative housing etc.
Or, residents and occupants work directly on plant management and cleaning activities and formulate operation plans, and are otherwise participating in the maintenance of the building.</t>
    <phoneticPr fontId="26"/>
  </si>
  <si>
    <t>VI. Appropriate maintenance and management of outdoor facilities, etc.</t>
    <phoneticPr fontId="26"/>
  </si>
  <si>
    <t>1) Inapplicable under CASBEE-BD/NC</t>
    <phoneticPr fontId="26"/>
  </si>
  <si>
    <t>II. Local contribution by provision of spaces, facilities and functions</t>
    <phoneticPr fontId="26"/>
  </si>
  <si>
    <t>0 points in total from the table of the efforts to be evaluated.</t>
  </si>
  <si>
    <t>1-5 points in total from the table of the efforts to be evaluated.</t>
  </si>
  <si>
    <t>6-11 points in total from the table of the efforts to be evaluated.</t>
  </si>
  <si>
    <t>18 points or more in total from the table of the efforts to be evaluated.</t>
  </si>
  <si>
    <t>1) The planned form and layout of buildings guides wind onto the plot.</t>
    <phoneticPr fontId="26"/>
  </si>
  <si>
    <t>2) Secure paths for air movement by providing green spaces of lawn, meadow and bushes etc., and suitable spaces and paths within the plot.</t>
    <phoneticPr fontId="26"/>
  </si>
  <si>
    <t>Open space ratio is
40% or more, less than 60% (1 point)
60% or more, less than 80% (2 points)
80% or more (3 points)</t>
    <phoneticPr fontId="26"/>
  </si>
  <si>
    <t>1)Surface and near-surface temperatures are controlled by establishing green and water spaces.</t>
    <phoneticPr fontId="26"/>
  </si>
  <si>
    <t>1) Shaded areas are created with the use of medium/tall trees, piloti, eaves, pergolas, or other similar measures.</t>
    <phoneticPr fontId="26"/>
  </si>
  <si>
    <t>Rate of horizontal projection area of medium and tall trees, piloti, etc. is
10% or more, less than 20% (1 point)
20% or more, less than 30% (2 points)
30% or more (3 points)</t>
    <phoneticPr fontId="26"/>
  </si>
  <si>
    <t>I . Guide wind into pedestrian areas, etc. on the site to relieve the thermal environment</t>
    <phoneticPr fontId="26"/>
  </si>
  <si>
    <t>II. Shaded spaces are created during the summer to alleviate thermal impact on pedestrian areas on the site</t>
    <phoneticPr fontId="26"/>
  </si>
  <si>
    <t>III. Shaded spaces are created during the summer to alleviate thermal impact on pedestrian areas on the site</t>
    <phoneticPr fontId="26"/>
  </si>
  <si>
    <t>IV. Exterior finishes of the building promote alleviation of thermal impact on pedestrian areas on the site</t>
    <phoneticPr fontId="26"/>
  </si>
  <si>
    <t>V. Heat vents for 
service equipment are appropriately located to alleviate thermal impact on pedestrian areas on the site</t>
    <phoneticPr fontId="26"/>
  </si>
  <si>
    <t>2)Endeavor to reduce the area of paving on the plot.</t>
  </si>
  <si>
    <t>Percentage of paved area is
20% or more, less than 30% (1 point)
10% or more, less than 20% (2 points)
Less than 10% (3 points)</t>
    <phoneticPr fontId="26"/>
  </si>
  <si>
    <t>1) The green space plan includes accessible rooftop areas (including artificial base).</t>
    <phoneticPr fontId="26"/>
  </si>
  <si>
    <t>The building has an accessible rooftop area that is partially covered with plants.   (2 points)
The building has an accessible rooftop area that is extensively covered with plants. (3 points)</t>
    <phoneticPr fontId="26"/>
  </si>
  <si>
    <t>2) Appropriate exterior wall materials for thermal control are used.</t>
  </si>
  <si>
    <t>1)Heat vents for main service equipment (e.g. air conditioning system) are installed in high locations.</t>
    <phoneticPr fontId="26"/>
  </si>
  <si>
    <t>At least half of cooling towers or outdoor units generating waste heat are installed 10 meters or higher above ground level.                (1 point)
Most cooling towers or outdoor units generating waste heat are installed 10 meters or higher above ground level OR no units are installed.     (2 points)</t>
    <phoneticPr fontId="26"/>
  </si>
  <si>
    <t>2)High-temperature heat vents for main service equipment (e.g. combustion equipment) are installed in high locations.</t>
    <phoneticPr fontId="26"/>
  </si>
  <si>
    <t>At least half of high-temperature heat venting units are installed 10 meters or higher above ground level.  (1 point)
Most high-temperature heat venting units are installed 10 meters or higher above ground level OR no units are installed.  (2 points)</t>
    <phoneticPr fontId="26"/>
  </si>
  <si>
    <t>Entire Bldg.</t>
    <phoneticPr fontId="26"/>
  </si>
  <si>
    <t>Zones 1-7</t>
    <phoneticPr fontId="26"/>
  </si>
  <si>
    <t>Zone 8</t>
    <phoneticPr fontId="26"/>
  </si>
  <si>
    <t>LR1 Energy</t>
    <phoneticPr fontId="26"/>
  </si>
  <si>
    <t>Requirements for Grade 6 or above in 5-1 Thermal Insulation Performance Grade of the Japan Housing Performance Indication Standard are satisfied.</t>
    <phoneticPr fontId="26"/>
  </si>
  <si>
    <t xml:space="preserve">No measures of the assessment criteria are implemented. </t>
  </si>
  <si>
    <t>Although some methods are used, their effectiveness, however, has not been examined. (Monuments, etc.)</t>
  </si>
  <si>
    <t xml:space="preserve">In some of the methods used as part of the efforts subject to the assessment, their effectiveness has been confirmed. And they influence a majority of major chambers (more than 50%) of the building. </t>
  </si>
  <si>
    <t>Natural lighting and ventilation do not meet level 3.</t>
  </si>
  <si>
    <t>Nearly all (at least 80%) of dwelling units or classrooms face exterior walls on two sides, ensuring effective natural lighting and ventilation.</t>
  </si>
  <si>
    <t>In addition to level 3, building measures, such as ventilation voids, have been used to enhance efficacy. They influence a majority of dwelling units or classrooms (50% or more) of the building.</t>
  </si>
  <si>
    <t>The above building measures cover most of dwelling units or classrooms (more than 80%) of the building.</t>
  </si>
  <si>
    <t xml:space="preserve"> Planning for natural light systems that use daylight in place of lighting equipment.</t>
    <phoneticPr fontId="26"/>
  </si>
  <si>
    <t>1. Use of natural light</t>
    <phoneticPr fontId="26"/>
  </si>
  <si>
    <t>2. Use of natural ventilation</t>
    <phoneticPr fontId="26"/>
  </si>
  <si>
    <t>Planning for the use of natural ventilation and ventilation systems that are effective in replacing the use of air conditioning equipment and reducing cooling loads.</t>
    <phoneticPr fontId="26"/>
  </si>
  <si>
    <t>Openings in two or more directions</t>
    <phoneticPr fontId="26"/>
  </si>
  <si>
    <t>3. Use of geothermal energy</t>
    <phoneticPr fontId="26"/>
  </si>
  <si>
    <t>Planning for the use of geothermal heat usage systems that are effective in replacing the use of heat sources and air conditioning equipment and reducing heating and cooling loads.</t>
    <phoneticPr fontId="26"/>
  </si>
  <si>
    <t>Planning for the effective use of nature in other systems.</t>
    <phoneticPr fontId="26"/>
  </si>
  <si>
    <t>Adopted Methods (effectiveness reviewed)</t>
    <phoneticPr fontId="26"/>
  </si>
  <si>
    <t>Non-Apt</t>
    <phoneticPr fontId="26"/>
  </si>
  <si>
    <t>4. Other</t>
    <phoneticPr fontId="26"/>
  </si>
  <si>
    <t>No stars on Labeling for Energy Efficiency Performance</t>
    <phoneticPr fontId="26"/>
  </si>
  <si>
    <t>Equivalent to ZEH-M Ready</t>
    <phoneticPr fontId="26"/>
  </si>
  <si>
    <t>Monitoring</t>
    <phoneticPr fontId="26"/>
  </si>
  <si>
    <t>No efforts to be evaluated.</t>
  </si>
  <si>
    <t>No efforts to be evaluated.</t>
    <phoneticPr fontId="26"/>
  </si>
  <si>
    <t>Equipment that indicates the amount of energy consumed, environmental-load-reducing devices and the like, are employed.</t>
    <phoneticPr fontId="26"/>
  </si>
  <si>
    <t>A system for managing energy is established and efforts for reducing energy consumption are made therein.</t>
    <phoneticPr fontId="26"/>
  </si>
  <si>
    <t>*1 Annual primary energy consumption per floor area by building type based on statistical data, etc.</t>
    <phoneticPr fontId="26"/>
  </si>
  <si>
    <t>*2 Broadly, monitoring must be planned which will be able to identify the breakdown, by application, of a majority of the total energy consumption. The breakdown shall include items such as heat sources, air conditioning power, lighting and outlets, and hot water supply, which have a large breakdown ratio of annual primary energy consumption.</t>
    <phoneticPr fontId="26"/>
  </si>
  <si>
    <t>*3 Efficiency assessment must be performed on at least four of the types listed in the table (see commentary). If there are many systems, such as air conditioning, lighting and ventilation, it is permissible to estimate the whole from the assessment of representative systems. It must be possible to compare the energy-saving effects of introducing various methods, using the COP of heat source systems, system COP (of compound equipment), the WTF of pumped conveyance and the ATF of air movement. if district heating and cooling has been introduced, it is possible to evaluate according to a well-defined system COP, so evaluating efficiency is sufficient. Furthermore, data obtained by devices with control sensors can also be used in the efficiency assessment.</t>
    <phoneticPr fontId="26"/>
  </si>
  <si>
    <t>Heat source machine COP assessment</t>
  </si>
  <si>
    <t>COP assessment of heat source systems</t>
  </si>
  <si>
    <t>Air conditioner conveyance ATF</t>
  </si>
  <si>
    <t>Cooling effect by external air</t>
  </si>
  <si>
    <t>Multi-COP assessment for buildings</t>
  </si>
  <si>
    <t>Assessment of variable air volume control</t>
  </si>
  <si>
    <t>Individual control operation effect</t>
  </si>
  <si>
    <t>Assessment of solar power generation facility</t>
  </si>
  <si>
    <t>Total enthalpy heat exchange effect</t>
  </si>
  <si>
    <t>Assessment of various types of control</t>
  </si>
  <si>
    <t>Heating medium transmission WTF</t>
  </si>
  <si>
    <t>Heat storage tank</t>
  </si>
  <si>
    <t>CGS assessment</t>
  </si>
  <si>
    <t>Coordinated controls</t>
  </si>
  <si>
    <t>Heating medium conveyance WTF</t>
  </si>
  <si>
    <t>Heat source equipment</t>
  </si>
  <si>
    <t>Air conditioning equipment</t>
  </si>
  <si>
    <t>Ventilation equipment</t>
  </si>
  <si>
    <t>Lighting equipment</t>
  </si>
  <si>
    <t>Hot water supply equipment</t>
  </si>
  <si>
    <t>Elevator</t>
  </si>
  <si>
    <t>Amount of generated heat/energy consumed by the heat source (based on primary energy)</t>
  </si>
  <si>
    <t>Amount of generated heat/energy consumed by the heat source and related equipment (based on primary energy)</t>
  </si>
  <si>
    <t>Amount of heat carried/energy consumed by pump (based on secondary energy)</t>
  </si>
  <si>
    <t>Amount of heat carried/energy consumed by fan (based on secondary energy)</t>
  </si>
  <si>
    <t>Amount of heat reduced, amount of energy</t>
  </si>
  <si>
    <t>Efficiency in multi-split A/C system</t>
  </si>
  <si>
    <t>Reduced energy consumption through CO concentration control, temperature control, etc.</t>
  </si>
  <si>
    <t>Amount of energy saved by the use of daylight, occupant sensors, etc.</t>
  </si>
  <si>
    <t>Reduced energy</t>
  </si>
  <si>
    <t>Power generation efficiency/Rating efficiency/Annual efficiency</t>
  </si>
  <si>
    <t>Efficiency of heat storage tank</t>
  </si>
  <si>
    <t>Electricity generation efficiency, overall efficiency, energy saving rate</t>
  </si>
  <si>
    <t>Lighting/ventilation on/off control linked with security sensors</t>
  </si>
  <si>
    <t>A/C CO2 control effect, Ventilation CO2 control effect, Task ambient A/C effect, Task ambient lighting effect, etc.</t>
  </si>
  <si>
    <t>Table: Efficiency Assessment Examples</t>
    <phoneticPr fontId="26"/>
  </si>
  <si>
    <t>Assessment Summary</t>
    <phoneticPr fontId="26"/>
  </si>
  <si>
    <t>Operation &amp; Management System</t>
    <phoneticPr fontId="26"/>
  </si>
  <si>
    <t>No operation and management have been planned.</t>
  </si>
  <si>
    <t>Organizations, systems or management policies have been planned for operation and management.</t>
  </si>
  <si>
    <t>In addition to level 2, there must be an organized operation and management system, designated manager.</t>
  </si>
  <si>
    <t>In addition to level 3, target values for energy consumption in the whole buildings have been planned and presented to the building owner, based on calculation of annual energy consumption.</t>
  </si>
  <si>
    <t>In addition to level 4, there must be regular verification of equipment performance during building operation, with specific actions planned for repair of malfunctions etc. (commissioning system)</t>
  </si>
  <si>
    <t>User manuals for individual facilities are provided to the occupants.</t>
  </si>
  <si>
    <t>In addition to satisfying the requirements for Level 3, general instructions regarding an energy-saving way of living are given to the occupants.</t>
  </si>
  <si>
    <t>In addition to satisfying the requirements for Level 3, appropriate instructions regarding the facilities and specifications installed in the subject dwelling unit, suitable for the respective building and life style, are given to the occupants.</t>
  </si>
  <si>
    <t>Expanding adoption of non-fossil energy</t>
    <phoneticPr fontId="26"/>
  </si>
  <si>
    <t>No countermeasures</t>
  </si>
  <si>
    <t>Facilities, such as energy storage, are being introduced to expand the introduction of non-fossil energy such as the use of renewable energy (tangible) from any effort of *1</t>
  </si>
  <si>
    <t>In addition to Level 4, operational initiatives are being made to expand the introduction of non-fossil energy (intangible) from any effort of *2</t>
  </si>
  <si>
    <t>*1: Level 4; Introduction of energy storage facilities to promote the use of renewable energy (tangible)</t>
  </si>
  <si>
    <t>1) Energy storage equipment: electric batteries, etc.</t>
  </si>
  <si>
    <t>2) Heat storage equipment: heat storage [heat, heat, hot water], etc.</t>
  </si>
  <si>
    <t>3) Others: Hydrogen storage derived from renewable energy electricity, etc., which are effective in the use of renewable energy (e.g., electrification of combustion equipment in factory production facilities)</t>
  </si>
  <si>
    <t>*2: Level 5; Operational initiatives to promote the use of renewable energy (intangible).</t>
    <phoneticPr fontId="26"/>
  </si>
  <si>
    <t>- Mainly by measures for operation using energy storage equipment.</t>
    <phoneticPr fontId="26"/>
  </si>
  <si>
    <t xml:space="preserve">Select N.A. if any of the followings are not applied;
1) On-site renewable energy facilities or off-site renewable energy that is subject to evaluation in LR1-3
2) Adoption of renewable energy power menus with additionality other than 1) above.
3) Other procurement of non-fossil energy for use in energy storage facilities on the building side. </t>
    <phoneticPr fontId="26"/>
  </si>
  <si>
    <t>In addition to Level 4, more than 2 efforts from [2] are introduced.</t>
  </si>
  <si>
    <t>1) Clarify the Client Requirements (OPR) and update them as needed.</t>
  </si>
  <si>
    <t>2) Strive to form a consensus among the parties involved such as the client, designer, and constructor, and prepare a record document describing the history and results.</t>
  </si>
  <si>
    <t>3) Review whether the design and construction documents are corresponding to the OPR.</t>
  </si>
  <si>
    <t xml:space="preserve">4) Evaluate VE and CD in construction phase to determine whether they are suitable for realizing OPR. </t>
  </si>
  <si>
    <t>5) Plan to conduct functional performance tests immediately after completion.</t>
  </si>
  <si>
    <t>Efforts from [1] are introduced.</t>
    <phoneticPr fontId="26"/>
  </si>
  <si>
    <t>Equivalent to Energy Efficiency Standards</t>
  </si>
  <si>
    <t>Equivalent to Certification Standards</t>
  </si>
  <si>
    <t>Equivalent to ZEB Ready</t>
  </si>
  <si>
    <t>Equivalent to Nearly ZEB</t>
  </si>
  <si>
    <t>Applied only when the evaluation of off-site renewable energy is conducted (not applied when Model Building Method is used)</t>
  </si>
  <si>
    <t>see ( ) for small buildings &lt;300m2</t>
    <phoneticPr fontId="26"/>
  </si>
  <si>
    <t>(1.1)</t>
    <phoneticPr fontId="26"/>
  </si>
  <si>
    <t>(1.0)</t>
    <phoneticPr fontId="26"/>
  </si>
  <si>
    <t>Water Resources</t>
    <phoneticPr fontId="26"/>
  </si>
  <si>
    <t>Water Saving</t>
    <phoneticPr fontId="26"/>
  </si>
  <si>
    <t>No systems for saving water.</t>
  </si>
  <si>
    <t>Major faucets are equipped with water-saving valve.</t>
  </si>
  <si>
    <t>In addition to water-saving valve, other water-saving equipment (such as flush-mimicking sound systems, water-saving toilets) is used.</t>
  </si>
  <si>
    <t>No systems for using rain water.</t>
  </si>
  <si>
    <t>Rain water is used.</t>
  </si>
  <si>
    <t>1.2.1 Rain Water Use System</t>
  </si>
  <si>
    <t>More than two types of waste water are used</t>
  </si>
  <si>
    <t>Location</t>
    <phoneticPr fontId="26"/>
  </si>
  <si>
    <t>Public Infrastructure (off the block)</t>
    <phoneticPr fontId="26"/>
  </si>
  <si>
    <t>On-site (in the block)</t>
    <phoneticPr fontId="26"/>
  </si>
  <si>
    <t>Sewage</t>
    <phoneticPr fontId="26"/>
  </si>
  <si>
    <t>Industrial water</t>
    <phoneticPr fontId="26"/>
  </si>
  <si>
    <t>1.2.2 Waste Water Reuse System</t>
    <phoneticPr fontId="26"/>
  </si>
  <si>
    <t>Waste Water Reuse System</t>
    <phoneticPr fontId="26"/>
  </si>
  <si>
    <t>Waste Water Reuse System</t>
    <phoneticPr fontId="35" type="noConversion"/>
  </si>
  <si>
    <t>Note: Describe water-cement ratio, cover thickness, rust prevention measures (steel structure), etc.</t>
    <phoneticPr fontId="26"/>
  </si>
  <si>
    <t>Type</t>
    <phoneticPr fontId="26"/>
  </si>
  <si>
    <t>Wastewater</t>
    <phoneticPr fontId="26"/>
  </si>
  <si>
    <t>Rain water use [m3]</t>
    <phoneticPr fontId="26"/>
  </si>
  <si>
    <t>Potable water use [m3] + Rain water use [m3] + Waste water use [m3]</t>
    <phoneticPr fontId="26"/>
  </si>
  <si>
    <t>=</t>
    <phoneticPr fontId="26"/>
  </si>
  <si>
    <t>No systems for reusing waste water.</t>
  </si>
  <si>
    <t>Waste water is reused.</t>
  </si>
  <si>
    <t>Major structural elements are made of non-wood materials (RC/SRC/S), and earned 0 points in total for the table of the efforts to be evaluated.</t>
  </si>
  <si>
    <t>Major structural elements are made of non-wood materials (RC/SRC/S), and earned 1-2 points in total for the table of the efforts to be evaluated.</t>
  </si>
  <si>
    <t>Major structural elements are made of non-wood materials (RC/SRC/S), and earned 3-4 points in total for the table of the efforts to be evaluated.</t>
  </si>
  <si>
    <t>Major structural elements are made of non-wood materials (RC/SRC/S), and earned 5 points or more in total for the table of the efforts to be evaluated.</t>
  </si>
  <si>
    <t>Buildings with wood as the main structural component are excluded from this assessment.</t>
    <phoneticPr fontId="26"/>
  </si>
  <si>
    <t>Buildings with wood as the main structural component</t>
    <phoneticPr fontId="26"/>
  </si>
  <si>
    <t>2) Steel frame strength F in main structure frame [unit: N/mm2]</t>
    <phoneticPr fontId="26"/>
  </si>
  <si>
    <t>1) Concrete strength FC and main rebar strength F of main structure [unit: N/mm2]</t>
    <phoneticPr fontId="26"/>
  </si>
  <si>
    <t xml:space="preserve">3) Other measures related to major structural elements </t>
    <phoneticPr fontId="26"/>
  </si>
  <si>
    <t>More than Fc = 36, and less than F = 390 (1 point)
More than Fc = 60, and less than F = 490 (3 points)
More than Fc = 100, and less than F = 590 (4 points)</t>
    <phoneticPr fontId="26"/>
  </si>
  <si>
    <t>F = 325 or more but less than 355 (1 point)
F = 355 or more but less than 440 (3 points)
F = 440 or more (4 points)</t>
    <phoneticPr fontId="26"/>
  </si>
  <si>
    <t>The existing building frame is not reused.</t>
  </si>
  <si>
    <t>Existing building frame is reused.</t>
  </si>
  <si>
    <t>No recycled materials are used in the main parts for structural strength.</t>
  </si>
  <si>
    <t>Recycled materials are used in the main parts for structural strength.</t>
  </si>
  <si>
    <t>aggregate</t>
    <phoneticPr fontId="26"/>
  </si>
  <si>
    <t>cement</t>
    <phoneticPr fontId="26"/>
  </si>
  <si>
    <t>Recycled steel</t>
    <phoneticPr fontId="26"/>
  </si>
  <si>
    <t>Lumber</t>
    <phoneticPr fontId="26"/>
  </si>
  <si>
    <t>Not introduced</t>
    <phoneticPr fontId="26"/>
  </si>
  <si>
    <t>Specific items designated by local governments, etc.</t>
    <phoneticPr fontId="26"/>
  </si>
  <si>
    <t>Eco Mark products</t>
    <phoneticPr fontId="26"/>
  </si>
  <si>
    <t>Note; State introduced materials and its application.</t>
    <phoneticPr fontId="26"/>
  </si>
  <si>
    <t>Designated green procurement items</t>
    <phoneticPr fontId="26"/>
  </si>
  <si>
    <t>No.</t>
    <phoneticPr fontId="26"/>
  </si>
  <si>
    <t>Materials</t>
    <phoneticPr fontId="26"/>
  </si>
  <si>
    <t>Material name</t>
    <phoneticPr fontId="26"/>
  </si>
  <si>
    <t>Use of Recycled Materials as Non-structural Materials</t>
    <phoneticPr fontId="26"/>
  </si>
  <si>
    <t>Type of materials</t>
  </si>
  <si>
    <t>Type of materials</t>
    <phoneticPr fontId="26"/>
  </si>
  <si>
    <t>No recycled materials are used.</t>
  </si>
  <si>
    <t>One type of recycled material is used.</t>
  </si>
  <si>
    <t>Two types of recycled material are used.</t>
  </si>
  <si>
    <t>Three or more types of recycled material are used.</t>
  </si>
  <si>
    <t>Type of recognition</t>
    <phoneticPr fontId="26"/>
  </si>
  <si>
    <t>Timber from Sustainable Forestry</t>
    <phoneticPr fontId="26"/>
  </si>
  <si>
    <t>Timber from sustainably managed forests is not used.</t>
  </si>
  <si>
    <t>Timber from sustainably managed forests supplied less than 10% of timber usage, or no timber is used, even in the structural skeleton.</t>
  </si>
  <si>
    <t>Timber from sustainably managed forests supplies 10-50% of timber usage.</t>
  </si>
  <si>
    <t>Timber from sustainably managed forests supplies 50% or more of timber usage.</t>
  </si>
  <si>
    <t>Inapplicable (N.A.) if no timber is used.</t>
    <phoneticPr fontId="26"/>
  </si>
  <si>
    <t>0 point in total from the table of the efforts to be evaluated, which are taken as efforts to promote material recycling on demolition.</t>
  </si>
  <si>
    <t xml:space="preserve">1 point in total from the table of the efforts to be evaluated, which are taken as efforts to promote material recycling on demolition. </t>
  </si>
  <si>
    <t>2 points or more in total from the table of the efforts to be evaluated, which are taken as efforts to promote material recycling on demolition.</t>
  </si>
  <si>
    <t>1) The structure of finishing materials can be separated easily.</t>
  </si>
  <si>
    <t>2) Interior finishes and equipment are not entangled, and each can easily be removed separately for demolition, refurbishment and remodeling.</t>
  </si>
  <si>
    <t>3) Reusable unit materials are used.</t>
  </si>
  <si>
    <t>4) Structural materials or their units can easily be disassembled and reused.</t>
  </si>
  <si>
    <t>For vinyl tile floors and seating</t>
  </si>
  <si>
    <t>For tile</t>
  </si>
  <si>
    <t>For wallpaper</t>
  </si>
  <si>
    <t>For floor board</t>
  </si>
  <si>
    <t>For sash</t>
  </si>
  <si>
    <t>For glass</t>
  </si>
  <si>
    <t>For tile joint</t>
  </si>
  <si>
    <t>For wall joint</t>
  </si>
  <si>
    <t>Primer for waterproofing</t>
  </si>
  <si>
    <t>For paint (surface coating)</t>
  </si>
  <si>
    <t>Adhesives</t>
  </si>
  <si>
    <t>Sealants</t>
    <phoneticPr fontId="26"/>
  </si>
  <si>
    <t>Waterproofing materials</t>
    <phoneticPr fontId="26"/>
  </si>
  <si>
    <t>Paints</t>
    <phoneticPr fontId="26"/>
  </si>
  <si>
    <t>Anti-corrosion treatment</t>
    <phoneticPr fontId="26"/>
  </si>
  <si>
    <t>Undercoats</t>
  </si>
  <si>
    <t>Floor coverings</t>
  </si>
  <si>
    <t>Preservatives</t>
  </si>
  <si>
    <t>For fittings (wooden and metal)</t>
  </si>
  <si>
    <t>For wooden parts (frames for floor and ceiling)</t>
  </si>
  <si>
    <t>For structural materials</t>
  </si>
  <si>
    <t>For walls</t>
  </si>
  <si>
    <t>For frames</t>
  </si>
  <si>
    <t>For materials other than frames</t>
  </si>
  <si>
    <t>For materials for coated floors</t>
  </si>
  <si>
    <t>For finishing wax</t>
  </si>
  <si>
    <t>For wooden parts</t>
  </si>
  <si>
    <t xml:space="preserve">Specified substances </t>
    <phoneticPr fontId="26"/>
  </si>
  <si>
    <t>There are no building materials to be confirmed to contain no substances specified in the Pollutant Release and Transfer Register Law. Or the inspection has not been carried out.</t>
    <phoneticPr fontId="26"/>
  </si>
  <si>
    <t>There are 1-3 building materials to be confirmed to contain no substances specified in the Pollutant Release and Transfer Register Law.</t>
  </si>
  <si>
    <t>There are 4 or more building materials to be confirmed to contain no substances specified in the Pollutant Release and Transfer Register Law.</t>
    <phoneticPr fontId="26"/>
  </si>
  <si>
    <t>Types of materials to be confirmed to contain no specified substances</t>
    <phoneticPr fontId="26"/>
  </si>
  <si>
    <t>Type of wastewater</t>
    <phoneticPr fontId="26"/>
  </si>
  <si>
    <t>Consideration of Global Warming</t>
    <phoneticPr fontId="26"/>
  </si>
  <si>
    <t>Level 1: WLC emission rate is 125% or more of the reference value.</t>
    <phoneticPr fontId="26"/>
  </si>
  <si>
    <t>Level 3: WLC emission rate is 100% of the reference value.</t>
    <phoneticPr fontId="26"/>
  </si>
  <si>
    <t>Level 5: WLC emission rate is 50% or less of the reference value.</t>
    <phoneticPr fontId="26"/>
  </si>
  <si>
    <t>Between each level, it is evaluated by linear interpolation to the first decimal place.</t>
    <phoneticPr fontId="26"/>
  </si>
  <si>
    <t>Score conversion by WLC emission rate</t>
    <phoneticPr fontId="26"/>
  </si>
  <si>
    <t>Emission Rate</t>
    <phoneticPr fontId="26"/>
  </si>
  <si>
    <t>Ref. Bldg.</t>
    <phoneticPr fontId="26"/>
  </si>
  <si>
    <t>Eval. Bldg.</t>
    <phoneticPr fontId="26"/>
  </si>
  <si>
    <t>Gas and dust concentrations at sources of NOx, SOx and dust exceeds the emission standards set by the Air Pollution Control Law, the Guidelines for Small Capacity Low NOx Combustors (MOE) or local ordinances.</t>
  </si>
  <si>
    <t>Gas and dust concentrations at sources of NOx, SOx and dust are reduced to below the emission standards*1 set by the Air Pollution Control Law, the Guidelines for Small Capacity Low NOx Combustors (MOE) or local ordinances.</t>
  </si>
  <si>
    <t>Gas and dust concentrations at sources of NOx, SOx and dust are considerably reduced to below the emission standards*2 set by the Air Pollution Control Law, the Guidelines for Small Capacity Low NOx Combustors (MOE) or local ordinances.</t>
  </si>
  <si>
    <t>No incineration equipment is used, and absolutely no atmospheric pollutants leave the virtual enclosed space boundary of the building to the outside.</t>
  </si>
  <si>
    <t>6-12 points in total from the table of the efforts to be evaluated.</t>
  </si>
  <si>
    <t>13-19 points in total from the table of the efforts to be evaluated.</t>
  </si>
  <si>
    <t>20 points or more in total from the table of the efforts to be evaluated.</t>
  </si>
  <si>
    <t>I. Preliminary investigation of heat environment</t>
    <phoneticPr fontId="26"/>
  </si>
  <si>
    <t>1) Preliminary investigation of the local heat environment</t>
    <phoneticPr fontId="26"/>
  </si>
  <si>
    <r>
      <t xml:space="preserve">[1] Existing data such as data from nearby meteorological stations and regional meteorological observation data (AMEDAS data) was used to identify the wind environment, including directions, speeds and prevailing direction. </t>
    </r>
    <r>
      <rPr>
        <sz val="9"/>
        <rFont val="ＭＳ Ｐゴシック"/>
        <family val="3"/>
        <charset val="128"/>
      </rPr>
      <t>　　　　　　</t>
    </r>
    <r>
      <rPr>
        <sz val="9"/>
        <rFont val="Arial"/>
        <family val="2"/>
      </rPr>
      <t xml:space="preserve">        </t>
    </r>
    <r>
      <rPr>
        <sz val="9"/>
        <rFont val="ＭＳ Ｐゴシック"/>
        <family val="3"/>
        <charset val="128"/>
      </rPr>
      <t>　</t>
    </r>
    <r>
      <rPr>
        <sz val="9"/>
        <rFont val="Arial"/>
        <family val="2"/>
      </rPr>
      <t>(1 point)</t>
    </r>
    <phoneticPr fontId="26"/>
  </si>
  <si>
    <r>
      <t>[2] In addition to [1] above, on-site measurements were taken, or a supplementary detailed investigation was performed using a wide-area environmental forecasting system based on wide-area meteorological data and topographical data.</t>
    </r>
    <r>
      <rPr>
        <sz val="9"/>
        <rFont val="ＭＳ Ｐゴシック"/>
        <family val="3"/>
        <charset val="128"/>
      </rPr>
      <t>　</t>
    </r>
    <r>
      <rPr>
        <sz val="9"/>
        <rFont val="Arial"/>
        <family val="2"/>
      </rPr>
      <t xml:space="preserve">    (2 points)</t>
    </r>
    <phoneticPr fontId="26"/>
  </si>
  <si>
    <t>[3] Inapplicable under CASBEE-BD/NC</t>
    <phoneticPr fontId="26"/>
  </si>
  <si>
    <t>II. Thermal impact reduction in surrounding area</t>
    <phoneticPr fontId="26"/>
  </si>
  <si>
    <t>2) Thermal impact reduction in surrounding area by facilitating the flow of air toward downwind areas</t>
    <phoneticPr fontId="26"/>
  </si>
  <si>
    <t>[1] Position and shape of the building are arranged in the planning to promote the flow of air downwind.</t>
    <phoneticPr fontId="26"/>
  </si>
  <si>
    <t>The building has no practical impact on the flow of air downwind (1 point)
The building does not obstruct the flow of air downwind (2 points)</t>
    <phoneticPr fontId="26"/>
  </si>
  <si>
    <t>[2] Exposed area of the building facing the prevailing summer winds is reduced.</t>
    <phoneticPr fontId="26"/>
  </si>
  <si>
    <t>[3] Height, shape and spacing of building are arranged to recover the flow of air.</t>
    <phoneticPr fontId="26"/>
  </si>
  <si>
    <t>[1] Ground covering materials are used to reduce thermal impact.</t>
    <phoneticPr fontId="26"/>
  </si>
  <si>
    <t>3) Consider ground surface coverage to reduce thermal impact beyond the site</t>
    <phoneticPr fontId="26"/>
  </si>
  <si>
    <t>[1] Rooftop greenery system or high reflective roof material is used to reduce thermal impact.</t>
    <phoneticPr fontId="26"/>
  </si>
  <si>
    <t>[2] Appropriate exterior wall materials are used to reduce thermal impact.</t>
    <phoneticPr fontId="26"/>
  </si>
  <si>
    <t>4) Consider the building cladding materials to reduce thermal impact beyond the site</t>
    <phoneticPr fontId="26"/>
  </si>
  <si>
    <t>[1] Appropriate measures to prevent heat loss via exterior walls/windows and to improve energy efficiency for HVAC systems have been implemented.</t>
    <phoneticPr fontId="26"/>
  </si>
  <si>
    <t>[2] Air temperature increase is reduced by measures such as cooling of waste heat emitted from building service systems.</t>
    <phoneticPr fontId="26"/>
  </si>
  <si>
    <t>5) Reduce atmospheric emission of heat from building equipment</t>
    <phoneticPr fontId="26"/>
  </si>
  <si>
    <t>III. Confirmation of effects</t>
    <phoneticPr fontId="26"/>
  </si>
  <si>
    <t>6) Use simulations or other means to confirm effects in mitigating deterioration of the heat environment</t>
    <phoneticPr fontId="26"/>
  </si>
  <si>
    <t>[1] Building form and positioning, relative to wind direction, were considered at the desk plan stage (desktop prediction).                      (1 point)</t>
    <phoneticPr fontId="26"/>
  </si>
  <si>
    <t>[2] Numerical simulation of fluid flow, or other methods, was used for the current situation and the planned building, considering topography of the site area, the building and surrounding green space, to predict impact.                                 (2 points)</t>
    <phoneticPr fontId="26"/>
  </si>
  <si>
    <t>2.3.1 Reduction of Rain water Discharge Loads</t>
  </si>
  <si>
    <t>Measures to control rainwater runoff are being implemented on the scale instructed.</t>
  </si>
  <si>
    <t>Level 3 is satisfied, and measures are being implemented to control rainwater runoff, but Level 5 is not satisfied.</t>
  </si>
  <si>
    <t>No measures to control rainwater runoff have been implemented.</t>
  </si>
  <si>
    <t>Measures are being implemented to control rainwater runoff, but Level 5 is not satisfied.</t>
  </si>
  <si>
    <t>Level 3 is satisfied, and the site has secured the basic rain stock capacity necessary for 100 mm/hour rainfall indicated in the "Technology Standard for Rainwater Harvesting" of the Architectural Institute of Japan.</t>
    <phoneticPr fontId="26"/>
  </si>
  <si>
    <t>The Water Pollution Control Law, the Sewerage Law or the discharge standards set by local authorities etc., whichever is the most stringent, is satisfied.</t>
  </si>
  <si>
    <t>Discharge standards are satisfied, and further special measures have been used for better control of sewage loads.</t>
  </si>
  <si>
    <t>2.3.3 Traffic Load Control</t>
  </si>
  <si>
    <t>1 point in total from the table of the efforts to be evaluated.</t>
  </si>
  <si>
    <t>2 points in total from the table of the efforts to be evaluated.</t>
  </si>
  <si>
    <t>3 points in total from the table of the efforts to be evaluated.</t>
  </si>
  <si>
    <t>4 points or more in total from the table of the efforts to be evaluated.</t>
  </si>
  <si>
    <t>I. Efforts related to use of bicycles (use of alternative means of transport)</t>
    <phoneticPr fontId="26"/>
  </si>
  <si>
    <t>II. Efforts to provide car parking space</t>
    <phoneticPr fontId="26"/>
  </si>
  <si>
    <t>1) Provision of an appropriate number of car parking spaces (as a measure to avoid parking on roads, and congestion of nearby roads).</t>
    <phoneticPr fontId="26"/>
  </si>
  <si>
    <t>2) Provision of parking facilities for unloading goods vehicles (residential buildings are not applicable).</t>
    <phoneticPr fontId="26"/>
  </si>
  <si>
    <t>3) Consideration of the position, form and number of parking lot approach roads (entry and exit) (to contribute to relieving congestion of local roads).</t>
    <phoneticPr fontId="26"/>
  </si>
  <si>
    <t>4) Other initiatives (State specific initiatives in the outline of env. efforts.)</t>
    <phoneticPr fontId="26"/>
  </si>
  <si>
    <t>2) Other initiatives (State specific initiatives in the outline of env. efforts.)</t>
    <phoneticPr fontId="26"/>
  </si>
  <si>
    <t>2.3.4 Reduction of Waste Treatment Loads</t>
    <phoneticPr fontId="26"/>
  </si>
  <si>
    <t>0-1 point in total from the table of the efforts to be evaluated.</t>
  </si>
  <si>
    <t>4 points in total from the table of the efforts to be evaluated.</t>
  </si>
  <si>
    <t>5 points or more in total from the table of the efforts to be evaluated.</t>
  </si>
  <si>
    <t>Exposed area facing the prevailing wind direction is:
60% or more but less than 80% (1 point)
40% or more but less than 60% (2 points)
Less than 40% (3 points)</t>
  </si>
  <si>
    <t>Building spacing index Rw is:
0.3 or more but less than 0.4 (1 point)
0.4 or more but less than 0.5 (2 points)
0.5 or more (3 points)</t>
  </si>
  <si>
    <t>Percentage of ground covered with appropriate materials is:
15% or more but less than 30% (1 point)
30% or more but less than 45% (2 points)
45% or more (3 points)</t>
  </si>
  <si>
    <t>Percentage of roof covered with appropriate system/material is:
Less than 20% (1 point)
20% or more but less than 40% (2 points)
40% or more (3 points)</t>
  </si>
  <si>
    <t>Percentage of exterior walls covered with appropriate material is:
Less than 10% (1 point)
10% or more but less than 20% (2 points)
20% or more (3 points)</t>
  </si>
  <si>
    <t>Score (results) in the "LR1 Energy" assessment is: 
3.0 or more but less than 4.0 (1 point)
4.0 or more but less than 4.5 (2 points)
4.5 or more (3 points)</t>
  </si>
  <si>
    <t>Measures established to control air temperature increase are:
at standard level (1 point)
at intermediate level (2 points)
at advanced level (3 points)</t>
  </si>
  <si>
    <t>I. Estimation of types and quantities of waste</t>
    <phoneticPr fontId="26"/>
  </si>
  <si>
    <t>II. Provision of space and equipment to encourage separate collection</t>
    <phoneticPr fontId="26"/>
  </si>
  <si>
    <t>III. Installation of equipment for waste reduction, compaction or composting</t>
    <phoneticPr fontId="26"/>
  </si>
  <si>
    <t>1) The types and quantities of waste generated on the site (interior and exterior) on a day-to-day basis have been estimated to assist in planning measures to reduce the waste processing load.</t>
    <phoneticPr fontId="26"/>
  </si>
  <si>
    <t>2) Interior and exterior stock space has been planned that will allow sorted collection of many varieties of waste.</t>
    <phoneticPr fontId="26"/>
  </si>
  <si>
    <t>3) Interior and exterior waste sorting and collection containers and boxes have been planned.</t>
    <phoneticPr fontId="26"/>
  </si>
  <si>
    <t>4) Planned collection of valuable materials has been planned (group collections, etc.).</t>
    <phoneticPr fontId="26"/>
  </si>
  <si>
    <t>5) Inapplicable under CASBEE-BD/NC</t>
    <phoneticPr fontId="26"/>
  </si>
  <si>
    <t>6) Measures are planned to reduce, compact and compost organic garbage (home processing and composting etc. of organic waste).</t>
    <phoneticPr fontId="26"/>
  </si>
  <si>
    <t>7) Reduction and compaction of bottles, cans etc. are planned.</t>
    <phoneticPr fontId="26"/>
  </si>
  <si>
    <t>1) Provision of an appropriate number of cycle parking spaces (including motorcycle spaces) for building users, and consideration for the convenience of cycle park users (ease of entry and egress, placement in a convenient location, etc.).</t>
    <phoneticPr fontId="26"/>
  </si>
  <si>
    <t>3.1.1 Noise</t>
  </si>
  <si>
    <t>*1 Take the current values of the regulation standard, and evaluate facilities accordingly, even if they were installed before the current values came into effect (evaluate for day, morning, evening and night).</t>
    <phoneticPr fontId="26"/>
  </si>
  <si>
    <t>*2 Level 5 applies to noise level at or below [current standard value -10 dB] throughout the day.</t>
    <phoneticPr fontId="26"/>
  </si>
  <si>
    <t>Standard noise levels specified under the Noise Regulation Law</t>
    <phoneticPr fontId="26"/>
  </si>
  <si>
    <r>
      <t>A condition of assessment is that the standards must be satisfied for all the measurement times, namely day (8am - 7pm), morning and evening (6am - 8am, 7pm - 10pm) and night (10pm - 6am).</t>
    </r>
    <r>
      <rPr>
        <sz val="9"/>
        <rFont val="ＭＳ Ｐゴシック"/>
        <family val="3"/>
        <charset val="128"/>
      </rPr>
      <t/>
    </r>
    <phoneticPr fontId="26"/>
  </si>
  <si>
    <t>Type 1 zones</t>
  </si>
  <si>
    <t>Type 2 zones</t>
    <phoneticPr fontId="26"/>
  </si>
  <si>
    <t>Day</t>
  </si>
  <si>
    <t>Morning &amp; evening</t>
    <phoneticPr fontId="26"/>
  </si>
  <si>
    <t>Night</t>
    <phoneticPr fontId="26"/>
  </si>
  <si>
    <t>Not adequate for level 3</t>
  </si>
  <si>
    <t>Not exceeding 45 dB</t>
  </si>
  <si>
    <t>Not exceeding 40 dB</t>
  </si>
  <si>
    <t>Not exceeding 50 dB</t>
  </si>
  <si>
    <t>Not exceeding 35 dB</t>
  </si>
  <si>
    <t>Not exceeding 30 dB</t>
  </si>
  <si>
    <t>Type 3 zones</t>
    <phoneticPr fontId="26"/>
  </si>
  <si>
    <t>Type 4 zones</t>
    <phoneticPr fontId="26"/>
  </si>
  <si>
    <t>Not exceeding 60 dB</t>
  </si>
  <si>
    <t>Not exceeding 55 dB</t>
  </si>
  <si>
    <t>Not exceeding 70 dB</t>
  </si>
  <si>
    <t>3.1.2 Vibration</t>
  </si>
  <si>
    <t>Inapplicable (N.A.) if the building is not located in the designated area, or has no designated facilities within the designated area subject to the regulation.</t>
    <phoneticPr fontId="26"/>
  </si>
  <si>
    <t>*1 Take the current values of the regulation standard, and evaluate facilities accordingly, even if they were installed before the current values came into effect (evaluate for both day and night).</t>
    <phoneticPr fontId="26"/>
  </si>
  <si>
    <t>*2 For level 5, vibration should be limited to below [current standard value -5 dB] (for both day and night).</t>
    <phoneticPr fontId="26"/>
  </si>
  <si>
    <t>Select "Level 3" if the building  has no designated facilities subject to the regulation.</t>
    <phoneticPr fontId="26"/>
  </si>
  <si>
    <t>Night</t>
  </si>
  <si>
    <t>Not exceeding 65 dB</t>
  </si>
  <si>
    <t>Standard Values from the Vibration Regulation Law</t>
  </si>
  <si>
    <t>A condition of assessment is that the standards must be satisfied for all the measurement times, namely day (8am ~ 7pm) and night (7pm ~ 8am).</t>
  </si>
  <si>
    <t>3.1.3 Odor</t>
  </si>
  <si>
    <t>3.2.1 Restriction of Wind Damage</t>
  </si>
  <si>
    <t>No preliminary study or was performed about the creation of strong wind spots*1 and no countermeasures*2 were taken against wind hazard.</t>
  </si>
  <si>
    <t>A preliminary study has been performed and measures taken to avoid or reduce wind hazard, but there has been no assessment. Alternatively, wind strength grade has been evaluated on the basis of a desktop forecast*3, and wind strength has been worsened in some areas, or there are measurement points at which the wind environment rank for the sight has been lowered.</t>
  </si>
  <si>
    <t>A preliminary study has been performed and measures taken to avoid or reduce wind hazard*4. Then, the wind strength grade has been evaluated on the basis of a desktop forecast*3, and the results show that wind strength has not worsened. Alternatively, rank assessment has been performed on the basis of wind environment assessment indices*5, and the results indicate that a wind environment with suitable rank for the location has been achieved.</t>
  </si>
  <si>
    <t>A preliminary study or prevention planning has been performed and measures taken to avoid or reduce wind hazard, followed by a rank assessment*5 has been performed on the basis of wind environment assessment indices. Results indicate that the wind environment in some parts is better than usual for the location.</t>
  </si>
  <si>
    <t>A preliminary study or prevention planning has been performed and measures taken to avoid or reduce wind hazard, followed by a rank assessment*5 has been performed on the basis of wind environment assessment indices. Results indicate that the wind environment is better than usual for the location.</t>
  </si>
  <si>
    <t>Select "Level 3" if the building applies no particular measures in the absence of a mandate based on law, regulation of administrative instruction, or of demands from the local area.</t>
    <phoneticPr fontId="26"/>
  </si>
  <si>
    <t>3.2.2  Control of Sand and Dust</t>
    <phoneticPr fontId="26"/>
  </si>
  <si>
    <t>2.3.2 Sewage Load Suppression</t>
    <phoneticPr fontId="26"/>
  </si>
  <si>
    <t>I. Measures to control airborne dispersion of dust from schoolyard</t>
    <phoneticPr fontId="26"/>
  </si>
  <si>
    <t xml:space="preserve">II. Dust-proofing measures for schoolyard surface
</t>
    <phoneticPr fontId="26"/>
  </si>
  <si>
    <t>Control of Sand and Dust</t>
    <phoneticPr fontId="26"/>
  </si>
  <si>
    <t>Control of Sand and Dust</t>
    <phoneticPr fontId="35" type="noConversion"/>
  </si>
  <si>
    <t>Insufficient level of measures for schoolyard dust control is established. (1 point in total)</t>
  </si>
  <si>
    <t>Standard level of measures for schoolyard dust control is established. (2 points in total)</t>
  </si>
  <si>
    <t xml:space="preserve">More than sufficient level of measures for schoolyard dust control are established. </t>
  </si>
  <si>
    <t>(3 points in total)</t>
  </si>
  <si>
    <t>Sch(E.S./J.H.S./H.S.)</t>
  </si>
  <si>
    <t>Sch(E.S./J.H.S./H.S.)</t>
    <phoneticPr fontId="26"/>
  </si>
  <si>
    <t>1) Dust shield trees or nets surrounding the school perimeter.</t>
  </si>
  <si>
    <t>2) Structures surrounding the school perimeter.</t>
  </si>
  <si>
    <t>1) Sprinkler system</t>
  </si>
  <si>
    <t>2) Dust-proof paving</t>
  </si>
  <si>
    <t>3) Dust-proof paving/lawn covering</t>
  </si>
  <si>
    <t>Shade regulations are satisfied, or there are no shade regulations applicable to the site.</t>
  </si>
  <si>
    <t>A standard one rank* above the shade regulations is satisfied.</t>
  </si>
  <si>
    <t>(No corresponding level) the one stricter</t>
  </si>
  <si>
    <t>Note; State if there is no mandate or demands against wind damage or if voluntary initiatives are not evaluated.</t>
    <phoneticPr fontId="26"/>
  </si>
  <si>
    <t>*"One rank above" for sunlight obstruction means that, for example, in an area where the shade regulation limits shade on adjacent commercial areas to 5 hours/3 hours (at 5 m, 10 m), the next higher standard is for residential areas, set at 4/2.5 hours.</t>
    <phoneticPr fontId="26"/>
  </si>
  <si>
    <t>3.3.1 Outdoor Illumination and Light that Spills from Interiors</t>
  </si>
  <si>
    <t>1) Outdoor illumination and light that spills from interiors</t>
  </si>
  <si>
    <t>Only some of the checklist points of the "Light Pollution Countermeasure Guidelines" are satisfied. (1 point)</t>
  </si>
  <si>
    <t>A majority of the checklist points of the "Light Pollution Countermeasure Guidelines" are satisfied. (2 points)</t>
  </si>
  <si>
    <t>2) Countermeasures against light pollution from billboard lighting</t>
  </si>
  <si>
    <t>Billboard lighting satisfies some of the considerations in "Considerations for Billboard Illumination." (1 point)</t>
  </si>
  <si>
    <t>A majority of the considerations in "Considerations for Billboard Illumination" are satisfied, or there is no billboard lighting. (2 points)</t>
  </si>
  <si>
    <t>3.3.2 Measures for Reflected Solar Glare from Building Walls</t>
  </si>
  <si>
    <t>Measures for reducing reflected glare from building walls (including glass surfaces) are taken.</t>
  </si>
  <si>
    <t>In addition to efforts required for Level 4, further advanced measures such as confirming a significant reduction effect due to simulation practice are taken.</t>
  </si>
  <si>
    <t>Rain Water &amp; Waste Water Use</t>
    <phoneticPr fontId="26"/>
  </si>
  <si>
    <t>Rain Water &amp; Waste Water Use</t>
    <phoneticPr fontId="35" type="noConversion"/>
  </si>
  <si>
    <t>Outline of env. efforts</t>
    <phoneticPr fontId="26"/>
  </si>
  <si>
    <t>items</t>
  </si>
  <si>
    <t>items</t>
    <phoneticPr fontId="26"/>
  </si>
  <si>
    <t>Assessment Item</t>
    <phoneticPr fontId="26"/>
  </si>
  <si>
    <t>Description</t>
    <phoneticPr fontId="26"/>
  </si>
  <si>
    <t>points</t>
  </si>
  <si>
    <t>Total rate of green-covered areas, water-covered areas and horizontal projection areas of medium and tall trees is
10% or more, less than 20% (1 point)
20% or more, less than 30% (2 points)
30% or more (3 points)</t>
    <phoneticPr fontId="26"/>
  </si>
  <si>
    <t>明るさやSch習形態に応じた制御区画ではない。</t>
  </si>
  <si>
    <t>明るさやSch習形態に応じた制御区画であり、在室者自らが点灯・消灯によって制御できる</t>
  </si>
  <si>
    <t>A.住宅以外の建築Rtlにおける設備騒音対策の評価する取組み</t>
    <rPh sb="2" eb="4">
      <t>ジュウタク</t>
    </rPh>
    <rPh sb="4" eb="6">
      <t>イガイ</t>
    </rPh>
    <rPh sb="16" eb="18">
      <t>セツビ</t>
    </rPh>
    <rPh sb="18" eb="20">
      <t>ソウオン</t>
    </rPh>
    <rPh sb="20" eb="22">
      <t>タイサク</t>
    </rPh>
    <rPh sb="23" eb="25">
      <t>ヒョウカ</t>
    </rPh>
    <rPh sb="27" eb="28">
      <t>ト</t>
    </rPh>
    <rPh sb="28" eb="29">
      <t>ク</t>
    </rPh>
    <phoneticPr fontId="26"/>
  </si>
  <si>
    <t>2,000㎡未満の建築Rtl</t>
    <rPh sb="6" eb="8">
      <t>ミマン</t>
    </rPh>
    <phoneticPr fontId="26"/>
  </si>
  <si>
    <t>椅子の移動音、Rtlの落下音がかなりうるさい。　</t>
  </si>
  <si>
    <t>椅子の移動音、Rtlの落下音がかなり気になる。</t>
  </si>
  <si>
    <t>椅子の移動音、Rtlの落下音が小さく聞こえる。　</t>
  </si>
  <si>
    <t>椅子の移動音、Rtlの落下音が小さく聞こえる。</t>
  </si>
  <si>
    <t>椅子の移動音、Rtlの落下音がほとんど聞こえない。</t>
  </si>
  <si>
    <t>Rtl・Rst</t>
  </si>
  <si>
    <t>No consideration has been given to the conservation and creation of habitat, and efforts are inadequate. (0-3 points in total)</t>
  </si>
  <si>
    <t>Some consideration has been given to the conservation and creation of habitat, but efforts are still somewhat inadequate. (4-6 points in total)</t>
  </si>
  <si>
    <t>Consideration has been given to the conservation and creation of habitat, and a standard level of efforts are being carried out. (7-9 points in total)</t>
  </si>
  <si>
    <t>Consideration has been given to the conservation and creation of habitat, and a relatively high level of efforts are being carried out. (10-12 points in total)</t>
  </si>
  <si>
    <t>Thorough consideration has been given to the conservation and creation of habitat, and a high level of efforts have been carried out. (13 or more points in total)</t>
  </si>
  <si>
    <t>防振吊り、防振支持、フレキシブルジョイント、貫通部の防振施Fctなど</t>
  </si>
  <si>
    <t>防振吊り、防振支持、フレキシブルジョイント、貫通部の防振施Fctなど</t>
    <rPh sb="0" eb="2">
      <t>ボウシン</t>
    </rPh>
    <rPh sb="2" eb="3">
      <t>ツ</t>
    </rPh>
    <rPh sb="5" eb="7">
      <t>ボウシン</t>
    </rPh>
    <rPh sb="7" eb="9">
      <t>シジ</t>
    </rPh>
    <rPh sb="22" eb="24">
      <t>カンツウ</t>
    </rPh>
    <rPh sb="24" eb="25">
      <t>ブ</t>
    </rPh>
    <rPh sb="26" eb="28">
      <t>ボウシン</t>
    </rPh>
    <phoneticPr fontId="26"/>
  </si>
  <si>
    <t>反射板形状のFct夫、ルーバー・透光性カバーなどにより、十分にグレアを制限している器具。G1、G0、V分類の器具。</t>
  </si>
  <si>
    <t>反射板形状のFct夫、ルーバー・透光性カバーなどにより十分にグレアを制限している器具。G1、G0、V分類の器具。</t>
  </si>
  <si>
    <t>Hsp・Htl</t>
  </si>
  <si>
    <t>Hsp・Htl（2000㎡未満）</t>
  </si>
  <si>
    <t>Sch(Univ. etc.)</t>
    <phoneticPr fontId="26"/>
  </si>
  <si>
    <t>Hsp(Doctor's Off)</t>
    <phoneticPr fontId="26"/>
  </si>
  <si>
    <t>Hsp(Waiting Room)</t>
  </si>
  <si>
    <t>Hal話等の話の内容がわかる。</t>
    <rPh sb="4" eb="5">
      <t>トウ</t>
    </rPh>
    <rPh sb="6" eb="7">
      <t>ハナシ</t>
    </rPh>
    <rPh sb="8" eb="10">
      <t>ナイヨウ</t>
    </rPh>
    <phoneticPr fontId="26"/>
  </si>
  <si>
    <t>テレビ、ラジオ、Hal話等の一般の発生音がかなり聞こえる。</t>
  </si>
  <si>
    <t>Hal話等の一般の発生音が小さく聞える。</t>
  </si>
  <si>
    <t>テレビ、ラジオ、Hal話等の一般の発生音が小さく聞こえる。</t>
  </si>
  <si>
    <t>Hal話等の一般の発生音がほとんど聞えない。</t>
  </si>
  <si>
    <t>テレビ、ラジオ、Hal話等の一般の発生音が通常では聞こえない。</t>
  </si>
  <si>
    <t>Hal（その他）において、博Rtl館・展示施設は評価対象外</t>
  </si>
  <si>
    <t>事・Sch・Rtl・Rst・Hal・Hsp・Htl・Fct（2000㎡未満）</t>
  </si>
  <si>
    <t>Sch・Rtl・Rst・Hal</t>
    <phoneticPr fontId="26"/>
  </si>
  <si>
    <t>Off・Sch・Hsp・Htl・Fct</t>
  </si>
  <si>
    <t>Off・Sch・Rtl・Rst・Hal・Hsp（待・診）・Htl・Fct・住</t>
    <rPh sb="37" eb="38">
      <t>ジュウ</t>
    </rPh>
    <phoneticPr fontId="26"/>
  </si>
  <si>
    <t>事・Sch・Rtl・Rst・Hal・Fct・Hsp</t>
    <rPh sb="0" eb="1">
      <t>コト</t>
    </rPh>
    <phoneticPr fontId="26"/>
  </si>
  <si>
    <t>Approximate calculation of WLC</t>
    <phoneticPr fontId="26"/>
  </si>
  <si>
    <t>Use of pre-stressed concrete (which reduces material cross section, thereby reducing materials used). (1 point)
Equivalent measures. (1 point each)</t>
    <phoneticPr fontId="26"/>
  </si>
  <si>
    <t>Off,Sch,Hal,Hsp,Htl,Fct,Apt</t>
  </si>
  <si>
    <t>Off,Sch,Rtl,Rst,Hal,Hsp,Htl,Apt,Fct</t>
  </si>
  <si>
    <t>Off,Sch,Rst,Rtl,Hal,Hsp,Htl,Apt,Fct</t>
  </si>
  <si>
    <t>Off,Sch(Univ. etc.),Rtl,Rst,Hal,Hsp,Htl,Fct,Apt</t>
  </si>
  <si>
    <t>Sch(Public E.S./ Public J.H.S),Rtl,Rst,Hal,Hsp,Htl</t>
    <phoneticPr fontId="26"/>
  </si>
  <si>
    <t>Off,Sch(Except Public E.S./Public J.H.S),Fct,Apt</t>
    <phoneticPr fontId="26"/>
  </si>
  <si>
    <t>Off,Sch</t>
  </si>
  <si>
    <t>Rtl,Htl</t>
  </si>
  <si>
    <t>Rst,Hal,Hsp</t>
  </si>
  <si>
    <t>Off,Sch (Univ., etc.),Rtl,Rst,Hal,Hsp,Htl,Fct</t>
  </si>
  <si>
    <t>Sch(E.S./J.H.S./H.S.),Apt</t>
  </si>
  <si>
    <t>Off,Sch,Hal(Lib.),Hsp,Htl,Fct,Apt</t>
  </si>
  <si>
    <t>Off,Sch,Fct</t>
  </si>
  <si>
    <t>Off,Sch,Hsp,Htl,Fct,Apt</t>
  </si>
  <si>
    <t>Off,Sch(Univ. etc.),Hsp,Htl,Fct,Apt</t>
  </si>
  <si>
    <t>Off,Hsp(Doctor's Off),Hal(Lib.),Fct</t>
  </si>
  <si>
    <t>Off,Sch,Hsp(Doctor's Off),Htl,Fct,Apt</t>
  </si>
  <si>
    <t>Off,Sch(Univ. etc.),Hal(oth.),
Rtl,Hsp,Htl,Fct,Apt</t>
  </si>
  <si>
    <t>Off,Sch(Univ. etc.),Hal(Lib.),Fct</t>
  </si>
  <si>
    <t>Off,Sch,Rtl,Rst,Hal,Fct</t>
  </si>
  <si>
    <t>Off,Sch,Rtl,Rst,Hal,Hsp(Waiting Room),Htl,Fct</t>
  </si>
  <si>
    <t>事・Sch・Rtl・Rst・Hal・Hsp・Htl・Fct</t>
    <phoneticPr fontId="26"/>
  </si>
  <si>
    <t>Off,Hal(Lib.)(O.D.),Hsp,Htl,Fct</t>
    <rPh sb="8" eb="11">
      <t>オクガイガタ</t>
    </rPh>
    <phoneticPr fontId="26"/>
  </si>
  <si>
    <t>Rtl,Rst,Hal(oth.)</t>
  </si>
  <si>
    <t>Off,Rtl,Rst,Hal,Hsp,Htl,Fct,Apt</t>
  </si>
  <si>
    <t>Off,Sch,Rtl,Rst,Hal,Hsp(Waiting Room),Htl,Fct,Apt</t>
  </si>
  <si>
    <t>実施・竣工</t>
    <phoneticPr fontId="26"/>
  </si>
  <si>
    <t>Off,Sch(Univ. etc.),
Rtl,Rst,Hal,Hsp,Htl,Fct,Apt</t>
    <phoneticPr fontId="26"/>
  </si>
  <si>
    <t>Rtl,Rst,Hal(Lib.),Hsp,
Htl,Apt</t>
    <phoneticPr fontId="26"/>
  </si>
  <si>
    <t>Fct,Hsp (Waiting Room),
Htl,Apt</t>
    <phoneticPr fontId="26"/>
  </si>
  <si>
    <t>Equipment Item</t>
    <phoneticPr fontId="26"/>
  </si>
  <si>
    <t>types</t>
    <phoneticPr fontId="26"/>
  </si>
  <si>
    <t>points</t>
    <phoneticPr fontId="26"/>
  </si>
  <si>
    <t>Total2</t>
    <phoneticPr fontId="26"/>
  </si>
  <si>
    <r>
      <rPr>
        <sz val="11"/>
        <rFont val="ＭＳ Ｐゴシック"/>
        <family val="3"/>
        <charset val="128"/>
      </rPr>
      <t>プルダウン選択肢</t>
    </r>
    <rPh sb="5" eb="8">
      <t>センタクシ</t>
    </rPh>
    <phoneticPr fontId="26"/>
  </si>
  <si>
    <r>
      <rPr>
        <sz val="11"/>
        <rFont val="ＭＳ Ｐゴシック"/>
        <family val="3"/>
        <charset val="128"/>
      </rPr>
      <t>　</t>
    </r>
    <r>
      <rPr>
        <sz val="11"/>
        <rFont val="Arial"/>
        <family val="2"/>
      </rPr>
      <t>Level 1</t>
    </r>
  </si>
  <si>
    <r>
      <rPr>
        <sz val="11"/>
        <rFont val="ＭＳ Ｐゴシック"/>
        <family val="3"/>
        <charset val="128"/>
      </rPr>
      <t>■</t>
    </r>
    <r>
      <rPr>
        <sz val="11"/>
        <rFont val="Arial"/>
        <family val="2"/>
      </rPr>
      <t>Level 1</t>
    </r>
  </si>
  <si>
    <r>
      <rPr>
        <sz val="11"/>
        <rFont val="ＭＳ Ｐゴシック"/>
        <family val="3"/>
        <charset val="128"/>
      </rPr>
      <t>　</t>
    </r>
    <r>
      <rPr>
        <sz val="11"/>
        <rFont val="Arial"/>
        <family val="2"/>
      </rPr>
      <t>Level 2</t>
    </r>
  </si>
  <si>
    <r>
      <rPr>
        <sz val="11"/>
        <rFont val="ＭＳ Ｐゴシック"/>
        <family val="3"/>
        <charset val="128"/>
      </rPr>
      <t>■</t>
    </r>
    <r>
      <rPr>
        <sz val="11"/>
        <rFont val="Arial"/>
        <family val="2"/>
      </rPr>
      <t>Level 2</t>
    </r>
  </si>
  <si>
    <r>
      <rPr>
        <sz val="11"/>
        <rFont val="ＭＳ Ｐゴシック"/>
        <family val="3"/>
        <charset val="128"/>
      </rPr>
      <t>　</t>
    </r>
    <r>
      <rPr>
        <sz val="11"/>
        <rFont val="Arial"/>
        <family val="2"/>
      </rPr>
      <t>Level 3</t>
    </r>
  </si>
  <si>
    <r>
      <rPr>
        <sz val="11"/>
        <rFont val="ＭＳ Ｐゴシック"/>
        <family val="3"/>
        <charset val="128"/>
      </rPr>
      <t>■</t>
    </r>
    <r>
      <rPr>
        <sz val="11"/>
        <rFont val="Arial"/>
        <family val="2"/>
      </rPr>
      <t>Level 3</t>
    </r>
  </si>
  <si>
    <r>
      <rPr>
        <sz val="11"/>
        <rFont val="ＭＳ Ｐゴシック"/>
        <family val="3"/>
        <charset val="128"/>
      </rPr>
      <t>　</t>
    </r>
    <r>
      <rPr>
        <sz val="11"/>
        <rFont val="Arial"/>
        <family val="2"/>
      </rPr>
      <t>Level 4</t>
    </r>
  </si>
  <si>
    <r>
      <rPr>
        <sz val="11"/>
        <rFont val="ＭＳ Ｐゴシック"/>
        <family val="3"/>
        <charset val="128"/>
      </rPr>
      <t>■</t>
    </r>
    <r>
      <rPr>
        <sz val="11"/>
        <rFont val="Arial"/>
        <family val="2"/>
      </rPr>
      <t>Level 4</t>
    </r>
  </si>
  <si>
    <r>
      <rPr>
        <sz val="11"/>
        <rFont val="ＭＳ Ｐゴシック"/>
        <family val="3"/>
        <charset val="128"/>
      </rPr>
      <t>　</t>
    </r>
    <r>
      <rPr>
        <sz val="11"/>
        <rFont val="Arial"/>
        <family val="2"/>
      </rPr>
      <t>Level 5</t>
    </r>
  </si>
  <si>
    <r>
      <rPr>
        <sz val="11"/>
        <rFont val="ＭＳ Ｐゴシック"/>
        <family val="3"/>
        <charset val="128"/>
      </rPr>
      <t>■</t>
    </r>
    <r>
      <rPr>
        <sz val="11"/>
        <rFont val="Arial"/>
        <family val="2"/>
      </rPr>
      <t>Level 5</t>
    </r>
  </si>
  <si>
    <r>
      <rPr>
        <sz val="11"/>
        <rFont val="ＭＳ Ｐゴシック"/>
        <family val="3"/>
        <charset val="128"/>
      </rPr>
      <t>　</t>
    </r>
    <r>
      <rPr>
        <sz val="11"/>
        <rFont val="Arial"/>
        <family val="2"/>
      </rPr>
      <t>Level</t>
    </r>
    <phoneticPr fontId="26"/>
  </si>
  <si>
    <r>
      <rPr>
        <sz val="11"/>
        <rFont val="ＭＳ Ｐゴシック"/>
        <family val="3"/>
        <charset val="128"/>
      </rPr>
      <t>非住宅</t>
    </r>
    <rPh sb="0" eb="3">
      <t>ヒジュウタク</t>
    </rPh>
    <phoneticPr fontId="26"/>
  </si>
  <si>
    <r>
      <rPr>
        <sz val="11"/>
        <rFont val="ＭＳ Ｐゴシック"/>
        <family val="3"/>
        <charset val="128"/>
      </rPr>
      <t>住宅</t>
    </r>
    <rPh sb="0" eb="2">
      <t>ジュウタク</t>
    </rPh>
    <phoneticPr fontId="26"/>
  </si>
  <si>
    <r>
      <t>2024</t>
    </r>
    <r>
      <rPr>
        <sz val="11"/>
        <rFont val="ＭＳ Ｐゴシック"/>
        <family val="3"/>
        <charset val="128"/>
      </rPr>
      <t>年版</t>
    </r>
    <rPh sb="4" eb="6">
      <t>ネンバン</t>
    </rPh>
    <phoneticPr fontId="26"/>
  </si>
  <si>
    <r>
      <rPr>
        <sz val="11"/>
        <rFont val="ＭＳ Ｐゴシック"/>
        <family val="3"/>
        <charset val="128"/>
      </rPr>
      <t>大規模</t>
    </r>
    <rPh sb="0" eb="3">
      <t>ダイキボ</t>
    </rPh>
    <phoneticPr fontId="26"/>
  </si>
  <si>
    <r>
      <rPr>
        <sz val="11"/>
        <rFont val="ＭＳ Ｐゴシック"/>
        <family val="3"/>
        <charset val="128"/>
      </rPr>
      <t>小規模</t>
    </r>
    <rPh sb="0" eb="3">
      <t>ショウキボ</t>
    </rPh>
    <phoneticPr fontId="26"/>
  </si>
  <si>
    <r>
      <rPr>
        <sz val="11"/>
        <rFont val="ＭＳ Ｐゴシック"/>
        <family val="3"/>
        <charset val="128"/>
      </rPr>
      <t>レベル</t>
    </r>
    <phoneticPr fontId="26"/>
  </si>
  <si>
    <r>
      <rPr>
        <sz val="11"/>
        <rFont val="ＭＳ Ｐゴシック"/>
        <family val="3"/>
        <charset val="128"/>
      </rPr>
      <t>基準値</t>
    </r>
    <rPh sb="0" eb="3">
      <t>キジュンチ</t>
    </rPh>
    <phoneticPr fontId="26"/>
  </si>
  <si>
    <r>
      <t>a</t>
    </r>
    <r>
      <rPr>
        <sz val="11"/>
        <rFont val="ＭＳ Ｐゴシック"/>
        <family val="3"/>
        <charset val="128"/>
      </rPr>
      <t>（傾き）</t>
    </r>
    <rPh sb="2" eb="3">
      <t>カタム</t>
    </rPh>
    <phoneticPr fontId="26"/>
  </si>
  <si>
    <r>
      <rPr>
        <sz val="11"/>
        <rFont val="ＭＳ Ｐゴシック"/>
        <family val="3"/>
        <charset val="128"/>
      </rPr>
      <t>ｂ（切片）</t>
    </r>
    <rPh sb="2" eb="4">
      <t>セッペン</t>
    </rPh>
    <phoneticPr fontId="26"/>
  </si>
  <si>
    <r>
      <rPr>
        <sz val="11"/>
        <rFont val="ＭＳ Ｐゴシック"/>
        <family val="3"/>
        <charset val="128"/>
      </rPr>
      <t>暫定案</t>
    </r>
    <r>
      <rPr>
        <sz val="11"/>
        <rFont val="Arial"/>
        <family val="2"/>
      </rPr>
      <t>(</t>
    </r>
    <r>
      <rPr>
        <sz val="11"/>
        <rFont val="ＭＳ Ｐゴシック"/>
        <family val="3"/>
        <charset val="128"/>
      </rPr>
      <t>留保</t>
    </r>
    <r>
      <rPr>
        <sz val="11"/>
        <rFont val="Arial"/>
        <family val="2"/>
      </rPr>
      <t>)</t>
    </r>
    <rPh sb="0" eb="3">
      <t>ザンテイアン</t>
    </rPh>
    <rPh sb="4" eb="6">
      <t>リュウホ</t>
    </rPh>
    <phoneticPr fontId="26"/>
  </si>
  <si>
    <r>
      <t>kg-CO</t>
    </r>
    <r>
      <rPr>
        <vertAlign val="subscript"/>
        <sz val="9"/>
        <rFont val="Arial"/>
        <family val="2"/>
      </rPr>
      <t>2eq</t>
    </r>
    <r>
      <rPr>
        <sz val="9"/>
        <rFont val="Arial"/>
        <family val="2"/>
      </rPr>
      <t>/yr-</t>
    </r>
    <r>
      <rPr>
        <sz val="9"/>
        <rFont val="ＭＳ Ｐゴシック"/>
        <family val="3"/>
        <charset val="128"/>
      </rPr>
      <t>㎡</t>
    </r>
    <phoneticPr fontId="26"/>
  </si>
  <si>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0.95</t>
    </r>
    <r>
      <rPr>
        <sz val="11"/>
        <rFont val="ＭＳ Ｐゴシック"/>
        <family val="3"/>
        <charset val="128"/>
      </rPr>
      <t>（</t>
    </r>
    <r>
      <rPr>
        <sz val="11"/>
        <rFont val="Arial"/>
        <family val="2"/>
      </rPr>
      <t>1.1</t>
    </r>
    <r>
      <rPr>
        <sz val="11"/>
        <rFont val="ＭＳ Ｐゴシック"/>
        <family val="3"/>
        <charset val="128"/>
      </rPr>
      <t>）</t>
    </r>
    <rPh sb="3" eb="6">
      <t>ハイシュツリツ</t>
    </rPh>
    <phoneticPr fontId="26"/>
  </si>
  <si>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1.05</t>
    </r>
    <rPh sb="3" eb="6">
      <t>ハイシュツリツ</t>
    </rPh>
    <phoneticPr fontId="26"/>
  </si>
  <si>
    <r>
      <t>WLC</t>
    </r>
    <r>
      <rPr>
        <sz val="11"/>
        <rFont val="ＭＳ Ｐゴシック"/>
        <family val="3"/>
        <charset val="128"/>
      </rPr>
      <t>排出率＝</t>
    </r>
    <r>
      <rPr>
        <sz val="11"/>
        <rFont val="Arial"/>
        <family val="2"/>
      </rPr>
      <t xml:space="preserve"> 0.9</t>
    </r>
    <r>
      <rPr>
        <sz val="11"/>
        <rFont val="ＭＳ Ｐゴシック"/>
        <family val="3"/>
        <charset val="128"/>
      </rPr>
      <t>（</t>
    </r>
    <r>
      <rPr>
        <sz val="11"/>
        <rFont val="Arial"/>
        <family val="2"/>
      </rPr>
      <t>1.0</t>
    </r>
    <r>
      <rPr>
        <sz val="11"/>
        <rFont val="ＭＳ Ｐゴシック"/>
        <family val="3"/>
        <charset val="128"/>
      </rPr>
      <t>）</t>
    </r>
  </si>
  <si>
    <r>
      <t>WLC</t>
    </r>
    <r>
      <rPr>
        <sz val="11"/>
        <rFont val="ＭＳ Ｐゴシック"/>
        <family val="3"/>
        <charset val="128"/>
      </rPr>
      <t>排出率＝</t>
    </r>
    <r>
      <rPr>
        <sz val="11"/>
        <rFont val="Arial"/>
        <family val="2"/>
      </rPr>
      <t xml:space="preserve"> 1.0</t>
    </r>
  </si>
  <si>
    <r>
      <t>Score conversion</t>
    </r>
    <r>
      <rPr>
        <b/>
        <sz val="9"/>
        <rFont val="ＭＳ Ｐゴシック"/>
        <family val="3"/>
        <charset val="128"/>
      </rPr>
      <t>＝</t>
    </r>
    <phoneticPr fontId="26"/>
  </si>
  <si>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0.75</t>
    </r>
  </si>
  <si>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0.95</t>
    </r>
  </si>
  <si>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0.65</t>
    </r>
  </si>
  <si>
    <r>
      <rPr>
        <sz val="9"/>
        <color rgb="FFFF0000"/>
        <rFont val="ＭＳ Ｐゴシック"/>
        <family val="3"/>
        <charset val="128"/>
      </rPr>
      <t>集合住宅</t>
    </r>
    <rPh sb="0" eb="4">
      <t>シュウゴウジュウタク</t>
    </rPh>
    <phoneticPr fontId="26"/>
  </si>
  <si>
    <r>
      <rPr>
        <sz val="10"/>
        <rFont val="ＭＳ Ｐゴシック"/>
        <family val="3"/>
        <charset val="128"/>
      </rPr>
      <t>建設</t>
    </r>
    <rPh sb="0" eb="2">
      <t>ケンセツ</t>
    </rPh>
    <phoneticPr fontId="26"/>
  </si>
  <si>
    <r>
      <rPr>
        <sz val="8"/>
        <rFont val="ＭＳ Ｐゴシック"/>
        <family val="3"/>
        <charset val="128"/>
      </rPr>
      <t>修繕・更新・解体</t>
    </r>
    <rPh sb="3" eb="5">
      <t>コウシン</t>
    </rPh>
    <phoneticPr fontId="26"/>
  </si>
  <si>
    <r>
      <rPr>
        <sz val="10"/>
        <rFont val="ＭＳ Ｐゴシック"/>
        <family val="3"/>
        <charset val="128"/>
      </rPr>
      <t>運用</t>
    </r>
    <rPh sb="0" eb="2">
      <t>ウンヨウ</t>
    </rPh>
    <phoneticPr fontId="26"/>
  </si>
  <si>
    <r>
      <rPr>
        <sz val="9"/>
        <rFont val="ＭＳ Ｐゴシック"/>
        <family val="3"/>
        <charset val="128"/>
      </rPr>
      <t>排出率</t>
    </r>
    <rPh sb="0" eb="2">
      <t>ハイシュツ</t>
    </rPh>
    <rPh sb="2" eb="3">
      <t>リツ</t>
    </rPh>
    <phoneticPr fontId="26"/>
  </si>
  <si>
    <r>
      <t>WLC</t>
    </r>
    <r>
      <rPr>
        <b/>
        <sz val="9"/>
        <rFont val="ＭＳ Ｐゴシック"/>
        <family val="3"/>
        <charset val="128"/>
      </rPr>
      <t>排出率に基づくスコア換算</t>
    </r>
    <rPh sb="3" eb="5">
      <t>ハイシュツ</t>
    </rPh>
    <rPh sb="5" eb="6">
      <t>リツ</t>
    </rPh>
    <rPh sb="7" eb="8">
      <t>モト</t>
    </rPh>
    <rPh sb="13" eb="15">
      <t>カンサン</t>
    </rPh>
    <phoneticPr fontId="26"/>
  </si>
  <si>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0.5</t>
    </r>
  </si>
  <si>
    <r>
      <t>WLC</t>
    </r>
    <r>
      <rPr>
        <sz val="11"/>
        <rFont val="ＭＳ Ｐゴシック"/>
        <family val="3"/>
        <charset val="128"/>
      </rPr>
      <t>排出率</t>
    </r>
    <r>
      <rPr>
        <sz val="11"/>
        <rFont val="Arial"/>
        <family val="2"/>
      </rPr>
      <t xml:space="preserve"> </t>
    </r>
    <r>
      <rPr>
        <sz val="11"/>
        <rFont val="ＭＳ Ｐゴシック"/>
        <family val="3"/>
        <charset val="128"/>
      </rPr>
      <t>≦</t>
    </r>
    <r>
      <rPr>
        <sz val="11"/>
        <rFont val="Arial"/>
        <family val="2"/>
      </rPr>
      <t xml:space="preserve"> 0.6</t>
    </r>
  </si>
  <si>
    <r>
      <rPr>
        <sz val="9"/>
        <rFont val="ＭＳ Ｐゴシック"/>
        <family val="3"/>
        <charset val="128"/>
      </rPr>
      <t>参照値</t>
    </r>
    <rPh sb="0" eb="2">
      <t>サンショウ</t>
    </rPh>
    <rPh sb="2" eb="3">
      <t>チ</t>
    </rPh>
    <phoneticPr fontId="26"/>
  </si>
  <si>
    <r>
      <rPr>
        <b/>
        <sz val="9"/>
        <rFont val="ＭＳ Ｐゴシック"/>
        <family val="3"/>
        <charset val="128"/>
      </rPr>
      <t>換算スコア＝</t>
    </r>
    <rPh sb="0" eb="2">
      <t>カンサン</t>
    </rPh>
    <phoneticPr fontId="26"/>
  </si>
  <si>
    <r>
      <rPr>
        <sz val="9"/>
        <rFont val="ＭＳ Ｐゴシック"/>
        <family val="3"/>
        <charset val="128"/>
      </rPr>
      <t>評価対象</t>
    </r>
    <rPh sb="0" eb="2">
      <t>ヒョウカ</t>
    </rPh>
    <rPh sb="2" eb="4">
      <t>タイショウ</t>
    </rPh>
    <phoneticPr fontId="26"/>
  </si>
  <si>
    <r>
      <t>Ma</t>
    </r>
    <r>
      <rPr>
        <sz val="11"/>
        <rFont val="ＭＳ Ｐゴシック"/>
        <family val="3"/>
        <charset val="128"/>
      </rPr>
      <t>ｘ</t>
    </r>
    <phoneticPr fontId="26"/>
  </si>
  <si>
    <r>
      <t>1</t>
    </r>
    <r>
      <rPr>
        <sz val="11"/>
        <rFont val="ＭＳ Ｐゴシック"/>
        <family val="3"/>
        <charset val="128"/>
      </rPr>
      <t>～</t>
    </r>
    <r>
      <rPr>
        <sz val="11"/>
        <rFont val="Arial"/>
        <family val="2"/>
      </rPr>
      <t>2</t>
    </r>
  </si>
  <si>
    <r>
      <rPr>
        <sz val="11"/>
        <rFont val="ＭＳ Ｐゴシック"/>
        <family val="3"/>
        <charset val="128"/>
      </rPr>
      <t>既存なし</t>
    </r>
    <rPh sb="0" eb="2">
      <t>キソン</t>
    </rPh>
    <phoneticPr fontId="26"/>
  </si>
  <si>
    <r>
      <t>1</t>
    </r>
    <r>
      <rPr>
        <sz val="11"/>
        <rFont val="ＭＳ Ｐゴシック"/>
        <family val="3"/>
        <charset val="128"/>
      </rPr>
      <t>～</t>
    </r>
    <r>
      <rPr>
        <sz val="11"/>
        <rFont val="Arial"/>
        <family val="2"/>
      </rPr>
      <t>2</t>
    </r>
    <phoneticPr fontId="26"/>
  </si>
  <si>
    <r>
      <t>1</t>
    </r>
    <r>
      <rPr>
        <sz val="11"/>
        <rFont val="ＭＳ Ｐゴシック"/>
        <family val="3"/>
        <charset val="128"/>
      </rPr>
      <t>～</t>
    </r>
    <r>
      <rPr>
        <sz val="11"/>
        <rFont val="Arial"/>
        <family val="2"/>
      </rPr>
      <t>3</t>
    </r>
  </si>
  <si>
    <r>
      <t xml:space="preserve">Off,Sch,Rtl,Rst,Hal,Hsp,Htl,Fct,Apt 
 </t>
    </r>
    <r>
      <rPr>
        <sz val="9"/>
        <rFont val="ＭＳ Ｐゴシック"/>
        <family val="3"/>
        <charset val="128"/>
      </rPr>
      <t>　</t>
    </r>
    <r>
      <rPr>
        <sz val="9"/>
        <rFont val="Arial"/>
        <family val="2"/>
      </rPr>
      <t>&lt;If there are administrative guidelines&gt;</t>
    </r>
    <phoneticPr fontId="26"/>
  </si>
  <si>
    <r>
      <t xml:space="preserve">Off,Sch,Rtl,Rst,Hal,Hsp,Htl,Fct,Apt
</t>
    </r>
    <r>
      <rPr>
        <sz val="9"/>
        <rFont val="ＭＳ Ｐゴシック"/>
        <family val="3"/>
        <charset val="128"/>
      </rPr>
      <t>　</t>
    </r>
    <r>
      <rPr>
        <sz val="9"/>
        <rFont val="Arial"/>
        <family val="2"/>
      </rPr>
      <t>&lt;If there are no administrative guidelines&gt;</t>
    </r>
    <phoneticPr fontId="26"/>
  </si>
  <si>
    <r>
      <rPr>
        <sz val="11"/>
        <rFont val="ＭＳ Ｐゴシック"/>
        <family val="3"/>
        <charset val="128"/>
      </rPr>
      <t>既存は住の基準あり</t>
    </r>
    <rPh sb="0" eb="2">
      <t>キソン</t>
    </rPh>
    <rPh sb="3" eb="4">
      <t>ジュウ</t>
    </rPh>
    <rPh sb="5" eb="7">
      <t>キジュン</t>
    </rPh>
    <phoneticPr fontId="26"/>
  </si>
  <si>
    <r>
      <rPr>
        <sz val="11"/>
        <rFont val="ＭＳ Ｐゴシック"/>
        <family val="3"/>
        <charset val="128"/>
      </rPr>
      <t>新築なし</t>
    </r>
    <rPh sb="0" eb="2">
      <t>シンチク</t>
    </rPh>
    <phoneticPr fontId="26"/>
  </si>
  <si>
    <r>
      <t>Off,Sch,Rtl,Rst,Hal,Hsp,Htl,Fct</t>
    </r>
    <r>
      <rPr>
        <sz val="9"/>
        <rFont val="ＭＳ Ｐゴシック"/>
        <family val="3"/>
        <charset val="128"/>
      </rPr>
      <t>：</t>
    </r>
  </si>
  <si>
    <r>
      <t>Apt</t>
    </r>
    <r>
      <rPr>
        <sz val="9"/>
        <rFont val="ＭＳ Ｐゴシック"/>
        <family val="3"/>
        <charset val="128"/>
      </rPr>
      <t>：</t>
    </r>
    <phoneticPr fontId="26"/>
  </si>
  <si>
    <r>
      <rPr>
        <sz val="9"/>
        <rFont val="ＭＳ Ｐゴシック"/>
        <family val="3"/>
        <charset val="128"/>
      </rPr>
      <t>　</t>
    </r>
    <phoneticPr fontId="26"/>
  </si>
  <si>
    <r>
      <t>Noise level exceeds the current regulation standard*</t>
    </r>
    <r>
      <rPr>
        <vertAlign val="superscript"/>
        <sz val="9"/>
        <rFont val="Arial"/>
        <family val="2"/>
      </rPr>
      <t>1</t>
    </r>
    <r>
      <rPr>
        <sz val="9"/>
        <rFont val="Arial"/>
        <family val="2"/>
      </rPr>
      <t xml:space="preserve"> specified under the Noise Regulation Law or the Large-Scale Retail Stores Location Law or regulations such as local ordinances.</t>
    </r>
    <phoneticPr fontId="26"/>
  </si>
  <si>
    <r>
      <t>Noise level is at or below the current regulation standard*</t>
    </r>
    <r>
      <rPr>
        <vertAlign val="superscript"/>
        <sz val="9"/>
        <rFont val="Arial"/>
        <family val="2"/>
      </rPr>
      <t>1</t>
    </r>
    <r>
      <rPr>
        <sz val="9"/>
        <rFont val="Arial"/>
        <family val="2"/>
      </rPr>
      <t xml:space="preserve"> specified under the Noise Regulation Law or the Large-Scale Retail Stores Location Law or regulations such as local ordinances.</t>
    </r>
    <phoneticPr fontId="26"/>
  </si>
  <si>
    <r>
      <t>Noise level is significantly below*</t>
    </r>
    <r>
      <rPr>
        <vertAlign val="superscript"/>
        <sz val="9"/>
        <rFont val="Arial"/>
        <family val="2"/>
      </rPr>
      <t>2</t>
    </r>
    <r>
      <rPr>
        <sz val="9"/>
        <rFont val="Arial"/>
        <family val="2"/>
      </rPr>
      <t xml:space="preserve"> the current regulation standard*</t>
    </r>
    <r>
      <rPr>
        <vertAlign val="superscript"/>
        <sz val="9"/>
        <rFont val="Arial"/>
        <family val="2"/>
      </rPr>
      <t>1</t>
    </r>
    <r>
      <rPr>
        <sz val="9"/>
        <rFont val="Arial"/>
        <family val="2"/>
      </rPr>
      <t xml:space="preserve"> specified under the Noise Regulation Law or the Large-Scale Retail Stores Location Law or regulations such as local ordinances.</t>
    </r>
    <phoneticPr fontId="26"/>
  </si>
  <si>
    <r>
      <t>Vibration level exceeds the current regulation standard*</t>
    </r>
    <r>
      <rPr>
        <vertAlign val="superscript"/>
        <sz val="9"/>
        <rFont val="Arial"/>
        <family val="2"/>
      </rPr>
      <t>1</t>
    </r>
    <r>
      <rPr>
        <sz val="9"/>
        <rFont val="Arial"/>
        <family val="2"/>
      </rPr>
      <t xml:space="preserve"> specified under the Vibration Regulation Law or regulations such as local ordinances.</t>
    </r>
    <phoneticPr fontId="26"/>
  </si>
  <si>
    <r>
      <t>Vibration level is at or below the current regulation standard*</t>
    </r>
    <r>
      <rPr>
        <vertAlign val="superscript"/>
        <sz val="9"/>
        <rFont val="Arial"/>
        <family val="2"/>
      </rPr>
      <t>1</t>
    </r>
    <r>
      <rPr>
        <sz val="9"/>
        <rFont val="Arial"/>
        <family val="2"/>
      </rPr>
      <t xml:space="preserve"> specified under the Vibration Regulation Law or regulations such as local ordinances.</t>
    </r>
    <phoneticPr fontId="26"/>
  </si>
  <si>
    <r>
      <t>Vibration level is significantly below*</t>
    </r>
    <r>
      <rPr>
        <vertAlign val="superscript"/>
        <sz val="9"/>
        <rFont val="Arial"/>
        <family val="2"/>
      </rPr>
      <t>2</t>
    </r>
    <r>
      <rPr>
        <sz val="9"/>
        <rFont val="Arial"/>
        <family val="2"/>
      </rPr>
      <t xml:space="preserve"> the current regulation standard*</t>
    </r>
    <r>
      <rPr>
        <vertAlign val="superscript"/>
        <sz val="9"/>
        <rFont val="Arial"/>
        <family val="2"/>
      </rPr>
      <t>1</t>
    </r>
    <r>
      <rPr>
        <sz val="9"/>
        <rFont val="Arial"/>
        <family val="2"/>
      </rPr>
      <t xml:space="preserve"> specified under the Vibration Regulation Law or regulations such as local ordinances.</t>
    </r>
    <phoneticPr fontId="26"/>
  </si>
  <si>
    <t>3.2.3 Restriction of Sunlight Obstruction</t>
    <phoneticPr fontId="26"/>
  </si>
  <si>
    <r>
      <t xml:space="preserve">LR2 </t>
    </r>
    <r>
      <rPr>
        <b/>
        <sz val="12"/>
        <rFont val="Arial"/>
        <family val="2"/>
      </rPr>
      <t>Resources &amp; Materials</t>
    </r>
    <phoneticPr fontId="26"/>
  </si>
  <si>
    <r>
      <rPr>
        <sz val="11"/>
        <rFont val="ＭＳ Ｐゴシック"/>
        <family val="3"/>
        <charset val="128"/>
      </rPr>
      <t>小中高は既存も新築の基準</t>
    </r>
    <rPh sb="0" eb="3">
      <t>ショウチュウコウ</t>
    </rPh>
    <rPh sb="4" eb="6">
      <t>キソン</t>
    </rPh>
    <rPh sb="7" eb="9">
      <t>シンチク</t>
    </rPh>
    <rPh sb="10" eb="12">
      <t>キジュン</t>
    </rPh>
    <phoneticPr fontId="26"/>
  </si>
  <si>
    <r>
      <t xml:space="preserve">Rain water usage rate </t>
    </r>
    <r>
      <rPr>
        <sz val="9"/>
        <rFont val="ＭＳ Ｐゴシック"/>
        <family val="3"/>
        <charset val="128"/>
      </rPr>
      <t>≦</t>
    </r>
    <r>
      <rPr>
        <sz val="9"/>
        <rFont val="Arial"/>
        <family val="2"/>
      </rPr>
      <t xml:space="preserve"> 20%.</t>
    </r>
    <phoneticPr fontId="26"/>
  </si>
  <si>
    <r>
      <rPr>
        <sz val="8"/>
        <rFont val="ＭＳ Ｐゴシック"/>
        <family val="3"/>
        <charset val="128"/>
      </rPr>
      <t>　</t>
    </r>
    <r>
      <rPr>
        <sz val="8"/>
        <rFont val="Arial"/>
        <family val="2"/>
      </rPr>
      <t>Not recycling rainwater</t>
    </r>
    <phoneticPr fontId="26"/>
  </si>
  <si>
    <r>
      <rPr>
        <sz val="8"/>
        <rFont val="ＭＳ Ｐゴシック"/>
        <family val="3"/>
        <charset val="128"/>
      </rPr>
      <t>　</t>
    </r>
    <r>
      <rPr>
        <sz val="8"/>
        <rFont val="Arial"/>
        <family val="2"/>
      </rPr>
      <t>Recycling rainwater</t>
    </r>
    <phoneticPr fontId="26"/>
  </si>
  <si>
    <r>
      <rPr>
        <sz val="8"/>
        <rFont val="ＭＳ Ｐゴシック"/>
        <family val="3"/>
        <charset val="128"/>
      </rPr>
      <t>　</t>
    </r>
    <r>
      <rPr>
        <sz val="8"/>
        <rFont val="Arial"/>
        <family val="2"/>
      </rPr>
      <t>Reclaimed water, grey water</t>
    </r>
    <phoneticPr fontId="26"/>
  </si>
  <si>
    <r>
      <rPr>
        <sz val="8"/>
        <rFont val="ＭＳ Ｐゴシック"/>
        <family val="3"/>
        <charset val="128"/>
      </rPr>
      <t>　</t>
    </r>
    <r>
      <rPr>
        <sz val="8"/>
        <rFont val="Arial"/>
        <family val="2"/>
      </rPr>
      <t>Other type than reclaimed water and grey water</t>
    </r>
    <phoneticPr fontId="26"/>
  </si>
  <si>
    <r>
      <t>Sch</t>
    </r>
    <r>
      <rPr>
        <sz val="11"/>
        <rFont val="ＭＳ Ｐゴシック"/>
        <family val="3"/>
        <charset val="128"/>
      </rPr>
      <t>校版基準</t>
    </r>
    <rPh sb="4" eb="5">
      <t>バン</t>
    </rPh>
    <rPh sb="5" eb="7">
      <t>キジュン</t>
    </rPh>
    <phoneticPr fontId="26"/>
  </si>
  <si>
    <r>
      <t>1</t>
    </r>
    <r>
      <rPr>
        <sz val="11"/>
        <rFont val="ＭＳ Ｐゴシック"/>
        <family val="3"/>
        <charset val="128"/>
      </rPr>
      <t>～</t>
    </r>
    <r>
      <rPr>
        <sz val="11"/>
        <rFont val="Arial"/>
        <family val="2"/>
      </rPr>
      <t>4</t>
    </r>
    <phoneticPr fontId="26"/>
  </si>
  <si>
    <r>
      <t>1</t>
    </r>
    <r>
      <rPr>
        <sz val="11"/>
        <rFont val="ＭＳ Ｐゴシック"/>
        <family val="3"/>
        <charset val="128"/>
      </rPr>
      <t>～</t>
    </r>
    <phoneticPr fontId="26"/>
  </si>
  <si>
    <r>
      <rPr>
        <sz val="11"/>
        <rFont val="ＭＳ Ｐゴシック"/>
        <family val="3"/>
        <charset val="128"/>
      </rPr>
      <t>＝</t>
    </r>
    <phoneticPr fontId="26"/>
  </si>
  <si>
    <r>
      <rPr>
        <sz val="11"/>
        <rFont val="ＭＳ Ｐゴシック"/>
        <family val="3"/>
        <charset val="128"/>
      </rPr>
      <t>短期使用</t>
    </r>
    <rPh sb="0" eb="2">
      <t>タンキ</t>
    </rPh>
    <rPh sb="2" eb="4">
      <t>シヨウ</t>
    </rPh>
    <phoneticPr fontId="26"/>
  </si>
  <si>
    <r>
      <rPr>
        <sz val="9"/>
        <rFont val="ＭＳ Ｐゴシック"/>
        <family val="3"/>
        <charset val="128"/>
      </rPr>
      <t>躯体材料が着脱しやすいように設計されているなど、躯体材料のリサイクル・リユースについて取組無し</t>
    </r>
    <rPh sb="0" eb="2">
      <t>クタイ</t>
    </rPh>
    <rPh sb="2" eb="4">
      <t>ザイリョウ</t>
    </rPh>
    <rPh sb="5" eb="7">
      <t>チャクダツ</t>
    </rPh>
    <rPh sb="14" eb="16">
      <t>セッケイ</t>
    </rPh>
    <rPh sb="24" eb="26">
      <t>クタイ</t>
    </rPh>
    <rPh sb="26" eb="28">
      <t>ザイリョウ</t>
    </rPh>
    <rPh sb="43" eb="45">
      <t>トリクミ</t>
    </rPh>
    <rPh sb="45" eb="46">
      <t>ナ</t>
    </rPh>
    <phoneticPr fontId="7"/>
  </si>
  <si>
    <r>
      <rPr>
        <sz val="9"/>
        <rFont val="ＭＳ Ｐゴシック"/>
        <family val="3"/>
        <charset val="128"/>
      </rPr>
      <t>屋根材・下地材が着脱しやすいように設計されているなど、屋根材・下地材のリサイクル・リユースについて取組無し</t>
    </r>
    <rPh sb="0" eb="2">
      <t>ヤネ</t>
    </rPh>
    <rPh sb="2" eb="3">
      <t>ザイ</t>
    </rPh>
    <rPh sb="4" eb="6">
      <t>シタジ</t>
    </rPh>
    <rPh sb="6" eb="7">
      <t>ザイ</t>
    </rPh>
    <rPh sb="8" eb="10">
      <t>チャクダツ</t>
    </rPh>
    <rPh sb="17" eb="19">
      <t>セッケイ</t>
    </rPh>
    <rPh sb="27" eb="29">
      <t>ヤネ</t>
    </rPh>
    <rPh sb="29" eb="30">
      <t>ザイ</t>
    </rPh>
    <rPh sb="31" eb="33">
      <t>シタジ</t>
    </rPh>
    <rPh sb="33" eb="34">
      <t>ザイ</t>
    </rPh>
    <rPh sb="49" eb="51">
      <t>トリクミ</t>
    </rPh>
    <rPh sb="51" eb="52">
      <t>ナ</t>
    </rPh>
    <phoneticPr fontId="7"/>
  </si>
  <si>
    <r>
      <rPr>
        <sz val="9"/>
        <rFont val="ＭＳ Ｐゴシック"/>
        <family val="3"/>
        <charset val="128"/>
      </rPr>
      <t>躯体材料の一部が着脱でき、それらをリサイクルもしくはリユースできる</t>
    </r>
    <rPh sb="0" eb="2">
      <t>クタイ</t>
    </rPh>
    <rPh sb="2" eb="4">
      <t>ザイリョウ</t>
    </rPh>
    <rPh sb="5" eb="7">
      <t>イチブ</t>
    </rPh>
    <phoneticPr fontId="7"/>
  </si>
  <si>
    <r>
      <rPr>
        <sz val="9"/>
        <rFont val="ＭＳ Ｐゴシック"/>
        <family val="3"/>
        <charset val="128"/>
      </rPr>
      <t>屋根材・下地材の一部が着脱でき、それらをリサイクルもしくはリユースできる</t>
    </r>
    <rPh sb="8" eb="10">
      <t>イチブ</t>
    </rPh>
    <phoneticPr fontId="7"/>
  </si>
  <si>
    <r>
      <rPr>
        <sz val="9"/>
        <rFont val="ＭＳ Ｐゴシック"/>
        <family val="3"/>
        <charset val="128"/>
      </rPr>
      <t>躯体材料の大半が着脱できるか、もしくは、単種類の材料で構成されていて、それらを少なくともリサイクルはできる</t>
    </r>
    <rPh sb="0" eb="2">
      <t>クタイ</t>
    </rPh>
    <rPh sb="2" eb="4">
      <t>ザイリョウ</t>
    </rPh>
    <rPh sb="5" eb="7">
      <t>タイハン</t>
    </rPh>
    <rPh sb="20" eb="21">
      <t>タン</t>
    </rPh>
    <rPh sb="21" eb="23">
      <t>シュルイ</t>
    </rPh>
    <rPh sb="24" eb="26">
      <t>ザイリョウ</t>
    </rPh>
    <rPh sb="27" eb="29">
      <t>コウセイ</t>
    </rPh>
    <rPh sb="39" eb="40">
      <t>スク</t>
    </rPh>
    <phoneticPr fontId="7"/>
  </si>
  <si>
    <r>
      <rPr>
        <sz val="9"/>
        <rFont val="ＭＳ Ｐゴシック"/>
        <family val="3"/>
        <charset val="128"/>
      </rPr>
      <t>屋根材・下地材の大半が着脱できるか、もしくは、単種類の材料で構成されていて、それらを少なくともリサイクルはできる</t>
    </r>
    <rPh sb="8" eb="10">
      <t>タイハン</t>
    </rPh>
    <rPh sb="23" eb="24">
      <t>タン</t>
    </rPh>
    <rPh sb="24" eb="26">
      <t>シュルイ</t>
    </rPh>
    <rPh sb="27" eb="29">
      <t>ザイリョウ</t>
    </rPh>
    <rPh sb="30" eb="32">
      <t>コウセイ</t>
    </rPh>
    <rPh sb="42" eb="43">
      <t>スク</t>
    </rPh>
    <phoneticPr fontId="7"/>
  </si>
  <si>
    <r>
      <rPr>
        <sz val="9"/>
        <rFont val="ＭＳ Ｐゴシック"/>
        <family val="3"/>
        <charset val="128"/>
      </rPr>
      <t>レベル</t>
    </r>
    <r>
      <rPr>
        <sz val="9"/>
        <rFont val="Arial"/>
        <family val="2"/>
      </rPr>
      <t>3</t>
    </r>
    <r>
      <rPr>
        <sz val="9"/>
        <rFont val="ＭＳ Ｐゴシック"/>
        <family val="3"/>
        <charset val="128"/>
      </rPr>
      <t>に加えて、躯体材料の一部は規格材で構成されていてリユースできる</t>
    </r>
    <rPh sb="5" eb="6">
      <t>クワ</t>
    </rPh>
    <rPh sb="9" eb="11">
      <t>クタイ</t>
    </rPh>
    <rPh sb="11" eb="13">
      <t>ザイリョウ</t>
    </rPh>
    <rPh sb="14" eb="16">
      <t>イチブ</t>
    </rPh>
    <rPh sb="17" eb="19">
      <t>キカク</t>
    </rPh>
    <rPh sb="19" eb="20">
      <t>ザイ</t>
    </rPh>
    <rPh sb="21" eb="23">
      <t>コウセイ</t>
    </rPh>
    <phoneticPr fontId="7"/>
  </si>
  <si>
    <r>
      <rPr>
        <sz val="9"/>
        <rFont val="ＭＳ Ｐゴシック"/>
        <family val="3"/>
        <charset val="128"/>
      </rPr>
      <t>レベル</t>
    </r>
    <r>
      <rPr>
        <sz val="9"/>
        <rFont val="Arial"/>
        <family val="2"/>
      </rPr>
      <t>3</t>
    </r>
    <r>
      <rPr>
        <sz val="9"/>
        <rFont val="ＭＳ Ｐゴシック"/>
        <family val="3"/>
        <charset val="128"/>
      </rPr>
      <t>に加えて、屋根材の一部は規格材で構成されていてリユースできる</t>
    </r>
    <rPh sb="5" eb="6">
      <t>クワ</t>
    </rPh>
    <rPh sb="9" eb="11">
      <t>ヤネ</t>
    </rPh>
    <rPh sb="11" eb="12">
      <t>ザイ</t>
    </rPh>
    <rPh sb="13" eb="15">
      <t>イチブ</t>
    </rPh>
    <rPh sb="16" eb="18">
      <t>キカク</t>
    </rPh>
    <rPh sb="18" eb="19">
      <t>ザイ</t>
    </rPh>
    <rPh sb="20" eb="22">
      <t>コウセイ</t>
    </rPh>
    <phoneticPr fontId="7"/>
  </si>
  <si>
    <r>
      <rPr>
        <sz val="9"/>
        <rFont val="ＭＳ Ｐゴシック"/>
        <family val="3"/>
        <charset val="128"/>
      </rPr>
      <t>レベル</t>
    </r>
    <r>
      <rPr>
        <sz val="9"/>
        <rFont val="Arial"/>
        <family val="2"/>
      </rPr>
      <t>3</t>
    </r>
    <r>
      <rPr>
        <sz val="9"/>
        <rFont val="ＭＳ Ｐゴシック"/>
        <family val="3"/>
        <charset val="128"/>
      </rPr>
      <t>に加えて、躯体材料の大半は規格材で構成されていてリユースできる</t>
    </r>
    <rPh sb="9" eb="11">
      <t>クタイ</t>
    </rPh>
    <rPh sb="11" eb="13">
      <t>ザイリョウ</t>
    </rPh>
    <rPh sb="14" eb="16">
      <t>タイハン</t>
    </rPh>
    <phoneticPr fontId="7"/>
  </si>
  <si>
    <r>
      <rPr>
        <sz val="9"/>
        <rFont val="ＭＳ Ｐゴシック"/>
        <family val="3"/>
        <charset val="128"/>
      </rPr>
      <t>レベル</t>
    </r>
    <r>
      <rPr>
        <sz val="9"/>
        <rFont val="Arial"/>
        <family val="2"/>
      </rPr>
      <t>3</t>
    </r>
    <r>
      <rPr>
        <sz val="9"/>
        <rFont val="ＭＳ Ｐゴシック"/>
        <family val="3"/>
        <charset val="128"/>
      </rPr>
      <t>に加えて、屋根材の大半は規格材で構成されていてリユースできる</t>
    </r>
    <rPh sb="13" eb="15">
      <t>タイハン</t>
    </rPh>
    <phoneticPr fontId="7"/>
  </si>
  <si>
    <r>
      <rPr>
        <sz val="9"/>
        <rFont val="ＭＳ Ｐゴシック"/>
        <family val="3"/>
        <charset val="128"/>
      </rPr>
      <t>外壁材・下地材が着脱しやすいように設計されているなど、外壁材・下地材のリサイクル・リユースについて取組無し</t>
    </r>
    <rPh sb="0" eb="2">
      <t>ガイヘキ</t>
    </rPh>
    <rPh sb="2" eb="3">
      <t>ザイ</t>
    </rPh>
    <rPh sb="4" eb="6">
      <t>シタジ</t>
    </rPh>
    <rPh sb="6" eb="7">
      <t>ザイ</t>
    </rPh>
    <rPh sb="8" eb="10">
      <t>チャクダツ</t>
    </rPh>
    <rPh sb="17" eb="19">
      <t>セッケイ</t>
    </rPh>
    <rPh sb="27" eb="29">
      <t>ガイヘキ</t>
    </rPh>
    <rPh sb="29" eb="30">
      <t>ザイ</t>
    </rPh>
    <rPh sb="31" eb="33">
      <t>シタジ</t>
    </rPh>
    <rPh sb="33" eb="34">
      <t>ザイ</t>
    </rPh>
    <rPh sb="49" eb="51">
      <t>トリクミ</t>
    </rPh>
    <rPh sb="51" eb="52">
      <t>ナ</t>
    </rPh>
    <phoneticPr fontId="7"/>
  </si>
  <si>
    <r>
      <rPr>
        <sz val="9"/>
        <rFont val="ＭＳ Ｐゴシック"/>
        <family val="3"/>
        <charset val="128"/>
      </rPr>
      <t>内装材・下地材が着脱しやすいように設計されているなど、内装材・下地材のリサイクル・リユースについて取組無し</t>
    </r>
    <rPh sb="0" eb="2">
      <t>ナイソウ</t>
    </rPh>
    <rPh sb="2" eb="3">
      <t>ザイ</t>
    </rPh>
    <rPh sb="4" eb="6">
      <t>シタジ</t>
    </rPh>
    <rPh sb="6" eb="7">
      <t>ザイ</t>
    </rPh>
    <rPh sb="8" eb="10">
      <t>チャクダツ</t>
    </rPh>
    <rPh sb="17" eb="19">
      <t>セッケイ</t>
    </rPh>
    <rPh sb="27" eb="29">
      <t>ナイソウ</t>
    </rPh>
    <rPh sb="29" eb="30">
      <t>ザイ</t>
    </rPh>
    <rPh sb="31" eb="33">
      <t>シタジ</t>
    </rPh>
    <rPh sb="33" eb="34">
      <t>ザイ</t>
    </rPh>
    <rPh sb="49" eb="51">
      <t>トリクミ</t>
    </rPh>
    <rPh sb="51" eb="52">
      <t>ナ</t>
    </rPh>
    <phoneticPr fontId="7"/>
  </si>
  <si>
    <r>
      <rPr>
        <sz val="9"/>
        <rFont val="ＭＳ Ｐゴシック"/>
        <family val="3"/>
        <charset val="128"/>
      </rPr>
      <t>外壁材・下地材の一部が着脱でき、それらをリサイクルもしくはリユースできる</t>
    </r>
    <rPh sb="0" eb="2">
      <t>ガイヘキ</t>
    </rPh>
    <rPh sb="8" eb="10">
      <t>イチブ</t>
    </rPh>
    <phoneticPr fontId="7"/>
  </si>
  <si>
    <r>
      <rPr>
        <sz val="9"/>
        <rFont val="ＭＳ Ｐゴシック"/>
        <family val="3"/>
        <charset val="128"/>
      </rPr>
      <t>内装材・下地材の一部が着脱でき、それらをリサイクルもしくはリユースできる</t>
    </r>
    <rPh sb="0" eb="2">
      <t>ナイソウ</t>
    </rPh>
    <rPh sb="2" eb="3">
      <t>ザイ</t>
    </rPh>
    <rPh sb="8" eb="10">
      <t>イチブ</t>
    </rPh>
    <phoneticPr fontId="7"/>
  </si>
  <si>
    <r>
      <rPr>
        <sz val="9"/>
        <rFont val="ＭＳ Ｐゴシック"/>
        <family val="3"/>
        <charset val="128"/>
      </rPr>
      <t>外壁材・下地材の大半が着脱できるか、もしくは、単種類の材料で構成されていて、それらを少なくともリサイクルはできる</t>
    </r>
    <rPh sb="0" eb="2">
      <t>ガイヘキ</t>
    </rPh>
    <rPh sb="8" eb="10">
      <t>タイハン</t>
    </rPh>
    <rPh sb="23" eb="24">
      <t>タン</t>
    </rPh>
    <rPh sb="24" eb="26">
      <t>シュルイ</t>
    </rPh>
    <rPh sb="27" eb="29">
      <t>ザイリョウ</t>
    </rPh>
    <rPh sb="30" eb="32">
      <t>コウセイ</t>
    </rPh>
    <rPh sb="42" eb="43">
      <t>スク</t>
    </rPh>
    <phoneticPr fontId="7"/>
  </si>
  <si>
    <r>
      <rPr>
        <sz val="9"/>
        <rFont val="ＭＳ Ｐゴシック"/>
        <family val="3"/>
        <charset val="128"/>
      </rPr>
      <t>内装材・下地材の大半が着脱できるか、もしくは、単種類の材料で構成されていて、それらを少なくともリサイクルはできる</t>
    </r>
    <rPh sb="0" eb="2">
      <t>ナイソウ</t>
    </rPh>
    <rPh sb="2" eb="3">
      <t>ザイ</t>
    </rPh>
    <rPh sb="8" eb="10">
      <t>タイハン</t>
    </rPh>
    <rPh sb="23" eb="24">
      <t>タン</t>
    </rPh>
    <rPh sb="24" eb="26">
      <t>シュルイ</t>
    </rPh>
    <rPh sb="27" eb="29">
      <t>ザイリョウ</t>
    </rPh>
    <rPh sb="30" eb="32">
      <t>コウセイ</t>
    </rPh>
    <rPh sb="42" eb="43">
      <t>スク</t>
    </rPh>
    <phoneticPr fontId="7"/>
  </si>
  <si>
    <r>
      <rPr>
        <sz val="9"/>
        <rFont val="ＭＳ Ｐゴシック"/>
        <family val="3"/>
        <charset val="128"/>
      </rPr>
      <t>レベル</t>
    </r>
    <r>
      <rPr>
        <sz val="9"/>
        <rFont val="Arial"/>
        <family val="2"/>
      </rPr>
      <t>3</t>
    </r>
    <r>
      <rPr>
        <sz val="9"/>
        <rFont val="ＭＳ Ｐゴシック"/>
        <family val="3"/>
        <charset val="128"/>
      </rPr>
      <t>に加えて、外壁材の一部は規格材で構成されていてリユースできる</t>
    </r>
    <rPh sb="5" eb="6">
      <t>クワ</t>
    </rPh>
    <rPh sb="9" eb="11">
      <t>ガイヘキ</t>
    </rPh>
    <rPh sb="11" eb="12">
      <t>ザイ</t>
    </rPh>
    <rPh sb="13" eb="15">
      <t>イチブ</t>
    </rPh>
    <rPh sb="16" eb="18">
      <t>キカク</t>
    </rPh>
    <rPh sb="18" eb="19">
      <t>ザイ</t>
    </rPh>
    <rPh sb="20" eb="22">
      <t>コウセイ</t>
    </rPh>
    <phoneticPr fontId="7"/>
  </si>
  <si>
    <r>
      <rPr>
        <sz val="9"/>
        <rFont val="ＭＳ Ｐゴシック"/>
        <family val="3"/>
        <charset val="128"/>
      </rPr>
      <t>レベル</t>
    </r>
    <r>
      <rPr>
        <sz val="9"/>
        <rFont val="Arial"/>
        <family val="2"/>
      </rPr>
      <t>3</t>
    </r>
    <r>
      <rPr>
        <sz val="9"/>
        <rFont val="ＭＳ Ｐゴシック"/>
        <family val="3"/>
        <charset val="128"/>
      </rPr>
      <t>に加えて、内装材の一部は規格材で構成されていてリユースできる</t>
    </r>
    <rPh sb="5" eb="6">
      <t>クワ</t>
    </rPh>
    <rPh sb="9" eb="11">
      <t>ナイソウ</t>
    </rPh>
    <rPh sb="11" eb="12">
      <t>ザイ</t>
    </rPh>
    <rPh sb="13" eb="15">
      <t>イチブ</t>
    </rPh>
    <rPh sb="16" eb="18">
      <t>キカク</t>
    </rPh>
    <rPh sb="18" eb="19">
      <t>ザイ</t>
    </rPh>
    <rPh sb="20" eb="22">
      <t>コウセイ</t>
    </rPh>
    <phoneticPr fontId="7"/>
  </si>
  <si>
    <r>
      <rPr>
        <sz val="9"/>
        <rFont val="ＭＳ Ｐゴシック"/>
        <family val="3"/>
        <charset val="128"/>
      </rPr>
      <t>レベル</t>
    </r>
    <r>
      <rPr>
        <sz val="9"/>
        <rFont val="Arial"/>
        <family val="2"/>
      </rPr>
      <t>3</t>
    </r>
    <r>
      <rPr>
        <sz val="9"/>
        <rFont val="ＭＳ Ｐゴシック"/>
        <family val="3"/>
        <charset val="128"/>
      </rPr>
      <t>に加えて、外壁材の大半は規格材で構成されていてリユースできる</t>
    </r>
    <rPh sb="9" eb="11">
      <t>ガイヘキ</t>
    </rPh>
    <rPh sb="13" eb="15">
      <t>タイハン</t>
    </rPh>
    <phoneticPr fontId="7"/>
  </si>
  <si>
    <r>
      <rPr>
        <sz val="9"/>
        <rFont val="ＭＳ Ｐゴシック"/>
        <family val="3"/>
        <charset val="128"/>
      </rPr>
      <t>レベル</t>
    </r>
    <r>
      <rPr>
        <sz val="9"/>
        <rFont val="Arial"/>
        <family val="2"/>
      </rPr>
      <t>3</t>
    </r>
    <r>
      <rPr>
        <sz val="9"/>
        <rFont val="ＭＳ Ｐゴシック"/>
        <family val="3"/>
        <charset val="128"/>
      </rPr>
      <t>に加えて、内装材の大半は規格材で構成されていてリユースできる</t>
    </r>
    <rPh sb="9" eb="11">
      <t>ナイソウ</t>
    </rPh>
    <rPh sb="11" eb="12">
      <t>ザイ</t>
    </rPh>
    <rPh sb="13" eb="15">
      <t>タイハン</t>
    </rPh>
    <phoneticPr fontId="7"/>
  </si>
  <si>
    <r>
      <rPr>
        <sz val="9"/>
        <rFont val="ＭＳ Ｐゴシック"/>
        <family val="3"/>
        <charset val="128"/>
      </rPr>
      <t>評価する取組みがない。</t>
    </r>
  </si>
  <si>
    <r>
      <rPr>
        <sz val="9"/>
        <rFont val="ＭＳ Ｐゴシック"/>
        <family val="3"/>
        <charset val="128"/>
      </rPr>
      <t>評価する取組みが</t>
    </r>
    <r>
      <rPr>
        <sz val="9"/>
        <rFont val="Arial"/>
        <family val="2"/>
      </rPr>
      <t>1</t>
    </r>
    <r>
      <rPr>
        <sz val="9"/>
        <rFont val="ＭＳ Ｐゴシック"/>
        <family val="3"/>
        <charset val="128"/>
      </rPr>
      <t>つ。</t>
    </r>
  </si>
  <si>
    <r>
      <rPr>
        <sz val="9"/>
        <rFont val="ＭＳ Ｐゴシック"/>
        <family val="3"/>
        <charset val="128"/>
      </rPr>
      <t>評価する取組みが</t>
    </r>
    <r>
      <rPr>
        <sz val="9"/>
        <rFont val="Arial"/>
        <family val="2"/>
      </rPr>
      <t>2</t>
    </r>
    <r>
      <rPr>
        <sz val="9"/>
        <rFont val="ＭＳ Ｐゴシック"/>
        <family val="3"/>
        <charset val="128"/>
      </rPr>
      <t>つ。</t>
    </r>
  </si>
  <si>
    <r>
      <rPr>
        <sz val="9"/>
        <rFont val="ＭＳ Ｐゴシック"/>
        <family val="3"/>
        <charset val="128"/>
      </rPr>
      <t>評価する取組みが</t>
    </r>
    <r>
      <rPr>
        <sz val="9"/>
        <rFont val="Arial"/>
        <family val="2"/>
      </rPr>
      <t>3</t>
    </r>
    <r>
      <rPr>
        <sz val="9"/>
        <rFont val="ＭＳ Ｐゴシック"/>
        <family val="3"/>
        <charset val="128"/>
      </rPr>
      <t>つ。</t>
    </r>
  </si>
  <si>
    <r>
      <rPr>
        <sz val="9"/>
        <rFont val="ＭＳ Ｐゴシック"/>
        <family val="3"/>
        <charset val="128"/>
      </rPr>
      <t>評価する取組みが</t>
    </r>
    <r>
      <rPr>
        <sz val="9"/>
        <rFont val="Arial"/>
        <family val="2"/>
      </rPr>
      <t>4</t>
    </r>
    <r>
      <rPr>
        <sz val="9"/>
        <rFont val="ＭＳ Ｐゴシック"/>
        <family val="3"/>
        <charset val="128"/>
      </rPr>
      <t>つ以上。</t>
    </r>
  </si>
  <si>
    <r>
      <rPr>
        <sz val="9"/>
        <rFont val="ＭＳ Ｐゴシック"/>
        <family val="3"/>
        <charset val="128"/>
      </rPr>
      <t>評価する取組みが</t>
    </r>
    <r>
      <rPr>
        <sz val="9"/>
        <rFont val="Arial"/>
        <family val="2"/>
      </rPr>
      <t>3</t>
    </r>
    <r>
      <rPr>
        <sz val="9"/>
        <rFont val="ＭＳ Ｐゴシック"/>
        <family val="3"/>
        <charset val="128"/>
      </rPr>
      <t>つ以上。</t>
    </r>
    <rPh sb="10" eb="12">
      <t>イジョウ</t>
    </rPh>
    <phoneticPr fontId="26"/>
  </si>
  <si>
    <r>
      <rPr>
        <sz val="9"/>
        <rFont val="ＭＳ Ｐゴシック"/>
        <family val="3"/>
        <charset val="128"/>
      </rPr>
      <t>しない</t>
    </r>
  </si>
  <si>
    <r>
      <rPr>
        <b/>
        <sz val="9"/>
        <rFont val="ＭＳ Ｐゴシック"/>
        <family val="3"/>
        <charset val="128"/>
      </rPr>
      <t>評価する取組み</t>
    </r>
    <rPh sb="0" eb="2">
      <t>ヒョウカ</t>
    </rPh>
    <rPh sb="4" eb="6">
      <t>トリク</t>
    </rPh>
    <phoneticPr fontId="26"/>
  </si>
  <si>
    <r>
      <rPr>
        <sz val="9"/>
        <rFont val="ＭＳ Ｐゴシック"/>
        <family val="3"/>
        <charset val="128"/>
      </rPr>
      <t>採用項目</t>
    </r>
    <rPh sb="0" eb="2">
      <t>サイヨウ</t>
    </rPh>
    <rPh sb="2" eb="4">
      <t>コウモク</t>
    </rPh>
    <phoneticPr fontId="26"/>
  </si>
  <si>
    <r>
      <rPr>
        <sz val="9"/>
        <rFont val="ＭＳ Ｐゴシック"/>
        <family val="3"/>
        <charset val="128"/>
      </rPr>
      <t>取組み</t>
    </r>
    <rPh sb="0" eb="2">
      <t>トリク</t>
    </rPh>
    <phoneticPr fontId="26"/>
  </si>
  <si>
    <r>
      <rPr>
        <b/>
        <sz val="9"/>
        <rFont val="ＭＳ Ｐゴシック"/>
        <family val="3"/>
        <charset val="128"/>
      </rPr>
      <t>○</t>
    </r>
  </si>
  <si>
    <r>
      <t>1)</t>
    </r>
    <r>
      <rPr>
        <sz val="9"/>
        <rFont val="ＭＳ Ｐゴシック"/>
        <family val="3"/>
        <charset val="128"/>
      </rPr>
      <t>使用材料種類の集約</t>
    </r>
    <rPh sb="2" eb="4">
      <t>シヨウ</t>
    </rPh>
    <rPh sb="4" eb="6">
      <t>ザイリョウ</t>
    </rPh>
    <rPh sb="6" eb="8">
      <t>シュルイ</t>
    </rPh>
    <rPh sb="9" eb="11">
      <t>シュウヤク</t>
    </rPh>
    <phoneticPr fontId="7"/>
  </si>
  <si>
    <r>
      <t>1)</t>
    </r>
    <r>
      <rPr>
        <sz val="9"/>
        <rFont val="ＭＳ Ｐゴシック"/>
        <family val="3"/>
        <charset val="128"/>
      </rPr>
      <t>外構に植栽する樹木の移設・再使用を前提とした植栽方法の採用</t>
    </r>
    <phoneticPr fontId="26"/>
  </si>
  <si>
    <r>
      <t>2)</t>
    </r>
    <r>
      <rPr>
        <sz val="9"/>
        <rFont val="ＭＳ Ｐゴシック"/>
        <family val="3"/>
        <charset val="128"/>
      </rPr>
      <t>配管材の規格一律化・規格材の活用</t>
    </r>
    <rPh sb="2" eb="4">
      <t>ハイカン</t>
    </rPh>
    <rPh sb="4" eb="5">
      <t>ザイ</t>
    </rPh>
    <rPh sb="6" eb="8">
      <t>キカク</t>
    </rPh>
    <rPh sb="8" eb="11">
      <t>イチリツカ</t>
    </rPh>
    <rPh sb="12" eb="14">
      <t>キカク</t>
    </rPh>
    <rPh sb="14" eb="15">
      <t>ザイ</t>
    </rPh>
    <rPh sb="16" eb="18">
      <t>カツヨウ</t>
    </rPh>
    <phoneticPr fontId="7"/>
  </si>
  <si>
    <r>
      <t>2</t>
    </r>
    <r>
      <rPr>
        <sz val="9"/>
        <rFont val="ＭＳ Ｐゴシック"/>
        <family val="3"/>
        <charset val="128"/>
      </rPr>
      <t>）屋根緑化や壁面緑化等の建</t>
    </r>
    <r>
      <rPr>
        <sz val="9"/>
        <rFont val="Arial"/>
        <family val="2"/>
      </rPr>
      <t>Rtl</t>
    </r>
    <r>
      <rPr>
        <sz val="9"/>
        <rFont val="ＭＳ Ｐゴシック"/>
        <family val="3"/>
        <charset val="128"/>
      </rPr>
      <t>緑化に用いる植</t>
    </r>
    <r>
      <rPr>
        <sz val="9"/>
        <rFont val="Arial"/>
        <family val="2"/>
      </rPr>
      <t>Rtl</t>
    </r>
    <r>
      <rPr>
        <sz val="9"/>
        <rFont val="ＭＳ Ｐゴシック"/>
        <family val="3"/>
        <charset val="128"/>
      </rPr>
      <t>の移設・再使用を前提とした植栽方法の採用</t>
    </r>
  </si>
  <si>
    <r>
      <t>3)</t>
    </r>
    <r>
      <rPr>
        <sz val="9"/>
        <rFont val="ＭＳ Ｐゴシック"/>
        <family val="3"/>
        <charset val="128"/>
      </rPr>
      <t>設備機器（空調機）の規格化</t>
    </r>
    <rPh sb="2" eb="4">
      <t>セツビ</t>
    </rPh>
    <rPh sb="4" eb="6">
      <t>キキ</t>
    </rPh>
    <rPh sb="7" eb="9">
      <t>クウチョウ</t>
    </rPh>
    <rPh sb="9" eb="10">
      <t>キ</t>
    </rPh>
    <rPh sb="12" eb="14">
      <t>キカク</t>
    </rPh>
    <rPh sb="14" eb="15">
      <t>カ</t>
    </rPh>
    <phoneticPr fontId="7"/>
  </si>
  <si>
    <r>
      <t>3</t>
    </r>
    <r>
      <rPr>
        <sz val="9"/>
        <rFont val="ＭＳ Ｐゴシック"/>
        <family val="3"/>
        <charset val="128"/>
      </rPr>
      <t>）舗装用平板やブロック等道路用材について、移設・再使用を前提とした資材・</t>
    </r>
    <r>
      <rPr>
        <sz val="9"/>
        <rFont val="Arial"/>
        <family val="2"/>
      </rPr>
      <t>Fct</t>
    </r>
    <r>
      <rPr>
        <sz val="9"/>
        <rFont val="ＭＳ Ｐゴシック"/>
        <family val="3"/>
        <charset val="128"/>
      </rPr>
      <t>法の採用</t>
    </r>
  </si>
  <si>
    <r>
      <t>4)</t>
    </r>
    <r>
      <rPr>
        <sz val="9"/>
        <rFont val="ＭＳ Ｐゴシック"/>
        <family val="3"/>
        <charset val="128"/>
      </rPr>
      <t>設備機器（照明）の規格化</t>
    </r>
    <rPh sb="2" eb="4">
      <t>セツビ</t>
    </rPh>
    <rPh sb="4" eb="6">
      <t>キキ</t>
    </rPh>
    <rPh sb="7" eb="9">
      <t>ショウメイ</t>
    </rPh>
    <rPh sb="11" eb="13">
      <t>キカク</t>
    </rPh>
    <rPh sb="13" eb="14">
      <t>カ</t>
    </rPh>
    <phoneticPr fontId="7"/>
  </si>
  <si>
    <r>
      <t>4</t>
    </r>
    <r>
      <rPr>
        <sz val="9"/>
        <rFont val="ＭＳ Ｐゴシック"/>
        <family val="3"/>
        <charset val="128"/>
      </rPr>
      <t>）擁壁や植栽ブロック等土木用材について、移設・再使用を前提とした資材・</t>
    </r>
    <r>
      <rPr>
        <sz val="9"/>
        <rFont val="Arial"/>
        <family val="2"/>
      </rPr>
      <t>Fct</t>
    </r>
    <r>
      <rPr>
        <sz val="9"/>
        <rFont val="ＭＳ Ｐゴシック"/>
        <family val="3"/>
        <charset val="128"/>
      </rPr>
      <t>法の採用</t>
    </r>
  </si>
  <si>
    <r>
      <t>5)</t>
    </r>
    <r>
      <rPr>
        <sz val="9"/>
        <rFont val="ＭＳ Ｐゴシック"/>
        <family val="3"/>
        <charset val="128"/>
      </rPr>
      <t>設備機器の着脱性の確保</t>
    </r>
    <rPh sb="2" eb="4">
      <t>セツビ</t>
    </rPh>
    <rPh sb="4" eb="6">
      <t>キキ</t>
    </rPh>
    <rPh sb="7" eb="10">
      <t>チャクダツセイ</t>
    </rPh>
    <rPh sb="11" eb="13">
      <t>カクホ</t>
    </rPh>
    <phoneticPr fontId="7"/>
  </si>
  <si>
    <r>
      <t>5)</t>
    </r>
    <r>
      <rPr>
        <sz val="9"/>
        <rFont val="ＭＳ Ｐゴシック"/>
        <family val="3"/>
        <charset val="128"/>
      </rPr>
      <t>その他（記述）</t>
    </r>
    <rPh sb="4" eb="5">
      <t>ホカ</t>
    </rPh>
    <rPh sb="6" eb="8">
      <t>キジュツ</t>
    </rPh>
    <phoneticPr fontId="26"/>
  </si>
  <si>
    <r>
      <t>6)</t>
    </r>
    <r>
      <rPr>
        <sz val="9"/>
        <rFont val="ＭＳ Ｐゴシック"/>
        <family val="3"/>
        <charset val="128"/>
      </rPr>
      <t>設備機器と内装材・外装材・屋根材との錯綜を回避した納まり</t>
    </r>
    <rPh sb="2" eb="4">
      <t>セツビ</t>
    </rPh>
    <rPh sb="4" eb="6">
      <t>キキ</t>
    </rPh>
    <rPh sb="7" eb="9">
      <t>ナイソウ</t>
    </rPh>
    <rPh sb="9" eb="10">
      <t>ザイ</t>
    </rPh>
    <rPh sb="11" eb="14">
      <t>ガイソウザイ</t>
    </rPh>
    <rPh sb="15" eb="17">
      <t>ヤネ</t>
    </rPh>
    <rPh sb="17" eb="18">
      <t>ザイ</t>
    </rPh>
    <rPh sb="20" eb="22">
      <t>サクソウ</t>
    </rPh>
    <rPh sb="23" eb="25">
      <t>カイヒ</t>
    </rPh>
    <rPh sb="27" eb="28">
      <t>オサ</t>
    </rPh>
    <phoneticPr fontId="7"/>
  </si>
  <si>
    <r>
      <t>7)</t>
    </r>
    <r>
      <rPr>
        <sz val="9"/>
        <rFont val="ＭＳ Ｐゴシック"/>
        <family val="3"/>
        <charset val="128"/>
      </rPr>
      <t>修理・部品交換しやすい設備機器の使用</t>
    </r>
    <rPh sb="2" eb="4">
      <t>シュウリ</t>
    </rPh>
    <rPh sb="5" eb="7">
      <t>ブヒン</t>
    </rPh>
    <rPh sb="7" eb="9">
      <t>コウカン</t>
    </rPh>
    <rPh sb="13" eb="15">
      <t>セツビ</t>
    </rPh>
    <rPh sb="15" eb="17">
      <t>キキ</t>
    </rPh>
    <rPh sb="18" eb="20">
      <t>シヨウ</t>
    </rPh>
    <phoneticPr fontId="7"/>
  </si>
  <si>
    <r>
      <rPr>
        <sz val="9"/>
        <rFont val="ＭＳ Ｐゴシック"/>
        <family val="3"/>
        <charset val="128"/>
      </rPr>
      <t>取組数</t>
    </r>
    <rPh sb="0" eb="2">
      <t>トリクミ</t>
    </rPh>
    <rPh sb="2" eb="3">
      <t>スウ</t>
    </rPh>
    <phoneticPr fontId="26"/>
  </si>
  <si>
    <r>
      <t>8)</t>
    </r>
    <r>
      <rPr>
        <sz val="9"/>
        <rFont val="ＭＳ Ｐゴシック"/>
        <family val="3"/>
        <charset val="128"/>
      </rPr>
      <t>その他（記述）</t>
    </r>
    <rPh sb="4" eb="5">
      <t>ホカ</t>
    </rPh>
    <rPh sb="6" eb="8">
      <t>キジュツ</t>
    </rPh>
    <phoneticPr fontId="26"/>
  </si>
  <si>
    <r>
      <rPr>
        <b/>
        <sz val="12"/>
        <rFont val="ＭＳ Ｐゴシック"/>
        <family val="3"/>
        <charset val="128"/>
      </rPr>
      <t>廃棄</t>
    </r>
    <r>
      <rPr>
        <b/>
        <sz val="12"/>
        <rFont val="Arial"/>
        <family val="2"/>
      </rPr>
      <t>Rtl</t>
    </r>
    <r>
      <rPr>
        <b/>
        <sz val="12"/>
        <rFont val="ＭＳ Ｐゴシック"/>
        <family val="3"/>
        <charset val="128"/>
      </rPr>
      <t>発生量の最小化</t>
    </r>
  </si>
  <si>
    <r>
      <rPr>
        <sz val="9"/>
        <rFont val="ＭＳ Ｐゴシック"/>
        <family val="3"/>
        <charset val="128"/>
      </rPr>
      <t>自然素材利用による建築構造体の軽量化</t>
    </r>
    <rPh sb="0" eb="2">
      <t>シゼン</t>
    </rPh>
    <rPh sb="2" eb="4">
      <t>ソザイ</t>
    </rPh>
    <rPh sb="4" eb="6">
      <t>リヨウ</t>
    </rPh>
    <rPh sb="9" eb="11">
      <t>ケンチク</t>
    </rPh>
    <rPh sb="11" eb="14">
      <t>コウゾウタイ</t>
    </rPh>
    <rPh sb="15" eb="18">
      <t>ケイリョウカ</t>
    </rPh>
    <phoneticPr fontId="7"/>
  </si>
  <si>
    <r>
      <rPr>
        <sz val="9"/>
        <rFont val="ＭＳ Ｐゴシック"/>
        <family val="3"/>
        <charset val="128"/>
      </rPr>
      <t>施</t>
    </r>
    <r>
      <rPr>
        <sz val="9"/>
        <rFont val="Arial"/>
        <family val="2"/>
      </rPr>
      <t>Fct</t>
    </r>
    <r>
      <rPr>
        <sz val="9"/>
        <rFont val="ＭＳ Ｐゴシック"/>
        <family val="3"/>
        <charset val="128"/>
      </rPr>
      <t>廃棄</t>
    </r>
    <r>
      <rPr>
        <sz val="9"/>
        <rFont val="Arial"/>
        <family val="2"/>
      </rPr>
      <t>Rtl</t>
    </r>
    <r>
      <rPr>
        <sz val="9"/>
        <rFont val="ＭＳ Ｐゴシック"/>
        <family val="3"/>
        <charset val="128"/>
      </rPr>
      <t>減量計画・マネジメント手法の整備</t>
    </r>
    <rPh sb="4" eb="6">
      <t>ハイキ</t>
    </rPh>
    <rPh sb="9" eb="11">
      <t>ゲンリョウ</t>
    </rPh>
    <rPh sb="11" eb="13">
      <t>ケイカク</t>
    </rPh>
    <rPh sb="20" eb="22">
      <t>シュホウ</t>
    </rPh>
    <rPh sb="23" eb="25">
      <t>セイビ</t>
    </rPh>
    <phoneticPr fontId="7"/>
  </si>
  <si>
    <r>
      <rPr>
        <sz val="9"/>
        <rFont val="ＭＳ Ｐゴシック"/>
        <family val="3"/>
        <charset val="128"/>
      </rPr>
      <t>リース・レンタル材料及び設備の採用</t>
    </r>
    <rPh sb="8" eb="10">
      <t>ザイリョウ</t>
    </rPh>
    <rPh sb="10" eb="11">
      <t>オヨ</t>
    </rPh>
    <rPh sb="12" eb="14">
      <t>セツビ</t>
    </rPh>
    <rPh sb="15" eb="17">
      <t>サイヨウ</t>
    </rPh>
    <phoneticPr fontId="7"/>
  </si>
  <si>
    <r>
      <rPr>
        <sz val="9"/>
        <rFont val="ＭＳ Ｐゴシック"/>
        <family val="3"/>
        <charset val="128"/>
      </rPr>
      <t>リユース＆リサイクルルートと受け入れ先確保（リース・レンタルは除く）</t>
    </r>
    <rPh sb="14" eb="15">
      <t>ウ</t>
    </rPh>
    <rPh sb="16" eb="17">
      <t>イ</t>
    </rPh>
    <rPh sb="18" eb="19">
      <t>サキ</t>
    </rPh>
    <rPh sb="19" eb="21">
      <t>カクホ</t>
    </rPh>
    <rPh sb="31" eb="32">
      <t>ノゾ</t>
    </rPh>
    <phoneticPr fontId="7"/>
  </si>
  <si>
    <r>
      <rPr>
        <sz val="9"/>
        <rFont val="ＭＳ Ｐゴシック"/>
        <family val="3"/>
        <charset val="128"/>
      </rPr>
      <t>その他（記述）</t>
    </r>
    <rPh sb="2" eb="3">
      <t>ホカ</t>
    </rPh>
    <rPh sb="4" eb="6">
      <t>キジュツ</t>
    </rPh>
    <phoneticPr fontId="26"/>
  </si>
  <si>
    <r>
      <t>Floor areas [</t>
    </r>
    <r>
      <rPr>
        <sz val="8"/>
        <rFont val="ＭＳ Ｐゴシック"/>
        <family val="3"/>
        <charset val="128"/>
      </rPr>
      <t>㎡</t>
    </r>
    <r>
      <rPr>
        <sz val="8"/>
        <rFont val="Arial"/>
        <family val="2"/>
      </rPr>
      <t>]:</t>
    </r>
    <phoneticPr fontId="26"/>
  </si>
  <si>
    <r>
      <rPr>
        <sz val="11"/>
        <rFont val="ＭＳ Ｐゴシック"/>
        <family val="3"/>
        <charset val="128"/>
      </rPr>
      <t>既存はなし</t>
    </r>
    <rPh sb="0" eb="2">
      <t>キソン</t>
    </rPh>
    <phoneticPr fontId="26"/>
  </si>
  <si>
    <r>
      <rPr>
        <sz val="11"/>
        <rFont val="ＭＳ Ｐゴシック"/>
        <family val="3"/>
        <charset val="128"/>
      </rPr>
      <t>既存は式修正</t>
    </r>
    <rPh sb="0" eb="2">
      <t>キゾン</t>
    </rPh>
    <rPh sb="3" eb="4">
      <t>シキ</t>
    </rPh>
    <rPh sb="4" eb="6">
      <t>シュウセイ</t>
    </rPh>
    <phoneticPr fontId="26"/>
  </si>
  <si>
    <r>
      <t>2</t>
    </r>
    <r>
      <rPr>
        <sz val="9"/>
        <rFont val="ＭＳ Ｐゴシック"/>
        <family val="3"/>
        <charset val="128"/>
      </rPr>
      <t>）</t>
    </r>
    <r>
      <rPr>
        <sz val="9"/>
        <rFont val="Arial"/>
        <family val="2"/>
      </rPr>
      <t xml:space="preserve"> Local contribution by provision of facilities and functions</t>
    </r>
    <phoneticPr fontId="26"/>
  </si>
  <si>
    <r>
      <rPr>
        <sz val="11"/>
        <rFont val="ＭＳ Ｐゴシック"/>
        <family val="3"/>
        <charset val="128"/>
      </rPr>
      <t>新築はなし</t>
    </r>
    <rPh sb="0" eb="2">
      <t>シンチク</t>
    </rPh>
    <phoneticPr fontId="26"/>
  </si>
  <si>
    <r>
      <t xml:space="preserve">V </t>
    </r>
    <r>
      <rPr>
        <sz val="9"/>
        <rFont val="ＭＳ Ｐゴシック"/>
        <family val="3"/>
        <charset val="128"/>
      </rPr>
      <t>屋外施設等の適切な維持管理（植栽管理を除く）</t>
    </r>
    <rPh sb="2" eb="4">
      <t>オクガイ</t>
    </rPh>
    <rPh sb="4" eb="6">
      <t>シセツ</t>
    </rPh>
    <rPh sb="6" eb="7">
      <t>トウ</t>
    </rPh>
    <rPh sb="8" eb="10">
      <t>テキセツ</t>
    </rPh>
    <rPh sb="11" eb="13">
      <t>イジ</t>
    </rPh>
    <rPh sb="13" eb="15">
      <t>カンリ</t>
    </rPh>
    <rPh sb="16" eb="18">
      <t>ショクサイ</t>
    </rPh>
    <rPh sb="18" eb="20">
      <t>カンリ</t>
    </rPh>
    <rPh sb="21" eb="22">
      <t>ノゾ</t>
    </rPh>
    <phoneticPr fontId="26"/>
  </si>
  <si>
    <r>
      <t xml:space="preserve">7) </t>
    </r>
    <r>
      <rPr>
        <sz val="9"/>
        <rFont val="ＭＳ Ｐゴシック"/>
        <family val="3"/>
        <charset val="128"/>
      </rPr>
      <t>屋外施設等の適切な維持管理の実施
屋外施設等（舗装・ファニチャー等）について適切な維持管理（清掃・洗浄・補修等）が実施されている。</t>
    </r>
    <rPh sb="3" eb="5">
      <t>オクガイ</t>
    </rPh>
    <rPh sb="5" eb="7">
      <t>シセツ</t>
    </rPh>
    <rPh sb="7" eb="8">
      <t>トウ</t>
    </rPh>
    <rPh sb="9" eb="11">
      <t>テキセツ</t>
    </rPh>
    <rPh sb="12" eb="14">
      <t>イジ</t>
    </rPh>
    <rPh sb="14" eb="16">
      <t>カンリ</t>
    </rPh>
    <rPh sb="17" eb="19">
      <t>ジッシ</t>
    </rPh>
    <rPh sb="20" eb="22">
      <t>オクガイ</t>
    </rPh>
    <rPh sb="22" eb="24">
      <t>シセツ</t>
    </rPh>
    <rPh sb="24" eb="25">
      <t>トウ</t>
    </rPh>
    <rPh sb="26" eb="28">
      <t>ホソウ</t>
    </rPh>
    <rPh sb="35" eb="36">
      <t>トウ</t>
    </rPh>
    <rPh sb="41" eb="43">
      <t>テキセツ</t>
    </rPh>
    <rPh sb="44" eb="46">
      <t>イジ</t>
    </rPh>
    <rPh sb="46" eb="48">
      <t>カンリ</t>
    </rPh>
    <rPh sb="49" eb="51">
      <t>セイソウ</t>
    </rPh>
    <rPh sb="52" eb="54">
      <t>センジョウ</t>
    </rPh>
    <rPh sb="55" eb="57">
      <t>ホシュウ</t>
    </rPh>
    <rPh sb="57" eb="58">
      <t>トウ</t>
    </rPh>
    <rPh sb="60" eb="62">
      <t>ジッシ</t>
    </rPh>
    <phoneticPr fontId="26"/>
  </si>
  <si>
    <r>
      <t>1</t>
    </r>
    <r>
      <rPr>
        <sz val="9"/>
        <rFont val="ＭＳ Ｐゴシック"/>
        <family val="3"/>
        <charset val="128"/>
      </rPr>
      <t>）</t>
    </r>
    <r>
      <rPr>
        <sz val="9"/>
        <rFont val="Arial"/>
        <family val="2"/>
      </rPr>
      <t>Participation of building users etc.</t>
    </r>
    <phoneticPr fontId="26"/>
  </si>
  <si>
    <r>
      <t>12-17 points in total from the table of the efforts to be evaluated.</t>
    </r>
    <r>
      <rPr>
        <sz val="9"/>
        <rFont val="ＭＳ Ｐゴシック"/>
        <family val="3"/>
        <charset val="128"/>
      </rPr>
      <t>　</t>
    </r>
  </si>
  <si>
    <r>
      <rPr>
        <sz val="8"/>
        <rFont val="ＭＳ Ｐゴシック"/>
        <family val="3"/>
        <charset val="128"/>
      </rPr>
      <t>　</t>
    </r>
    <r>
      <rPr>
        <sz val="8"/>
        <rFont val="Arial"/>
        <family val="2"/>
      </rPr>
      <t xml:space="preserve">Open space </t>
    </r>
    <phoneticPr fontId="26"/>
  </si>
  <si>
    <r>
      <t>Areas [</t>
    </r>
    <r>
      <rPr>
        <sz val="8"/>
        <rFont val="ＭＳ Ｐゴシック"/>
        <family val="3"/>
        <charset val="128"/>
      </rPr>
      <t>㎡</t>
    </r>
    <r>
      <rPr>
        <sz val="8"/>
        <rFont val="Arial"/>
        <family val="2"/>
      </rPr>
      <t>]</t>
    </r>
    <phoneticPr fontId="26"/>
  </si>
  <si>
    <r>
      <t>2</t>
    </r>
    <r>
      <rPr>
        <sz val="11"/>
        <rFont val="ＭＳ Ｐゴシック"/>
        <family val="3"/>
        <charset val="128"/>
      </rPr>
      <t>～</t>
    </r>
    <r>
      <rPr>
        <sz val="11"/>
        <rFont val="Arial"/>
        <family val="2"/>
      </rPr>
      <t>3</t>
    </r>
  </si>
  <si>
    <r>
      <t xml:space="preserve">Percentage of exterior walls with appropriate materials is
Less than 10% </t>
    </r>
    <r>
      <rPr>
        <sz val="9"/>
        <rFont val="ＭＳ Ｐゴシック"/>
        <family val="3"/>
        <charset val="128"/>
      </rPr>
      <t>　　　　　　　　　　　　</t>
    </r>
    <r>
      <rPr>
        <sz val="9"/>
        <rFont val="Arial"/>
        <family val="2"/>
      </rPr>
      <t xml:space="preserve"> (1 point)
10% or more, less than 20%             (2 points)
20% or more                           (3 points)</t>
    </r>
    <phoneticPr fontId="26"/>
  </si>
  <si>
    <r>
      <rPr>
        <sz val="9"/>
        <rFont val="ＭＳ Ｐゴシック"/>
        <family val="3"/>
        <charset val="128"/>
      </rPr>
      <t>小中</t>
    </r>
    <r>
      <rPr>
        <sz val="9"/>
        <rFont val="Arial"/>
        <family val="2"/>
      </rPr>
      <t>Sch</t>
    </r>
    <r>
      <rPr>
        <sz val="9"/>
        <rFont val="ＭＳ Ｐゴシック"/>
        <family val="3"/>
        <charset val="128"/>
      </rPr>
      <t>校</t>
    </r>
    <phoneticPr fontId="26"/>
  </si>
  <si>
    <r>
      <rPr>
        <sz val="9"/>
        <rFont val="ＭＳ Ｐゴシック"/>
        <family val="3"/>
        <charset val="128"/>
      </rPr>
      <t>一般地域</t>
    </r>
    <rPh sb="0" eb="2">
      <t>イッパン</t>
    </rPh>
    <rPh sb="2" eb="4">
      <t>チイキ</t>
    </rPh>
    <phoneticPr fontId="7"/>
  </si>
  <si>
    <r>
      <rPr>
        <sz val="9"/>
        <rFont val="ＭＳ Ｐゴシック"/>
        <family val="3"/>
        <charset val="128"/>
      </rPr>
      <t>寒冷地域</t>
    </r>
    <rPh sb="0" eb="2">
      <t>カンレイ</t>
    </rPh>
    <rPh sb="2" eb="4">
      <t>チイキ</t>
    </rPh>
    <phoneticPr fontId="26"/>
  </si>
  <si>
    <r>
      <rPr>
        <sz val="9"/>
        <rFont val="ＭＳ Ｐゴシック"/>
        <family val="3"/>
        <charset val="128"/>
      </rPr>
      <t>暑熱地域</t>
    </r>
    <rPh sb="0" eb="2">
      <t>ショネツ</t>
    </rPh>
    <rPh sb="2" eb="4">
      <t>チイキ</t>
    </rPh>
    <phoneticPr fontId="26"/>
  </si>
  <si>
    <r>
      <rPr>
        <sz val="9"/>
        <rFont val="ＭＳ Ｐゴシック"/>
        <family val="3"/>
        <charset val="128"/>
      </rPr>
      <t>レベル３に満たない</t>
    </r>
    <phoneticPr fontId="7"/>
  </si>
  <si>
    <r>
      <rPr>
        <sz val="9"/>
        <rFont val="ＭＳ Ｐゴシック"/>
        <family val="3"/>
        <charset val="128"/>
      </rPr>
      <t>厚さが</t>
    </r>
    <r>
      <rPr>
        <sz val="11"/>
        <rFont val="Arial"/>
        <family val="2"/>
      </rPr>
      <t>20mm</t>
    </r>
    <r>
      <rPr>
        <sz val="9"/>
        <rFont val="ＭＳ Ｐゴシック"/>
        <family val="3"/>
        <charset val="128"/>
      </rPr>
      <t>以上の吹付け硬質ｳﾚﾀﾝﾌｫｰﾑ断熱材その他これに相当する断熱性能を使用し、且つ複層ガラスを使用している</t>
    </r>
    <rPh sb="45" eb="46">
      <t>カ</t>
    </rPh>
    <phoneticPr fontId="26"/>
  </si>
  <si>
    <r>
      <rPr>
        <sz val="9"/>
        <rFont val="ＭＳ Ｐゴシック"/>
        <family val="3"/>
        <charset val="128"/>
      </rPr>
      <t>厚さが</t>
    </r>
    <r>
      <rPr>
        <sz val="9"/>
        <rFont val="Arial"/>
        <family val="2"/>
      </rPr>
      <t>4</t>
    </r>
    <r>
      <rPr>
        <sz val="11"/>
        <rFont val="Arial"/>
        <family val="2"/>
      </rPr>
      <t>0mm</t>
    </r>
    <r>
      <rPr>
        <sz val="9"/>
        <rFont val="ＭＳ Ｐゴシック"/>
        <family val="3"/>
        <charset val="128"/>
      </rPr>
      <t>以上の吹付け硬質ｳﾚﾀﾝﾌｫｰﾑ断熱材その他これに相当する断熱性能を使用し、且つ複層ガラスを使用している</t>
    </r>
    <rPh sb="45" eb="46">
      <t>カ</t>
    </rPh>
    <phoneticPr fontId="26"/>
  </si>
  <si>
    <r>
      <rPr>
        <sz val="9"/>
        <rFont val="ＭＳ Ｐゴシック"/>
        <family val="3"/>
        <charset val="128"/>
      </rPr>
      <t>熱反ガラスを使用し、且つ水平庇１．０ｍ以上が計画されている。又は、高性能熱反ガラスを使用し、かつ水平庇</t>
    </r>
    <r>
      <rPr>
        <sz val="9"/>
        <rFont val="Arial"/>
        <family val="2"/>
      </rPr>
      <t>0.5</t>
    </r>
    <r>
      <rPr>
        <sz val="9"/>
        <rFont val="ＭＳ Ｐゴシック"/>
        <family val="3"/>
        <charset val="128"/>
      </rPr>
      <t>～</t>
    </r>
    <r>
      <rPr>
        <sz val="9"/>
        <rFont val="Arial"/>
        <family val="2"/>
      </rPr>
      <t>1.0</t>
    </r>
    <r>
      <rPr>
        <sz val="9"/>
        <rFont val="ＭＳ Ｐゴシック"/>
        <family val="3"/>
        <charset val="128"/>
      </rPr>
      <t>ｍが計画されている。</t>
    </r>
    <rPh sb="6" eb="8">
      <t>シヨウ</t>
    </rPh>
    <rPh sb="10" eb="11">
      <t>カ</t>
    </rPh>
    <rPh sb="12" eb="14">
      <t>スイヘイ</t>
    </rPh>
    <rPh sb="14" eb="15">
      <t>ヒサシ</t>
    </rPh>
    <rPh sb="22" eb="24">
      <t>ケイカク</t>
    </rPh>
    <rPh sb="30" eb="31">
      <t>マタ</t>
    </rPh>
    <phoneticPr fontId="26"/>
  </si>
  <si>
    <r>
      <rPr>
        <sz val="9"/>
        <rFont val="ＭＳ Ｐゴシック"/>
        <family val="3"/>
        <charset val="128"/>
      </rPr>
      <t>厚さが</t>
    </r>
    <r>
      <rPr>
        <sz val="11"/>
        <rFont val="Arial"/>
        <family val="2"/>
      </rPr>
      <t>20mm</t>
    </r>
    <r>
      <rPr>
        <sz val="9"/>
        <rFont val="ＭＳ Ｐゴシック"/>
        <family val="3"/>
        <charset val="128"/>
      </rPr>
      <t>以上の吹付け硬質ｳﾚﾀﾝﾌｫｰﾑ断熱材その他これに相当する断熱性能を使用し、且つ低放射複層ガラスを使用している</t>
    </r>
    <rPh sb="45" eb="46">
      <t>カ</t>
    </rPh>
    <phoneticPr fontId="26"/>
  </si>
  <si>
    <r>
      <rPr>
        <sz val="9"/>
        <rFont val="ＭＳ Ｐゴシック"/>
        <family val="3"/>
        <charset val="128"/>
      </rPr>
      <t>厚さが</t>
    </r>
    <r>
      <rPr>
        <sz val="9"/>
        <rFont val="Arial"/>
        <family val="2"/>
      </rPr>
      <t>4</t>
    </r>
    <r>
      <rPr>
        <sz val="11"/>
        <rFont val="Arial"/>
        <family val="2"/>
      </rPr>
      <t>0mm</t>
    </r>
    <r>
      <rPr>
        <sz val="9"/>
        <rFont val="ＭＳ Ｐゴシック"/>
        <family val="3"/>
        <charset val="128"/>
      </rPr>
      <t>以上の吹付け硬質ｳﾚﾀﾝﾌｫｰﾑ断熱材その他これに相当する断熱性能を使用し、且つ低放射複層ガラスを使用している</t>
    </r>
    <rPh sb="45" eb="46">
      <t>カ</t>
    </rPh>
    <phoneticPr fontId="26"/>
  </si>
  <si>
    <r>
      <rPr>
        <sz val="9"/>
        <rFont val="ＭＳ Ｐゴシック"/>
        <family val="3"/>
        <charset val="128"/>
      </rPr>
      <t>高性能熱反ガラスを使用し、且つ水平庇１．０ｍ以上が計画されている。</t>
    </r>
    <rPh sb="9" eb="11">
      <t>シヨウ</t>
    </rPh>
    <rPh sb="13" eb="14">
      <t>カ</t>
    </rPh>
    <rPh sb="15" eb="17">
      <t>スイヘイ</t>
    </rPh>
    <rPh sb="17" eb="18">
      <t>ヒサシ</t>
    </rPh>
    <rPh sb="25" eb="27">
      <t>ケイカク</t>
    </rPh>
    <phoneticPr fontId="26"/>
  </si>
  <si>
    <r>
      <rPr>
        <sz val="9"/>
        <rFont val="ＭＳ Ｐゴシック"/>
        <family val="3"/>
        <charset val="128"/>
      </rPr>
      <t>レベル４に加え、ダブルスキン等の断熱に有効な手法が採用されている。</t>
    </r>
    <rPh sb="14" eb="15">
      <t>トウ</t>
    </rPh>
    <rPh sb="16" eb="18">
      <t>ダンネツ</t>
    </rPh>
    <rPh sb="19" eb="21">
      <t>ユウコウ</t>
    </rPh>
    <rPh sb="22" eb="24">
      <t>シュホウ</t>
    </rPh>
    <rPh sb="25" eb="27">
      <t>サイヨウ</t>
    </rPh>
    <phoneticPr fontId="26"/>
  </si>
  <si>
    <r>
      <rPr>
        <sz val="9"/>
        <rFont val="ＭＳ Ｐゴシック"/>
        <family val="3"/>
        <charset val="128"/>
      </rPr>
      <t>レベル４に加え、外ルーバー等の日射遮蔽に有効な手法が採用されている。</t>
    </r>
    <rPh sb="8" eb="9">
      <t>ソト</t>
    </rPh>
    <rPh sb="13" eb="14">
      <t>トウ</t>
    </rPh>
    <rPh sb="15" eb="17">
      <t>ニッシャ</t>
    </rPh>
    <rPh sb="17" eb="19">
      <t>シャヘイ</t>
    </rPh>
    <rPh sb="20" eb="22">
      <t>ユウコウ</t>
    </rPh>
    <rPh sb="23" eb="25">
      <t>シュホウ</t>
    </rPh>
    <rPh sb="26" eb="28">
      <t>サイヨウ</t>
    </rPh>
    <phoneticPr fontId="26"/>
  </si>
  <si>
    <r>
      <t xml:space="preserve">Level 1: [BPI][BPIm] </t>
    </r>
    <r>
      <rPr>
        <sz val="9"/>
        <rFont val="ＭＳ Ｐゴシック"/>
        <family val="3"/>
        <charset val="128"/>
      </rPr>
      <t>≧</t>
    </r>
    <r>
      <rPr>
        <sz val="9"/>
        <rFont val="Arial"/>
        <family val="2"/>
      </rPr>
      <t xml:space="preserve"> 1.03
Level 2: [BPI][BPIm] </t>
    </r>
    <r>
      <rPr>
        <sz val="9"/>
        <rFont val="ＭＳ Ｐゴシック"/>
        <family val="3"/>
        <charset val="128"/>
      </rPr>
      <t>＝</t>
    </r>
    <r>
      <rPr>
        <sz val="9"/>
        <rFont val="Arial"/>
        <family val="2"/>
      </rPr>
      <t xml:space="preserve"> 1.00
Level 3: [BPI][BPIm] </t>
    </r>
    <r>
      <rPr>
        <sz val="9"/>
        <rFont val="ＭＳ Ｐゴシック"/>
        <family val="3"/>
        <charset val="128"/>
      </rPr>
      <t>＝</t>
    </r>
    <r>
      <rPr>
        <sz val="9"/>
        <rFont val="Arial"/>
        <family val="2"/>
      </rPr>
      <t xml:space="preserve"> 0.97
Level 4: [BPI][BPIm] </t>
    </r>
    <r>
      <rPr>
        <sz val="9"/>
        <rFont val="ＭＳ Ｐゴシック"/>
        <family val="3"/>
        <charset val="128"/>
      </rPr>
      <t>＝</t>
    </r>
    <r>
      <rPr>
        <sz val="9"/>
        <rFont val="Arial"/>
        <family val="2"/>
      </rPr>
      <t xml:space="preserve"> 0.90
Level 5: [BPI][BPIm] </t>
    </r>
    <r>
      <rPr>
        <sz val="9"/>
        <rFont val="ＭＳ Ｐゴシック"/>
        <family val="3"/>
        <charset val="128"/>
      </rPr>
      <t>≦</t>
    </r>
    <r>
      <rPr>
        <sz val="9"/>
        <rFont val="Arial"/>
        <family val="2"/>
      </rPr>
      <t xml:space="preserve"> 0.80
Between each level, it is evaluated by linear interpolation to the first decimal place.
</t>
    </r>
    <phoneticPr fontId="26"/>
  </si>
  <si>
    <r>
      <t xml:space="preserve">Level 1: [BPI][BPIm] </t>
    </r>
    <r>
      <rPr>
        <sz val="9"/>
        <rFont val="ＭＳ Ｐゴシック"/>
        <family val="3"/>
        <charset val="128"/>
      </rPr>
      <t>≧</t>
    </r>
    <r>
      <rPr>
        <sz val="9"/>
        <rFont val="Arial"/>
        <family val="2"/>
      </rPr>
      <t xml:space="preserve"> 1.03
Level 2: [BPI][BPIm] </t>
    </r>
    <r>
      <rPr>
        <sz val="9"/>
        <rFont val="ＭＳ Ｐゴシック"/>
        <family val="3"/>
        <charset val="128"/>
      </rPr>
      <t>＝</t>
    </r>
    <r>
      <rPr>
        <sz val="9"/>
        <rFont val="Arial"/>
        <family val="2"/>
      </rPr>
      <t xml:space="preserve"> 1.00
Level 3: [BPI][BPIm] </t>
    </r>
    <r>
      <rPr>
        <sz val="9"/>
        <rFont val="ＭＳ Ｐゴシック"/>
        <family val="3"/>
        <charset val="128"/>
      </rPr>
      <t>＝</t>
    </r>
    <r>
      <rPr>
        <sz val="9"/>
        <rFont val="Arial"/>
        <family val="2"/>
      </rPr>
      <t xml:space="preserve"> 0.97
Level 4: [BPI][BPIm] </t>
    </r>
    <r>
      <rPr>
        <sz val="9"/>
        <rFont val="ＭＳ Ｐゴシック"/>
        <family val="3"/>
        <charset val="128"/>
      </rPr>
      <t>＝</t>
    </r>
    <r>
      <rPr>
        <sz val="9"/>
        <rFont val="Arial"/>
        <family val="2"/>
      </rPr>
      <t xml:space="preserve"> 0.93
Level 5: [BPI][BPIm] </t>
    </r>
    <r>
      <rPr>
        <sz val="9"/>
        <rFont val="ＭＳ Ｐゴシック"/>
        <family val="3"/>
        <charset val="128"/>
      </rPr>
      <t>≦</t>
    </r>
    <r>
      <rPr>
        <sz val="9"/>
        <rFont val="Arial"/>
        <family val="2"/>
      </rPr>
      <t xml:space="preserve"> 0.85
Between each level, it is evaluated by linear interpolation to the first decimal place.</t>
    </r>
    <phoneticPr fontId="26"/>
  </si>
  <si>
    <r>
      <rPr>
        <b/>
        <sz val="12"/>
        <rFont val="ＭＳ Ｐゴシック"/>
        <family val="3"/>
        <charset val="128"/>
      </rPr>
      <t>設計仕様に基づく評価</t>
    </r>
    <phoneticPr fontId="26"/>
  </si>
  <si>
    <r>
      <rPr>
        <sz val="9"/>
        <rFont val="ＭＳ Ｐゴシック"/>
        <family val="3"/>
        <charset val="128"/>
      </rPr>
      <t>【</t>
    </r>
    <r>
      <rPr>
        <sz val="9"/>
        <rFont val="Arial"/>
        <family val="2"/>
      </rPr>
      <t>Non Apt</t>
    </r>
    <r>
      <rPr>
        <sz val="9"/>
        <rFont val="ＭＳ Ｐゴシック"/>
        <family val="3"/>
        <charset val="128"/>
      </rPr>
      <t>】</t>
    </r>
    <phoneticPr fontId="26"/>
  </si>
  <si>
    <r>
      <t xml:space="preserve">[BEI][BEIm] </t>
    </r>
    <r>
      <rPr>
        <sz val="9"/>
        <rFont val="ＭＳ Ｐゴシック"/>
        <family val="3"/>
        <charset val="128"/>
      </rPr>
      <t>≧</t>
    </r>
    <phoneticPr fontId="26"/>
  </si>
  <si>
    <r>
      <t xml:space="preserve">[BEI][BEIm] </t>
    </r>
    <r>
      <rPr>
        <sz val="9"/>
        <rFont val="ＭＳ Ｐゴシック"/>
        <family val="3"/>
        <charset val="128"/>
      </rPr>
      <t>＝</t>
    </r>
    <phoneticPr fontId="26"/>
  </si>
  <si>
    <r>
      <t xml:space="preserve">[BEI*][BEIm*] </t>
    </r>
    <r>
      <rPr>
        <sz val="9"/>
        <rFont val="ＭＳ Ｐゴシック"/>
        <family val="3"/>
        <charset val="128"/>
      </rPr>
      <t>＝</t>
    </r>
    <phoneticPr fontId="26"/>
  </si>
  <si>
    <r>
      <t xml:space="preserve">[BEI][BEIm] </t>
    </r>
    <r>
      <rPr>
        <sz val="9"/>
        <rFont val="ＭＳ Ｐゴシック"/>
        <family val="3"/>
        <charset val="128"/>
      </rPr>
      <t>≧</t>
    </r>
    <r>
      <rPr>
        <sz val="9"/>
        <rFont val="Arial"/>
        <family val="2"/>
      </rPr>
      <t xml:space="preserve"> 0.9</t>
    </r>
    <r>
      <rPr>
        <sz val="9"/>
        <rFont val="ＭＳ Ｐゴシック"/>
        <family val="3"/>
        <charset val="128"/>
      </rPr>
      <t>（</t>
    </r>
    <r>
      <rPr>
        <sz val="9"/>
        <rFont val="Arial"/>
        <family val="2"/>
      </rPr>
      <t>1.1</t>
    </r>
    <r>
      <rPr>
        <sz val="9"/>
        <rFont val="ＭＳ Ｐゴシック"/>
        <family val="3"/>
        <charset val="128"/>
      </rPr>
      <t>）</t>
    </r>
    <phoneticPr fontId="26"/>
  </si>
  <si>
    <r>
      <t xml:space="preserve">[BEI][BEIm] </t>
    </r>
    <r>
      <rPr>
        <sz val="9"/>
        <rFont val="ＭＳ Ｐゴシック"/>
        <family val="3"/>
        <charset val="128"/>
      </rPr>
      <t>＝</t>
    </r>
    <r>
      <rPr>
        <sz val="9"/>
        <rFont val="Arial"/>
        <family val="2"/>
      </rPr>
      <t xml:space="preserve"> 0.8</t>
    </r>
    <r>
      <rPr>
        <sz val="9"/>
        <rFont val="ＭＳ Ｐゴシック"/>
        <family val="3"/>
        <charset val="128"/>
      </rPr>
      <t>（</t>
    </r>
    <r>
      <rPr>
        <sz val="9"/>
        <rFont val="Arial"/>
        <family val="2"/>
      </rPr>
      <t>1.0</t>
    </r>
    <r>
      <rPr>
        <sz val="9"/>
        <rFont val="ＭＳ Ｐゴシック"/>
        <family val="3"/>
        <charset val="128"/>
      </rPr>
      <t>）</t>
    </r>
  </si>
  <si>
    <r>
      <t xml:space="preserve">[BEI][BEIm] </t>
    </r>
    <r>
      <rPr>
        <sz val="9"/>
        <rFont val="ＭＳ Ｐゴシック"/>
        <family val="3"/>
        <charset val="128"/>
      </rPr>
      <t>＝</t>
    </r>
    <r>
      <rPr>
        <sz val="9"/>
        <rFont val="Arial"/>
        <family val="2"/>
      </rPr>
      <t xml:space="preserve"> 0.85</t>
    </r>
    <r>
      <rPr>
        <sz val="9"/>
        <rFont val="ＭＳ Ｐゴシック"/>
        <family val="3"/>
        <charset val="128"/>
      </rPr>
      <t>（</t>
    </r>
    <r>
      <rPr>
        <sz val="9"/>
        <rFont val="Arial"/>
        <family val="2"/>
      </rPr>
      <t>1.0</t>
    </r>
    <r>
      <rPr>
        <sz val="9"/>
        <rFont val="ＭＳ Ｐゴシック"/>
        <family val="3"/>
        <charset val="128"/>
      </rPr>
      <t>）</t>
    </r>
  </si>
  <si>
    <r>
      <t xml:space="preserve">[BEI][BEIm] </t>
    </r>
    <r>
      <rPr>
        <sz val="9"/>
        <rFont val="ＭＳ Ｐゴシック"/>
        <family val="3"/>
        <charset val="128"/>
      </rPr>
      <t>＝</t>
    </r>
    <r>
      <rPr>
        <sz val="9"/>
        <rFont val="Arial"/>
        <family val="2"/>
      </rPr>
      <t xml:space="preserve"> 0.75</t>
    </r>
    <r>
      <rPr>
        <sz val="9"/>
        <rFont val="ＭＳ Ｐゴシック"/>
        <family val="3"/>
        <charset val="128"/>
      </rPr>
      <t>（</t>
    </r>
    <r>
      <rPr>
        <sz val="9"/>
        <rFont val="Arial"/>
        <family val="2"/>
      </rPr>
      <t>1.0</t>
    </r>
    <r>
      <rPr>
        <sz val="9"/>
        <rFont val="ＭＳ Ｐゴシック"/>
        <family val="3"/>
        <charset val="128"/>
      </rPr>
      <t>）</t>
    </r>
  </si>
  <si>
    <r>
      <t xml:space="preserve">[BEI*][BEIm*] </t>
    </r>
    <r>
      <rPr>
        <sz val="9"/>
        <rFont val="ＭＳ Ｐゴシック"/>
        <family val="3"/>
        <charset val="128"/>
      </rPr>
      <t>＝</t>
    </r>
    <r>
      <rPr>
        <sz val="9"/>
        <rFont val="Arial"/>
        <family val="2"/>
      </rPr>
      <t xml:space="preserve"> 0.6</t>
    </r>
  </si>
  <si>
    <r>
      <t xml:space="preserve">[BEI*][BEIm*] </t>
    </r>
    <r>
      <rPr>
        <sz val="9"/>
        <rFont val="ＭＳ Ｐゴシック"/>
        <family val="3"/>
        <charset val="128"/>
      </rPr>
      <t>＝</t>
    </r>
    <r>
      <rPr>
        <sz val="9"/>
        <rFont val="Arial"/>
        <family val="2"/>
      </rPr>
      <t xml:space="preserve"> 0.7</t>
    </r>
  </si>
  <si>
    <r>
      <t xml:space="preserve">[BEI][BEIm] </t>
    </r>
    <r>
      <rPr>
        <sz val="9"/>
        <rFont val="ＭＳ Ｐゴシック"/>
        <family val="3"/>
        <charset val="128"/>
      </rPr>
      <t>＝</t>
    </r>
    <r>
      <rPr>
        <sz val="9"/>
        <rFont val="Arial"/>
        <family val="2"/>
      </rPr>
      <t xml:space="preserve"> 0.5, and [BEI*][BEIm*] </t>
    </r>
    <r>
      <rPr>
        <sz val="9"/>
        <rFont val="ＭＳ Ｐゴシック"/>
        <family val="3"/>
        <charset val="128"/>
      </rPr>
      <t>≦</t>
    </r>
    <r>
      <rPr>
        <sz val="9"/>
        <rFont val="Arial"/>
        <family val="2"/>
      </rPr>
      <t xml:space="preserve"> 0.5</t>
    </r>
    <phoneticPr fontId="26"/>
  </si>
  <si>
    <r>
      <t xml:space="preserve">[BEI][BEIm] </t>
    </r>
    <r>
      <rPr>
        <sz val="9"/>
        <rFont val="ＭＳ Ｐゴシック"/>
        <family val="3"/>
        <charset val="128"/>
      </rPr>
      <t>≦</t>
    </r>
    <r>
      <rPr>
        <sz val="9"/>
        <rFont val="Arial"/>
        <family val="2"/>
      </rPr>
      <t xml:space="preserve"> 0.25, and [BEI*][BEIm*] </t>
    </r>
    <r>
      <rPr>
        <sz val="9"/>
        <rFont val="ＭＳ Ｐゴシック"/>
        <family val="3"/>
        <charset val="128"/>
      </rPr>
      <t>≦</t>
    </r>
    <r>
      <rPr>
        <sz val="9"/>
        <rFont val="Arial"/>
        <family val="2"/>
      </rPr>
      <t xml:space="preserve"> 0.5</t>
    </r>
    <phoneticPr fontId="26"/>
  </si>
  <si>
    <r>
      <t xml:space="preserve">Or, [BEI+] </t>
    </r>
    <r>
      <rPr>
        <sz val="9"/>
        <rFont val="ＭＳ Ｐゴシック"/>
        <family val="3"/>
        <charset val="128"/>
      </rPr>
      <t>≦</t>
    </r>
    <r>
      <rPr>
        <sz val="9"/>
        <rFont val="Arial"/>
        <family val="2"/>
      </rPr>
      <t xml:space="preserve"> 0.25, and [BEI*] </t>
    </r>
    <r>
      <rPr>
        <sz val="9"/>
        <rFont val="ＭＳ Ｐゴシック"/>
        <family val="3"/>
        <charset val="128"/>
      </rPr>
      <t>≦</t>
    </r>
    <r>
      <rPr>
        <sz val="9"/>
        <rFont val="Arial"/>
        <family val="2"/>
      </rPr>
      <t xml:space="preserve"> 0.5, and [BEI]</t>
    </r>
    <r>
      <rPr>
        <sz val="9"/>
        <rFont val="ＭＳ Ｐゴシック"/>
        <family val="3"/>
        <charset val="128"/>
      </rPr>
      <t>＜</t>
    </r>
    <r>
      <rPr>
        <sz val="9"/>
        <rFont val="Arial"/>
        <family val="2"/>
      </rPr>
      <t>[BEI*]</t>
    </r>
    <phoneticPr fontId="26"/>
  </si>
  <si>
    <r>
      <t xml:space="preserve">Primary Energy Consumption Reduction Rate (renewable energy excluded) </t>
    </r>
    <r>
      <rPr>
        <sz val="9"/>
        <rFont val="ＭＳ Ｐゴシック"/>
        <family val="3"/>
        <charset val="128"/>
      </rPr>
      <t>≦</t>
    </r>
    <r>
      <rPr>
        <sz val="9"/>
        <rFont val="Arial"/>
        <family val="2"/>
      </rPr>
      <t xml:space="preserve"> -10</t>
    </r>
    <r>
      <rPr>
        <sz val="9"/>
        <rFont val="ＭＳ Ｐゴシック"/>
        <family val="3"/>
        <charset val="128"/>
      </rPr>
      <t>％</t>
    </r>
    <phoneticPr fontId="26"/>
  </si>
  <si>
    <r>
      <t>Primary Energy Consumption Reduction Rate (renewable energy excluded) = 0</t>
    </r>
    <r>
      <rPr>
        <sz val="9"/>
        <rFont val="ＭＳ Ｐゴシック"/>
        <family val="3"/>
        <charset val="128"/>
      </rPr>
      <t>％</t>
    </r>
    <phoneticPr fontId="26"/>
  </si>
  <si>
    <r>
      <rPr>
        <sz val="9"/>
        <rFont val="ＭＳ Ｐゴシック"/>
        <family val="3"/>
        <charset val="128"/>
      </rPr>
      <t>★</t>
    </r>
    <r>
      <rPr>
        <sz val="9"/>
        <rFont val="Arial"/>
        <family val="2"/>
      </rPr>
      <t xml:space="preserve"> Labeling for Energy Efficiency Performance</t>
    </r>
    <phoneticPr fontId="26"/>
  </si>
  <si>
    <r>
      <t>Primary Energy Consumption Reduction Rate (renewable energy excluded) =10</t>
    </r>
    <r>
      <rPr>
        <sz val="9"/>
        <rFont val="ＭＳ Ｐゴシック"/>
        <family val="3"/>
        <charset val="128"/>
      </rPr>
      <t>％</t>
    </r>
    <phoneticPr fontId="26"/>
  </si>
  <si>
    <r>
      <rPr>
        <sz val="9"/>
        <rFont val="ＭＳ Ｐゴシック"/>
        <family val="3"/>
        <charset val="128"/>
      </rPr>
      <t>★★</t>
    </r>
    <r>
      <rPr>
        <sz val="9"/>
        <rFont val="Arial"/>
        <family val="2"/>
      </rPr>
      <t xml:space="preserve"> Labeling for Energy Efficiency Performance</t>
    </r>
    <phoneticPr fontId="26"/>
  </si>
  <si>
    <r>
      <t xml:space="preserve">Primary Energy Consumption Reduction Rate (renewable energy excluded) </t>
    </r>
    <r>
      <rPr>
        <sz val="9"/>
        <rFont val="ＭＳ Ｐゴシック"/>
        <family val="3"/>
        <charset val="128"/>
      </rPr>
      <t>≧</t>
    </r>
    <r>
      <rPr>
        <sz val="9"/>
        <rFont val="Arial"/>
        <family val="2"/>
      </rPr>
      <t>20</t>
    </r>
    <r>
      <rPr>
        <sz val="9"/>
        <rFont val="ＭＳ Ｐゴシック"/>
        <family val="3"/>
        <charset val="128"/>
      </rPr>
      <t>％</t>
    </r>
    <phoneticPr fontId="26"/>
  </si>
  <si>
    <r>
      <rPr>
        <sz val="9"/>
        <rFont val="ＭＳ Ｐゴシック"/>
        <family val="3"/>
        <charset val="128"/>
      </rPr>
      <t>★★★</t>
    </r>
    <r>
      <rPr>
        <sz val="9"/>
        <rFont val="Arial"/>
        <family val="2"/>
      </rPr>
      <t xml:space="preserve"> Labeling for Energy Efficiency Performance 
Equivalent to ZEH (ZEH-M Oriented)</t>
    </r>
    <phoneticPr fontId="26"/>
  </si>
  <si>
    <r>
      <t xml:space="preserve">Primary Energy Consumption Reduction Rate  (renewable energy excluded) </t>
    </r>
    <r>
      <rPr>
        <sz val="9"/>
        <rFont val="ＭＳ Ｐゴシック"/>
        <family val="3"/>
        <charset val="128"/>
      </rPr>
      <t>≧</t>
    </r>
    <r>
      <rPr>
        <sz val="9"/>
        <rFont val="Arial"/>
        <family val="2"/>
      </rPr>
      <t>20</t>
    </r>
    <r>
      <rPr>
        <sz val="9"/>
        <rFont val="ＭＳ Ｐゴシック"/>
        <family val="3"/>
        <charset val="128"/>
      </rPr>
      <t>％</t>
    </r>
    <r>
      <rPr>
        <sz val="9"/>
        <rFont val="Arial"/>
        <family val="2"/>
      </rPr>
      <t xml:space="preserve">, and 
Primary Energy Consumption Reduction Rate (renewable energy included) </t>
    </r>
    <r>
      <rPr>
        <sz val="9"/>
        <rFont val="ＭＳ Ｐゴシック"/>
        <family val="3"/>
        <charset val="128"/>
      </rPr>
      <t>≧</t>
    </r>
    <r>
      <rPr>
        <sz val="9"/>
        <rFont val="Arial"/>
        <family val="2"/>
      </rPr>
      <t>50%</t>
    </r>
    <phoneticPr fontId="26"/>
  </si>
  <si>
    <r>
      <t xml:space="preserve">Primary Energy Consumption Reduction Rate (renewable energy excluded) </t>
    </r>
    <r>
      <rPr>
        <sz val="9"/>
        <rFont val="ＭＳ Ｐゴシック"/>
        <family val="3"/>
        <charset val="128"/>
      </rPr>
      <t>≧</t>
    </r>
    <r>
      <rPr>
        <sz val="9"/>
        <rFont val="Arial"/>
        <family val="2"/>
      </rPr>
      <t>30</t>
    </r>
    <r>
      <rPr>
        <sz val="9"/>
        <rFont val="ＭＳ Ｐゴシック"/>
        <family val="3"/>
        <charset val="128"/>
      </rPr>
      <t>％</t>
    </r>
    <phoneticPr fontId="26"/>
  </si>
  <si>
    <r>
      <t xml:space="preserve">Applicable only for buildings of more than 6 floors or when effect of introducing renewable energy is low due to reasons such as shade.
</t>
    </r>
    <r>
      <rPr>
        <sz val="9"/>
        <rFont val="ＭＳ Ｐゴシック"/>
        <family val="3"/>
        <charset val="128"/>
      </rPr>
      <t>★★★★</t>
    </r>
    <r>
      <rPr>
        <sz val="9"/>
        <rFont val="Arial"/>
        <family val="2"/>
      </rPr>
      <t xml:space="preserve"> Labeling for Energy Efficiency Performance</t>
    </r>
    <phoneticPr fontId="26"/>
  </si>
  <si>
    <r>
      <t>kW</t>
    </r>
    <r>
      <rPr>
        <sz val="8"/>
        <rFont val="ＭＳ Ｐゴシック"/>
        <family val="3"/>
        <charset val="128"/>
      </rPr>
      <t>　　</t>
    </r>
    <r>
      <rPr>
        <sz val="8"/>
        <rFont val="Arial"/>
        <family val="2"/>
      </rPr>
      <t>Solar heat</t>
    </r>
    <phoneticPr fontId="26"/>
  </si>
  <si>
    <r>
      <t>kW</t>
    </r>
    <r>
      <rPr>
        <sz val="8"/>
        <rFont val="ＭＳ Ｐゴシック"/>
        <family val="3"/>
        <charset val="128"/>
      </rPr>
      <t>　　　</t>
    </r>
    <r>
      <rPr>
        <sz val="8"/>
        <rFont val="Arial"/>
        <family val="2"/>
      </rPr>
      <t>Battery</t>
    </r>
    <phoneticPr fontId="26"/>
  </si>
  <si>
    <r>
      <rPr>
        <b/>
        <sz val="11"/>
        <rFont val="ＭＳ Ｐゴシック"/>
        <family val="3"/>
        <charset val="128"/>
      </rPr>
      <t>（１）　設計仕様に基づく評価の補正</t>
    </r>
    <phoneticPr fontId="26"/>
  </si>
  <si>
    <r>
      <t>[3.1a</t>
    </r>
    <r>
      <rPr>
        <sz val="9"/>
        <rFont val="ＭＳ Ｐゴシック"/>
        <family val="3"/>
        <charset val="128"/>
      </rPr>
      <t>、</t>
    </r>
    <r>
      <rPr>
        <sz val="9"/>
        <rFont val="Arial"/>
        <family val="2"/>
      </rPr>
      <t>3.1b</t>
    </r>
    <r>
      <rPr>
        <sz val="9"/>
        <rFont val="ＭＳ Ｐゴシック"/>
        <family val="3"/>
        <charset val="128"/>
      </rPr>
      <t>による設備システムの高効率化のスコア</t>
    </r>
    <r>
      <rPr>
        <sz val="9"/>
        <rFont val="Arial"/>
        <family val="2"/>
      </rPr>
      <t>]</t>
    </r>
    <r>
      <rPr>
        <sz val="9"/>
        <rFont val="ＭＳ Ｐゴシック"/>
        <family val="3"/>
        <charset val="128"/>
      </rPr>
      <t>が</t>
    </r>
    <r>
      <rPr>
        <sz val="9"/>
        <rFont val="Arial"/>
        <family val="2"/>
      </rPr>
      <t>2.0</t>
    </r>
    <r>
      <rPr>
        <sz val="9"/>
        <rFont val="ＭＳ Ｐゴシック"/>
        <family val="3"/>
        <charset val="128"/>
      </rPr>
      <t>点未満</t>
    </r>
  </si>
  <si>
    <r>
      <t>[3,1a</t>
    </r>
    <r>
      <rPr>
        <sz val="9"/>
        <rFont val="ＭＳ Ｐゴシック"/>
        <family val="3"/>
        <charset val="128"/>
      </rPr>
      <t>、</t>
    </r>
    <r>
      <rPr>
        <sz val="9"/>
        <rFont val="Arial"/>
        <family val="2"/>
      </rPr>
      <t>3.1b</t>
    </r>
    <r>
      <rPr>
        <sz val="9"/>
        <rFont val="ＭＳ Ｐゴシック"/>
        <family val="3"/>
        <charset val="128"/>
      </rPr>
      <t>による設備システムの高効率化のスコア</t>
    </r>
    <r>
      <rPr>
        <sz val="9"/>
        <rFont val="Arial"/>
        <family val="2"/>
      </rPr>
      <t>]</t>
    </r>
    <r>
      <rPr>
        <sz val="9"/>
        <rFont val="ＭＳ Ｐゴシック"/>
        <family val="3"/>
        <charset val="128"/>
      </rPr>
      <t>が</t>
    </r>
    <r>
      <rPr>
        <sz val="9"/>
        <rFont val="Arial"/>
        <family val="2"/>
      </rPr>
      <t>2.0</t>
    </r>
    <r>
      <rPr>
        <sz val="9"/>
        <rFont val="ＭＳ Ｐゴシック"/>
        <family val="3"/>
        <charset val="128"/>
      </rPr>
      <t>点以上</t>
    </r>
  </si>
  <si>
    <r>
      <rPr>
        <sz val="9"/>
        <rFont val="ＭＳ Ｐゴシック"/>
        <family val="3"/>
        <charset val="128"/>
      </rPr>
      <t>スコア</t>
    </r>
    <r>
      <rPr>
        <sz val="9"/>
        <rFont val="Arial"/>
        <family val="2"/>
      </rPr>
      <t>-1.0</t>
    </r>
  </si>
  <si>
    <r>
      <rPr>
        <b/>
        <sz val="11"/>
        <rFont val="ＭＳ Ｐゴシック"/>
        <family val="3"/>
        <charset val="128"/>
      </rPr>
      <t>（２）　実測結果に基づく評価</t>
    </r>
    <phoneticPr fontId="26"/>
  </si>
  <si>
    <r>
      <rPr>
        <sz val="9"/>
        <rFont val="ＭＳ Ｐゴシック"/>
        <family val="3"/>
        <charset val="128"/>
      </rPr>
      <t>（１）によるスコア</t>
    </r>
    <phoneticPr fontId="26"/>
  </si>
  <si>
    <r>
      <rPr>
        <sz val="9"/>
        <rFont val="ＭＳ Ｐゴシック"/>
        <family val="3"/>
        <charset val="128"/>
      </rPr>
      <t>加点あり</t>
    </r>
    <rPh sb="0" eb="2">
      <t>カテン</t>
    </rPh>
    <phoneticPr fontId="26"/>
  </si>
  <si>
    <r>
      <rPr>
        <sz val="9"/>
        <rFont val="ＭＳ Ｐゴシック"/>
        <family val="3"/>
        <charset val="128"/>
      </rPr>
      <t>上下なし</t>
    </r>
    <rPh sb="0" eb="2">
      <t>ジョウゲ</t>
    </rPh>
    <phoneticPr fontId="26"/>
  </si>
  <si>
    <r>
      <rPr>
        <sz val="9"/>
        <rFont val="ＭＳ Ｐゴシック"/>
        <family val="3"/>
        <charset val="128"/>
      </rPr>
      <t>減点あり</t>
    </r>
    <rPh sb="0" eb="2">
      <t>ゲンテン</t>
    </rPh>
    <phoneticPr fontId="26"/>
  </si>
  <si>
    <r>
      <t>1.0</t>
    </r>
    <r>
      <rPr>
        <sz val="9"/>
        <rFont val="ＭＳ Ｐゴシック"/>
        <family val="3"/>
        <charset val="128"/>
      </rPr>
      <t>以上</t>
    </r>
    <r>
      <rPr>
        <sz val="9"/>
        <rFont val="Arial"/>
        <family val="2"/>
      </rPr>
      <t>1.5</t>
    </r>
    <r>
      <rPr>
        <sz val="9"/>
        <rFont val="ＭＳ Ｐゴシック"/>
        <family val="3"/>
        <charset val="128"/>
      </rPr>
      <t>未満</t>
    </r>
  </si>
  <si>
    <r>
      <t>1.5</t>
    </r>
    <r>
      <rPr>
        <sz val="9"/>
        <rFont val="ＭＳ Ｐゴシック"/>
        <family val="3"/>
        <charset val="128"/>
      </rPr>
      <t>以上</t>
    </r>
    <r>
      <rPr>
        <sz val="9"/>
        <rFont val="Arial"/>
        <family val="2"/>
      </rPr>
      <t>2.0</t>
    </r>
    <r>
      <rPr>
        <sz val="9"/>
        <rFont val="ＭＳ Ｐゴシック"/>
        <family val="3"/>
        <charset val="128"/>
      </rPr>
      <t>未満</t>
    </r>
  </si>
  <si>
    <r>
      <t>2.0</t>
    </r>
    <r>
      <rPr>
        <sz val="9"/>
        <rFont val="ＭＳ Ｐゴシック"/>
        <family val="3"/>
        <charset val="128"/>
      </rPr>
      <t>以上</t>
    </r>
    <r>
      <rPr>
        <sz val="9"/>
        <rFont val="Arial"/>
        <family val="2"/>
      </rPr>
      <t>2.5</t>
    </r>
    <r>
      <rPr>
        <sz val="9"/>
        <rFont val="ＭＳ Ｐゴシック"/>
        <family val="3"/>
        <charset val="128"/>
      </rPr>
      <t>未満</t>
    </r>
  </si>
  <si>
    <r>
      <t>2.5</t>
    </r>
    <r>
      <rPr>
        <sz val="9"/>
        <rFont val="ＭＳ Ｐゴシック"/>
        <family val="3"/>
        <charset val="128"/>
      </rPr>
      <t>以上</t>
    </r>
    <r>
      <rPr>
        <sz val="9"/>
        <rFont val="Arial"/>
        <family val="2"/>
      </rPr>
      <t>3.0</t>
    </r>
    <r>
      <rPr>
        <sz val="9"/>
        <rFont val="ＭＳ Ｐゴシック"/>
        <family val="3"/>
        <charset val="128"/>
      </rPr>
      <t>未満</t>
    </r>
  </si>
  <si>
    <r>
      <t>3.0</t>
    </r>
    <r>
      <rPr>
        <sz val="9"/>
        <rFont val="ＭＳ Ｐゴシック"/>
        <family val="3"/>
        <charset val="128"/>
      </rPr>
      <t>以上</t>
    </r>
    <r>
      <rPr>
        <sz val="9"/>
        <rFont val="Arial"/>
        <family val="2"/>
      </rPr>
      <t>3.5</t>
    </r>
    <r>
      <rPr>
        <sz val="9"/>
        <rFont val="ＭＳ Ｐゴシック"/>
        <family val="3"/>
        <charset val="128"/>
      </rPr>
      <t>未満</t>
    </r>
  </si>
  <si>
    <r>
      <t>3.5</t>
    </r>
    <r>
      <rPr>
        <sz val="9"/>
        <rFont val="ＭＳ Ｐゴシック"/>
        <family val="3"/>
        <charset val="128"/>
      </rPr>
      <t>以上</t>
    </r>
    <r>
      <rPr>
        <sz val="9"/>
        <rFont val="Arial"/>
        <family val="2"/>
      </rPr>
      <t>4.0</t>
    </r>
    <r>
      <rPr>
        <sz val="9"/>
        <rFont val="ＭＳ Ｐゴシック"/>
        <family val="3"/>
        <charset val="128"/>
      </rPr>
      <t>未満</t>
    </r>
  </si>
  <si>
    <r>
      <t>3.1</t>
    </r>
    <r>
      <rPr>
        <b/>
        <sz val="12"/>
        <rFont val="ＭＳ Ｐゴシック"/>
        <family val="3"/>
        <charset val="128"/>
      </rPr>
      <t>　空調設備</t>
    </r>
    <rPh sb="4" eb="6">
      <t>クウチョウ</t>
    </rPh>
    <rPh sb="6" eb="8">
      <t>セツビ</t>
    </rPh>
    <phoneticPr fontId="26"/>
  </si>
  <si>
    <r>
      <rPr>
        <sz val="9"/>
        <rFont val="ＭＳ Ｐゴシック"/>
        <family val="3"/>
        <charset val="128"/>
      </rPr>
      <t>基本設計段階</t>
    </r>
    <rPh sb="0" eb="2">
      <t>キホン</t>
    </rPh>
    <rPh sb="2" eb="4">
      <t>セッケイ</t>
    </rPh>
    <rPh sb="4" eb="6">
      <t>ダンカイ</t>
    </rPh>
    <phoneticPr fontId="26"/>
  </si>
  <si>
    <r>
      <rPr>
        <sz val="9"/>
        <rFont val="ＭＳ Ｐゴシック"/>
        <family val="3"/>
        <charset val="128"/>
      </rPr>
      <t>レベル３に満たない</t>
    </r>
    <phoneticPr fontId="26"/>
  </si>
  <si>
    <r>
      <rPr>
        <sz val="9"/>
        <rFont val="ＭＳ Ｐゴシック"/>
        <family val="3"/>
        <charset val="128"/>
      </rPr>
      <t>冷暖房平均</t>
    </r>
    <r>
      <rPr>
        <sz val="9"/>
        <rFont val="Arial"/>
        <family val="2"/>
      </rPr>
      <t>COP</t>
    </r>
    <r>
      <rPr>
        <sz val="9"/>
        <rFont val="ＭＳ Ｐゴシック"/>
        <family val="3"/>
        <charset val="128"/>
      </rPr>
      <t>が</t>
    </r>
    <r>
      <rPr>
        <sz val="9"/>
        <rFont val="Arial"/>
        <family val="2"/>
      </rPr>
      <t>1.25</t>
    </r>
    <r>
      <rPr>
        <sz val="9"/>
        <rFont val="ＭＳ Ｐゴシック"/>
        <family val="3"/>
        <charset val="128"/>
      </rPr>
      <t>以上の熱源機器を採用</t>
    </r>
    <phoneticPr fontId="26"/>
  </si>
  <si>
    <r>
      <rPr>
        <sz val="9"/>
        <rFont val="ＭＳ Ｐゴシック"/>
        <family val="3"/>
        <charset val="128"/>
      </rPr>
      <t>レベル３に加え、空調対象面積の</t>
    </r>
    <r>
      <rPr>
        <sz val="9"/>
        <rFont val="Arial"/>
        <family val="2"/>
      </rPr>
      <t>50</t>
    </r>
    <r>
      <rPr>
        <sz val="9"/>
        <rFont val="ＭＳ Ｐゴシック"/>
        <family val="3"/>
        <charset val="128"/>
      </rPr>
      <t>％以上に全熱交換器を採用</t>
    </r>
    <phoneticPr fontId="26"/>
  </si>
  <si>
    <r>
      <rPr>
        <sz val="9"/>
        <rFont val="ＭＳ Ｐゴシック"/>
        <family val="3"/>
        <charset val="128"/>
      </rPr>
      <t>レベル４に加え、地中熱や井水、太陽熱、顕熱潜熱分離等の更なる効率化が図られている。</t>
    </r>
    <rPh sb="8" eb="10">
      <t>チチュウ</t>
    </rPh>
    <rPh sb="10" eb="11">
      <t>ネツ</t>
    </rPh>
    <rPh sb="12" eb="13">
      <t>イ</t>
    </rPh>
    <rPh sb="13" eb="14">
      <t>スイ</t>
    </rPh>
    <rPh sb="15" eb="18">
      <t>タイヨウネツ</t>
    </rPh>
    <rPh sb="19" eb="20">
      <t>ケン</t>
    </rPh>
    <rPh sb="20" eb="21">
      <t>ネツ</t>
    </rPh>
    <rPh sb="21" eb="22">
      <t>セン</t>
    </rPh>
    <rPh sb="22" eb="23">
      <t>ネツ</t>
    </rPh>
    <rPh sb="23" eb="25">
      <t>ブンリ</t>
    </rPh>
    <rPh sb="25" eb="26">
      <t>トウ</t>
    </rPh>
    <rPh sb="27" eb="28">
      <t>サラ</t>
    </rPh>
    <rPh sb="30" eb="33">
      <t>コウリツカ</t>
    </rPh>
    <rPh sb="34" eb="35">
      <t>ハカ</t>
    </rPh>
    <phoneticPr fontId="26"/>
  </si>
  <si>
    <r>
      <t>3.2</t>
    </r>
    <r>
      <rPr>
        <b/>
        <sz val="12"/>
        <rFont val="ＭＳ Ｐゴシック"/>
        <family val="3"/>
        <charset val="128"/>
      </rPr>
      <t>　換気設備</t>
    </r>
    <rPh sb="4" eb="6">
      <t>カンキ</t>
    </rPh>
    <rPh sb="6" eb="8">
      <t>セツビ</t>
    </rPh>
    <phoneticPr fontId="26"/>
  </si>
  <si>
    <r>
      <t>&lt;</t>
    </r>
    <r>
      <rPr>
        <sz val="9"/>
        <rFont val="ＭＳ Ｐゴシック"/>
        <family val="3"/>
        <charset val="128"/>
      </rPr>
      <t>評価しない</t>
    </r>
    <r>
      <rPr>
        <sz val="9"/>
        <rFont val="Arial"/>
        <family val="2"/>
      </rPr>
      <t>&gt;</t>
    </r>
    <rPh sb="1" eb="3">
      <t>ヒョウカ</t>
    </rPh>
    <phoneticPr fontId="26"/>
  </si>
  <si>
    <r>
      <t>3.3</t>
    </r>
    <r>
      <rPr>
        <b/>
        <sz val="12"/>
        <rFont val="ＭＳ Ｐゴシック"/>
        <family val="3"/>
        <charset val="128"/>
      </rPr>
      <t>　照明設備</t>
    </r>
    <rPh sb="4" eb="6">
      <t>ショウメイ</t>
    </rPh>
    <rPh sb="6" eb="8">
      <t>セツビ</t>
    </rPh>
    <phoneticPr fontId="26"/>
  </si>
  <si>
    <r>
      <rPr>
        <sz val="9"/>
        <rFont val="ＭＳ Ｐゴシック"/>
        <family val="3"/>
        <charset val="128"/>
      </rPr>
      <t>＜７種類の制御方式＞
カード・センサー等による在室検知制御、明るさ感知による自動点滅制御、適正照度制御（初期照度補正）、タイムスケジュール制御、昼光利用照明制御、ゾーニング制御、局所制御</t>
    </r>
    <phoneticPr fontId="26"/>
  </si>
  <si>
    <r>
      <t>Hf(</t>
    </r>
    <r>
      <rPr>
        <sz val="9"/>
        <rFont val="ＭＳ Ｐゴシック"/>
        <family val="3"/>
        <charset val="128"/>
      </rPr>
      <t>高周波点灯専用型）が採用されている。</t>
    </r>
    <rPh sb="13" eb="15">
      <t>サイヨウ</t>
    </rPh>
    <phoneticPr fontId="7"/>
  </si>
  <si>
    <r>
      <rPr>
        <sz val="9"/>
        <rFont val="ＭＳ Ｐゴシック"/>
        <family val="3"/>
        <charset val="128"/>
      </rPr>
      <t>レベル３に加え、７種類のうち２種類以上採用されている。</t>
    </r>
    <phoneticPr fontId="7"/>
  </si>
  <si>
    <r>
      <rPr>
        <sz val="9"/>
        <rFont val="ＭＳ Ｐゴシック"/>
        <family val="3"/>
        <charset val="128"/>
      </rPr>
      <t>レベル３に加え、７種類のうち４種類以上採用されている。</t>
    </r>
    <phoneticPr fontId="7"/>
  </si>
  <si>
    <r>
      <t>3.4</t>
    </r>
    <r>
      <rPr>
        <b/>
        <sz val="12"/>
        <rFont val="ＭＳ Ｐゴシック"/>
        <family val="3"/>
        <charset val="128"/>
      </rPr>
      <t>　給湯設備</t>
    </r>
    <rPh sb="4" eb="6">
      <t>キュウトウ</t>
    </rPh>
    <rPh sb="6" eb="8">
      <t>セツビ</t>
    </rPh>
    <phoneticPr fontId="26"/>
  </si>
  <si>
    <r>
      <t>3.5</t>
    </r>
    <r>
      <rPr>
        <b/>
        <sz val="12"/>
        <rFont val="ＭＳ Ｐゴシック"/>
        <family val="3"/>
        <charset val="128"/>
      </rPr>
      <t>　昇降機設備</t>
    </r>
    <rPh sb="4" eb="7">
      <t>ショウコウキ</t>
    </rPh>
    <rPh sb="7" eb="9">
      <t>セツビ</t>
    </rPh>
    <phoneticPr fontId="26"/>
  </si>
  <si>
    <r>
      <t>It must be possible to identify the annual consumption of each kind of energy used in the building and use the base unit for energy consumption*</t>
    </r>
    <r>
      <rPr>
        <vertAlign val="superscript"/>
        <sz val="9"/>
        <rFont val="Arial"/>
        <family val="2"/>
      </rPr>
      <t>1</t>
    </r>
    <r>
      <rPr>
        <sz val="9"/>
        <rFont val="Arial"/>
        <family val="2"/>
      </rPr>
      <t xml:space="preserve">, or other means, for benchmark comparison. </t>
    </r>
    <phoneticPr fontId="26"/>
  </si>
  <si>
    <r>
      <t>In addition to level 2, the breakdown of energy consumption by major application*</t>
    </r>
    <r>
      <rPr>
        <vertAlign val="superscript"/>
        <sz val="9"/>
        <rFont val="Arial"/>
        <family val="2"/>
      </rPr>
      <t>2</t>
    </r>
    <r>
      <rPr>
        <sz val="9"/>
        <rFont val="Arial"/>
        <family val="2"/>
      </rPr>
      <t xml:space="preserve"> does not meet the requirements of Level 4 (1/4~1/2 of the total breakdown) or the system efficiency*</t>
    </r>
    <r>
      <rPr>
        <vertAlign val="superscript"/>
        <sz val="9"/>
        <rFont val="Arial"/>
        <family val="2"/>
      </rPr>
      <t>3</t>
    </r>
    <r>
      <rPr>
        <sz val="9"/>
        <rFont val="Arial"/>
        <family val="2"/>
      </rPr>
      <t xml:space="preserve"> evaluation does not meet the requirements of Level 5 (2~3 types).</t>
    </r>
    <phoneticPr fontId="26"/>
  </si>
  <si>
    <r>
      <t>In addition to level 3, the breakdown of energy consumption by major application*</t>
    </r>
    <r>
      <rPr>
        <vertAlign val="superscript"/>
        <sz val="9"/>
        <rFont val="Arial"/>
        <family val="2"/>
      </rPr>
      <t>2</t>
    </r>
    <r>
      <rPr>
        <sz val="9"/>
        <rFont val="Arial"/>
        <family val="2"/>
      </rPr>
      <t xml:space="preserve"> must be identified, trends in consumption identified and analyzed, and their appropriateness confirmed.</t>
    </r>
    <phoneticPr fontId="26"/>
  </si>
  <si>
    <r>
      <t>In addition to level 4, the system efficiency*</t>
    </r>
    <r>
      <rPr>
        <vertAlign val="superscript"/>
        <sz val="9"/>
        <rFont val="Arial"/>
        <family val="2"/>
      </rPr>
      <t>3</t>
    </r>
    <r>
      <rPr>
        <sz val="9"/>
        <rFont val="Arial"/>
        <family val="2"/>
      </rPr>
      <t xml:space="preserve"> of major equipment systems must be evaluated in order to evaluate the performance of the systems.</t>
    </r>
    <phoneticPr fontId="26"/>
  </si>
  <si>
    <r>
      <t>Sch(Public E.S./ Public J.H.S),Rtl,Rst,Hal,Hsp,Htl</t>
    </r>
    <r>
      <rPr>
        <sz val="9"/>
        <rFont val="ＭＳ Ｐゴシック"/>
        <family val="3"/>
        <charset val="128"/>
      </rPr>
      <t>【</t>
    </r>
    <r>
      <rPr>
        <sz val="9"/>
        <rFont val="Arial"/>
        <family val="2"/>
      </rPr>
      <t>&lt;2000</t>
    </r>
    <r>
      <rPr>
        <sz val="9"/>
        <rFont val="ＭＳ Ｐゴシック"/>
        <family val="3"/>
        <charset val="128"/>
      </rPr>
      <t>㎡】</t>
    </r>
    <phoneticPr fontId="26"/>
  </si>
  <si>
    <r>
      <rPr>
        <sz val="11"/>
        <rFont val="ＭＳ Ｐゴシック"/>
        <family val="3"/>
        <charset val="128"/>
      </rPr>
      <t>既存は</t>
    </r>
    <r>
      <rPr>
        <sz val="11"/>
        <rFont val="Arial"/>
        <family val="2"/>
      </rPr>
      <t>Off</t>
    </r>
    <r>
      <rPr>
        <sz val="11"/>
        <rFont val="ＭＳ Ｐゴシック"/>
        <family val="3"/>
        <charset val="128"/>
      </rPr>
      <t>務所のみ評価</t>
    </r>
    <rPh sb="0" eb="2">
      <t>キソン</t>
    </rPh>
    <rPh sb="7" eb="8">
      <t>ショ</t>
    </rPh>
    <rPh sb="10" eb="12">
      <t>ヒョウカ</t>
    </rPh>
    <phoneticPr fontId="26"/>
  </si>
  <si>
    <t>1.2.2 Space for Refreshment</t>
    <phoneticPr fontId="26"/>
  </si>
  <si>
    <r>
      <rPr>
        <b/>
        <sz val="9"/>
        <rFont val="ＭＳ Ｐゴシック"/>
        <family val="3"/>
        <charset val="128"/>
      </rPr>
      <t>　</t>
    </r>
  </si>
  <si>
    <t>1.3.1 Design That Considers Maintenance</t>
    <phoneticPr fontId="26"/>
  </si>
  <si>
    <r>
      <rPr>
        <sz val="11"/>
        <rFont val="ＭＳ Ｐゴシック"/>
        <family val="3"/>
        <charset val="128"/>
      </rPr>
      <t>新築</t>
    </r>
    <rPh sb="0" eb="2">
      <t>シンチク</t>
    </rPh>
    <phoneticPr fontId="26"/>
  </si>
  <si>
    <r>
      <rPr>
        <sz val="11"/>
        <rFont val="ＭＳ Ｐゴシック"/>
        <family val="3"/>
        <charset val="128"/>
      </rPr>
      <t>既存</t>
    </r>
    <rPh sb="0" eb="2">
      <t>キゾン</t>
    </rPh>
    <phoneticPr fontId="26"/>
  </si>
  <si>
    <r>
      <t>(</t>
    </r>
    <r>
      <rPr>
        <sz val="11"/>
        <rFont val="ＭＳ Ｐゴシック"/>
        <family val="3"/>
        <charset val="128"/>
      </rPr>
      <t>該当するレベルなし</t>
    </r>
    <r>
      <rPr>
        <sz val="11"/>
        <rFont val="Arial"/>
        <family val="2"/>
      </rPr>
      <t>)</t>
    </r>
  </si>
  <si>
    <r>
      <t>(</t>
    </r>
    <r>
      <rPr>
        <sz val="11"/>
        <color theme="8" tint="-0.249977111117893"/>
        <rFont val="ＭＳ Ｐゴシック"/>
        <family val="3"/>
        <charset val="128"/>
      </rPr>
      <t>該当するレベルなし</t>
    </r>
    <r>
      <rPr>
        <sz val="11"/>
        <color theme="8" tint="-0.249977111117893"/>
        <rFont val="Arial"/>
        <family val="2"/>
      </rPr>
      <t>)</t>
    </r>
  </si>
  <si>
    <r>
      <rPr>
        <sz val="11"/>
        <rFont val="ＭＳ Ｐゴシック"/>
        <family val="3"/>
        <charset val="128"/>
      </rPr>
      <t>維持管理に配慮した設計において、取り組みにおいて該当する項目数が十分でない。（評価する取組みが</t>
    </r>
    <r>
      <rPr>
        <sz val="11"/>
        <rFont val="Arial"/>
        <family val="2"/>
      </rPr>
      <t xml:space="preserve"> 0</t>
    </r>
    <r>
      <rPr>
        <sz val="11"/>
        <rFont val="ＭＳ Ｐゴシック"/>
        <family val="3"/>
        <charset val="128"/>
      </rPr>
      <t>～</t>
    </r>
    <r>
      <rPr>
        <sz val="11"/>
        <rFont val="Arial"/>
        <family val="2"/>
      </rPr>
      <t>2</t>
    </r>
    <r>
      <rPr>
        <sz val="11"/>
        <rFont val="ＭＳ Ｐゴシック"/>
        <family val="3"/>
        <charset val="128"/>
      </rPr>
      <t>）</t>
    </r>
    <rPh sb="0" eb="2">
      <t>イジ</t>
    </rPh>
    <rPh sb="2" eb="4">
      <t>カンリ</t>
    </rPh>
    <rPh sb="5" eb="7">
      <t>ハイリョ</t>
    </rPh>
    <rPh sb="9" eb="11">
      <t>セッケイ</t>
    </rPh>
    <rPh sb="16" eb="17">
      <t>ト</t>
    </rPh>
    <rPh sb="18" eb="19">
      <t>ク</t>
    </rPh>
    <rPh sb="32" eb="34">
      <t>ジュウブン</t>
    </rPh>
    <rPh sb="39" eb="41">
      <t>ヒョウカ</t>
    </rPh>
    <rPh sb="43" eb="45">
      <t>トリク</t>
    </rPh>
    <phoneticPr fontId="26"/>
  </si>
  <si>
    <r>
      <rPr>
        <sz val="11"/>
        <color theme="8" tint="-0.249977111117893"/>
        <rFont val="ＭＳ Ｐゴシック"/>
        <family val="3"/>
        <charset val="128"/>
      </rPr>
      <t>維持管理に配慮した設計において、取り組みにおいて該当する項目数が十分でない。（評価する取組みが</t>
    </r>
    <r>
      <rPr>
        <sz val="11"/>
        <color theme="8" tint="-0.249977111117893"/>
        <rFont val="Arial"/>
        <family val="2"/>
      </rPr>
      <t xml:space="preserve"> 0</t>
    </r>
    <r>
      <rPr>
        <sz val="11"/>
        <color theme="8" tint="-0.249977111117893"/>
        <rFont val="ＭＳ Ｐゴシック"/>
        <family val="3"/>
        <charset val="128"/>
      </rPr>
      <t>～</t>
    </r>
    <r>
      <rPr>
        <sz val="11"/>
        <color theme="8" tint="-0.249977111117893"/>
        <rFont val="Arial"/>
        <family val="2"/>
      </rPr>
      <t>2</t>
    </r>
    <r>
      <rPr>
        <sz val="11"/>
        <color theme="8" tint="-0.249977111117893"/>
        <rFont val="ＭＳ Ｐゴシック"/>
        <family val="3"/>
        <charset val="128"/>
      </rPr>
      <t>）</t>
    </r>
    <rPh sb="0" eb="2">
      <t>イジ</t>
    </rPh>
    <rPh sb="2" eb="4">
      <t>カンリ</t>
    </rPh>
    <rPh sb="5" eb="7">
      <t>ハイリョ</t>
    </rPh>
    <rPh sb="9" eb="11">
      <t>セッケイ</t>
    </rPh>
    <rPh sb="16" eb="17">
      <t>ト</t>
    </rPh>
    <rPh sb="18" eb="19">
      <t>ク</t>
    </rPh>
    <rPh sb="32" eb="34">
      <t>ジュウブン</t>
    </rPh>
    <rPh sb="39" eb="41">
      <t>ヒョウカ</t>
    </rPh>
    <rPh sb="43" eb="45">
      <t>トリク</t>
    </rPh>
    <phoneticPr fontId="26"/>
  </si>
  <si>
    <r>
      <rPr>
        <sz val="11"/>
        <rFont val="ＭＳ Ｐゴシック"/>
        <family val="3"/>
        <charset val="128"/>
      </rPr>
      <t>維持管理に配慮した設計において、取り組みにおいて該当する項目数が標準である。（評価する取組みが</t>
    </r>
    <r>
      <rPr>
        <sz val="11"/>
        <rFont val="Arial"/>
        <family val="2"/>
      </rPr>
      <t xml:space="preserve"> 3</t>
    </r>
    <r>
      <rPr>
        <sz val="11"/>
        <rFont val="ＭＳ Ｐゴシック"/>
        <family val="3"/>
        <charset val="128"/>
      </rPr>
      <t>～</t>
    </r>
    <r>
      <rPr>
        <sz val="11"/>
        <rFont val="Arial"/>
        <family val="2"/>
      </rPr>
      <t>5</t>
    </r>
    <r>
      <rPr>
        <sz val="11"/>
        <rFont val="ＭＳ Ｐゴシック"/>
        <family val="3"/>
        <charset val="128"/>
      </rPr>
      <t>）</t>
    </r>
    <rPh sb="0" eb="2">
      <t>イジ</t>
    </rPh>
    <rPh sb="2" eb="4">
      <t>カンリ</t>
    </rPh>
    <rPh sb="5" eb="7">
      <t>ハイリョ</t>
    </rPh>
    <rPh sb="9" eb="11">
      <t>セッケイ</t>
    </rPh>
    <rPh sb="16" eb="17">
      <t>ト</t>
    </rPh>
    <rPh sb="18" eb="19">
      <t>ク</t>
    </rPh>
    <rPh sb="32" eb="34">
      <t>ヒョウジュン</t>
    </rPh>
    <rPh sb="39" eb="41">
      <t>ヒョウカ</t>
    </rPh>
    <rPh sb="43" eb="45">
      <t>トリク</t>
    </rPh>
    <phoneticPr fontId="26"/>
  </si>
  <si>
    <r>
      <rPr>
        <sz val="11"/>
        <color theme="8" tint="-0.249977111117893"/>
        <rFont val="ＭＳ Ｐゴシック"/>
        <family val="3"/>
        <charset val="128"/>
      </rPr>
      <t>維持管理に配慮した設計において、取り組みにおいて該当する項目数が標準である。（評価する取組みが</t>
    </r>
    <r>
      <rPr>
        <sz val="11"/>
        <color theme="8" tint="-0.249977111117893"/>
        <rFont val="Arial"/>
        <family val="2"/>
      </rPr>
      <t xml:space="preserve"> 3</t>
    </r>
    <r>
      <rPr>
        <sz val="11"/>
        <color theme="8" tint="-0.249977111117893"/>
        <rFont val="ＭＳ Ｐゴシック"/>
        <family val="3"/>
        <charset val="128"/>
      </rPr>
      <t>～</t>
    </r>
    <r>
      <rPr>
        <sz val="11"/>
        <color theme="8" tint="-0.249977111117893"/>
        <rFont val="Arial"/>
        <family val="2"/>
      </rPr>
      <t>5</t>
    </r>
    <r>
      <rPr>
        <sz val="11"/>
        <color theme="8" tint="-0.249977111117893"/>
        <rFont val="ＭＳ Ｐゴシック"/>
        <family val="3"/>
        <charset val="128"/>
      </rPr>
      <t>）</t>
    </r>
    <rPh sb="0" eb="2">
      <t>イジ</t>
    </rPh>
    <rPh sb="2" eb="4">
      <t>カンリ</t>
    </rPh>
    <rPh sb="5" eb="7">
      <t>ハイリョ</t>
    </rPh>
    <rPh sb="9" eb="11">
      <t>セッケイ</t>
    </rPh>
    <rPh sb="16" eb="17">
      <t>ト</t>
    </rPh>
    <rPh sb="18" eb="19">
      <t>ク</t>
    </rPh>
    <rPh sb="32" eb="34">
      <t>ヒョウジュン</t>
    </rPh>
    <rPh sb="39" eb="41">
      <t>ヒョウカ</t>
    </rPh>
    <rPh sb="43" eb="45">
      <t>トリク</t>
    </rPh>
    <phoneticPr fontId="26"/>
  </si>
  <si>
    <r>
      <rPr>
        <sz val="11"/>
        <rFont val="ＭＳ Ｐゴシック"/>
        <family val="3"/>
        <charset val="128"/>
      </rPr>
      <t>維持管理に配慮した設計において、取り組みにおいて該当する項目数が標準以上である。（評価する取組みが</t>
    </r>
    <r>
      <rPr>
        <sz val="11"/>
        <rFont val="Arial"/>
        <family val="2"/>
      </rPr>
      <t xml:space="preserve"> 6</t>
    </r>
    <r>
      <rPr>
        <sz val="11"/>
        <rFont val="ＭＳ Ｐゴシック"/>
        <family val="3"/>
        <charset val="128"/>
      </rPr>
      <t>～</t>
    </r>
    <r>
      <rPr>
        <sz val="11"/>
        <rFont val="Arial"/>
        <family val="2"/>
      </rPr>
      <t>8</t>
    </r>
    <r>
      <rPr>
        <sz val="11"/>
        <rFont val="ＭＳ Ｐゴシック"/>
        <family val="3"/>
        <charset val="128"/>
      </rPr>
      <t>）</t>
    </r>
    <rPh sb="0" eb="2">
      <t>イジ</t>
    </rPh>
    <rPh sb="2" eb="4">
      <t>カンリ</t>
    </rPh>
    <rPh sb="5" eb="7">
      <t>ハイリョ</t>
    </rPh>
    <rPh sb="9" eb="11">
      <t>セッケイ</t>
    </rPh>
    <rPh sb="16" eb="17">
      <t>ト</t>
    </rPh>
    <rPh sb="18" eb="19">
      <t>ク</t>
    </rPh>
    <rPh sb="32" eb="34">
      <t>ヒョウジュン</t>
    </rPh>
    <rPh sb="34" eb="36">
      <t>イジョウ</t>
    </rPh>
    <rPh sb="41" eb="43">
      <t>ヒョウカ</t>
    </rPh>
    <rPh sb="45" eb="47">
      <t>トリク</t>
    </rPh>
    <phoneticPr fontId="26"/>
  </si>
  <si>
    <r>
      <rPr>
        <sz val="11"/>
        <color theme="8" tint="-0.249977111117893"/>
        <rFont val="ＭＳ Ｐゴシック"/>
        <family val="3"/>
        <charset val="128"/>
      </rPr>
      <t>維持管理に配慮した設計において、取り組みにおいて該当する項目数が標準以上である。（評価する取組みが</t>
    </r>
    <r>
      <rPr>
        <sz val="11"/>
        <color theme="8" tint="-0.249977111117893"/>
        <rFont val="Arial"/>
        <family val="2"/>
      </rPr>
      <t xml:space="preserve"> 6</t>
    </r>
    <r>
      <rPr>
        <sz val="11"/>
        <color theme="8" tint="-0.249977111117893"/>
        <rFont val="ＭＳ Ｐゴシック"/>
        <family val="3"/>
        <charset val="128"/>
      </rPr>
      <t>～</t>
    </r>
    <r>
      <rPr>
        <sz val="11"/>
        <color theme="8" tint="-0.249977111117893"/>
        <rFont val="Arial"/>
        <family val="2"/>
      </rPr>
      <t>8</t>
    </r>
    <r>
      <rPr>
        <sz val="11"/>
        <color theme="8" tint="-0.249977111117893"/>
        <rFont val="ＭＳ Ｐゴシック"/>
        <family val="3"/>
        <charset val="128"/>
      </rPr>
      <t>）</t>
    </r>
    <rPh sb="0" eb="2">
      <t>イジ</t>
    </rPh>
    <rPh sb="2" eb="4">
      <t>カンリ</t>
    </rPh>
    <rPh sb="5" eb="7">
      <t>ハイリョ</t>
    </rPh>
    <rPh sb="9" eb="11">
      <t>セッケイ</t>
    </rPh>
    <rPh sb="16" eb="17">
      <t>ト</t>
    </rPh>
    <rPh sb="18" eb="19">
      <t>ク</t>
    </rPh>
    <rPh sb="32" eb="34">
      <t>ヒョウジュン</t>
    </rPh>
    <rPh sb="34" eb="36">
      <t>イジョウ</t>
    </rPh>
    <rPh sb="41" eb="43">
      <t>ヒョウカ</t>
    </rPh>
    <rPh sb="45" eb="47">
      <t>トリク</t>
    </rPh>
    <phoneticPr fontId="26"/>
  </si>
  <si>
    <r>
      <rPr>
        <sz val="11"/>
        <rFont val="ＭＳ Ｐゴシック"/>
        <family val="3"/>
        <charset val="128"/>
      </rPr>
      <t>維持管理に配慮した設計において、充実した取り組みにおいて該当する項目数が行われている。（評価する取組みが</t>
    </r>
    <r>
      <rPr>
        <sz val="11"/>
        <rFont val="Arial"/>
        <family val="2"/>
      </rPr>
      <t xml:space="preserve"> 9</t>
    </r>
    <r>
      <rPr>
        <sz val="11"/>
        <rFont val="ＭＳ Ｐゴシック"/>
        <family val="3"/>
        <charset val="128"/>
      </rPr>
      <t>～）</t>
    </r>
    <rPh sb="0" eb="2">
      <t>イジ</t>
    </rPh>
    <rPh sb="2" eb="4">
      <t>カンリ</t>
    </rPh>
    <rPh sb="5" eb="7">
      <t>ハイリョ</t>
    </rPh>
    <rPh sb="9" eb="11">
      <t>セッケイ</t>
    </rPh>
    <rPh sb="16" eb="18">
      <t>ジュウジツ</t>
    </rPh>
    <rPh sb="20" eb="21">
      <t>ト</t>
    </rPh>
    <rPh sb="22" eb="23">
      <t>ク</t>
    </rPh>
    <rPh sb="36" eb="37">
      <t>オコナ</t>
    </rPh>
    <rPh sb="44" eb="46">
      <t>ヒョウカ</t>
    </rPh>
    <rPh sb="48" eb="50">
      <t>トリク</t>
    </rPh>
    <phoneticPr fontId="26"/>
  </si>
  <si>
    <r>
      <rPr>
        <sz val="11"/>
        <color theme="8" tint="-0.249977111117893"/>
        <rFont val="ＭＳ Ｐゴシック"/>
        <family val="3"/>
        <charset val="128"/>
      </rPr>
      <t>維持管理に配慮した設計において、充実した取り組みにおいて該当する項目数が行われている。（評価する取組みが</t>
    </r>
    <r>
      <rPr>
        <sz val="11"/>
        <color theme="8" tint="-0.249977111117893"/>
        <rFont val="Arial"/>
        <family val="2"/>
      </rPr>
      <t xml:space="preserve"> 9</t>
    </r>
    <r>
      <rPr>
        <sz val="11"/>
        <color theme="8" tint="-0.249977111117893"/>
        <rFont val="ＭＳ Ｐゴシック"/>
        <family val="3"/>
        <charset val="128"/>
      </rPr>
      <t>～）</t>
    </r>
    <rPh sb="0" eb="2">
      <t>イジ</t>
    </rPh>
    <rPh sb="2" eb="4">
      <t>カンリ</t>
    </rPh>
    <rPh sb="5" eb="7">
      <t>ハイリョ</t>
    </rPh>
    <rPh sb="9" eb="11">
      <t>セッケイ</t>
    </rPh>
    <rPh sb="16" eb="18">
      <t>ジュウジツ</t>
    </rPh>
    <rPh sb="20" eb="21">
      <t>ト</t>
    </rPh>
    <rPh sb="22" eb="23">
      <t>ク</t>
    </rPh>
    <rPh sb="36" eb="37">
      <t>オコナ</t>
    </rPh>
    <rPh sb="44" eb="46">
      <t>ヒョウカ</t>
    </rPh>
    <rPh sb="48" eb="50">
      <t>トリク</t>
    </rPh>
    <phoneticPr fontId="26"/>
  </si>
  <si>
    <r>
      <rPr>
        <sz val="11"/>
        <rFont val="ＭＳ Ｐゴシック"/>
        <family val="3"/>
        <charset val="128"/>
      </rPr>
      <t>既存</t>
    </r>
    <rPh sb="0" eb="2">
      <t>キソン</t>
    </rPh>
    <phoneticPr fontId="26"/>
  </si>
  <si>
    <r>
      <rPr>
        <sz val="9"/>
        <color theme="8" tint="-0.249977111117893"/>
        <rFont val="ＭＳ Ｐゴシック"/>
        <family val="3"/>
        <charset val="128"/>
      </rPr>
      <t>Ⅰ</t>
    </r>
    <r>
      <rPr>
        <sz val="9"/>
        <color theme="8" tint="-0.249977111117893"/>
        <rFont val="Arial"/>
        <family val="2"/>
      </rPr>
      <t xml:space="preserve"> </t>
    </r>
    <r>
      <rPr>
        <sz val="9"/>
        <color theme="8" tint="-0.249977111117893"/>
        <rFont val="ＭＳ Ｐゴシック"/>
        <family val="3"/>
        <charset val="128"/>
      </rPr>
      <t>建築</t>
    </r>
    <r>
      <rPr>
        <sz val="9"/>
        <color theme="8" tint="-0.249977111117893"/>
        <rFont val="Arial"/>
        <family val="2"/>
      </rPr>
      <t>Rtl</t>
    </r>
    <r>
      <rPr>
        <sz val="9"/>
        <color theme="8" tint="-0.249977111117893"/>
        <rFont val="ＭＳ Ｐゴシック"/>
        <family val="3"/>
        <charset val="128"/>
      </rPr>
      <t>衛生法における特定建築</t>
    </r>
    <r>
      <rPr>
        <sz val="9"/>
        <color theme="8" tint="-0.249977111117893"/>
        <rFont val="Arial"/>
        <family val="2"/>
      </rPr>
      <t>Rtl</t>
    </r>
    <r>
      <rPr>
        <sz val="9"/>
        <color theme="8" tint="-0.249977111117893"/>
        <rFont val="ＭＳ Ｐゴシック"/>
        <family val="3"/>
        <charset val="128"/>
      </rPr>
      <t>の場合に評価する取組み</t>
    </r>
    <rPh sb="7" eb="10">
      <t>エイセイホウ</t>
    </rPh>
    <rPh sb="14" eb="16">
      <t>トクテイ</t>
    </rPh>
    <rPh sb="22" eb="24">
      <t>バアイ</t>
    </rPh>
    <rPh sb="25" eb="27">
      <t>ヒョウカ</t>
    </rPh>
    <rPh sb="29" eb="31">
      <t>トリク</t>
    </rPh>
    <phoneticPr fontId="26"/>
  </si>
  <si>
    <r>
      <rPr>
        <sz val="9"/>
        <color theme="8" tint="-0.249977111117893"/>
        <rFont val="ＭＳ Ｐゴシック"/>
        <family val="3"/>
        <charset val="128"/>
      </rPr>
      <t>評価項目</t>
    </r>
    <rPh sb="0" eb="2">
      <t>ヒョウカ</t>
    </rPh>
    <rPh sb="2" eb="4">
      <t>コウモク</t>
    </rPh>
    <phoneticPr fontId="26"/>
  </si>
  <si>
    <r>
      <rPr>
        <sz val="9"/>
        <color theme="8" tint="-0.249977111117893"/>
        <rFont val="ＭＳ Ｐゴシック"/>
        <family val="3"/>
        <charset val="128"/>
      </rPr>
      <t>評価内容</t>
    </r>
    <phoneticPr fontId="26"/>
  </si>
  <si>
    <r>
      <rPr>
        <sz val="9"/>
        <color theme="8" tint="-0.249977111117893"/>
        <rFont val="ＭＳ Ｐゴシック"/>
        <family val="3"/>
        <charset val="128"/>
      </rPr>
      <t>評価ポイント</t>
    </r>
    <rPh sb="0" eb="2">
      <t>ヒョウカ</t>
    </rPh>
    <phoneticPr fontId="26"/>
  </si>
  <si>
    <r>
      <t xml:space="preserve">1) </t>
    </r>
    <r>
      <rPr>
        <sz val="9"/>
        <color theme="8" tint="-0.249977111117893"/>
        <rFont val="ＭＳ Ｐゴシック"/>
        <family val="3"/>
        <charset val="128"/>
      </rPr>
      <t>業務仕様</t>
    </r>
    <phoneticPr fontId="26"/>
  </si>
  <si>
    <r>
      <rPr>
        <sz val="9"/>
        <color theme="8" tint="-0.249977111117893"/>
        <rFont val="ＭＳ Ｐゴシック"/>
        <family val="3"/>
        <charset val="128"/>
      </rPr>
      <t>清掃管理および設備管理仕様書の基本方針において環境配慮を明示している。</t>
    </r>
  </si>
  <si>
    <r>
      <t xml:space="preserve">2) </t>
    </r>
    <r>
      <rPr>
        <sz val="9"/>
        <color theme="8" tint="-0.249977111117893"/>
        <rFont val="ＭＳ Ｐゴシック"/>
        <family val="3"/>
        <charset val="128"/>
      </rPr>
      <t>契約形態</t>
    </r>
    <phoneticPr fontId="26"/>
  </si>
  <si>
    <r>
      <rPr>
        <sz val="9"/>
        <color theme="8" tint="-0.249977111117893"/>
        <rFont val="ＭＳ Ｐゴシック"/>
        <family val="3"/>
        <charset val="128"/>
      </rPr>
      <t>安定した品質を維持するために業務契約期間を</t>
    </r>
    <r>
      <rPr>
        <sz val="9"/>
        <color theme="8" tint="-0.249977111117893"/>
        <rFont val="Arial"/>
        <family val="2"/>
      </rPr>
      <t>2</t>
    </r>
    <r>
      <rPr>
        <sz val="9"/>
        <color theme="8" tint="-0.249977111117893"/>
        <rFont val="ＭＳ Ｐゴシック"/>
        <family val="3"/>
        <charset val="128"/>
      </rPr>
      <t>年以上としている。</t>
    </r>
  </si>
  <si>
    <r>
      <t xml:space="preserve">3) </t>
    </r>
    <r>
      <rPr>
        <sz val="9"/>
        <color theme="8" tint="-0.249977111117893"/>
        <rFont val="ＭＳ Ｐゴシック"/>
        <family val="3"/>
        <charset val="128"/>
      </rPr>
      <t>業務手順</t>
    </r>
    <phoneticPr fontId="26"/>
  </si>
  <si>
    <r>
      <rPr>
        <sz val="9"/>
        <color theme="8" tint="-0.249977111117893"/>
        <rFont val="ＭＳ Ｐゴシック"/>
        <family val="3"/>
        <charset val="128"/>
      </rPr>
      <t>清掃管理と設備管理における業務標準手順書を用意している。</t>
    </r>
  </si>
  <si>
    <r>
      <t xml:space="preserve">4) </t>
    </r>
    <r>
      <rPr>
        <sz val="9"/>
        <color theme="8" tint="-0.249977111117893"/>
        <rFont val="ＭＳ Ｐゴシック"/>
        <family val="3"/>
        <charset val="128"/>
      </rPr>
      <t>インスペクション</t>
    </r>
    <phoneticPr fontId="26"/>
  </si>
  <si>
    <r>
      <rPr>
        <sz val="9"/>
        <color theme="8" tint="-0.249977111117893"/>
        <rFont val="ＭＳ Ｐゴシック"/>
        <family val="3"/>
        <charset val="128"/>
      </rPr>
      <t>清掃および設備の維持管理状態のインスペクション記録がある。</t>
    </r>
  </si>
  <si>
    <r>
      <t xml:space="preserve">5) </t>
    </r>
    <r>
      <rPr>
        <sz val="9"/>
        <color theme="8" tint="-0.249977111117893"/>
        <rFont val="ＭＳ Ｐゴシック"/>
        <family val="3"/>
        <charset val="128"/>
      </rPr>
      <t>計画</t>
    </r>
    <phoneticPr fontId="26"/>
  </si>
  <si>
    <r>
      <rPr>
        <sz val="9"/>
        <color theme="8" tint="-0.249977111117893"/>
        <rFont val="ＭＳ Ｐゴシック"/>
        <family val="3"/>
        <charset val="128"/>
      </rPr>
      <t>外気に接するガラス･照明の清掃を含めた計画書がある。</t>
    </r>
  </si>
  <si>
    <r>
      <t xml:space="preserve">6) </t>
    </r>
    <r>
      <rPr>
        <sz val="9"/>
        <color theme="8" tint="-0.249977111117893"/>
        <rFont val="ＭＳ Ｐゴシック"/>
        <family val="3"/>
        <charset val="128"/>
      </rPr>
      <t>業務員への教育</t>
    </r>
    <phoneticPr fontId="26"/>
  </si>
  <si>
    <r>
      <rPr>
        <sz val="9"/>
        <color theme="8" tint="-0.249977111117893"/>
        <rFont val="ＭＳ Ｐゴシック"/>
        <family val="3"/>
        <charset val="128"/>
      </rPr>
      <t>年</t>
    </r>
    <r>
      <rPr>
        <sz val="9"/>
        <color theme="8" tint="-0.249977111117893"/>
        <rFont val="Arial"/>
        <family val="2"/>
      </rPr>
      <t>1</t>
    </r>
    <r>
      <rPr>
        <sz val="9"/>
        <color theme="8" tint="-0.249977111117893"/>
        <rFont val="ＭＳ Ｐゴシック"/>
        <family val="3"/>
        <charset val="128"/>
      </rPr>
      <t>回以上の環境等をテーマにしたトレーニングの計画と記録がある。</t>
    </r>
  </si>
  <si>
    <r>
      <rPr>
        <sz val="9"/>
        <color theme="8" tint="-0.249977111117893"/>
        <rFont val="ＭＳ Ｐゴシック"/>
        <family val="3"/>
        <charset val="128"/>
      </rPr>
      <t>管理者が外部評価による環境マネジメントシステム</t>
    </r>
    <r>
      <rPr>
        <sz val="9"/>
        <color theme="8" tint="-0.249977111117893"/>
        <rFont val="Arial"/>
        <family val="2"/>
      </rPr>
      <t>(EMS)</t>
    </r>
    <r>
      <rPr>
        <sz val="9"/>
        <color theme="8" tint="-0.249977111117893"/>
        <rFont val="ＭＳ Ｐゴシック"/>
        <family val="3"/>
        <charset val="128"/>
      </rPr>
      <t>の認証を得ている。</t>
    </r>
  </si>
  <si>
    <r>
      <rPr>
        <sz val="9"/>
        <color theme="8" tint="-0.249977111117893"/>
        <rFont val="ＭＳ Ｐゴシック"/>
        <family val="3"/>
        <charset val="128"/>
      </rPr>
      <t>Ⅱ</t>
    </r>
    <r>
      <rPr>
        <sz val="9"/>
        <color theme="8" tint="-0.249977111117893"/>
        <rFont val="Arial"/>
        <family val="2"/>
      </rPr>
      <t xml:space="preserve"> </t>
    </r>
    <r>
      <rPr>
        <sz val="9"/>
        <color theme="8" tint="-0.249977111117893"/>
        <rFont val="ＭＳ Ｐゴシック"/>
        <family val="3"/>
        <charset val="128"/>
      </rPr>
      <t>建築</t>
    </r>
    <r>
      <rPr>
        <sz val="9"/>
        <color theme="8" tint="-0.249977111117893"/>
        <rFont val="Arial"/>
        <family val="2"/>
      </rPr>
      <t>Rtl</t>
    </r>
    <r>
      <rPr>
        <sz val="9"/>
        <color theme="8" tint="-0.249977111117893"/>
        <rFont val="ＭＳ Ｐゴシック"/>
        <family val="3"/>
        <charset val="128"/>
      </rPr>
      <t>衛生法における特定建築</t>
    </r>
    <r>
      <rPr>
        <sz val="9"/>
        <color theme="8" tint="-0.249977111117893"/>
        <rFont val="Arial"/>
        <family val="2"/>
      </rPr>
      <t>Rtl</t>
    </r>
    <r>
      <rPr>
        <sz val="9"/>
        <color theme="8" tint="-0.249977111117893"/>
        <rFont val="ＭＳ Ｐゴシック"/>
        <family val="3"/>
        <charset val="128"/>
      </rPr>
      <t>に該当しない建築</t>
    </r>
    <r>
      <rPr>
        <sz val="9"/>
        <color theme="8" tint="-0.249977111117893"/>
        <rFont val="Arial"/>
        <family val="2"/>
      </rPr>
      <t>Rtl</t>
    </r>
    <r>
      <rPr>
        <sz val="9"/>
        <color theme="8" tint="-0.249977111117893"/>
        <rFont val="ＭＳ Ｐゴシック"/>
        <family val="3"/>
        <charset val="128"/>
      </rPr>
      <t>の場合に評価する取組み</t>
    </r>
  </si>
  <si>
    <r>
      <t xml:space="preserve">1) </t>
    </r>
    <r>
      <rPr>
        <sz val="9"/>
        <color theme="8" tint="-0.249977111117893"/>
        <rFont val="ＭＳ Ｐゴシック"/>
        <family val="3"/>
        <charset val="128"/>
      </rPr>
      <t>頻度</t>
    </r>
    <phoneticPr fontId="26"/>
  </si>
  <si>
    <r>
      <rPr>
        <sz val="9"/>
        <color theme="8" tint="-0.249977111117893"/>
        <rFont val="ＭＳ Ｐゴシック"/>
        <family val="3"/>
        <charset val="128"/>
      </rPr>
      <t>施設清掃や設備点検･清掃の箇所別頻度の設定がなされている。</t>
    </r>
  </si>
  <si>
    <r>
      <t xml:space="preserve">2) </t>
    </r>
    <r>
      <rPr>
        <sz val="9"/>
        <color theme="8" tint="-0.249977111117893"/>
        <rFont val="ＭＳ Ｐゴシック"/>
        <family val="3"/>
        <charset val="128"/>
      </rPr>
      <t>役割</t>
    </r>
    <phoneticPr fontId="26"/>
  </si>
  <si>
    <r>
      <rPr>
        <sz val="9"/>
        <color theme="8" tint="-0.249977111117893"/>
        <rFont val="ＭＳ Ｐゴシック"/>
        <family val="3"/>
        <charset val="128"/>
      </rPr>
      <t>施設清掃と設備点検･清掃における各責任者･委託先が決められている。</t>
    </r>
  </si>
  <si>
    <r>
      <t xml:space="preserve">3) </t>
    </r>
    <r>
      <rPr>
        <sz val="9"/>
        <color theme="8" tint="-0.249977111117893"/>
        <rFont val="ＭＳ Ｐゴシック"/>
        <family val="3"/>
        <charset val="128"/>
      </rPr>
      <t>手順</t>
    </r>
    <phoneticPr fontId="26"/>
  </si>
  <si>
    <r>
      <rPr>
        <sz val="9"/>
        <color theme="8" tint="-0.249977111117893"/>
        <rFont val="ＭＳ Ｐゴシック"/>
        <family val="3"/>
        <charset val="128"/>
      </rPr>
      <t>施設清掃と設備点検･清掃における作業手順書やマニュアルを用意している。</t>
    </r>
  </si>
  <si>
    <r>
      <t xml:space="preserve">4) </t>
    </r>
    <r>
      <rPr>
        <sz val="9"/>
        <color theme="8" tint="-0.249977111117893"/>
        <rFont val="ＭＳ Ｐゴシック"/>
        <family val="3"/>
        <charset val="128"/>
      </rPr>
      <t>点検</t>
    </r>
    <phoneticPr fontId="26"/>
  </si>
  <si>
    <r>
      <rPr>
        <sz val="9"/>
        <color theme="8" tint="-0.249977111117893"/>
        <rFont val="ＭＳ Ｐゴシック"/>
        <family val="3"/>
        <charset val="128"/>
      </rPr>
      <t>施設清掃と設備点検･清掃の点検記録がある。</t>
    </r>
  </si>
  <si>
    <r>
      <t xml:space="preserve">5) </t>
    </r>
    <r>
      <rPr>
        <sz val="9"/>
        <color theme="8" tint="-0.249977111117893"/>
        <rFont val="ＭＳ Ｐゴシック"/>
        <family val="3"/>
        <charset val="128"/>
      </rPr>
      <t>実施</t>
    </r>
    <phoneticPr fontId="26"/>
  </si>
  <si>
    <r>
      <rPr>
        <sz val="9"/>
        <color theme="8" tint="-0.249977111117893"/>
        <rFont val="ＭＳ Ｐゴシック"/>
        <family val="3"/>
        <charset val="128"/>
      </rPr>
      <t>施設清掃や設備点検･清掃の実施記録がある。</t>
    </r>
  </si>
  <si>
    <r>
      <t xml:space="preserve">6) </t>
    </r>
    <r>
      <rPr>
        <sz val="9"/>
        <color theme="8" tint="-0.249977111117893"/>
        <rFont val="ＭＳ Ｐゴシック"/>
        <family val="3"/>
        <charset val="128"/>
      </rPr>
      <t>共有</t>
    </r>
    <phoneticPr fontId="26"/>
  </si>
  <si>
    <r>
      <rPr>
        <sz val="9"/>
        <color theme="8" tint="-0.249977111117893"/>
        <rFont val="ＭＳ Ｐゴシック"/>
        <family val="3"/>
        <charset val="128"/>
      </rPr>
      <t>施設清掃と設備点検･清掃の点検結果を共有する機</t>
    </r>
    <r>
      <rPr>
        <sz val="9"/>
        <color theme="8" tint="-0.249977111117893"/>
        <rFont val="Arial"/>
        <family val="2"/>
      </rPr>
      <t>Hal</t>
    </r>
    <r>
      <rPr>
        <sz val="9"/>
        <color theme="8" tint="-0.249977111117893"/>
        <rFont val="ＭＳ Ｐゴシック"/>
        <family val="3"/>
        <charset val="128"/>
      </rPr>
      <t>を設けている。</t>
    </r>
  </si>
  <si>
    <t>1.3.2 Securing Maintenance Functions</t>
    <phoneticPr fontId="26"/>
  </si>
  <si>
    <r>
      <rPr>
        <sz val="8"/>
        <rFont val="ＭＳ Ｐゴシック"/>
        <family val="3"/>
        <charset val="128"/>
      </rPr>
      <t>延床面積＝</t>
    </r>
    <rPh sb="0" eb="1">
      <t>ノベ</t>
    </rPh>
    <rPh sb="1" eb="4">
      <t>ユカメンセキ</t>
    </rPh>
    <phoneticPr fontId="26"/>
  </si>
  <si>
    <r>
      <t>[8] Water traps under all sinks in washrooms, hot water rooms, and kitchens can be removed for cleaning.</t>
    </r>
    <r>
      <rPr>
        <sz val="9"/>
        <rFont val="ＭＳ Ｐゴシック"/>
        <family val="3"/>
        <charset val="128"/>
      </rPr>
      <t>　</t>
    </r>
  </si>
  <si>
    <r>
      <t>Sch</t>
    </r>
    <r>
      <rPr>
        <sz val="11"/>
        <rFont val="ＭＳ Ｐゴシック"/>
        <family val="3"/>
        <charset val="128"/>
      </rPr>
      <t>校版</t>
    </r>
    <rPh sb="4" eb="5">
      <t>バン</t>
    </rPh>
    <phoneticPr fontId="26"/>
  </si>
  <si>
    <r>
      <rPr>
        <sz val="9"/>
        <rFont val="ＭＳ Ｐゴシック"/>
        <family val="3"/>
        <charset val="128"/>
      </rPr>
      <t>（１）</t>
    </r>
    <phoneticPr fontId="6"/>
  </si>
  <si>
    <r>
      <rPr>
        <sz val="9"/>
        <rFont val="ＭＳ Ｐゴシック"/>
        <family val="3"/>
        <charset val="128"/>
      </rPr>
      <t>大掃除の実施</t>
    </r>
    <rPh sb="0" eb="3">
      <t>オオソウジ</t>
    </rPh>
    <rPh sb="4" eb="6">
      <t>ジッシ</t>
    </rPh>
    <phoneticPr fontId="26"/>
  </si>
  <si>
    <r>
      <rPr>
        <sz val="9"/>
        <rFont val="ＭＳ Ｐゴシック"/>
        <family val="3"/>
        <charset val="128"/>
      </rPr>
      <t>大掃除は、定期に行われていること。（毎</t>
    </r>
    <r>
      <rPr>
        <sz val="9"/>
        <rFont val="Arial"/>
        <family val="2"/>
      </rPr>
      <t>Sch</t>
    </r>
    <r>
      <rPr>
        <sz val="9"/>
        <rFont val="ＭＳ Ｐゴシック"/>
        <family val="3"/>
        <charset val="128"/>
      </rPr>
      <t>年３回）</t>
    </r>
    <rPh sb="0" eb="3">
      <t>オオソウジ</t>
    </rPh>
    <rPh sb="5" eb="7">
      <t>テイキ</t>
    </rPh>
    <rPh sb="8" eb="9">
      <t>オコナ</t>
    </rPh>
    <rPh sb="24" eb="25">
      <t>カイ</t>
    </rPh>
    <phoneticPr fontId="26"/>
  </si>
  <si>
    <r>
      <rPr>
        <sz val="9"/>
        <rFont val="ＭＳ Ｐゴシック"/>
        <family val="3"/>
        <charset val="128"/>
      </rPr>
      <t>（２）</t>
    </r>
    <phoneticPr fontId="6"/>
  </si>
  <si>
    <r>
      <rPr>
        <sz val="9"/>
        <rFont val="ＭＳ Ｐゴシック"/>
        <family val="3"/>
        <charset val="128"/>
      </rPr>
      <t>雨水の排水溝等</t>
    </r>
    <rPh sb="0" eb="2">
      <t>アマミズ</t>
    </rPh>
    <rPh sb="3" eb="6">
      <t>ハイスイコウ</t>
    </rPh>
    <rPh sb="6" eb="7">
      <t>トウ</t>
    </rPh>
    <phoneticPr fontId="26"/>
  </si>
  <si>
    <r>
      <rPr>
        <sz val="9"/>
        <rFont val="ＭＳ Ｐゴシック"/>
        <family val="3"/>
        <charset val="128"/>
      </rPr>
      <t>屋上等の雨水排水溝に、泥や砂等が堆積していないこと。また、雨水配水管の末端は、砂や泥等により管径が縮小していないこと。（毎</t>
    </r>
    <r>
      <rPr>
        <sz val="9"/>
        <rFont val="Arial"/>
        <family val="2"/>
      </rPr>
      <t>Sch</t>
    </r>
    <r>
      <rPr>
        <sz val="9"/>
        <rFont val="ＭＳ Ｐゴシック"/>
        <family val="3"/>
        <charset val="128"/>
      </rPr>
      <t>年１回）</t>
    </r>
    <rPh sb="0" eb="2">
      <t>オクジョウ</t>
    </rPh>
    <rPh sb="2" eb="3">
      <t>トウ</t>
    </rPh>
    <rPh sb="4" eb="6">
      <t>ウスイ</t>
    </rPh>
    <rPh sb="6" eb="9">
      <t>ハイスイコウ</t>
    </rPh>
    <rPh sb="11" eb="12">
      <t>ドロ</t>
    </rPh>
    <rPh sb="13" eb="14">
      <t>スナ</t>
    </rPh>
    <rPh sb="14" eb="15">
      <t>トウ</t>
    </rPh>
    <rPh sb="16" eb="18">
      <t>タイセキ</t>
    </rPh>
    <rPh sb="29" eb="31">
      <t>ウスイ</t>
    </rPh>
    <rPh sb="31" eb="34">
      <t>ハイスイカン</t>
    </rPh>
    <rPh sb="35" eb="37">
      <t>マッタン</t>
    </rPh>
    <rPh sb="39" eb="40">
      <t>スナ</t>
    </rPh>
    <rPh sb="41" eb="42">
      <t>ドロ</t>
    </rPh>
    <rPh sb="42" eb="43">
      <t>トウ</t>
    </rPh>
    <rPh sb="46" eb="47">
      <t>カン</t>
    </rPh>
    <rPh sb="47" eb="48">
      <t>ケイ</t>
    </rPh>
    <rPh sb="49" eb="51">
      <t>シュクショウ</t>
    </rPh>
    <rPh sb="66" eb="67">
      <t>カイ</t>
    </rPh>
    <phoneticPr fontId="26"/>
  </si>
  <si>
    <r>
      <rPr>
        <sz val="9"/>
        <rFont val="ＭＳ Ｐゴシック"/>
        <family val="3"/>
        <charset val="128"/>
      </rPr>
      <t>（３）</t>
    </r>
    <phoneticPr fontId="6"/>
  </si>
  <si>
    <r>
      <rPr>
        <sz val="9"/>
        <rFont val="ＭＳ Ｐゴシック"/>
        <family val="3"/>
        <charset val="128"/>
      </rPr>
      <t>排水の施設・設備</t>
    </r>
    <rPh sb="0" eb="2">
      <t>ハイスイ</t>
    </rPh>
    <rPh sb="3" eb="5">
      <t>シセツ</t>
    </rPh>
    <rPh sb="6" eb="8">
      <t>セツビ</t>
    </rPh>
    <phoneticPr fontId="26"/>
  </si>
  <si>
    <r>
      <rPr>
        <sz val="9"/>
        <rFont val="ＭＳ Ｐゴシック"/>
        <family val="3"/>
        <charset val="128"/>
      </rPr>
      <t>汚水槽、雑排水槽等の施設・設備は、故障等がなく適切に機能していること。
（毎</t>
    </r>
    <r>
      <rPr>
        <sz val="9"/>
        <rFont val="Arial"/>
        <family val="2"/>
      </rPr>
      <t>Sch</t>
    </r>
    <r>
      <rPr>
        <sz val="9"/>
        <rFont val="ＭＳ Ｐゴシック"/>
        <family val="3"/>
        <charset val="128"/>
      </rPr>
      <t>年１回）</t>
    </r>
    <rPh sb="0" eb="3">
      <t>オスイソウ</t>
    </rPh>
    <rPh sb="4" eb="5">
      <t>ザツ</t>
    </rPh>
    <rPh sb="5" eb="7">
      <t>ハイスイ</t>
    </rPh>
    <rPh sb="7" eb="8">
      <t>ソウ</t>
    </rPh>
    <rPh sb="8" eb="9">
      <t>トウ</t>
    </rPh>
    <rPh sb="10" eb="12">
      <t>シセツ</t>
    </rPh>
    <rPh sb="13" eb="15">
      <t>セツビ</t>
    </rPh>
    <rPh sb="17" eb="19">
      <t>コショウ</t>
    </rPh>
    <rPh sb="19" eb="20">
      <t>トウ</t>
    </rPh>
    <rPh sb="23" eb="25">
      <t>テキセツ</t>
    </rPh>
    <rPh sb="26" eb="28">
      <t>キノウ</t>
    </rPh>
    <rPh sb="43" eb="44">
      <t>カイ</t>
    </rPh>
    <phoneticPr fontId="26"/>
  </si>
  <si>
    <r>
      <rPr>
        <sz val="9"/>
        <rFont val="ＭＳ Ｐゴシック"/>
        <family val="3"/>
        <charset val="128"/>
      </rPr>
      <t>Ⅰ</t>
    </r>
    <r>
      <rPr>
        <sz val="9"/>
        <rFont val="Arial"/>
        <family val="2"/>
      </rPr>
      <t xml:space="preserve"> </t>
    </r>
    <r>
      <rPr>
        <sz val="9"/>
        <rFont val="ＭＳ Ｐゴシック"/>
        <family val="3"/>
        <charset val="128"/>
      </rPr>
      <t>建築</t>
    </r>
    <r>
      <rPr>
        <sz val="9"/>
        <rFont val="Arial"/>
        <family val="2"/>
      </rPr>
      <t>Rtl</t>
    </r>
    <r>
      <rPr>
        <sz val="9"/>
        <rFont val="ＭＳ Ｐゴシック"/>
        <family val="3"/>
        <charset val="128"/>
      </rPr>
      <t>衛生法における特定建築</t>
    </r>
    <r>
      <rPr>
        <sz val="9"/>
        <rFont val="Arial"/>
        <family val="2"/>
      </rPr>
      <t>Rtl</t>
    </r>
    <r>
      <rPr>
        <sz val="9"/>
        <rFont val="ＭＳ Ｐゴシック"/>
        <family val="3"/>
        <charset val="128"/>
      </rPr>
      <t>の場合に評価する取組み</t>
    </r>
    <rPh sb="7" eb="10">
      <t>エイセイホウ</t>
    </rPh>
    <rPh sb="14" eb="16">
      <t>トクテイ</t>
    </rPh>
    <rPh sb="22" eb="24">
      <t>バアイ</t>
    </rPh>
    <rPh sb="25" eb="27">
      <t>ヒョウカ</t>
    </rPh>
    <rPh sb="29" eb="31">
      <t>トリク</t>
    </rPh>
    <phoneticPr fontId="26"/>
  </si>
  <si>
    <r>
      <rPr>
        <sz val="8"/>
        <rFont val="ＭＳ Ｐゴシック"/>
        <family val="3"/>
        <charset val="128"/>
      </rPr>
      <t>特定建築</t>
    </r>
    <r>
      <rPr>
        <sz val="8"/>
        <rFont val="Arial"/>
        <family val="2"/>
      </rPr>
      <t>Rtl</t>
    </r>
    <r>
      <rPr>
        <sz val="8"/>
        <rFont val="ＭＳ Ｐゴシック"/>
        <family val="3"/>
        <charset val="128"/>
      </rPr>
      <t>に該当する場合の取組みで評価する</t>
    </r>
  </si>
  <si>
    <r>
      <rPr>
        <sz val="9"/>
        <rFont val="ＭＳ Ｐゴシック"/>
        <family val="3"/>
        <charset val="128"/>
      </rPr>
      <t>Ⅱ</t>
    </r>
    <r>
      <rPr>
        <sz val="9"/>
        <rFont val="Arial"/>
        <family val="2"/>
      </rPr>
      <t xml:space="preserve"> </t>
    </r>
    <r>
      <rPr>
        <sz val="9"/>
        <rFont val="ＭＳ Ｐゴシック"/>
        <family val="3"/>
        <charset val="128"/>
      </rPr>
      <t>建築</t>
    </r>
    <r>
      <rPr>
        <sz val="9"/>
        <rFont val="Arial"/>
        <family val="2"/>
      </rPr>
      <t>Rtl</t>
    </r>
    <r>
      <rPr>
        <sz val="9"/>
        <rFont val="ＭＳ Ｐゴシック"/>
        <family val="3"/>
        <charset val="128"/>
      </rPr>
      <t>衛生法における特定建築</t>
    </r>
    <r>
      <rPr>
        <sz val="9"/>
        <rFont val="Arial"/>
        <family val="2"/>
      </rPr>
      <t>Rtl</t>
    </r>
    <r>
      <rPr>
        <sz val="9"/>
        <rFont val="ＭＳ Ｐゴシック"/>
        <family val="3"/>
        <charset val="128"/>
      </rPr>
      <t>に該当しない建築</t>
    </r>
    <r>
      <rPr>
        <sz val="9"/>
        <rFont val="Arial"/>
        <family val="2"/>
      </rPr>
      <t>Rtl</t>
    </r>
    <r>
      <rPr>
        <sz val="9"/>
        <rFont val="ＭＳ Ｐゴシック"/>
        <family val="3"/>
        <charset val="128"/>
      </rPr>
      <t>の場合に評価する取組み</t>
    </r>
  </si>
  <si>
    <r>
      <rPr>
        <sz val="9"/>
        <rFont val="ＭＳ Ｐゴシック"/>
        <family val="3"/>
        <charset val="128"/>
      </rPr>
      <t>評価項目</t>
    </r>
    <rPh sb="0" eb="2">
      <t>ヒョウカ</t>
    </rPh>
    <rPh sb="2" eb="4">
      <t>コウモク</t>
    </rPh>
    <phoneticPr fontId="26"/>
  </si>
  <si>
    <r>
      <rPr>
        <sz val="9"/>
        <rFont val="ＭＳ Ｐゴシック"/>
        <family val="3"/>
        <charset val="128"/>
      </rPr>
      <t>評価内容</t>
    </r>
    <phoneticPr fontId="26"/>
  </si>
  <si>
    <r>
      <rPr>
        <sz val="9"/>
        <rFont val="ＭＳ Ｐゴシック"/>
        <family val="3"/>
        <charset val="128"/>
      </rPr>
      <t>評価ポイント</t>
    </r>
    <rPh sb="0" eb="2">
      <t>ヒョウカ</t>
    </rPh>
    <phoneticPr fontId="26"/>
  </si>
  <si>
    <r>
      <t xml:space="preserve">1) </t>
    </r>
    <r>
      <rPr>
        <sz val="9"/>
        <rFont val="ＭＳ Ｐゴシック"/>
        <family val="3"/>
        <charset val="128"/>
      </rPr>
      <t>汚染源対策</t>
    </r>
    <rPh sb="3" eb="6">
      <t>オセンゲン</t>
    </rPh>
    <rPh sb="6" eb="8">
      <t>タイサク</t>
    </rPh>
    <phoneticPr fontId="26"/>
  </si>
  <si>
    <r>
      <rPr>
        <sz val="9"/>
        <rFont val="ＭＳ Ｐゴシック"/>
        <family val="3"/>
        <charset val="128"/>
      </rPr>
      <t>充分な長さのエントランスマットを設置している。</t>
    </r>
    <r>
      <rPr>
        <sz val="9"/>
        <rFont val="Arial"/>
        <family val="2"/>
      </rPr>
      <t>(</t>
    </r>
    <r>
      <rPr>
        <sz val="9"/>
        <rFont val="ＭＳ Ｐゴシック"/>
        <family val="3"/>
        <charset val="128"/>
      </rPr>
      <t>外部、内部含む</t>
    </r>
    <r>
      <rPr>
        <sz val="9"/>
        <rFont val="Arial"/>
        <family val="2"/>
      </rPr>
      <t>5</t>
    </r>
    <r>
      <rPr>
        <sz val="9"/>
        <rFont val="ＭＳ Ｐゴシック"/>
        <family val="3"/>
        <charset val="128"/>
      </rPr>
      <t>ｍ以上</t>
    </r>
    <r>
      <rPr>
        <sz val="9"/>
        <rFont val="Arial"/>
        <family val="2"/>
      </rPr>
      <t>)</t>
    </r>
    <phoneticPr fontId="26"/>
  </si>
  <si>
    <r>
      <rPr>
        <sz val="9"/>
        <rFont val="ＭＳ Ｐゴシック"/>
        <family val="3"/>
        <charset val="128"/>
      </rPr>
      <t>ある程度の長さのエントランスマットを設置している。</t>
    </r>
    <phoneticPr fontId="26"/>
  </si>
  <si>
    <r>
      <t xml:space="preserve">2) </t>
    </r>
    <r>
      <rPr>
        <sz val="9"/>
        <rFont val="ＭＳ Ｐゴシック"/>
        <family val="3"/>
        <charset val="128"/>
      </rPr>
      <t>清掃方法</t>
    </r>
    <rPh sb="3" eb="5">
      <t>セイソウ</t>
    </rPh>
    <rPh sb="5" eb="7">
      <t>ホウホウ</t>
    </rPh>
    <phoneticPr fontId="26"/>
  </si>
  <si>
    <r>
      <rPr>
        <sz val="9"/>
        <rFont val="ＭＳ Ｐゴシック"/>
        <family val="3"/>
        <charset val="128"/>
      </rPr>
      <t>①</t>
    </r>
    <r>
      <rPr>
        <sz val="9"/>
        <rFont val="Arial"/>
        <family val="2"/>
      </rPr>
      <t xml:space="preserve"> </t>
    </r>
    <r>
      <rPr>
        <sz val="9"/>
        <rFont val="ＭＳ Ｐゴシック"/>
        <family val="3"/>
        <charset val="128"/>
      </rPr>
      <t>清掃業務において効果的な方法を採用している。</t>
    </r>
    <phoneticPr fontId="26"/>
  </si>
  <si>
    <r>
      <rPr>
        <sz val="9"/>
        <rFont val="ＭＳ Ｐゴシック"/>
        <family val="3"/>
        <charset val="128"/>
      </rPr>
      <t>②</t>
    </r>
    <r>
      <rPr>
        <sz val="9"/>
        <rFont val="Arial"/>
        <family val="2"/>
      </rPr>
      <t xml:space="preserve"> </t>
    </r>
    <r>
      <rPr>
        <sz val="9"/>
        <rFont val="ＭＳ Ｐゴシック"/>
        <family val="3"/>
        <charset val="128"/>
      </rPr>
      <t>清掃業務において環境影響の少ない方法を採用している。</t>
    </r>
    <phoneticPr fontId="26"/>
  </si>
  <si>
    <r>
      <rPr>
        <sz val="9"/>
        <rFont val="ＭＳ Ｐゴシック"/>
        <family val="3"/>
        <charset val="128"/>
      </rPr>
      <t>①</t>
    </r>
    <r>
      <rPr>
        <sz val="9"/>
        <rFont val="Arial"/>
        <family val="2"/>
      </rPr>
      <t xml:space="preserve"> </t>
    </r>
    <r>
      <rPr>
        <sz val="9"/>
        <rFont val="ＭＳ Ｐゴシック"/>
        <family val="3"/>
        <charset val="128"/>
      </rPr>
      <t>トイレ、共用部、厨房、玄関マットは毎日、清掃を実施する事としている。</t>
    </r>
    <phoneticPr fontId="26"/>
  </si>
  <si>
    <r>
      <rPr>
        <sz val="9"/>
        <rFont val="ＭＳ Ｐゴシック"/>
        <family val="3"/>
        <charset val="128"/>
      </rPr>
      <t>②</t>
    </r>
    <r>
      <rPr>
        <sz val="9"/>
        <rFont val="Arial"/>
        <family val="2"/>
      </rPr>
      <t xml:space="preserve"> </t>
    </r>
    <r>
      <rPr>
        <sz val="9"/>
        <rFont val="ＭＳ Ｐゴシック"/>
        <family val="3"/>
        <charset val="128"/>
      </rPr>
      <t>希釈をする洗浄剤の希釈方法を明記している。</t>
    </r>
    <phoneticPr fontId="26"/>
  </si>
  <si>
    <r>
      <t xml:space="preserve">3) </t>
    </r>
    <r>
      <rPr>
        <sz val="9"/>
        <rFont val="ＭＳ Ｐゴシック"/>
        <family val="3"/>
        <charset val="128"/>
      </rPr>
      <t>清掃資材</t>
    </r>
    <rPh sb="3" eb="5">
      <t>セイソウ</t>
    </rPh>
    <rPh sb="5" eb="7">
      <t>シザイ</t>
    </rPh>
    <phoneticPr fontId="26"/>
  </si>
  <si>
    <r>
      <rPr>
        <sz val="9"/>
        <rFont val="ＭＳ Ｐゴシック"/>
        <family val="3"/>
        <charset val="128"/>
      </rPr>
      <t>①</t>
    </r>
    <r>
      <rPr>
        <sz val="9"/>
        <rFont val="Arial"/>
        <family val="2"/>
      </rPr>
      <t xml:space="preserve"> </t>
    </r>
    <r>
      <rPr>
        <sz val="9"/>
        <rFont val="ＭＳ Ｐゴシック"/>
        <family val="3"/>
        <charset val="128"/>
      </rPr>
      <t>環境ラベル取得製品の採用。</t>
    </r>
    <r>
      <rPr>
        <sz val="9"/>
        <rFont val="Arial"/>
        <family val="2"/>
      </rPr>
      <t>(</t>
    </r>
    <r>
      <rPr>
        <sz val="9"/>
        <rFont val="ＭＳ Ｐゴシック"/>
        <family val="3"/>
        <charset val="128"/>
      </rPr>
      <t>エコマーク、グリーンマークなど</t>
    </r>
    <r>
      <rPr>
        <sz val="9"/>
        <rFont val="Arial"/>
        <family val="2"/>
      </rPr>
      <t>)</t>
    </r>
    <phoneticPr fontId="26"/>
  </si>
  <si>
    <r>
      <rPr>
        <sz val="9"/>
        <rFont val="ＭＳ Ｐゴシック"/>
        <family val="3"/>
        <charset val="128"/>
      </rPr>
      <t>①</t>
    </r>
    <r>
      <rPr>
        <sz val="9"/>
        <rFont val="Arial"/>
        <family val="2"/>
      </rPr>
      <t xml:space="preserve"> </t>
    </r>
    <r>
      <rPr>
        <sz val="9"/>
        <rFont val="ＭＳ Ｐゴシック"/>
        <family val="3"/>
        <charset val="128"/>
      </rPr>
      <t>環境ラベル取得製品を採用している。（エコマーク、グリーンマークなど）</t>
    </r>
    <phoneticPr fontId="26"/>
  </si>
  <si>
    <r>
      <rPr>
        <sz val="9"/>
        <rFont val="ＭＳ Ｐゴシック"/>
        <family val="3"/>
        <charset val="128"/>
      </rPr>
      <t>②</t>
    </r>
    <r>
      <rPr>
        <sz val="9"/>
        <rFont val="Arial"/>
        <family val="2"/>
      </rPr>
      <t xml:space="preserve"> </t>
    </r>
    <r>
      <rPr>
        <sz val="9"/>
        <rFont val="ＭＳ Ｐゴシック"/>
        <family val="3"/>
        <charset val="128"/>
      </rPr>
      <t>清掃用ケミカルのⅰ</t>
    </r>
    <r>
      <rPr>
        <sz val="9"/>
        <rFont val="Arial"/>
        <family val="2"/>
      </rPr>
      <t xml:space="preserve"> </t>
    </r>
    <r>
      <rPr>
        <sz val="9"/>
        <rFont val="ＭＳ Ｐゴシック"/>
        <family val="3"/>
        <charset val="128"/>
      </rPr>
      <t>床用保護剤、ⅱ</t>
    </r>
    <r>
      <rPr>
        <sz val="9"/>
        <rFont val="Arial"/>
        <family val="2"/>
      </rPr>
      <t xml:space="preserve"> </t>
    </r>
    <r>
      <rPr>
        <sz val="9"/>
        <rFont val="ＭＳ Ｐゴシック"/>
        <family val="3"/>
        <charset val="128"/>
      </rPr>
      <t>床用洗浄剤</t>
    </r>
    <r>
      <rPr>
        <sz val="9"/>
        <rFont val="Arial"/>
        <family val="2"/>
      </rPr>
      <t>(</t>
    </r>
    <r>
      <rPr>
        <sz val="9"/>
        <rFont val="ＭＳ Ｐゴシック"/>
        <family val="3"/>
        <charset val="128"/>
      </rPr>
      <t>カーペット含む</t>
    </r>
    <r>
      <rPr>
        <sz val="9"/>
        <rFont val="Arial"/>
        <family val="2"/>
      </rPr>
      <t>)</t>
    </r>
    <r>
      <rPr>
        <sz val="9"/>
        <rFont val="ＭＳ Ｐゴシック"/>
        <family val="3"/>
        <charset val="128"/>
      </rPr>
      <t>、ⅲ</t>
    </r>
    <r>
      <rPr>
        <sz val="9"/>
        <rFont val="Arial"/>
        <family val="2"/>
      </rPr>
      <t xml:space="preserve"> </t>
    </r>
    <r>
      <rPr>
        <sz val="9"/>
        <rFont val="ＭＳ Ｐゴシック"/>
        <family val="3"/>
        <charset val="128"/>
      </rPr>
      <t>トイレ用洗浄剤、ⅳ</t>
    </r>
    <r>
      <rPr>
        <sz val="9"/>
        <rFont val="Arial"/>
        <family val="2"/>
      </rPr>
      <t xml:space="preserve"> </t>
    </r>
    <r>
      <rPr>
        <sz val="9"/>
        <rFont val="ＭＳ Ｐゴシック"/>
        <family val="3"/>
        <charset val="128"/>
      </rPr>
      <t>ガラス用洗浄剤の</t>
    </r>
    <r>
      <rPr>
        <sz val="9"/>
        <rFont val="Arial"/>
        <family val="2"/>
      </rPr>
      <t>4</t>
    </r>
    <r>
      <rPr>
        <sz val="9"/>
        <rFont val="ＭＳ Ｐゴシック"/>
        <family val="3"/>
        <charset val="128"/>
      </rPr>
      <t>製品に関して、環境負荷と安全に配慮した製品を採用している。</t>
    </r>
    <r>
      <rPr>
        <sz val="9"/>
        <rFont val="Arial"/>
        <family val="2"/>
      </rPr>
      <t>(</t>
    </r>
    <r>
      <rPr>
        <sz val="9"/>
        <rFont val="ＭＳ Ｐゴシック"/>
        <family val="3"/>
        <charset val="128"/>
      </rPr>
      <t>判定表を参照</t>
    </r>
    <r>
      <rPr>
        <sz val="9"/>
        <rFont val="Arial"/>
        <family val="2"/>
      </rPr>
      <t>)</t>
    </r>
    <phoneticPr fontId="26"/>
  </si>
  <si>
    <r>
      <rPr>
        <sz val="9"/>
        <rFont val="ＭＳ Ｐゴシック"/>
        <family val="3"/>
        <charset val="128"/>
      </rPr>
      <t>②</t>
    </r>
    <r>
      <rPr>
        <sz val="9"/>
        <rFont val="Arial"/>
        <family val="2"/>
      </rPr>
      <t xml:space="preserve"> </t>
    </r>
    <r>
      <rPr>
        <sz val="9"/>
        <rFont val="ＭＳ Ｐゴシック"/>
        <family val="3"/>
        <charset val="128"/>
      </rPr>
      <t>清掃資材専用の保管スペースがある。</t>
    </r>
    <phoneticPr fontId="26"/>
  </si>
  <si>
    <r>
      <rPr>
        <sz val="9"/>
        <rFont val="ＭＳ Ｐゴシック"/>
        <family val="3"/>
        <charset val="128"/>
      </rPr>
      <t>③</t>
    </r>
    <r>
      <rPr>
        <sz val="9"/>
        <rFont val="Arial"/>
        <family val="2"/>
      </rPr>
      <t xml:space="preserve"> </t>
    </r>
    <r>
      <rPr>
        <sz val="9"/>
        <rFont val="ＭＳ Ｐゴシック"/>
        <family val="3"/>
        <charset val="128"/>
      </rPr>
      <t>トイレ、共用部、厨房などの清掃に使用するケミカルの</t>
    </r>
    <r>
      <rPr>
        <sz val="9"/>
        <rFont val="Arial"/>
        <family val="2"/>
      </rPr>
      <t>2</t>
    </r>
    <r>
      <rPr>
        <sz val="9"/>
        <rFont val="ＭＳ Ｐゴシック"/>
        <family val="3"/>
        <charset val="128"/>
      </rPr>
      <t>種類以上について</t>
    </r>
    <r>
      <rPr>
        <sz val="9"/>
        <rFont val="Arial"/>
        <family val="2"/>
      </rPr>
      <t>MSDS</t>
    </r>
    <r>
      <rPr>
        <sz val="9"/>
        <rFont val="ＭＳ Ｐゴシック"/>
        <family val="3"/>
        <charset val="128"/>
      </rPr>
      <t>（化</t>
    </r>
    <r>
      <rPr>
        <sz val="9"/>
        <rFont val="Arial"/>
        <family val="2"/>
      </rPr>
      <t>SchRtl</t>
    </r>
    <r>
      <rPr>
        <sz val="9"/>
        <rFont val="ＭＳ Ｐゴシック"/>
        <family val="3"/>
        <charset val="128"/>
      </rPr>
      <t>質安全データシート）を保管している。</t>
    </r>
  </si>
  <si>
    <r>
      <t xml:space="preserve">4) </t>
    </r>
    <r>
      <rPr>
        <sz val="9"/>
        <rFont val="ＭＳ Ｐゴシック"/>
        <family val="3"/>
        <charset val="128"/>
      </rPr>
      <t>感染症対策</t>
    </r>
    <rPh sb="3" eb="6">
      <t>カンセンショウ</t>
    </rPh>
    <rPh sb="6" eb="8">
      <t>タイサク</t>
    </rPh>
    <phoneticPr fontId="26"/>
  </si>
  <si>
    <r>
      <rPr>
        <sz val="9"/>
        <rFont val="ＭＳ Ｐゴシック"/>
        <family val="3"/>
        <charset val="128"/>
      </rPr>
      <t>清掃業務において感染症対策に配慮した方法を採用している。</t>
    </r>
    <rPh sb="0" eb="2">
      <t>セイソウ</t>
    </rPh>
    <rPh sb="2" eb="4">
      <t>ギョウム</t>
    </rPh>
    <rPh sb="8" eb="11">
      <t>カンセンショウ</t>
    </rPh>
    <rPh sb="11" eb="13">
      <t>タイサク</t>
    </rPh>
    <rPh sb="14" eb="16">
      <t>ハイリョ</t>
    </rPh>
    <rPh sb="18" eb="20">
      <t>ホウホウ</t>
    </rPh>
    <rPh sb="21" eb="23">
      <t>サイヨウ</t>
    </rPh>
    <phoneticPr fontId="26"/>
  </si>
  <si>
    <r>
      <rPr>
        <sz val="9"/>
        <rFont val="ＭＳ Ｐゴシック"/>
        <family val="3"/>
        <charset val="128"/>
      </rPr>
      <t>①</t>
    </r>
    <r>
      <rPr>
        <sz val="9"/>
        <rFont val="Arial"/>
        <family val="2"/>
      </rPr>
      <t xml:space="preserve"> </t>
    </r>
    <r>
      <rPr>
        <sz val="9"/>
        <rFont val="ＭＳ Ｐゴシック"/>
        <family val="3"/>
        <charset val="128"/>
      </rPr>
      <t>トイレ清掃では除菌剤配合洗剤を使用している。</t>
    </r>
    <phoneticPr fontId="26"/>
  </si>
  <si>
    <r>
      <rPr>
        <sz val="9"/>
        <rFont val="ＭＳ Ｐゴシック"/>
        <family val="3"/>
        <charset val="128"/>
      </rPr>
      <t>②</t>
    </r>
    <r>
      <rPr>
        <sz val="9"/>
        <rFont val="Arial"/>
        <family val="2"/>
      </rPr>
      <t xml:space="preserve"> </t>
    </r>
    <r>
      <rPr>
        <sz val="9"/>
        <rFont val="ＭＳ Ｐゴシック"/>
        <family val="3"/>
        <charset val="128"/>
      </rPr>
      <t>感染防止を考慮した嘔吐</t>
    </r>
    <r>
      <rPr>
        <sz val="9"/>
        <rFont val="Arial"/>
        <family val="2"/>
      </rPr>
      <t>Rtl</t>
    </r>
    <r>
      <rPr>
        <sz val="9"/>
        <rFont val="ＭＳ Ｐゴシック"/>
        <family val="3"/>
        <charset val="128"/>
      </rPr>
      <t>の処理方法がある。</t>
    </r>
  </si>
  <si>
    <r>
      <t xml:space="preserve">5) </t>
    </r>
    <r>
      <rPr>
        <sz val="9"/>
        <rFont val="ＭＳ Ｐゴシック"/>
        <family val="3"/>
        <charset val="128"/>
      </rPr>
      <t>安全対策</t>
    </r>
    <rPh sb="3" eb="5">
      <t>アンゼン</t>
    </rPh>
    <rPh sb="5" eb="7">
      <t>タイサク</t>
    </rPh>
    <phoneticPr fontId="26"/>
  </si>
  <si>
    <r>
      <rPr>
        <sz val="9"/>
        <rFont val="ＭＳ Ｐゴシック"/>
        <family val="3"/>
        <charset val="128"/>
      </rPr>
      <t>清掃業務において安全に配慮した方法を採用している。</t>
    </r>
    <rPh sb="0" eb="2">
      <t>セイソウ</t>
    </rPh>
    <rPh sb="2" eb="4">
      <t>ギョウム</t>
    </rPh>
    <rPh sb="8" eb="10">
      <t>アンゼン</t>
    </rPh>
    <rPh sb="11" eb="13">
      <t>ハイリョ</t>
    </rPh>
    <rPh sb="15" eb="17">
      <t>ホウホウ</t>
    </rPh>
    <rPh sb="18" eb="20">
      <t>サイヨウ</t>
    </rPh>
    <phoneticPr fontId="26"/>
  </si>
  <si>
    <r>
      <rPr>
        <sz val="9"/>
        <rFont val="ＭＳ Ｐゴシック"/>
        <family val="3"/>
        <charset val="128"/>
      </rPr>
      <t>手袋、メガネ、マスクなどの保護具の着用を促している。</t>
    </r>
    <phoneticPr fontId="26"/>
  </si>
  <si>
    <r>
      <rPr>
        <sz val="9"/>
        <rFont val="ＭＳ Ｐゴシック"/>
        <family val="3"/>
        <charset val="128"/>
      </rPr>
      <t>ポイント</t>
    </r>
    <phoneticPr fontId="26"/>
  </si>
  <si>
    <r>
      <rPr>
        <b/>
        <sz val="9"/>
        <rFont val="ＭＳ Ｐゴシック"/>
        <family val="3"/>
        <charset val="128"/>
      </rPr>
      <t>判定表</t>
    </r>
    <rPh sb="0" eb="2">
      <t>ハンテイ</t>
    </rPh>
    <rPh sb="2" eb="3">
      <t>ヒョウ</t>
    </rPh>
    <phoneticPr fontId="26"/>
  </si>
  <si>
    <r>
      <rPr>
        <sz val="9"/>
        <rFont val="ＭＳ Ｐゴシック"/>
        <family val="3"/>
        <charset val="128"/>
      </rPr>
      <t>評価項目</t>
    </r>
  </si>
  <si>
    <r>
      <rPr>
        <sz val="9"/>
        <rFont val="ＭＳ Ｐゴシック"/>
        <family val="3"/>
        <charset val="128"/>
      </rPr>
      <t>判定基準</t>
    </r>
  </si>
  <si>
    <r>
      <rPr>
        <sz val="9"/>
        <rFont val="ＭＳ Ｐゴシック"/>
        <family val="3"/>
        <charset val="128"/>
      </rPr>
      <t>水素イオン濃度（</t>
    </r>
    <r>
      <rPr>
        <sz val="9"/>
        <rFont val="Arial"/>
        <family val="2"/>
      </rPr>
      <t>pH</t>
    </r>
    <r>
      <rPr>
        <sz val="9"/>
        <rFont val="ＭＳ Ｐゴシック"/>
        <family val="3"/>
        <charset val="128"/>
      </rPr>
      <t>）</t>
    </r>
  </si>
  <si>
    <r>
      <rPr>
        <sz val="9"/>
        <rFont val="ＭＳ Ｐゴシック"/>
        <family val="3"/>
        <charset val="128"/>
      </rPr>
      <t>原液＝</t>
    </r>
    <r>
      <rPr>
        <sz val="9"/>
        <rFont val="Arial"/>
        <family val="2"/>
      </rPr>
      <t>pH5</t>
    </r>
    <r>
      <rPr>
        <sz val="9"/>
        <rFont val="ＭＳ Ｐゴシック"/>
        <family val="3"/>
        <charset val="128"/>
      </rPr>
      <t>～</t>
    </r>
    <r>
      <rPr>
        <sz val="9"/>
        <rFont val="Arial"/>
        <family val="2"/>
      </rPr>
      <t>pH9</t>
    </r>
    <r>
      <rPr>
        <sz val="9"/>
        <rFont val="ＭＳ Ｐゴシック"/>
        <family val="3"/>
        <charset val="128"/>
      </rPr>
      <t>である事。</t>
    </r>
  </si>
  <si>
    <r>
      <rPr>
        <sz val="9"/>
        <rFont val="ＭＳ Ｐゴシック"/>
        <family val="3"/>
        <charset val="128"/>
      </rPr>
      <t>シックハウス配慮</t>
    </r>
  </si>
  <si>
    <r>
      <rPr>
        <sz val="9"/>
        <rFont val="ＭＳ Ｐゴシック"/>
        <family val="3"/>
        <charset val="128"/>
      </rPr>
      <t>ⅰ</t>
    </r>
    <r>
      <rPr>
        <sz val="9"/>
        <rFont val="Arial"/>
        <family val="2"/>
      </rPr>
      <t xml:space="preserve"> </t>
    </r>
    <r>
      <rPr>
        <sz val="9"/>
        <rFont val="ＭＳ Ｐゴシック"/>
        <family val="3"/>
        <charset val="128"/>
      </rPr>
      <t>床用保護剤</t>
    </r>
  </si>
  <si>
    <r>
      <rPr>
        <sz val="9"/>
        <rFont val="ＭＳ Ｐゴシック"/>
        <family val="3"/>
        <charset val="128"/>
      </rPr>
      <t>ⅱ</t>
    </r>
    <r>
      <rPr>
        <sz val="9"/>
        <rFont val="Arial"/>
        <family val="2"/>
      </rPr>
      <t xml:space="preserve"> </t>
    </r>
    <r>
      <rPr>
        <sz val="9"/>
        <rFont val="ＭＳ Ｐゴシック"/>
        <family val="3"/>
        <charset val="128"/>
      </rPr>
      <t>床用洗浄剤
ⅲ</t>
    </r>
    <r>
      <rPr>
        <sz val="9"/>
        <rFont val="Arial"/>
        <family val="2"/>
      </rPr>
      <t xml:space="preserve"> </t>
    </r>
    <r>
      <rPr>
        <sz val="9"/>
        <rFont val="ＭＳ Ｐゴシック"/>
        <family val="3"/>
        <charset val="128"/>
      </rPr>
      <t>トイレ用洗浄剤
ⅳ</t>
    </r>
    <r>
      <rPr>
        <sz val="9"/>
        <rFont val="Arial"/>
        <family val="2"/>
      </rPr>
      <t xml:space="preserve"> </t>
    </r>
    <r>
      <rPr>
        <sz val="9"/>
        <rFont val="ＭＳ Ｐゴシック"/>
        <family val="3"/>
        <charset val="128"/>
      </rPr>
      <t>ガラス用洗浄剤</t>
    </r>
    <phoneticPr fontId="26"/>
  </si>
  <si>
    <r>
      <rPr>
        <sz val="9"/>
        <rFont val="ＭＳ Ｐゴシック"/>
        <family val="3"/>
        <charset val="128"/>
      </rPr>
      <t>急性経口毒性</t>
    </r>
  </si>
  <si>
    <r>
      <t>LD50</t>
    </r>
    <r>
      <rPr>
        <sz val="9"/>
        <rFont val="ＭＳ Ｐゴシック"/>
        <family val="3"/>
        <charset val="128"/>
      </rPr>
      <t>：＞</t>
    </r>
    <r>
      <rPr>
        <sz val="9"/>
        <rFont val="Arial"/>
        <family val="2"/>
      </rPr>
      <t>2,000mg/kg</t>
    </r>
    <r>
      <rPr>
        <sz val="9"/>
        <rFont val="ＭＳ Ｐゴシック"/>
        <family val="3"/>
        <charset val="128"/>
      </rPr>
      <t>である事。</t>
    </r>
  </si>
  <si>
    <r>
      <t>VOC</t>
    </r>
    <r>
      <rPr>
        <sz val="9"/>
        <rFont val="ＭＳ Ｐゴシック"/>
        <family val="3"/>
        <charset val="128"/>
      </rPr>
      <t>濃度</t>
    </r>
  </si>
  <si>
    <r>
      <rPr>
        <sz val="9"/>
        <rFont val="ＭＳ Ｐゴシック"/>
        <family val="3"/>
        <charset val="128"/>
      </rPr>
      <t>製品が定める最も高濃度希釈時の</t>
    </r>
    <r>
      <rPr>
        <sz val="9"/>
        <rFont val="Arial"/>
        <family val="2"/>
      </rPr>
      <t>VOC</t>
    </r>
    <r>
      <rPr>
        <sz val="9"/>
        <rFont val="ＭＳ Ｐゴシック"/>
        <family val="3"/>
        <charset val="128"/>
      </rPr>
      <t>含有率が洗浄剤＜</t>
    </r>
    <r>
      <rPr>
        <sz val="9"/>
        <rFont val="Arial"/>
        <family val="2"/>
      </rPr>
      <t>1%</t>
    </r>
    <r>
      <rPr>
        <sz val="9"/>
        <rFont val="ＭＳ Ｐゴシック"/>
        <family val="3"/>
        <charset val="128"/>
      </rPr>
      <t>　床用保護剤＜</t>
    </r>
    <r>
      <rPr>
        <sz val="9"/>
        <rFont val="Arial"/>
        <family val="2"/>
      </rPr>
      <t>7%</t>
    </r>
    <r>
      <rPr>
        <sz val="9"/>
        <rFont val="ＭＳ Ｐゴシック"/>
        <family val="3"/>
        <charset val="128"/>
      </rPr>
      <t>である事。（沸点</t>
    </r>
    <r>
      <rPr>
        <sz val="9"/>
        <rFont val="Arial"/>
        <family val="2"/>
      </rPr>
      <t>260</t>
    </r>
    <r>
      <rPr>
        <sz val="9"/>
        <rFont val="ＭＳ Ｐゴシック"/>
        <family val="3"/>
        <charset val="128"/>
      </rPr>
      <t>℃未満の</t>
    </r>
    <r>
      <rPr>
        <sz val="9"/>
        <rFont val="Arial"/>
        <family val="2"/>
      </rPr>
      <t>VOC</t>
    </r>
    <r>
      <rPr>
        <sz val="9"/>
        <rFont val="ＭＳ Ｐゴシック"/>
        <family val="3"/>
        <charset val="128"/>
      </rPr>
      <t>対象）</t>
    </r>
  </si>
  <si>
    <r>
      <rPr>
        <sz val="9"/>
        <rFont val="ＭＳ Ｐゴシック"/>
        <family val="3"/>
        <charset val="128"/>
      </rPr>
      <t>有害性が判明している化</t>
    </r>
    <r>
      <rPr>
        <sz val="9"/>
        <rFont val="Arial"/>
        <family val="2"/>
      </rPr>
      <t>SchRtl</t>
    </r>
    <r>
      <rPr>
        <sz val="9"/>
        <rFont val="ＭＳ Ｐゴシック"/>
        <family val="3"/>
        <charset val="128"/>
      </rPr>
      <t>質</t>
    </r>
  </si>
  <si>
    <r>
      <rPr>
        <sz val="9"/>
        <rFont val="ＭＳ Ｐゴシック"/>
        <family val="3"/>
        <charset val="128"/>
      </rPr>
      <t>特定化</t>
    </r>
    <r>
      <rPr>
        <sz val="9"/>
        <rFont val="Arial"/>
        <family val="2"/>
      </rPr>
      <t>SchRtl</t>
    </r>
    <r>
      <rPr>
        <sz val="9"/>
        <rFont val="ＭＳ Ｐゴシック"/>
        <family val="3"/>
        <charset val="128"/>
      </rPr>
      <t>質の環境への排出量の把握等及び管理の改善の促進に関する法律（ＰＲＴＲ法）の「第一種指定化</t>
    </r>
    <r>
      <rPr>
        <sz val="9"/>
        <rFont val="Arial"/>
        <family val="2"/>
      </rPr>
      <t>SchRtl</t>
    </r>
    <r>
      <rPr>
        <sz val="9"/>
        <rFont val="ＭＳ Ｐゴシック"/>
        <family val="3"/>
        <charset val="128"/>
      </rPr>
      <t>質」と「第二種指定化</t>
    </r>
    <r>
      <rPr>
        <sz val="9"/>
        <rFont val="Arial"/>
        <family val="2"/>
      </rPr>
      <t>SchRtl</t>
    </r>
    <r>
      <rPr>
        <sz val="9"/>
        <rFont val="ＭＳ Ｐゴシック"/>
        <family val="3"/>
        <charset val="128"/>
      </rPr>
      <t>質」が指定割合以下である事。</t>
    </r>
  </si>
  <si>
    <t>1.3.3 Sanitation management operations</t>
    <phoneticPr fontId="26"/>
  </si>
  <si>
    <r>
      <rPr>
        <sz val="9"/>
        <rFont val="ＭＳ Ｐゴシック"/>
        <family val="3"/>
        <charset val="128"/>
      </rPr>
      <t>事・</t>
    </r>
    <r>
      <rPr>
        <sz val="9"/>
        <rFont val="Arial"/>
        <family val="2"/>
      </rPr>
      <t>Sch</t>
    </r>
    <r>
      <rPr>
        <sz val="9"/>
        <rFont val="ＭＳ Ｐゴシック"/>
        <family val="3"/>
        <charset val="128"/>
      </rPr>
      <t>・</t>
    </r>
    <r>
      <rPr>
        <sz val="9"/>
        <rFont val="Arial"/>
        <family val="2"/>
      </rPr>
      <t>Rtl</t>
    </r>
    <r>
      <rPr>
        <sz val="9"/>
        <rFont val="ＭＳ Ｐゴシック"/>
        <family val="3"/>
        <charset val="128"/>
      </rPr>
      <t>・</t>
    </r>
    <r>
      <rPr>
        <sz val="9"/>
        <rFont val="Arial"/>
        <family val="2"/>
      </rPr>
      <t>Hal</t>
    </r>
    <r>
      <rPr>
        <sz val="9"/>
        <rFont val="ＭＳ Ｐゴシック"/>
        <family val="3"/>
        <charset val="128"/>
      </rPr>
      <t>・</t>
    </r>
    <r>
      <rPr>
        <sz val="9"/>
        <rFont val="Arial"/>
        <family val="2"/>
      </rPr>
      <t>Htl</t>
    </r>
    <rPh sb="0" eb="1">
      <t>コト</t>
    </rPh>
    <phoneticPr fontId="26"/>
  </si>
  <si>
    <r>
      <t>(</t>
    </r>
    <r>
      <rPr>
        <sz val="9"/>
        <rFont val="ＭＳ Ｐゴシック"/>
        <family val="3"/>
        <charset val="128"/>
      </rPr>
      <t>該当するレベルなし</t>
    </r>
    <r>
      <rPr>
        <sz val="9"/>
        <rFont val="Arial"/>
        <family val="2"/>
      </rPr>
      <t>)</t>
    </r>
    <phoneticPr fontId="26"/>
  </si>
  <si>
    <r>
      <rPr>
        <sz val="9"/>
        <rFont val="ＭＳ Ｐゴシック"/>
        <family val="3"/>
        <charset val="128"/>
      </rPr>
      <t>延床面積</t>
    </r>
    <r>
      <rPr>
        <sz val="9"/>
        <rFont val="Arial"/>
        <family val="2"/>
      </rPr>
      <t>500</t>
    </r>
    <r>
      <rPr>
        <sz val="9"/>
        <rFont val="ＭＳ Ｐゴシック"/>
        <family val="3"/>
        <charset val="128"/>
      </rPr>
      <t>㎡以下の建築</t>
    </r>
    <r>
      <rPr>
        <sz val="9"/>
        <rFont val="Arial"/>
        <family val="2"/>
      </rPr>
      <t>Rtl</t>
    </r>
    <r>
      <rPr>
        <sz val="9"/>
        <rFont val="ＭＳ Ｐゴシック"/>
        <family val="3"/>
        <charset val="128"/>
      </rPr>
      <t>は
レベル</t>
    </r>
    <r>
      <rPr>
        <sz val="9"/>
        <rFont val="Arial"/>
        <family val="2"/>
      </rPr>
      <t>3</t>
    </r>
    <r>
      <rPr>
        <sz val="9"/>
        <rFont val="ＭＳ Ｐゴシック"/>
        <family val="3"/>
        <charset val="128"/>
      </rPr>
      <t>とする。
注）</t>
    </r>
    <r>
      <rPr>
        <sz val="9"/>
        <rFont val="Arial"/>
        <family val="2"/>
      </rPr>
      <t>500</t>
    </r>
    <r>
      <rPr>
        <sz val="9"/>
        <rFont val="ＭＳ Ｐゴシック"/>
        <family val="3"/>
        <charset val="128"/>
      </rPr>
      <t>㎡以下の建</t>
    </r>
    <r>
      <rPr>
        <sz val="9"/>
        <rFont val="Arial"/>
        <family val="2"/>
      </rPr>
      <t>Rtl</t>
    </r>
    <r>
      <rPr>
        <sz val="9"/>
        <rFont val="ＭＳ Ｐゴシック"/>
        <family val="3"/>
        <charset val="128"/>
      </rPr>
      <t>は直接入力により、レベル</t>
    </r>
    <r>
      <rPr>
        <sz val="9"/>
        <rFont val="Arial"/>
        <family val="2"/>
      </rPr>
      <t>3</t>
    </r>
    <r>
      <rPr>
        <sz val="9"/>
        <rFont val="ＭＳ Ｐゴシック"/>
        <family val="3"/>
        <charset val="128"/>
      </rPr>
      <t>を選択してください。</t>
    </r>
  </si>
  <si>
    <r>
      <t>3</t>
    </r>
    <r>
      <rPr>
        <sz val="9"/>
        <rFont val="ＭＳ Ｐゴシック"/>
        <family val="3"/>
        <charset val="128"/>
      </rPr>
      <t>つの設備管理業務の取り組みポイントで</t>
    </r>
    <r>
      <rPr>
        <sz val="9"/>
        <rFont val="Arial"/>
        <family val="2"/>
      </rPr>
      <t>-</t>
    </r>
    <r>
      <rPr>
        <sz val="9"/>
        <rFont val="ＭＳ Ｐゴシック"/>
        <family val="3"/>
        <charset val="128"/>
      </rPr>
      <t>１</t>
    </r>
    <r>
      <rPr>
        <sz val="9"/>
        <rFont val="Arial"/>
        <family val="2"/>
      </rPr>
      <t>(</t>
    </r>
    <r>
      <rPr>
        <sz val="9"/>
        <rFont val="ＭＳ Ｐゴシック"/>
        <family val="3"/>
        <charset val="128"/>
      </rPr>
      <t>ﾚﾍﾞﾙ</t>
    </r>
    <r>
      <rPr>
        <sz val="9"/>
        <rFont val="Arial"/>
        <family val="2"/>
      </rPr>
      <t>2)</t>
    </r>
    <r>
      <rPr>
        <sz val="9"/>
        <rFont val="ＭＳ Ｐゴシック"/>
        <family val="3"/>
        <charset val="128"/>
      </rPr>
      <t>の取り組みがひとつでもある場合</t>
    </r>
    <phoneticPr fontId="26"/>
  </si>
  <si>
    <r>
      <t>3</t>
    </r>
    <r>
      <rPr>
        <sz val="9"/>
        <rFont val="ＭＳ Ｐゴシック"/>
        <family val="3"/>
        <charset val="128"/>
      </rPr>
      <t>つの設備管理業務の取り組みポイントが</t>
    </r>
    <r>
      <rPr>
        <sz val="9"/>
        <rFont val="Arial"/>
        <family val="2"/>
      </rPr>
      <t xml:space="preserve"> 0</t>
    </r>
    <r>
      <rPr>
        <sz val="9"/>
        <rFont val="ＭＳ Ｐゴシック"/>
        <family val="3"/>
        <charset val="128"/>
      </rPr>
      <t>点</t>
    </r>
    <rPh sb="3" eb="5">
      <t>セツビ</t>
    </rPh>
    <rPh sb="5" eb="7">
      <t>カンリ</t>
    </rPh>
    <rPh sb="7" eb="9">
      <t>ギョウム</t>
    </rPh>
    <rPh sb="10" eb="11">
      <t>ト</t>
    </rPh>
    <rPh sb="12" eb="13">
      <t>ク</t>
    </rPh>
    <rPh sb="21" eb="22">
      <t>テン</t>
    </rPh>
    <phoneticPr fontId="26"/>
  </si>
  <si>
    <r>
      <t>3</t>
    </r>
    <r>
      <rPr>
        <sz val="9"/>
        <rFont val="ＭＳ Ｐゴシック"/>
        <family val="3"/>
        <charset val="128"/>
      </rPr>
      <t>つの設備管理業務の取り組みポイントが</t>
    </r>
    <r>
      <rPr>
        <sz val="9"/>
        <rFont val="Arial"/>
        <family val="2"/>
      </rPr>
      <t xml:space="preserve"> 1</t>
    </r>
    <r>
      <rPr>
        <sz val="9"/>
        <rFont val="ＭＳ Ｐゴシック"/>
        <family val="3"/>
        <charset val="128"/>
      </rPr>
      <t>～</t>
    </r>
    <r>
      <rPr>
        <sz val="9"/>
        <rFont val="Arial"/>
        <family val="2"/>
      </rPr>
      <t>2</t>
    </r>
    <r>
      <rPr>
        <sz val="9"/>
        <rFont val="ＭＳ Ｐゴシック"/>
        <family val="3"/>
        <charset val="128"/>
      </rPr>
      <t>点</t>
    </r>
    <rPh sb="3" eb="5">
      <t>セツビ</t>
    </rPh>
    <rPh sb="5" eb="7">
      <t>カンリ</t>
    </rPh>
    <rPh sb="7" eb="9">
      <t>ギョウム</t>
    </rPh>
    <rPh sb="10" eb="11">
      <t>ト</t>
    </rPh>
    <rPh sb="12" eb="13">
      <t>ク</t>
    </rPh>
    <rPh sb="23" eb="24">
      <t>テン</t>
    </rPh>
    <phoneticPr fontId="26"/>
  </si>
  <si>
    <r>
      <t>3</t>
    </r>
    <r>
      <rPr>
        <sz val="9"/>
        <rFont val="ＭＳ Ｐゴシック"/>
        <family val="3"/>
        <charset val="128"/>
      </rPr>
      <t>つの設備管理業務の取り組みポイントが</t>
    </r>
    <r>
      <rPr>
        <sz val="9"/>
        <rFont val="Arial"/>
        <family val="2"/>
      </rPr>
      <t xml:space="preserve"> 3</t>
    </r>
    <r>
      <rPr>
        <sz val="9"/>
        <rFont val="ＭＳ Ｐゴシック"/>
        <family val="3"/>
        <charset val="128"/>
      </rPr>
      <t>点</t>
    </r>
    <rPh sb="3" eb="5">
      <t>セツビ</t>
    </rPh>
    <rPh sb="5" eb="7">
      <t>カンリ</t>
    </rPh>
    <rPh sb="7" eb="9">
      <t>ギョウム</t>
    </rPh>
    <rPh sb="10" eb="11">
      <t>ト</t>
    </rPh>
    <rPh sb="12" eb="13">
      <t>ク</t>
    </rPh>
    <rPh sb="21" eb="22">
      <t>テン</t>
    </rPh>
    <phoneticPr fontId="26"/>
  </si>
  <si>
    <r>
      <rPr>
        <sz val="9"/>
        <rFont val="ＭＳ Ｐゴシック"/>
        <family val="3"/>
        <charset val="128"/>
      </rPr>
      <t>建築</t>
    </r>
    <r>
      <rPr>
        <sz val="9"/>
        <rFont val="Arial"/>
        <family val="2"/>
      </rPr>
      <t>Rtl</t>
    </r>
    <r>
      <rPr>
        <sz val="9"/>
        <rFont val="ＭＳ Ｐゴシック"/>
        <family val="3"/>
        <charset val="128"/>
      </rPr>
      <t>衛生法における特定建築</t>
    </r>
    <r>
      <rPr>
        <sz val="9"/>
        <rFont val="Arial"/>
        <family val="2"/>
      </rPr>
      <t>Rtl</t>
    </r>
  </si>
  <si>
    <r>
      <rPr>
        <sz val="9"/>
        <rFont val="ＭＳ Ｐゴシック"/>
        <family val="3"/>
        <charset val="128"/>
      </rPr>
      <t>建築</t>
    </r>
    <r>
      <rPr>
        <sz val="9"/>
        <rFont val="Arial"/>
        <family val="2"/>
      </rPr>
      <t>Rtl</t>
    </r>
    <r>
      <rPr>
        <sz val="9"/>
        <rFont val="ＭＳ Ｐゴシック"/>
        <family val="3"/>
        <charset val="128"/>
      </rPr>
      <t>衛生法における特定建築</t>
    </r>
    <r>
      <rPr>
        <sz val="9"/>
        <rFont val="Arial"/>
        <family val="2"/>
      </rPr>
      <t>Rtl</t>
    </r>
    <r>
      <rPr>
        <sz val="9"/>
        <rFont val="ＭＳ Ｐゴシック"/>
        <family val="3"/>
        <charset val="128"/>
      </rPr>
      <t>に該当しない建築</t>
    </r>
    <r>
      <rPr>
        <sz val="9"/>
        <rFont val="Arial"/>
        <family val="2"/>
      </rPr>
      <t>Rtl</t>
    </r>
  </si>
  <si>
    <r>
      <rPr>
        <sz val="9"/>
        <rFont val="ＭＳ Ｐゴシック"/>
        <family val="3"/>
        <charset val="128"/>
      </rPr>
      <t>Ⅰ</t>
    </r>
    <r>
      <rPr>
        <sz val="9"/>
        <rFont val="Arial"/>
        <family val="2"/>
      </rPr>
      <t xml:space="preserve"> </t>
    </r>
    <r>
      <rPr>
        <sz val="9"/>
        <rFont val="ＭＳ Ｐゴシック"/>
        <family val="3"/>
        <charset val="128"/>
      </rPr>
      <t>空調管理の評価</t>
    </r>
  </si>
  <si>
    <r>
      <rPr>
        <sz val="9"/>
        <rFont val="ＭＳ Ｐゴシック"/>
        <family val="3"/>
        <charset val="128"/>
      </rPr>
      <t>建築</t>
    </r>
    <r>
      <rPr>
        <sz val="9"/>
        <rFont val="Arial"/>
        <family val="2"/>
      </rPr>
      <t>Rtl</t>
    </r>
    <r>
      <rPr>
        <sz val="9"/>
        <rFont val="ＭＳ Ｐゴシック"/>
        <family val="3"/>
        <charset val="128"/>
      </rPr>
      <t>環境衛生管理基準の空調設備において不適切項目がある。</t>
    </r>
    <rPh sb="5" eb="7">
      <t>カンキョウ</t>
    </rPh>
    <rPh sb="7" eb="9">
      <t>エイセイ</t>
    </rPh>
    <rPh sb="9" eb="11">
      <t>カンリ</t>
    </rPh>
    <rPh sb="11" eb="13">
      <t>キジュン</t>
    </rPh>
    <rPh sb="14" eb="16">
      <t>クウチョウ</t>
    </rPh>
    <rPh sb="16" eb="18">
      <t>セツビ</t>
    </rPh>
    <rPh sb="22" eb="25">
      <t>フテキセツ</t>
    </rPh>
    <rPh sb="25" eb="27">
      <t>コウモク</t>
    </rPh>
    <phoneticPr fontId="26"/>
  </si>
  <si>
    <r>
      <rPr>
        <sz val="9"/>
        <rFont val="ＭＳ Ｐゴシック"/>
        <family val="3"/>
        <charset val="128"/>
      </rPr>
      <t>空調管理は何も実施していない。</t>
    </r>
    <phoneticPr fontId="26"/>
  </si>
  <si>
    <r>
      <t>-1</t>
    </r>
    <r>
      <rPr>
        <sz val="11"/>
        <rFont val="ＭＳ Ｐゴシック"/>
        <family val="3"/>
        <charset val="128"/>
      </rPr>
      <t>（レベル</t>
    </r>
    <r>
      <rPr>
        <sz val="11"/>
        <rFont val="Arial"/>
        <family val="2"/>
      </rPr>
      <t>2</t>
    </r>
    <r>
      <rPr>
        <sz val="11"/>
        <rFont val="ＭＳ Ｐゴシック"/>
        <family val="3"/>
        <charset val="128"/>
      </rPr>
      <t>）</t>
    </r>
    <phoneticPr fontId="26"/>
  </si>
  <si>
    <r>
      <rPr>
        <sz val="9"/>
        <rFont val="ＭＳ Ｐゴシック"/>
        <family val="3"/>
        <charset val="128"/>
      </rPr>
      <t>建築</t>
    </r>
    <r>
      <rPr>
        <sz val="9"/>
        <rFont val="Arial"/>
        <family val="2"/>
      </rPr>
      <t>Rtl</t>
    </r>
    <r>
      <rPr>
        <sz val="9"/>
        <rFont val="ＭＳ Ｐゴシック"/>
        <family val="3"/>
        <charset val="128"/>
      </rPr>
      <t>環境衛生管理基準を満たし、フィルターの定期的な点検・清掃を行っている。</t>
    </r>
    <rPh sb="5" eb="7">
      <t>カンキョウ</t>
    </rPh>
    <rPh sb="7" eb="9">
      <t>エイセイ</t>
    </rPh>
    <rPh sb="9" eb="11">
      <t>カンリ</t>
    </rPh>
    <rPh sb="11" eb="13">
      <t>キジュン</t>
    </rPh>
    <rPh sb="14" eb="15">
      <t>ミ</t>
    </rPh>
    <rPh sb="24" eb="27">
      <t>テイキテキ</t>
    </rPh>
    <rPh sb="28" eb="30">
      <t>テンケン</t>
    </rPh>
    <rPh sb="31" eb="33">
      <t>セイソウ</t>
    </rPh>
    <rPh sb="34" eb="35">
      <t>オコナ</t>
    </rPh>
    <phoneticPr fontId="26"/>
  </si>
  <si>
    <r>
      <rPr>
        <sz val="9"/>
        <rFont val="ＭＳ Ｐゴシック"/>
        <family val="3"/>
        <charset val="128"/>
      </rPr>
      <t>建築基準法施行細則第</t>
    </r>
    <r>
      <rPr>
        <sz val="9"/>
        <rFont val="Arial"/>
        <family val="2"/>
      </rPr>
      <t>8</t>
    </r>
    <r>
      <rPr>
        <sz val="9"/>
        <rFont val="ＭＳ Ｐゴシック"/>
        <family val="3"/>
        <charset val="128"/>
      </rPr>
      <t>条（建築設備等の定期報告）に基づく換気設備定期点検を年</t>
    </r>
    <r>
      <rPr>
        <sz val="9"/>
        <rFont val="Arial"/>
        <family val="2"/>
      </rPr>
      <t>1</t>
    </r>
    <r>
      <rPr>
        <sz val="9"/>
        <rFont val="ＭＳ Ｐゴシック"/>
        <family val="3"/>
        <charset val="128"/>
      </rPr>
      <t>回実施し、改善している。
※特定行政庁が規定する特殊建築</t>
    </r>
    <r>
      <rPr>
        <sz val="9"/>
        <rFont val="Arial"/>
        <family val="2"/>
      </rPr>
      <t>Rtl</t>
    </r>
    <r>
      <rPr>
        <sz val="9"/>
        <rFont val="ＭＳ Ｐゴシック"/>
        <family val="3"/>
        <charset val="128"/>
      </rPr>
      <t>に該当しない場合は取組み「</t>
    </r>
    <r>
      <rPr>
        <sz val="9"/>
        <rFont val="Arial"/>
        <family val="2"/>
      </rPr>
      <t>0</t>
    </r>
    <r>
      <rPr>
        <sz val="9"/>
        <rFont val="ＭＳ Ｐゴシック"/>
        <family val="3"/>
        <charset val="128"/>
      </rPr>
      <t>点」として評価する。</t>
    </r>
  </si>
  <si>
    <r>
      <rPr>
        <sz val="9"/>
        <rFont val="ＭＳ Ｐゴシック"/>
        <family val="3"/>
        <charset val="128"/>
      </rPr>
      <t>建築</t>
    </r>
    <r>
      <rPr>
        <sz val="9"/>
        <rFont val="Arial"/>
        <family val="2"/>
      </rPr>
      <t>Rtl</t>
    </r>
    <r>
      <rPr>
        <sz val="9"/>
        <rFont val="ＭＳ Ｐゴシック"/>
        <family val="3"/>
        <charset val="128"/>
      </rPr>
      <t>環境衛生管理基準を満たした以上に、特別な対策を行っている。</t>
    </r>
    <rPh sb="5" eb="7">
      <t>カンキョウ</t>
    </rPh>
    <rPh sb="7" eb="9">
      <t>エイセイ</t>
    </rPh>
    <rPh sb="9" eb="11">
      <t>カンリ</t>
    </rPh>
    <rPh sb="11" eb="13">
      <t>キジュン</t>
    </rPh>
    <rPh sb="14" eb="15">
      <t>ミ</t>
    </rPh>
    <rPh sb="18" eb="20">
      <t>イジョウ</t>
    </rPh>
    <rPh sb="22" eb="24">
      <t>トクベツ</t>
    </rPh>
    <rPh sb="25" eb="27">
      <t>タイサク</t>
    </rPh>
    <rPh sb="28" eb="29">
      <t>オコナ</t>
    </rPh>
    <phoneticPr fontId="26"/>
  </si>
  <si>
    <r>
      <rPr>
        <sz val="9"/>
        <rFont val="ＭＳ Ｐゴシック"/>
        <family val="3"/>
        <charset val="128"/>
      </rPr>
      <t>建築</t>
    </r>
    <r>
      <rPr>
        <sz val="9"/>
        <rFont val="Arial"/>
        <family val="2"/>
      </rPr>
      <t>Rtl</t>
    </r>
    <r>
      <rPr>
        <sz val="9"/>
        <rFont val="ＭＳ Ｐゴシック"/>
        <family val="3"/>
        <charset val="128"/>
      </rPr>
      <t>環境衛生管理基準レベルの空調管理を実施し、記録を保管している。</t>
    </r>
  </si>
  <si>
    <r>
      <rPr>
        <sz val="9"/>
        <rFont val="ＭＳ Ｐゴシック"/>
        <family val="3"/>
        <charset val="128"/>
      </rPr>
      <t>Ⅱ</t>
    </r>
    <r>
      <rPr>
        <sz val="9"/>
        <rFont val="Arial"/>
        <family val="2"/>
      </rPr>
      <t xml:space="preserve"> </t>
    </r>
    <r>
      <rPr>
        <sz val="9"/>
        <rFont val="ＭＳ Ｐゴシック"/>
        <family val="3"/>
        <charset val="128"/>
      </rPr>
      <t>ねずみ等の点検・防除の評価</t>
    </r>
    <rPh sb="5" eb="6">
      <t>トウ</t>
    </rPh>
    <rPh sb="7" eb="9">
      <t>テンケン</t>
    </rPh>
    <rPh sb="10" eb="12">
      <t>ボウジョ</t>
    </rPh>
    <rPh sb="13" eb="15">
      <t>ヒョウカ</t>
    </rPh>
    <phoneticPr fontId="26"/>
  </si>
  <si>
    <r>
      <rPr>
        <sz val="9"/>
        <rFont val="ＭＳ Ｐゴシック"/>
        <family val="3"/>
        <charset val="128"/>
      </rPr>
      <t>建築</t>
    </r>
    <r>
      <rPr>
        <sz val="9"/>
        <rFont val="Arial"/>
        <family val="2"/>
      </rPr>
      <t>Rtl</t>
    </r>
    <r>
      <rPr>
        <sz val="9"/>
        <rFont val="ＭＳ Ｐゴシック"/>
        <family val="3"/>
        <charset val="128"/>
      </rPr>
      <t>環境衛生管理基準の害虫駆除において不適切項目がある。</t>
    </r>
    <rPh sb="5" eb="7">
      <t>カンキョウ</t>
    </rPh>
    <rPh sb="7" eb="9">
      <t>エイセイ</t>
    </rPh>
    <rPh sb="9" eb="11">
      <t>カンリ</t>
    </rPh>
    <rPh sb="11" eb="13">
      <t>キジュン</t>
    </rPh>
    <rPh sb="14" eb="16">
      <t>ガイチュウ</t>
    </rPh>
    <rPh sb="16" eb="18">
      <t>クジョ</t>
    </rPh>
    <rPh sb="22" eb="25">
      <t>フテキセツ</t>
    </rPh>
    <rPh sb="25" eb="27">
      <t>コウモク</t>
    </rPh>
    <phoneticPr fontId="26"/>
  </si>
  <si>
    <r>
      <rPr>
        <sz val="9"/>
        <rFont val="ＭＳ Ｐゴシック"/>
        <family val="3"/>
        <charset val="128"/>
      </rPr>
      <t>ねずみ等の点検・防除は何も実施していない。</t>
    </r>
    <phoneticPr fontId="26"/>
  </si>
  <si>
    <r>
      <rPr>
        <sz val="9"/>
        <rFont val="ＭＳ Ｐゴシック"/>
        <family val="3"/>
        <charset val="128"/>
      </rPr>
      <t>建築</t>
    </r>
    <r>
      <rPr>
        <sz val="9"/>
        <rFont val="Arial"/>
        <family val="2"/>
      </rPr>
      <t>Rtl</t>
    </r>
    <r>
      <rPr>
        <sz val="9"/>
        <rFont val="ＭＳ Ｐゴシック"/>
        <family val="3"/>
        <charset val="128"/>
      </rPr>
      <t>環境衛生管理基準を満たし、</t>
    </r>
    <r>
      <rPr>
        <sz val="9"/>
        <rFont val="Arial"/>
        <family val="2"/>
      </rPr>
      <t>6</t>
    </r>
    <r>
      <rPr>
        <sz val="9"/>
        <rFont val="ＭＳ Ｐゴシック"/>
        <family val="3"/>
        <charset val="128"/>
      </rPr>
      <t>ヶ月に</t>
    </r>
    <r>
      <rPr>
        <sz val="9"/>
        <rFont val="Arial"/>
        <family val="2"/>
      </rPr>
      <t>1</t>
    </r>
    <r>
      <rPr>
        <sz val="9"/>
        <rFont val="ＭＳ Ｐゴシック"/>
        <family val="3"/>
        <charset val="128"/>
      </rPr>
      <t>回の点検および防除を行っている。</t>
    </r>
    <rPh sb="20" eb="21">
      <t>ゲツ</t>
    </rPh>
    <rPh sb="23" eb="24">
      <t>カイ</t>
    </rPh>
    <rPh sb="25" eb="27">
      <t>テンケン</t>
    </rPh>
    <rPh sb="30" eb="32">
      <t>ボウジョ</t>
    </rPh>
    <rPh sb="33" eb="34">
      <t>オコナ</t>
    </rPh>
    <phoneticPr fontId="26"/>
  </si>
  <si>
    <r>
      <rPr>
        <sz val="9"/>
        <rFont val="ＭＳ Ｐゴシック"/>
        <family val="3"/>
        <charset val="128"/>
      </rPr>
      <t>各建築</t>
    </r>
    <r>
      <rPr>
        <sz val="9"/>
        <rFont val="Arial"/>
        <family val="2"/>
      </rPr>
      <t>Rtl</t>
    </r>
    <r>
      <rPr>
        <sz val="9"/>
        <rFont val="ＭＳ Ｐゴシック"/>
        <family val="3"/>
        <charset val="128"/>
      </rPr>
      <t>に適用されている法律、規則、基準などに則り、ねずみ等の点検・防除を定期的に実施している。
※法律、規則、基準などがない建築</t>
    </r>
    <r>
      <rPr>
        <sz val="9"/>
        <rFont val="Arial"/>
        <family val="2"/>
      </rPr>
      <t>Rtl</t>
    </r>
    <r>
      <rPr>
        <sz val="9"/>
        <rFont val="ＭＳ Ｐゴシック"/>
        <family val="3"/>
        <charset val="128"/>
      </rPr>
      <t>の場合は年</t>
    </r>
    <r>
      <rPr>
        <sz val="9"/>
        <rFont val="Arial"/>
        <family val="2"/>
      </rPr>
      <t>1</t>
    </r>
    <r>
      <rPr>
        <sz val="9"/>
        <rFont val="ＭＳ Ｐゴシック"/>
        <family val="3"/>
        <charset val="128"/>
      </rPr>
      <t>回のねずみ等の点検・防除を実施している。</t>
    </r>
  </si>
  <si>
    <r>
      <rPr>
        <sz val="9"/>
        <rFont val="ＭＳ Ｐゴシック"/>
        <family val="3"/>
        <charset val="128"/>
      </rPr>
      <t>建築</t>
    </r>
    <r>
      <rPr>
        <sz val="9"/>
        <rFont val="Arial"/>
        <family val="2"/>
      </rPr>
      <t>Rtl</t>
    </r>
    <r>
      <rPr>
        <sz val="9"/>
        <rFont val="ＭＳ Ｐゴシック"/>
        <family val="3"/>
        <charset val="128"/>
      </rPr>
      <t>環境衛生管理基準レベルのねずみ等の点検・防除を実施し、記録を保管している。</t>
    </r>
  </si>
  <si>
    <r>
      <rPr>
        <sz val="9"/>
        <rFont val="ＭＳ Ｐゴシック"/>
        <family val="3"/>
        <charset val="128"/>
      </rPr>
      <t>Ⅲ</t>
    </r>
    <r>
      <rPr>
        <sz val="9"/>
        <rFont val="Arial"/>
        <family val="2"/>
      </rPr>
      <t xml:space="preserve"> </t>
    </r>
    <r>
      <rPr>
        <sz val="9"/>
        <rFont val="ＭＳ Ｐゴシック"/>
        <family val="3"/>
        <charset val="128"/>
      </rPr>
      <t xml:space="preserve">給水・給湯管理
</t>
    </r>
    <r>
      <rPr>
        <sz val="9"/>
        <rFont val="Arial"/>
        <family val="2"/>
      </rPr>
      <t xml:space="preserve">   </t>
    </r>
    <r>
      <rPr>
        <sz val="9"/>
        <rFont val="ＭＳ Ｐゴシック"/>
        <family val="3"/>
        <charset val="128"/>
      </rPr>
      <t>（</t>
    </r>
    <r>
      <rPr>
        <sz val="9"/>
        <rFont val="Arial"/>
        <family val="2"/>
      </rPr>
      <t>Rst</t>
    </r>
    <r>
      <rPr>
        <sz val="9"/>
        <rFont val="ＭＳ Ｐゴシック"/>
        <family val="3"/>
        <charset val="128"/>
      </rPr>
      <t>用・炊事用・浴用等）の評価</t>
    </r>
    <rPh sb="2" eb="4">
      <t>キュウスイ</t>
    </rPh>
    <rPh sb="5" eb="7">
      <t>キュウトウ</t>
    </rPh>
    <rPh sb="7" eb="9">
      <t>カンリ</t>
    </rPh>
    <rPh sb="19" eb="22">
      <t>スイジヨウ</t>
    </rPh>
    <rPh sb="23" eb="26">
      <t>ヨクヨウナド</t>
    </rPh>
    <rPh sb="28" eb="30">
      <t>ヒョウカ</t>
    </rPh>
    <phoneticPr fontId="26"/>
  </si>
  <si>
    <r>
      <rPr>
        <sz val="9"/>
        <rFont val="ＭＳ Ｐゴシック"/>
        <family val="3"/>
        <charset val="128"/>
      </rPr>
      <t>建築</t>
    </r>
    <r>
      <rPr>
        <sz val="9"/>
        <rFont val="Arial"/>
        <family val="2"/>
      </rPr>
      <t>Rtl</t>
    </r>
    <r>
      <rPr>
        <sz val="9"/>
        <rFont val="ＭＳ Ｐゴシック"/>
        <family val="3"/>
        <charset val="128"/>
      </rPr>
      <t>環境衛生管理基準の給水設備において不適切項目がある。</t>
    </r>
    <rPh sb="5" eb="7">
      <t>カンキョウ</t>
    </rPh>
    <rPh sb="7" eb="9">
      <t>エイセイ</t>
    </rPh>
    <rPh sb="9" eb="11">
      <t>カンリ</t>
    </rPh>
    <rPh sb="11" eb="13">
      <t>キジュン</t>
    </rPh>
    <rPh sb="14" eb="16">
      <t>キュウスイ</t>
    </rPh>
    <rPh sb="16" eb="18">
      <t>セツビ</t>
    </rPh>
    <rPh sb="22" eb="25">
      <t>フテキセツ</t>
    </rPh>
    <rPh sb="25" eb="27">
      <t>コウモク</t>
    </rPh>
    <phoneticPr fontId="26"/>
  </si>
  <si>
    <r>
      <rPr>
        <sz val="9"/>
        <rFont val="ＭＳ Ｐゴシック"/>
        <family val="3"/>
        <charset val="128"/>
      </rPr>
      <t>給水・給湯管理（</t>
    </r>
    <r>
      <rPr>
        <sz val="9"/>
        <rFont val="Arial"/>
        <family val="2"/>
      </rPr>
      <t>Rst</t>
    </r>
    <r>
      <rPr>
        <sz val="9"/>
        <rFont val="ＭＳ Ｐゴシック"/>
        <family val="3"/>
        <charset val="128"/>
      </rPr>
      <t>用・炊事用・浴用等）は何も実施していない。</t>
    </r>
  </si>
  <si>
    <r>
      <rPr>
        <sz val="9"/>
        <rFont val="ＭＳ Ｐゴシック"/>
        <family val="3"/>
        <charset val="128"/>
      </rPr>
      <t>建築</t>
    </r>
    <r>
      <rPr>
        <sz val="9"/>
        <rFont val="Arial"/>
        <family val="2"/>
      </rPr>
      <t>Rtl</t>
    </r>
    <r>
      <rPr>
        <sz val="9"/>
        <rFont val="ＭＳ Ｐゴシック"/>
        <family val="3"/>
        <charset val="128"/>
      </rPr>
      <t>環境衛生管理基準を満たしている。</t>
    </r>
    <rPh sb="5" eb="7">
      <t>カンキョウ</t>
    </rPh>
    <rPh sb="7" eb="9">
      <t>エイセイ</t>
    </rPh>
    <rPh sb="9" eb="11">
      <t>カンリ</t>
    </rPh>
    <rPh sb="11" eb="13">
      <t>キジュン</t>
    </rPh>
    <rPh sb="14" eb="15">
      <t>ミ</t>
    </rPh>
    <phoneticPr fontId="26"/>
  </si>
  <si>
    <r>
      <rPr>
        <sz val="9"/>
        <rFont val="ＭＳ Ｐゴシック"/>
        <family val="3"/>
        <charset val="128"/>
      </rPr>
      <t>「水道法」に基づき、受水槽の清掃や水質の外部検査を年</t>
    </r>
    <r>
      <rPr>
        <sz val="9"/>
        <rFont val="Arial"/>
        <family val="2"/>
      </rPr>
      <t>1</t>
    </r>
    <r>
      <rPr>
        <sz val="9"/>
        <rFont val="ＭＳ Ｐゴシック"/>
        <family val="3"/>
        <charset val="128"/>
      </rPr>
      <t>回実施し、改善している。
※直結式給水で受水槽がない場合は取組み「</t>
    </r>
    <r>
      <rPr>
        <sz val="9"/>
        <rFont val="Arial"/>
        <family val="2"/>
      </rPr>
      <t>0</t>
    </r>
    <r>
      <rPr>
        <sz val="9"/>
        <rFont val="ＭＳ Ｐゴシック"/>
        <family val="3"/>
        <charset val="128"/>
      </rPr>
      <t>点」として評価する。</t>
    </r>
    <phoneticPr fontId="26"/>
  </si>
  <si>
    <r>
      <rPr>
        <sz val="9"/>
        <rFont val="ＭＳ Ｐゴシック"/>
        <family val="3"/>
        <charset val="128"/>
      </rPr>
      <t>建築</t>
    </r>
    <r>
      <rPr>
        <sz val="9"/>
        <rFont val="Arial"/>
        <family val="2"/>
      </rPr>
      <t>Rtl</t>
    </r>
    <r>
      <rPr>
        <sz val="9"/>
        <rFont val="ＭＳ Ｐゴシック"/>
        <family val="3"/>
        <charset val="128"/>
      </rPr>
      <t>環境衛生管理基準レベルの給水・給湯管理（</t>
    </r>
    <r>
      <rPr>
        <sz val="9"/>
        <rFont val="Arial"/>
        <family val="2"/>
      </rPr>
      <t>Rst</t>
    </r>
    <r>
      <rPr>
        <sz val="9"/>
        <rFont val="ＭＳ Ｐゴシック"/>
        <family val="3"/>
        <charset val="128"/>
      </rPr>
      <t>用・炊事用・浴用等）を実施し、記録を保管している。</t>
    </r>
  </si>
  <si>
    <r>
      <rPr>
        <b/>
        <sz val="9"/>
        <rFont val="ＭＳ Ｐゴシック"/>
        <family val="3"/>
        <charset val="128"/>
      </rPr>
      <t>ポイント</t>
    </r>
    <phoneticPr fontId="26"/>
  </si>
  <si>
    <r>
      <t>-</t>
    </r>
    <r>
      <rPr>
        <sz val="9"/>
        <rFont val="ＭＳ Ｐゴシック"/>
        <family val="3"/>
        <charset val="128"/>
      </rPr>
      <t>１</t>
    </r>
    <r>
      <rPr>
        <sz val="9"/>
        <rFont val="Arial"/>
        <family val="2"/>
      </rPr>
      <t>(</t>
    </r>
    <r>
      <rPr>
        <sz val="9"/>
        <rFont val="ＭＳ Ｐゴシック"/>
        <family val="3"/>
        <charset val="128"/>
      </rPr>
      <t>ﾚﾍﾞﾙ</t>
    </r>
    <r>
      <rPr>
        <sz val="9"/>
        <rFont val="Arial"/>
        <family val="2"/>
      </rPr>
      <t>2)</t>
    </r>
    <r>
      <rPr>
        <sz val="9"/>
        <rFont val="ＭＳ Ｐゴシック"/>
        <family val="3"/>
        <charset val="128"/>
      </rPr>
      <t>の取組み＝</t>
    </r>
    <phoneticPr fontId="26"/>
  </si>
  <si>
    <t>2.1.2 Seismic Isolation, Seismic &amp; Vibration Control (Internal Equipment Protection)</t>
    <phoneticPr fontId="26"/>
  </si>
  <si>
    <r>
      <rPr>
        <sz val="11"/>
        <rFont val="ＭＳ Ｐゴシック"/>
        <family val="3"/>
        <charset val="128"/>
      </rPr>
      <t>既存で評価</t>
    </r>
    <rPh sb="0" eb="2">
      <t>キソン</t>
    </rPh>
    <rPh sb="3" eb="5">
      <t>ヒョウカ</t>
    </rPh>
    <phoneticPr fontId="26"/>
  </si>
  <si>
    <r>
      <rPr>
        <sz val="9"/>
        <rFont val="ＭＳ Ｐゴシック"/>
        <family val="3"/>
        <charset val="128"/>
      </rPr>
      <t>メンテナンス記録がなく判定不可能。</t>
    </r>
  </si>
  <si>
    <r>
      <rPr>
        <sz val="9"/>
        <rFont val="ＭＳ Ｐゴシック"/>
        <family val="3"/>
        <charset val="128"/>
      </rPr>
      <t>全て耐用年数を超えている。</t>
    </r>
  </si>
  <si>
    <r>
      <rPr>
        <sz val="9"/>
        <rFont val="ＭＳ Ｐゴシック"/>
        <family val="3"/>
        <charset val="128"/>
      </rPr>
      <t>主要機器は耐用年数以内である。</t>
    </r>
    <phoneticPr fontId="26"/>
  </si>
  <si>
    <r>
      <rPr>
        <sz val="9"/>
        <rFont val="ＭＳ Ｐゴシック"/>
        <family val="3"/>
        <charset val="128"/>
      </rPr>
      <t>全て耐用年数以内である。</t>
    </r>
  </si>
  <si>
    <r>
      <rPr>
        <sz val="9"/>
        <rFont val="ＭＳ Ｐゴシック"/>
        <family val="3"/>
        <charset val="128"/>
      </rPr>
      <t>全て耐用年数以内である。</t>
    </r>
    <phoneticPr fontId="26"/>
  </si>
  <si>
    <r>
      <rPr>
        <sz val="9"/>
        <rFont val="ＭＳ Ｐゴシック"/>
        <family val="3"/>
        <charset val="128"/>
      </rPr>
      <t>【</t>
    </r>
    <r>
      <rPr>
        <sz val="9"/>
        <rFont val="Arial"/>
        <family val="2"/>
      </rPr>
      <t>&gt;=2000</t>
    </r>
    <r>
      <rPr>
        <sz val="9"/>
        <rFont val="ＭＳ Ｐゴシック"/>
        <family val="3"/>
        <charset val="128"/>
      </rPr>
      <t>㎡】</t>
    </r>
    <r>
      <rPr>
        <sz val="9"/>
        <rFont val="Arial"/>
        <family val="2"/>
      </rPr>
      <t>Off,Hal,Hsp,Htl,Fct</t>
    </r>
  </si>
  <si>
    <r>
      <rPr>
        <sz val="9"/>
        <rFont val="ＭＳ Ｐゴシック"/>
        <family val="3"/>
        <charset val="128"/>
      </rPr>
      <t>【</t>
    </r>
    <r>
      <rPr>
        <sz val="9"/>
        <rFont val="Arial"/>
        <family val="2"/>
      </rPr>
      <t>&gt;=2000</t>
    </r>
    <r>
      <rPr>
        <sz val="9"/>
        <rFont val="ＭＳ Ｐゴシック"/>
        <family val="3"/>
        <charset val="128"/>
      </rPr>
      <t>㎡】</t>
    </r>
    <r>
      <rPr>
        <sz val="9"/>
        <rFont val="Arial"/>
        <family val="2"/>
      </rPr>
      <t>Sch,Rtl,Rst,Apt</t>
    </r>
  </si>
  <si>
    <r>
      <rPr>
        <sz val="9"/>
        <rFont val="ＭＳ Ｐゴシック"/>
        <family val="3"/>
        <charset val="128"/>
      </rPr>
      <t>【</t>
    </r>
    <r>
      <rPr>
        <sz val="9"/>
        <rFont val="Arial"/>
        <family val="2"/>
      </rPr>
      <t>&lt;2000</t>
    </r>
    <r>
      <rPr>
        <sz val="9"/>
        <rFont val="ＭＳ Ｐゴシック"/>
        <family val="3"/>
        <charset val="128"/>
      </rPr>
      <t>㎡】</t>
    </r>
    <phoneticPr fontId="26"/>
  </si>
  <si>
    <r>
      <rPr>
        <sz val="9"/>
        <rFont val="ＭＳ Ｐゴシック"/>
        <family val="3"/>
        <charset val="128"/>
      </rPr>
      <t>【</t>
    </r>
    <r>
      <rPr>
        <sz val="9"/>
        <rFont val="Arial"/>
        <family val="2"/>
      </rPr>
      <t>&gt;=2000</t>
    </r>
    <r>
      <rPr>
        <sz val="9"/>
        <rFont val="ＭＳ Ｐゴシック"/>
        <family val="3"/>
        <charset val="128"/>
      </rPr>
      <t>㎡】</t>
    </r>
    <phoneticPr fontId="26"/>
  </si>
  <si>
    <r>
      <t xml:space="preserve">0.7 </t>
    </r>
    <r>
      <rPr>
        <sz val="9"/>
        <rFont val="ＭＳ Ｐゴシック"/>
        <family val="3"/>
        <charset val="128"/>
      </rPr>
      <t>≦</t>
    </r>
    <r>
      <rPr>
        <sz val="9"/>
        <rFont val="Arial"/>
        <family val="2"/>
      </rPr>
      <t xml:space="preserve"> [Wall length/area ratio]</t>
    </r>
  </si>
  <si>
    <r>
      <t xml:space="preserve">0.5 </t>
    </r>
    <r>
      <rPr>
        <sz val="9"/>
        <rFont val="ＭＳ Ｐゴシック"/>
        <family val="3"/>
        <charset val="128"/>
      </rPr>
      <t>≦</t>
    </r>
    <r>
      <rPr>
        <sz val="9"/>
        <rFont val="Arial"/>
        <family val="2"/>
      </rPr>
      <t xml:space="preserve"> [Wall length/area ratio] &lt; 0.7</t>
    </r>
  </si>
  <si>
    <r>
      <t xml:space="preserve">0.3 </t>
    </r>
    <r>
      <rPr>
        <sz val="9"/>
        <rFont val="ＭＳ Ｐゴシック"/>
        <family val="3"/>
        <charset val="128"/>
      </rPr>
      <t>≦</t>
    </r>
    <r>
      <rPr>
        <sz val="9"/>
        <rFont val="Arial"/>
        <family val="2"/>
      </rPr>
      <t xml:space="preserve"> [Wall length/area ratio] &lt; 0.5</t>
    </r>
  </si>
  <si>
    <r>
      <t xml:space="preserve">0.1 </t>
    </r>
    <r>
      <rPr>
        <sz val="9"/>
        <rFont val="ＭＳ Ｐゴシック"/>
        <family val="3"/>
        <charset val="128"/>
      </rPr>
      <t>≦</t>
    </r>
    <r>
      <rPr>
        <sz val="9"/>
        <rFont val="Arial"/>
        <family val="2"/>
      </rPr>
      <t xml:space="preserve"> [Wall length/area ratio] &lt; 0.3</t>
    </r>
  </si>
  <si>
    <r>
      <rPr>
        <sz val="9"/>
        <rFont val="ＭＳ Ｐゴシック"/>
        <family val="3"/>
        <charset val="128"/>
      </rPr>
      <t>＝</t>
    </r>
    <phoneticPr fontId="26"/>
  </si>
  <si>
    <t>Consider for groundwater systems</t>
  </si>
  <si>
    <t>Preventing soil contamination</t>
  </si>
  <si>
    <t>Longer use of frame materials</t>
  </si>
  <si>
    <t>Design to withstand natural disasters</t>
  </si>
  <si>
    <t>Ensure resilience of HVAC system</t>
  </si>
  <si>
    <t>Ensure resilience of water supply &amp; drainage and sanitation systems</t>
  </si>
  <si>
    <t>Ensure resilience of electrical equipment</t>
  </si>
  <si>
    <t>Ensure resilience of support method of machines &amp; ducts</t>
  </si>
  <si>
    <t>Ensure resilience of communication wiring</t>
  </si>
  <si>
    <t>Creating a thermal, air, light, and sound environment suitable for learning</t>
  </si>
  <si>
    <t>Design that accommodate different temperature/cooling sensation evaluations by gender</t>
  </si>
  <si>
    <t>Measures to reduce the amount of waste generated at each stage of the production and disposal of housing and building</t>
  </si>
  <si>
    <t>Innovations for extending the service life of houses and buildings</t>
  </si>
  <si>
    <t>Prevention of traffic accidents, coordination with public transportation</t>
  </si>
  <si>
    <t>Townscape and landscape-friendly architectural planning</t>
  </si>
  <si>
    <t>Assessment and certification of environmental performance of houses and buildings</t>
  </si>
  <si>
    <t>Reduce GHG emissions during construction, operation, and disposal</t>
  </si>
  <si>
    <t>Supply chain management, creating shared value</t>
  </si>
  <si>
    <t>The air conditioning system is designed to provide a comfortable room temperature even during peak load periods.</t>
  </si>
  <si>
    <t>Efforts are being made to reduce heat gain or loss from the outside of the building.</t>
  </si>
  <si>
    <t xml:space="preserve">Efforts are being made to exceed ventilation levels required by the building code, the built environment sanitation code, and school environmental sanitation standards to improve air quality. </t>
  </si>
  <si>
    <t>The system is designed to allow humidification and dehumidification for comfort and health reasons.</t>
  </si>
  <si>
    <t>Adequate measures are taken to avoid air quality pollution by chemical pollutants.</t>
  </si>
  <si>
    <t>Measures are taken to prevent non-smokers from being exposed to smoke, such as non-smoking or installation of smoking booths.</t>
  </si>
  <si>
    <t>The building is equipped with daylight devices as well as windows on the exterior walls of the building.</t>
  </si>
  <si>
    <t>Lighting control in the subject space is assessed, such as detailed lighting control and automatic control.</t>
  </si>
  <si>
    <t>The building is designed to allow all people to use the building without any inconvenience, while meeting the standards for facilitating the movement of people in the building.</t>
  </si>
  <si>
    <t>(i) The device is significantly lower than the current regulatory standards stipulated in the Noise Regulation Law or the Large-Scale Retail Stores Location Law, local ordinances, etc.</t>
  </si>
  <si>
    <t>(ii) The device is significantly lower than the current regulatory standards set forth in the Vibration Regulation Law and local ordinances.</t>
  </si>
  <si>
    <t>(iii) Devices that meet the permissible limit values for the concentration of specific odor substances specified in the Odor Control Law, local ordinances, etc.</t>
  </si>
  <si>
    <t>(i) Restrictions of wind damage.</t>
  </si>
  <si>
    <t>(ii) Restriction of sunlight obstruction.</t>
  </si>
  <si>
    <t>Efforts are being made to contribute to the reduction of off-site heat load, such as measures to reduce the heat island effect.</t>
  </si>
  <si>
    <t>Efforts are being made to exceed ventilation levels required by the building code, the built environment sanitation code, and school environmental sanitation standards to improve air quality.</t>
  </si>
  <si>
    <t>The building is designed to allow all people to use the building without any inconvenience, in compliance with the standards for facilitating building movement.</t>
  </si>
  <si>
    <t>Water saving systems are being introduced.</t>
  </si>
  <si>
    <t>Efforts are being made to use rain water and grey water.</t>
  </si>
  <si>
    <t>The existing structural frame is reused.</t>
  </si>
  <si>
    <t>Recycled materials are used in areas other than the building frame.</t>
  </si>
  <si>
    <t>Measures to promote recycling at the time of dismantling and disposal, such as ease of sorting, are taken.</t>
  </si>
  <si>
    <t>Efforts are being made to lengthen the required intervals for repair of exterior wall finish materials.</t>
  </si>
  <si>
    <t>Spaces for refreshment and other amenities necessary for a comfortable office life are devised.</t>
  </si>
  <si>
    <t>Comfortable communication environment facilities are installed.</t>
  </si>
  <si>
    <t>Initiatives that contribute to the preservation and creation of biotope are involved.</t>
  </si>
  <si>
    <t>(i) It is devised to be significantly lower than the current regulatory standards stipulated in the Noise Regulation Law or the Large-Scale Retail Stores Location Law, local ordinances, etc.</t>
  </si>
  <si>
    <t>Measures are taken to promote recycling at the time of dismantling and disposal, such as ease of sorting.</t>
  </si>
  <si>
    <t>Lighting Controllability</t>
    <phoneticPr fontId="35" type="noConversion"/>
  </si>
  <si>
    <t>Q1.2.1.1 "Room temperature"</t>
  </si>
  <si>
    <t>Q1.2.1.2 "Perimeter performance"</t>
  </si>
  <si>
    <t>Q1.2.1.3 "Zoned control"</t>
  </si>
  <si>
    <t>Q1.2.3 "Type of air conditioning system"</t>
  </si>
  <si>
    <t>Q1.4.2 "Ventilation"</t>
  </si>
  <si>
    <t>Q1.2.2 "Humidity control"</t>
  </si>
  <si>
    <t>Q1.4.1.1 "Chemical pollutant "</t>
  </si>
  <si>
    <t>Q1.4.3.2 "Control of smoking"</t>
  </si>
  <si>
    <t>Q2.1.3.2 "Securing maintenance functions"</t>
  </si>
  <si>
    <t>Q1.3.1.3 "Daylight devices"</t>
  </si>
  <si>
    <t>Q1.3.2.1 "Daylight control"</t>
  </si>
  <si>
    <t>Q1.3.4 "Lighting controllability"</t>
  </si>
  <si>
    <t>Q1.1 "Sound environment"</t>
  </si>
  <si>
    <t>SDGs original</t>
  </si>
  <si>
    <t>Q2.1.1.3 "Barrier-free planning"</t>
  </si>
  <si>
    <t>LR3.3.1.1 "Noise"</t>
  </si>
  <si>
    <t>LR3.3.1.2 "Vibration</t>
  </si>
  <si>
    <t>LR3.3.1.3 "Odor"</t>
  </si>
  <si>
    <t>LR3.3.2.1 "Restriction of wind damage"</t>
  </si>
  <si>
    <t>LR3.3.2.3 "Restriction of sunlight obstruction"</t>
  </si>
  <si>
    <t>LR3.3.3 "Light Pollution"</t>
  </si>
  <si>
    <t>LR3.2.2 "Heat Island Effect"</t>
  </si>
  <si>
    <t>LR2.3.1 "Use of materials without harmful substances"</t>
  </si>
  <si>
    <t>Q1.4.1.1 "Chemical pollutant contents"</t>
  </si>
  <si>
    <t>Q2.3.1 "Spatial margin"</t>
  </si>
  <si>
    <t>LR2.1.1 "Water Saving"</t>
  </si>
  <si>
    <t>LR2.1.2 "Rain water &amp; waste water use"</t>
  </si>
  <si>
    <t>LR3.2.3.1 "Reduction of rain water discharge loads"</t>
  </si>
  <si>
    <t>LR3.2.3.2 "Sewage load suppression"</t>
  </si>
  <si>
    <t>Q2.2.4.2 "Water supply &amp; drainage</t>
  </si>
  <si>
    <t>LR1.1 "Control of heat load on the building envelopes"</t>
  </si>
  <si>
    <t>LR1.2 "Natural Energy Utilization (Direct Use)"</t>
  </si>
  <si>
    <t>LR1.3 "Efficiency in building service system"</t>
  </si>
  <si>
    <t>LR1.4.3 "Expanding adoption of non-fossil energy"</t>
  </si>
  <si>
    <t>LR1.4.1 "Monitoring" and LR1.4.2 "Operation &amp; Management System"</t>
  </si>
  <si>
    <t>Q2.2.4.3 "Electrical equipment"</t>
  </si>
  <si>
    <t>LR3.1 "Consideration of global warming"</t>
  </si>
  <si>
    <t xml:space="preserve">Q1.2.1.2 "Perimeter performance" </t>
  </si>
  <si>
    <t xml:space="preserve">LR2.2.1 "Reducing use of materials" </t>
  </si>
  <si>
    <t>LR2.2.2 "Continuing use of existing structural frame, etc."</t>
  </si>
  <si>
    <t>LR2.2.3 "Use of recycled materials as structural materials"</t>
  </si>
  <si>
    <t>LR2.2.4 "Use of recycled materials as non-structural materials"</t>
  </si>
  <si>
    <t xml:space="preserve">LR2.2.5 "Timber from sustainable forestry" </t>
  </si>
  <si>
    <t xml:space="preserve">LR2.2.6 "Reusability of components and materials" </t>
  </si>
  <si>
    <t>Q2.2.2.1 "Service life of structural materials"</t>
  </si>
  <si>
    <t>Q2.2.2.2 "Necessary Refurbishment interval for exterior finishes"</t>
  </si>
  <si>
    <t>Q2.2.2.3 "Necessary renewal interval for main interior finishes"</t>
  </si>
  <si>
    <t xml:space="preserve">Q2.2.2.4 "Necessary renewal interval for air conditioning and ventilation ducts" </t>
  </si>
  <si>
    <t>Q2.2.2.5 "Necessary renewal interval for HVAC and water supply and drainage pipes"</t>
  </si>
  <si>
    <t>Q2.2.2.6 "Necessary replacement interval for major equipment and services"</t>
  </si>
  <si>
    <t>Q3.3.1 "Attention to local characteristics &amp; improvement of comfort - I 2) Use of materials with local characteristics" and Q3.2 "Attention to townscape and landscape 4) Formation of a good landscape with materials with local characteristics"</t>
  </si>
  <si>
    <t>Q2.1.2.2 "Space for refreshment"</t>
  </si>
  <si>
    <t>Q2.1.1.2 "use of advanced information &amp; IT equipment"</t>
  </si>
  <si>
    <t xml:space="preserve">Q2.2.1.1 "Earthquake-resistance (resistance to building breakage)" and Q2.2.1.2 "Seismic isolation, seismic &amp; vibration control (internal equipment protection)" </t>
  </si>
  <si>
    <t>Q2.2.4.1 "HVAC system"</t>
  </si>
  <si>
    <t>Q2.2.4.2 "Water supply &amp; drainage, sanitation"</t>
  </si>
  <si>
    <t>Q2.2.4.4 "Support method of machines &amp; ducts"</t>
  </si>
  <si>
    <t>Q2.2.4.5 "Communications &amp; IT equipment"</t>
  </si>
  <si>
    <t xml:space="preserve">LR3.2.3.3 "Traffic load control" </t>
  </si>
  <si>
    <t xml:space="preserve">Q3.3.1 "Attention to local characteristics &amp; improvement of comfort - V. Involvement of building users, etc." </t>
  </si>
  <si>
    <t xml:space="preserve">LR3.2.1 "Prevention of air pollution" </t>
  </si>
  <si>
    <t xml:space="preserve">LR3.2.3.1 "Reduction of rain water discharge loads" </t>
  </si>
  <si>
    <t>Q2.2.1.1 "Earthquake-resistance (resistance to building breakage)" and Q2.2.1.2 "Seismic isolation, seismic &amp; vibration control (internal equipment protection)"</t>
  </si>
  <si>
    <t xml:space="preserve">Q2.2.4.2 "Water supply &amp; drainage, sanitation" </t>
  </si>
  <si>
    <t xml:space="preserve">Q2.2.4.3 "Electrical equipment" </t>
  </si>
  <si>
    <t xml:space="preserve">Q2.2.4.4 "Support method of machines &amp; ducts" </t>
  </si>
  <si>
    <t xml:space="preserve">Q2.2.4.5 "Communications &amp; IT equipment" </t>
  </si>
  <si>
    <t>Q3.3.1 "Attention to local characteristics &amp; improvement of comfort - IV Consideration of crime prevention"</t>
  </si>
  <si>
    <t xml:space="preserve">Q3.2 "Consideration for townscape and landscape" </t>
  </si>
  <si>
    <t xml:space="preserve">Q3.1 "Preservation and creation of biotope" </t>
  </si>
  <si>
    <t>Q3.3.1 "Attention to local characteristics &amp; improvement of comfort - II Contribution to the local community by providing space &amp; facility functions"</t>
  </si>
  <si>
    <t xml:space="preserve">Q3.3.1 "Attention to local characteristics &amp; improvement of comfort - I 1) Preservation of historic architectural spaces, etc." and Q3.2 "Attention to townscape and landscape 3) Inheritance of landscape history" </t>
  </si>
  <si>
    <t xml:space="preserve">Q2.2.2.1 "Service life of structural materials" </t>
  </si>
  <si>
    <t xml:space="preserve">Q2.2.2.2 "Necessary refurbishment interval for exterior finishes" </t>
  </si>
  <si>
    <t xml:space="preserve">Q2.2.2.3 "Necessary renewal interval for main interior finishes" </t>
  </si>
  <si>
    <t>LR2.2.5 "Timber from sustainable forestry"</t>
  </si>
  <si>
    <t>Q2.3.3.1 "Ease of air conditioning duct renewal"</t>
  </si>
  <si>
    <t>Q2.3.3.2 "Ease of water supply and drain pipe renewal"</t>
  </si>
  <si>
    <t>Q2.3.3.3 "Ease of electrical wiring renewal"</t>
  </si>
  <si>
    <t>Q2.3.3.4 "Ease of communications cable renewal"</t>
  </si>
  <si>
    <t>Q2.3.3.5 "ease of equipment renewal"</t>
  </si>
  <si>
    <t>Q2.3.3.6 "Provision of backup space"</t>
  </si>
  <si>
    <t>LR2.2.1 "Reducing use of materials"</t>
  </si>
  <si>
    <t xml:space="preserve">LR2.2.3 "Use of recycled materials as structural materials" </t>
  </si>
  <si>
    <t xml:space="preserve">LR2.2.4 "Use of recycled materials as non-structural materials" </t>
  </si>
  <si>
    <t xml:space="preserve">LR2.2.6 "Reusability of components and materials " </t>
  </si>
  <si>
    <t xml:space="preserve">LR2.1.1 "Water Saving" </t>
  </si>
  <si>
    <t xml:space="preserve">Q1.4.3.1 "Monitoring of CO2 " </t>
  </si>
  <si>
    <t xml:space="preserve">LR3.2.3.4 "Reduction of waste treatment loads" </t>
  </si>
  <si>
    <t xml:space="preserve">LR1.4 "Initiatives for Efficient Operation" </t>
  </si>
  <si>
    <t xml:space="preserve">LR3.2.3.2 "Sewage load suppression" </t>
  </si>
  <si>
    <t xml:space="preserve">LR3.2.1 "Air pollution" </t>
  </si>
  <si>
    <t xml:space="preserve">LR2.3.1 "Use of materials without harmful substances" </t>
  </si>
  <si>
    <t xml:space="preserve">LR3.1 "Consideration of global warming" </t>
  </si>
  <si>
    <t xml:space="preserve">LR3.2.2 "Heat Island Effect" </t>
  </si>
  <si>
    <t xml:space="preserve">Q1.2.1.1 "Room temperature" </t>
  </si>
  <si>
    <t xml:space="preserve">Q2.2.4.1 "HVAC system" </t>
  </si>
  <si>
    <t xml:space="preserve">Q3.3.1 "Attention to local characteristics &amp; improvement of comfort - V Involvement of building users, etc. " </t>
  </si>
  <si>
    <t>Built Environment SDGs Checklist</t>
    <phoneticPr fontId="26"/>
  </si>
  <si>
    <t>Assessment items of the Built Environment SDGs Checklist</t>
    <phoneticPr fontId="26"/>
  </si>
  <si>
    <t>SDGs/ Targets</t>
    <phoneticPr fontId="26"/>
  </si>
  <si>
    <t>Minor item</t>
    <phoneticPr fontId="26"/>
  </si>
  <si>
    <t>Major item</t>
    <phoneticPr fontId="26"/>
  </si>
  <si>
    <t>Efforts to be assessed</t>
    <phoneticPr fontId="26"/>
  </si>
  <si>
    <t>Bldg. type</t>
    <phoneticPr fontId="26"/>
  </si>
  <si>
    <t>Special notes</t>
    <phoneticPr fontId="26"/>
  </si>
  <si>
    <t>Remarks (referred items from CASBEE)</t>
    <phoneticPr fontId="26"/>
  </si>
  <si>
    <t>Not engaging (1 pt)</t>
    <phoneticPr fontId="26"/>
  </si>
  <si>
    <t>Engaging (2 pts)</t>
    <phoneticPr fontId="26"/>
  </si>
  <si>
    <t>Actively engaging (3 pts)</t>
    <phoneticPr fontId="26"/>
  </si>
  <si>
    <r>
      <rPr>
        <sz val="10"/>
        <rFont val="Segoe UI Symbol"/>
        <family val="3"/>
      </rPr>
      <t>■</t>
    </r>
    <r>
      <rPr>
        <sz val="10"/>
        <rFont val="Arial"/>
        <family val="2"/>
      </rPr>
      <t>Building Name</t>
    </r>
    <phoneticPr fontId="26"/>
  </si>
  <si>
    <t>■Building Name</t>
    <phoneticPr fontId="26"/>
  </si>
  <si>
    <t>Bonus point</t>
    <phoneticPr fontId="26"/>
  </si>
  <si>
    <t>Scores</t>
    <phoneticPr fontId="26"/>
  </si>
  <si>
    <t>Assessment based on Goal 12: Responsible Consumption and Production, etc.</t>
    <phoneticPr fontId="181"/>
  </si>
  <si>
    <t>Thermal environment</t>
    <phoneticPr fontId="26"/>
  </si>
  <si>
    <t>Ensure a comfortable room temperature</t>
    <phoneticPr fontId="181"/>
  </si>
  <si>
    <t>Improving thermal insulation</t>
    <phoneticPr fontId="181"/>
  </si>
  <si>
    <t>Efforts are being made to reduce heat gain or loss from the outside of the building.</t>
    <phoneticPr fontId="26"/>
  </si>
  <si>
    <t>Creating a homogeneous thermal environment</t>
    <phoneticPr fontId="181"/>
  </si>
  <si>
    <t>(i) Detailed zoning air conditioning is used to eliminate uneven temperatures in the indoor environment and create a comfortable environment.</t>
    <phoneticPr fontId="181"/>
  </si>
  <si>
    <t>(ii) A type of air conditioning system is used to reduce the vertical temperature difference and airflow velocity (residual air velocity) in the occupied area.</t>
    <phoneticPr fontId="26"/>
  </si>
  <si>
    <t>Air and sanitation</t>
    <phoneticPr fontId="181"/>
  </si>
  <si>
    <t>Use appropriate ventilation measures</t>
    <phoneticPr fontId="181"/>
  </si>
  <si>
    <t>Ensure adequate humidity control</t>
    <phoneticPr fontId="181"/>
  </si>
  <si>
    <t>Take measures to address indoor air quality</t>
    <phoneticPr fontId="181"/>
  </si>
  <si>
    <t>Prevent passive smoking</t>
    <phoneticPr fontId="181"/>
  </si>
  <si>
    <t>Keep sink and basin areas sanitary</t>
    <phoneticPr fontId="181"/>
  </si>
  <si>
    <t>The rooms are easy to clean, including the water areas, and are made of stain-resistant materials, etc. Maintenance is taken into consideration.</t>
    <phoneticPr fontId="181"/>
  </si>
  <si>
    <t>Lighting and illumination</t>
    <phoneticPr fontId="181"/>
  </si>
  <si>
    <t>Use daylight to ensure adequate brightness</t>
    <phoneticPr fontId="181"/>
  </si>
  <si>
    <t>The building is equipped with daylight devices as well as windows on the exterior walls of the building.</t>
    <phoneticPr fontId="26"/>
  </si>
  <si>
    <t>Reduce glare on window surfaces</t>
    <phoneticPr fontId="181"/>
  </si>
  <si>
    <t>Efforts are being made for anti-glare measures on window surfaces (e.g., blinds, curtains, eaves, etc.).</t>
    <phoneticPr fontId="26"/>
  </si>
  <si>
    <t>Provide adequate lighting</t>
    <phoneticPr fontId="181"/>
  </si>
  <si>
    <t>Sound environment</t>
    <phoneticPr fontId="181"/>
  </si>
  <si>
    <t>Ensure sound insulation and sound absorption performance</t>
    <phoneticPr fontId="181"/>
  </si>
  <si>
    <t>Efforts are being made to use building materials with high sound insulation and sound absorption performance for window sashes, walls, and floors as a means of ensuring quietness within the space.</t>
    <phoneticPr fontId="26"/>
  </si>
  <si>
    <t>Creating a safe environment</t>
    <phoneticPr fontId="181"/>
  </si>
  <si>
    <t>Implement building security measures</t>
    <phoneticPr fontId="181"/>
  </si>
  <si>
    <t>Creating a secure environment</t>
    <phoneticPr fontId="181"/>
  </si>
  <si>
    <t>Implement barrier-free measures</t>
    <phoneticPr fontId="181"/>
  </si>
  <si>
    <t>Environment with consideration for prevention of nosocomial infections</t>
    <phoneticPr fontId="181"/>
  </si>
  <si>
    <t>Apply nosocomial infection control measures</t>
    <phoneticPr fontId="181"/>
  </si>
  <si>
    <t>Consideration for the surrounding environment</t>
    <phoneticPr fontId="181"/>
  </si>
  <si>
    <t>Reduce noise, vibration, and odors</t>
    <phoneticPr fontId="181"/>
  </si>
  <si>
    <t>Reduce wind damage and sunlight obstruction</t>
    <phoneticPr fontId="181"/>
  </si>
  <si>
    <t>Reduce light pollution</t>
    <phoneticPr fontId="181"/>
  </si>
  <si>
    <t>Efforts are being made on anti-glare measures against outdoor lighting and indoor lighting that leaks light outside.</t>
    <phoneticPr fontId="26"/>
  </si>
  <si>
    <t>Reduce thermal effects on surroundings</t>
    <phoneticPr fontId="1"/>
  </si>
  <si>
    <t>Reduce chemical dispersal to surrounding areas</t>
    <phoneticPr fontId="181"/>
  </si>
  <si>
    <t>Efforts are being made to reduce the use of chemical substances that may have an impact on the environment.</t>
    <phoneticPr fontId="1"/>
  </si>
  <si>
    <t>Design that allow floor plans, etc. to be changed to meet the needs of residents</t>
    <phoneticPr fontId="26"/>
  </si>
  <si>
    <t>Prepare a study space in the home</t>
    <phoneticPr fontId="181"/>
  </si>
  <si>
    <t>The air conditioning system is designed to provide a comfortable room temperature even during peak load periods.</t>
    <phoneticPr fontId="26"/>
  </si>
  <si>
    <t>Adequate measures are taken to avoid air quality pollution by chemical pollutants.</t>
    <phoneticPr fontId="1"/>
  </si>
  <si>
    <t>Creating a learning environment</t>
    <phoneticPr fontId="26"/>
  </si>
  <si>
    <t>Arrange learning spaces in schools</t>
    <phoneticPr fontId="181"/>
  </si>
  <si>
    <t>Prepare the necessary facilities for learning</t>
    <phoneticPr fontId="181"/>
  </si>
  <si>
    <t>Universal design</t>
    <phoneticPr fontId="181"/>
  </si>
  <si>
    <t>Create an environment of education for all</t>
    <phoneticPr fontId="181"/>
  </si>
  <si>
    <t>Spatial margin</t>
    <phoneticPr fontId="26"/>
  </si>
  <si>
    <t>Create spatial margins</t>
    <phoneticPr fontId="181"/>
  </si>
  <si>
    <t>The building has a degree of freedom in terms of floor height and space shape, taking into consideration the possibility of future changes in use.</t>
    <phoneticPr fontId="26"/>
  </si>
  <si>
    <t>Design that reduce the burden of housework, child-rearing, nursing care, etc.</t>
    <phoneticPr fontId="181"/>
  </si>
  <si>
    <t>Reduce the burden of housework, child care, nursing care, etc.</t>
    <phoneticPr fontId="181"/>
  </si>
  <si>
    <t>Control air conditioning according to the individual</t>
    <phoneticPr fontId="181"/>
  </si>
  <si>
    <t>Designing for LGBT and other groups</t>
    <phoneticPr fontId="181"/>
  </si>
  <si>
    <t>Designing with LGBT considerations</t>
    <phoneticPr fontId="181"/>
  </si>
  <si>
    <t>Water saving</t>
    <phoneticPr fontId="26"/>
  </si>
  <si>
    <t>Adopt water saving devices</t>
    <phoneticPr fontId="1"/>
  </si>
  <si>
    <t>Water saving systems are being introduced.</t>
    <phoneticPr fontId="1"/>
  </si>
  <si>
    <t>Use of rain water and grey water</t>
    <phoneticPr fontId="26"/>
  </si>
  <si>
    <t>Use of rain water and waste water</t>
    <phoneticPr fontId="1"/>
  </si>
  <si>
    <t>Rain water infiltration</t>
    <phoneticPr fontId="181"/>
  </si>
  <si>
    <t>Work to infiltrate rain water</t>
    <phoneticPr fontId="1"/>
  </si>
  <si>
    <t>Measures are implemented to prevent rain water from infiltrating into the ground.</t>
    <phoneticPr fontId="26"/>
  </si>
  <si>
    <t>Soil contamination countermeasures</t>
    <phoneticPr fontId="26"/>
  </si>
  <si>
    <t>Preventing soil contamination</t>
    <phoneticPr fontId="181"/>
  </si>
  <si>
    <t>Sewage purification</t>
    <phoneticPr fontId="26"/>
  </si>
  <si>
    <t>Properly dispose of sewage</t>
    <phoneticPr fontId="1"/>
  </si>
  <si>
    <t>Efforts are being made to devise a method that is significantly lower than the emission standards set by the Water Pollution Control Law, the Sewerage Law, and regional public organizations.</t>
    <phoneticPr fontId="26"/>
  </si>
  <si>
    <t>Design that keep sink and basin areas sanitary</t>
    <phoneticPr fontId="26"/>
  </si>
  <si>
    <t>Ensure reliability of water supply and drainage systems</t>
    <phoneticPr fontId="26"/>
  </si>
  <si>
    <t>Conduct periodic inspections of water supply and drainage systems</t>
    <phoneticPr fontId="1"/>
  </si>
  <si>
    <t>Efforts are being made to improve the reliability of water supply &amp; drainage and sanitation facilities.</t>
    <phoneticPr fontId="26"/>
  </si>
  <si>
    <t>Design that contribute to energy conservation</t>
    <phoneticPr fontId="181"/>
  </si>
  <si>
    <t>Work to reduce heat load</t>
    <phoneticPr fontId="181"/>
  </si>
  <si>
    <t>The company is taking measures to reduce heat load, which contributes to the reduction of energy used for heating and cooling.</t>
    <phoneticPr fontId="26"/>
  </si>
  <si>
    <t>Engage in direct natural energy utilization</t>
    <phoneticPr fontId="181"/>
  </si>
  <si>
    <t>Efforts are being made to install equipment and systems that enable direct natural energy utilization and other design innovations.</t>
    <phoneticPr fontId="26"/>
  </si>
  <si>
    <t>Adopt equipment and systems with high energy-saving performance</t>
    <phoneticPr fontId="181"/>
  </si>
  <si>
    <t>Efforts are being made to install equipment and systems that can significantly reduce energy consumption.</t>
    <phoneticPr fontId="26"/>
  </si>
  <si>
    <t>Design that contribute to energy creation</t>
    <phoneticPr fontId="181"/>
  </si>
  <si>
    <t>Engage in energy creation</t>
    <phoneticPr fontId="26"/>
  </si>
  <si>
    <t>Design that contribute to energy storage</t>
    <phoneticPr fontId="26"/>
  </si>
  <si>
    <t>Engage in energy storage</t>
    <phoneticPr fontId="1"/>
  </si>
  <si>
    <t>Equipment and systems related to energy storage that promote the use of renewable energy have been introduced.</t>
    <phoneticPr fontId="26"/>
  </si>
  <si>
    <t>Linkage with distributed energy systems</t>
    <phoneticPr fontId="26"/>
  </si>
  <si>
    <t>Work with distributed energy systems in the community</t>
    <phoneticPr fontId="181"/>
  </si>
  <si>
    <t>Installation of energy management systems</t>
    <phoneticPr fontId="181"/>
  </si>
  <si>
    <t>Managing energy</t>
    <phoneticPr fontId="1"/>
  </si>
  <si>
    <t>Monitoring is implemented and HEMS or BEMS for efficient operation of energy is installed.</t>
    <phoneticPr fontId="26"/>
  </si>
  <si>
    <t>LCP, BCP, and emergency energy</t>
    <phoneticPr fontId="26"/>
  </si>
  <si>
    <t>Securing energy in an emergency</t>
    <phoneticPr fontId="1"/>
  </si>
  <si>
    <t>Efforts are being made to secure power supply in case of emergency, such as power failure. (e.g., Facility equipped with emergency power generation equipment and uninterruptible power supply equipment, or facility avoiding installation in underground spaces)</t>
    <phoneticPr fontId="26"/>
  </si>
  <si>
    <t>Efforts toward ZEH and ZEB</t>
    <phoneticPr fontId="26"/>
  </si>
  <si>
    <t>Work on ZEH and ZEB conversion</t>
    <phoneticPr fontId="26"/>
  </si>
  <si>
    <t>Working toward carbon neutrality</t>
    <phoneticPr fontId="1"/>
  </si>
  <si>
    <t>Efforts are being made to reduce the WLC of buildings.</t>
    <phoneticPr fontId="181"/>
  </si>
  <si>
    <t>Design to create an environment that enhances intellectual productivity</t>
    <phoneticPr fontId="181"/>
  </si>
  <si>
    <t>Create a place for intellectual productivity</t>
    <phoneticPr fontId="1"/>
  </si>
  <si>
    <t>Consideration for the health, comfort, and safety of building users</t>
    <phoneticPr fontId="26"/>
  </si>
  <si>
    <t>The building is equipped with daylight devices as well as windows on the exterior walls of the building.</t>
    <phoneticPr fontId="1"/>
  </si>
  <si>
    <t>Efforts are being made to exceed ventilation levels required by the building code, the built environment sanitation code, and school environmental sanitation standards to improve air quality.</t>
    <phoneticPr fontId="1"/>
  </si>
  <si>
    <t>Reduce material usage</t>
    <phoneticPr fontId="181"/>
  </si>
  <si>
    <t>Efforts are being made to use high-strength materials and measures to reduce the amount of material used.</t>
    <phoneticPr fontId="1"/>
  </si>
  <si>
    <t>Continued use of building frame, etc.</t>
    <phoneticPr fontId="181"/>
  </si>
  <si>
    <t>Use recycled materials in building frame materials</t>
    <phoneticPr fontId="181"/>
  </si>
  <si>
    <t>Recycled materials are used in major structural components.</t>
    <phoneticPr fontId="1"/>
  </si>
  <si>
    <t>Use recycled materials other than building frame materials</t>
    <phoneticPr fontId="181"/>
  </si>
  <si>
    <t>Use timber from sustainable forestry</t>
    <phoneticPr fontId="181"/>
  </si>
  <si>
    <t>Timber from sustainable forestry is used.</t>
    <phoneticPr fontId="1"/>
  </si>
  <si>
    <t>Work to enhance the reusability of components and materials</t>
    <phoneticPr fontId="181"/>
  </si>
  <si>
    <t>Necessary measures are taken to extend the period of time before major renovation work is required.</t>
    <phoneticPr fontId="1"/>
  </si>
  <si>
    <t>Use exterior finish materials longer</t>
    <phoneticPr fontId="181"/>
  </si>
  <si>
    <t>Use interior finish materials longer</t>
    <phoneticPr fontId="181"/>
  </si>
  <si>
    <t>The necessary renewal interval for main interior finishes is being extended.</t>
    <phoneticPr fontId="8"/>
  </si>
  <si>
    <t>Use air conditioning and ventilation ducts longer</t>
    <phoneticPr fontId="26"/>
  </si>
  <si>
    <t>Necessary replacement intervals for air conditioning and ventilation ducts are being extended.</t>
    <phoneticPr fontId="26"/>
  </si>
  <si>
    <t>Use air conditioning and plumbing piping longer</t>
    <phoneticPr fontId="26"/>
  </si>
  <si>
    <t>Necessary renewal intervals for water supply and drainage pipes, and that for HVAC are being extended.</t>
    <phoneticPr fontId="26"/>
  </si>
  <si>
    <t>Use major equipment longer</t>
    <phoneticPr fontId="26"/>
  </si>
  <si>
    <t>Necessary renewal intervals for major equipment and services are being extended.</t>
    <phoneticPr fontId="26"/>
  </si>
  <si>
    <t>Improve fire protection performance</t>
    <phoneticPr fontId="181"/>
  </si>
  <si>
    <t>Active use of local timber</t>
    <phoneticPr fontId="181"/>
  </si>
  <si>
    <t>Engage in the use of local resources</t>
    <phoneticPr fontId="1"/>
  </si>
  <si>
    <t>The use of materials with local characteristics (for structural materials, interior materials, exterior materials, exterior construction, etc.) is being considered.</t>
    <phoneticPr fontId="26"/>
  </si>
  <si>
    <t>Foster momentum for new technology development through active use of state-of-the-art technology and building materials on site</t>
    <phoneticPr fontId="26"/>
  </si>
  <si>
    <t>Adopt the latest technology</t>
    <phoneticPr fontId="1"/>
  </si>
  <si>
    <t>Work to make buildings smarter</t>
    <phoneticPr fontId="181"/>
  </si>
  <si>
    <t>Creating communication, relaxation, refreshment space, etc.</t>
    <phoneticPr fontId="26"/>
  </si>
  <si>
    <t>Create space for refreshment</t>
    <phoneticPr fontId="1"/>
  </si>
  <si>
    <t>Create space for communication</t>
    <phoneticPr fontId="1"/>
  </si>
  <si>
    <t>Access to information and communication technology</t>
    <phoneticPr fontId="26"/>
  </si>
  <si>
    <t>Adopt advanced communication technologies</t>
    <phoneticPr fontId="1"/>
  </si>
  <si>
    <t>Introduction to resilient design</t>
    <phoneticPr fontId="26"/>
  </si>
  <si>
    <t>Protecting internal equipment</t>
    <phoneticPr fontId="1"/>
  </si>
  <si>
    <t>Measures to protect its internal facilities are taken.</t>
    <phoneticPr fontId="1"/>
  </si>
  <si>
    <t>Efforts are being made to improve the reliability of the HVAC system.</t>
    <phoneticPr fontId="1"/>
  </si>
  <si>
    <t>Efforts are being made to secure power supply in case of emergency, such as power failure. (e.g., The facility equipped with emergency power generation equipment and uninterruptible power supply equipment, or the facility avoiding installation in underground spaces)</t>
    <phoneticPr fontId="8"/>
  </si>
  <si>
    <t>Efforts are being made to improve the reliability of mechanical and piping supports.</t>
    <phoneticPr fontId="1"/>
  </si>
  <si>
    <t>Efforts are being made to improve the reliability of communications &amp; IT equipment.</t>
    <phoneticPr fontId="1"/>
  </si>
  <si>
    <t>Identification of site hazards</t>
    <phoneticPr fontId="181"/>
  </si>
  <si>
    <t>Identify site hazards and share information</t>
    <phoneticPr fontId="181"/>
  </si>
  <si>
    <t>Not engaging in any of the following efforts (no applicable efforts), Actively engaging in one or more applicable efforts;1) Confirm the hazard of the site using hazard maps, etc.2) Share and disseminate information on disasters using digital signage, etc.</t>
    <phoneticPr fontId="26"/>
  </si>
  <si>
    <t>Ensure performance to withstand earthquake, fire, wind, flood, etc.</t>
    <phoneticPr fontId="181"/>
  </si>
  <si>
    <t>Adopt the latest technology for disaster prevention</t>
    <phoneticPr fontId="181"/>
  </si>
  <si>
    <t>Low cost through rational design and construction while ensuring environmental performance</t>
    <phoneticPr fontId="181"/>
  </si>
  <si>
    <t>Ensure basic environmental performance of the building</t>
    <phoneticPr fontId="181"/>
  </si>
  <si>
    <t>(i) Building materials with high sound insulation performance are used for window sashes, walls, and floors as a measure to prevent sound in the space from leaking to the outside.</t>
    <phoneticPr fontId="26"/>
  </si>
  <si>
    <t>(ii) The air conditioning system is designed to provide a comfortable room temperature even during peak load periods.</t>
    <phoneticPr fontId="26"/>
  </si>
  <si>
    <t>(iii) Measures are taken to prevent heat from entering or escaping from outside the room.</t>
    <phoneticPr fontId="26"/>
  </si>
  <si>
    <t>(iv) The building is equipped with daylight devices as well as windows on the exterior walls of the building to actively utilize daylight.</t>
    <phoneticPr fontId="1"/>
  </si>
  <si>
    <t>(v) Adequate measures are taken to avoid air quality pollution by chemical pollutants.</t>
    <phoneticPr fontId="1"/>
  </si>
  <si>
    <t>(vi) Efforts are made to exceed the ventilation levels of the building code, the building sanitation code, and the school environmental sanitation standards to improve air quality.</t>
    <phoneticPr fontId="1"/>
  </si>
  <si>
    <t>Reduce running costs while ensuring basic environmental performance</t>
    <phoneticPr fontId="26"/>
  </si>
  <si>
    <t>Reduce traffic and accidents due to automobile use</t>
    <phoneticPr fontId="181"/>
  </si>
  <si>
    <t>Efforts are being made to encourage building users to use means of transportation other than automobiles, to secure appropriate parking spaces, and to ensure the safety of parking lot entrances and exits.</t>
    <phoneticPr fontId="26"/>
  </si>
  <si>
    <t>Public Involvement</t>
    <phoneticPr fontId="181"/>
  </si>
  <si>
    <t>Encourage community participation</t>
    <phoneticPr fontId="1"/>
  </si>
  <si>
    <t>Efforts are being made to encourage the participation of local residents in the operation and management of the building.</t>
    <phoneticPr fontId="26"/>
  </si>
  <si>
    <t>Reduction of environmental load on the surrounding environment</t>
    <phoneticPr fontId="181"/>
  </si>
  <si>
    <t>Contribute to the prevention of air pollution</t>
    <phoneticPr fontId="181"/>
  </si>
  <si>
    <t>Efforts are being made to significantly lower its contaminants from the emission than the standards set by Air Pollution Control Law, recommended guidelines for low NOx small-scale combustion equipment, or by local ordinances, etc.</t>
    <phoneticPr fontId="1"/>
  </si>
  <si>
    <t>Properly dispose of sewage</t>
    <phoneticPr fontId="181"/>
  </si>
  <si>
    <t>Efforts are being made to significantly lower its contaminants from the discharge than the standards set by the Water Pollution Control Law, the Sewerage Law, and regional public organizations.</t>
    <phoneticPr fontId="1"/>
  </si>
  <si>
    <t>Control rain water runoff</t>
    <phoneticPr fontId="26"/>
  </si>
  <si>
    <t>Runoff control measures, such as primary storage of rain water and underground infiltration, are in place.</t>
    <phoneticPr fontId="26"/>
  </si>
  <si>
    <t>Introduction to resilient design</t>
    <phoneticPr fontId="181"/>
  </si>
  <si>
    <t>Measures are taken to protect its internal facilities.</t>
    <phoneticPr fontId="1"/>
  </si>
  <si>
    <t>Ensure resilience of electrical equipment</t>
    <phoneticPr fontId="26"/>
  </si>
  <si>
    <t>Identification of site hazards</t>
    <phoneticPr fontId="26"/>
  </si>
  <si>
    <t>Identify site hazards and share information</t>
    <phoneticPr fontId="1"/>
  </si>
  <si>
    <t>Site security measures</t>
    <phoneticPr fontId="26"/>
  </si>
  <si>
    <t>Provide security measures for the site and outbuildings</t>
    <phoneticPr fontId="26"/>
  </si>
  <si>
    <t>Crime prevention measures are being taken at the site and exterior to improve security performance.</t>
    <phoneticPr fontId="26"/>
  </si>
  <si>
    <t>Create a favorable townscape and landscape</t>
    <phoneticPr fontId="1"/>
  </si>
  <si>
    <t>Efforts are being made to improve the townscape and landscape of the surrounding area (e.g., use of materials suited to the characteristics of the area, creation of a favorable landscape through planting, etc.).</t>
    <phoneticPr fontId="26"/>
  </si>
  <si>
    <t>Consideration for biodiversity, planning of exterior structures with consideration for ecosystem preservation</t>
    <phoneticPr fontId="181"/>
  </si>
  <si>
    <t>Protecting the biological environment</t>
    <phoneticPr fontId="1"/>
  </si>
  <si>
    <t>Consideration for the surrounding environment</t>
    <phoneticPr fontId="26"/>
  </si>
  <si>
    <t>(ii) It is devised to be significantly lower than the current regulatory standards set forth in the Vibration Regulation Law and local ordinances.</t>
    <phoneticPr fontId="1"/>
  </si>
  <si>
    <t>(iii) It is devised to meet the permissible limit values for the concentration of specific odor substances specified in the Odor Control Law, local ordinances, etc.</t>
    <phoneticPr fontId="8"/>
  </si>
  <si>
    <t>(i) Restrictions of wind damage.</t>
    <phoneticPr fontId="1"/>
  </si>
  <si>
    <t>(ii) Restriction of sunlight obstruction.</t>
    <phoneticPr fontId="8"/>
  </si>
  <si>
    <t>Reducing light pollution</t>
    <phoneticPr fontId="181"/>
  </si>
  <si>
    <t>Efforts on anti-glare measures are being made against outdoor lighting and indoor lighting that leaks light outside.</t>
    <phoneticPr fontId="26"/>
  </si>
  <si>
    <t>Creating communication space</t>
    <phoneticPr fontId="181"/>
  </si>
  <si>
    <t>Provide space and facility functions</t>
    <phoneticPr fontId="181"/>
  </si>
  <si>
    <t>Efforts are being made to contribute to the community by providing space and facilities.</t>
    <phoneticPr fontId="26"/>
  </si>
  <si>
    <t>Architectural planning linked to smart urbanization</t>
    <phoneticPr fontId="181"/>
  </si>
  <si>
    <t>Work to make buildings smarter</t>
    <phoneticPr fontId="26"/>
  </si>
  <si>
    <t>Engage in the use of local resources</t>
    <phoneticPr fontId="181"/>
  </si>
  <si>
    <t>Utilize labeling and certification for built environment</t>
    <phoneticPr fontId="181"/>
  </si>
  <si>
    <t>Inheritance of local characteristics</t>
    <phoneticPr fontId="26"/>
  </si>
  <si>
    <t>Inheriting history</t>
    <phoneticPr fontId="26"/>
  </si>
  <si>
    <t>The historic built environment and existing natural environment are preserved, restored, and rehabilitated to carry on the local characteristics of the area.</t>
    <phoneticPr fontId="26"/>
  </si>
  <si>
    <t>Performance and initiatives that contribute to the longevity of housing and buildings</t>
    <phoneticPr fontId="181"/>
  </si>
  <si>
    <t>Longer use of frame materials</t>
    <phoneticPr fontId="1"/>
  </si>
  <si>
    <t>Use exterior finish materials longer</t>
    <phoneticPr fontId="1"/>
  </si>
  <si>
    <t>Use interior finish materials longer</t>
    <phoneticPr fontId="1"/>
  </si>
  <si>
    <t>Efforts are being made to lengthen the necessary replacement interval for air conditioning and ventilation ducts.</t>
    <phoneticPr fontId="26"/>
  </si>
  <si>
    <t>Efforts are being made to extend the necessary renewal interval for water supply and drainage pipes and for HVAC and its water supply and drainage pipes.</t>
    <phoneticPr fontId="26"/>
  </si>
  <si>
    <t>Sustainable use of resources</t>
    <phoneticPr fontId="181"/>
  </si>
  <si>
    <t>Procuring timber from sustainable forestry</t>
    <phoneticPr fontId="1"/>
  </si>
  <si>
    <t>Timber from sustainable forestry is used.</t>
    <phoneticPr fontId="26"/>
  </si>
  <si>
    <t>Engage in the use of local resources</t>
    <phoneticPr fontId="26"/>
  </si>
  <si>
    <t>Periodic inspection</t>
    <phoneticPr fontId="26"/>
  </si>
  <si>
    <t>Maintain HVAC piping</t>
    <phoneticPr fontId="181"/>
  </si>
  <si>
    <t>Efforts are being made to take into account the renewal and repair of air-conditioning piping.</t>
    <phoneticPr fontId="1"/>
  </si>
  <si>
    <t>Maintain water supply and drainage pipes</t>
    <phoneticPr fontId="1"/>
  </si>
  <si>
    <t>Efforts are being made to take into account the renewal and repair of water supply and drainage pipes.</t>
    <phoneticPr fontId="8"/>
  </si>
  <si>
    <t>Maintain electrical wiring</t>
    <phoneticPr fontId="181"/>
  </si>
  <si>
    <t>Efforts are being made to take into account the renewal and repair of electrical wiring.</t>
    <phoneticPr fontId="8"/>
  </si>
  <si>
    <t>Maintain communication wiring</t>
    <phoneticPr fontId="181"/>
  </si>
  <si>
    <t>Efforts are being made to take into account the renewal and repair of communication wiring.</t>
    <phoneticPr fontId="8"/>
  </si>
  <si>
    <t>Maintain equipment and facilities</t>
    <phoneticPr fontId="181"/>
  </si>
  <si>
    <t>The building is being designed to allow renewal and repair while maintaining building functionality.</t>
    <phoneticPr fontId="8"/>
  </si>
  <si>
    <t>Allocate backup space</t>
    <phoneticPr fontId="181"/>
  </si>
  <si>
    <t>Backup space for installation of backup equipment is provided.</t>
    <phoneticPr fontId="8"/>
  </si>
  <si>
    <t>Reduction of waste during production and disposal</t>
    <phoneticPr fontId="26"/>
  </si>
  <si>
    <t>Properly control materials</t>
    <phoneticPr fontId="1"/>
  </si>
  <si>
    <t>Reduce material usage</t>
    <phoneticPr fontId="1"/>
  </si>
  <si>
    <t>High-strength materials are used, and measures are taken to reduce the amount of material used.</t>
    <phoneticPr fontId="1"/>
  </si>
  <si>
    <t>Continued use of building frame, etc.</t>
    <phoneticPr fontId="1"/>
  </si>
  <si>
    <t>Use recycled materials in building frame materials</t>
    <phoneticPr fontId="1"/>
  </si>
  <si>
    <t>Use recycled materials other than building frame materials</t>
    <phoneticPr fontId="1"/>
  </si>
  <si>
    <t>Work to enhance the reusability of components and materials</t>
    <phoneticPr fontId="1"/>
  </si>
  <si>
    <t>Operational GHG emissions reduction, water use reduction, monitoring, energy management</t>
    <phoneticPr fontId="181"/>
  </si>
  <si>
    <t>Control air quality</t>
    <phoneticPr fontId="1"/>
  </si>
  <si>
    <t>CO2 concentrations are monitored and controlled to maintain proper air quality.</t>
    <phoneticPr fontId="26"/>
  </si>
  <si>
    <t>Reduce waste generation</t>
    <phoneticPr fontId="1"/>
  </si>
  <si>
    <t>Efforts are being made to reduce waste generation, sorting measures, and volume and weight reduction during building operations.</t>
    <phoneticPr fontId="26"/>
  </si>
  <si>
    <t>Reduce use of materials with harmful substances</t>
    <phoneticPr fontId="181"/>
  </si>
  <si>
    <t>Any method is devised to be significantly lower than the emission standards set by the Water Pollution Control Law, the Sewerage Law, and regional public organizations.</t>
    <phoneticPr fontId="1"/>
  </si>
  <si>
    <t>Any method is devised to be significantly lower than the emission standards set by Air Pollution Control Law, recommended guidelines for low NOx small-scale combustion equipment, or local ordinances, etc.</t>
    <phoneticPr fontId="1"/>
  </si>
  <si>
    <t>Working toward carbon neutrality</t>
    <phoneticPr fontId="26"/>
  </si>
  <si>
    <t>Efforts are being made to reduce the WLC of buildings.</t>
    <phoneticPr fontId="1"/>
  </si>
  <si>
    <t>Supply chain conscious procurement</t>
    <phoneticPr fontId="181"/>
  </si>
  <si>
    <t>Procuring construction materials that take into account economic, social, and environmental considerations in the production and distribution process</t>
    <phoneticPr fontId="1"/>
  </si>
  <si>
    <t>Reduction of building WLC</t>
    <phoneticPr fontId="26"/>
  </si>
  <si>
    <t>Efforts are being made to reduce the WLC of buildings.</t>
    <phoneticPr fontId="26"/>
  </si>
  <si>
    <t>Reducing heat gain in urban spaces</t>
    <phoneticPr fontId="181"/>
  </si>
  <si>
    <t>Efforts are being made to contribute to the reduction of off-site heat load, such as measures to reduce the heat island effect.</t>
    <phoneticPr fontId="26"/>
  </si>
  <si>
    <t>Reducing the impact of extreme weather on building</t>
    <phoneticPr fontId="26"/>
  </si>
  <si>
    <t>Take measures against typhoons and flying debris, floods, and landslides</t>
    <phoneticPr fontId="181"/>
  </si>
  <si>
    <t>Reducing the Impact of climate change on building users</t>
    <phoneticPr fontId="181"/>
  </si>
  <si>
    <t>Ensure a comfortable room temperature</t>
    <phoneticPr fontId="1"/>
  </si>
  <si>
    <t>Improving thermal insulation</t>
    <phoneticPr fontId="1"/>
  </si>
  <si>
    <t>Consideration for greening of exterior, rooftop, and wall surfaces, and biodiversity conservation</t>
    <phoneticPr fontId="181"/>
  </si>
  <si>
    <t>Conservation of the biological environment</t>
    <phoneticPr fontId="1"/>
  </si>
  <si>
    <t>Initiatives that contribute to the preservation and creation of biotope are involved.</t>
    <phoneticPr fontId="1"/>
  </si>
  <si>
    <t>Soil contamination countermeasures</t>
    <phoneticPr fontId="181"/>
  </si>
  <si>
    <t>Reuse of wood generated during building disposal</t>
    <phoneticPr fontId="181"/>
  </si>
  <si>
    <t>Reusing old materials</t>
    <phoneticPr fontId="1"/>
  </si>
  <si>
    <t>Consideration for suppliers when procuring materials</t>
    <phoneticPr fontId="181"/>
  </si>
  <si>
    <t>Building plans that facilitate communication</t>
    <phoneticPr fontId="26"/>
  </si>
  <si>
    <t>Work with stakeholders to improve economic, social, and environmental conditions in production and distribution processes</t>
    <phoneticPr fontId="26"/>
  </si>
  <si>
    <t>Introduction of after-sales service system</t>
    <phoneticPr fontId="181"/>
  </si>
  <si>
    <t>Provide after-sales service</t>
    <phoneticPr fontId="26"/>
  </si>
  <si>
    <t>ICT environment that facilitates communication</t>
    <phoneticPr fontId="181"/>
  </si>
  <si>
    <t>Provide ICT environment</t>
    <phoneticPr fontId="26"/>
  </si>
  <si>
    <t>All</t>
  </si>
  <si>
    <t>All</t>
    <phoneticPr fontId="26"/>
  </si>
  <si>
    <t>Non-Sch, Non-Apt</t>
    <phoneticPr fontId="26"/>
  </si>
  <si>
    <t>Non-Rst</t>
    <phoneticPr fontId="26"/>
  </si>
  <si>
    <t>Hsp</t>
    <phoneticPr fontId="181"/>
  </si>
  <si>
    <t>Apt</t>
    <phoneticPr fontId="181"/>
  </si>
  <si>
    <t>Off</t>
    <phoneticPr fontId="181"/>
  </si>
  <si>
    <t>Off</t>
    <phoneticPr fontId="26"/>
  </si>
  <si>
    <t>Off, Rtl, Fct</t>
    <phoneticPr fontId="26"/>
  </si>
  <si>
    <t>Off, Fct, Htl, Apt</t>
    <phoneticPr fontId="26"/>
  </si>
  <si>
    <r>
      <t xml:space="preserve">Goal 3.
</t>
    </r>
    <r>
      <rPr>
        <b/>
        <sz val="8"/>
        <color theme="1"/>
        <rFont val="游ゴシック"/>
        <family val="3"/>
        <charset val="128"/>
      </rPr>
      <t>Good
Health and
Well-Being</t>
    </r>
    <phoneticPr fontId="181"/>
  </si>
  <si>
    <r>
      <t xml:space="preserve">Goal 2.
</t>
    </r>
    <r>
      <rPr>
        <b/>
        <sz val="8"/>
        <color theme="1"/>
        <rFont val="游ゴシック"/>
        <family val="3"/>
        <charset val="128"/>
      </rPr>
      <t>Zero Hunger</t>
    </r>
    <phoneticPr fontId="181"/>
  </si>
  <si>
    <r>
      <t xml:space="preserve">Goal 1.
</t>
    </r>
    <r>
      <rPr>
        <b/>
        <sz val="8"/>
        <color theme="1"/>
        <rFont val="游ゴシック"/>
        <family val="3"/>
        <charset val="128"/>
      </rPr>
      <t>No Poverty</t>
    </r>
    <phoneticPr fontId="181"/>
  </si>
  <si>
    <r>
      <rPr>
        <b/>
        <sz val="10"/>
        <color theme="1"/>
        <rFont val="游ゴシック"/>
        <family val="3"/>
        <charset val="128"/>
      </rPr>
      <t xml:space="preserve">Goal 4.
</t>
    </r>
    <r>
      <rPr>
        <b/>
        <sz val="8"/>
        <color theme="1"/>
        <rFont val="游ゴシック"/>
        <family val="3"/>
        <charset val="128"/>
      </rPr>
      <t>Quality
Education</t>
    </r>
    <phoneticPr fontId="181"/>
  </si>
  <si>
    <r>
      <rPr>
        <b/>
        <sz val="10"/>
        <color theme="1"/>
        <rFont val="游ゴシック"/>
        <family val="3"/>
        <charset val="128"/>
      </rPr>
      <t xml:space="preserve">Goal 5.
</t>
    </r>
    <r>
      <rPr>
        <b/>
        <sz val="8"/>
        <color theme="1"/>
        <rFont val="游ゴシック"/>
        <family val="3"/>
        <charset val="128"/>
      </rPr>
      <t>Gender
Equality</t>
    </r>
    <phoneticPr fontId="181"/>
  </si>
  <si>
    <r>
      <rPr>
        <b/>
        <sz val="10"/>
        <color theme="1"/>
        <rFont val="游ゴシック"/>
        <family val="3"/>
        <charset val="128"/>
      </rPr>
      <t xml:space="preserve">Goal 6.
</t>
    </r>
    <r>
      <rPr>
        <b/>
        <sz val="8"/>
        <color theme="1"/>
        <rFont val="游ゴシック"/>
        <family val="3"/>
        <charset val="128"/>
      </rPr>
      <t>Clean
Water and
Sanitation</t>
    </r>
    <phoneticPr fontId="181"/>
  </si>
  <si>
    <r>
      <rPr>
        <b/>
        <sz val="10"/>
        <color theme="1"/>
        <rFont val="游ゴシック"/>
        <family val="3"/>
        <charset val="128"/>
      </rPr>
      <t xml:space="preserve">Goal 7.
</t>
    </r>
    <r>
      <rPr>
        <b/>
        <sz val="8"/>
        <color theme="1"/>
        <rFont val="游ゴシック"/>
        <family val="3"/>
        <charset val="128"/>
      </rPr>
      <t>Affordable
and Clean
Energy</t>
    </r>
    <phoneticPr fontId="181"/>
  </si>
  <si>
    <r>
      <rPr>
        <b/>
        <sz val="10"/>
        <color theme="1"/>
        <rFont val="游ゴシック"/>
        <family val="3"/>
        <charset val="128"/>
      </rPr>
      <t xml:space="preserve">Goal 8.
</t>
    </r>
    <r>
      <rPr>
        <b/>
        <sz val="8"/>
        <color theme="1"/>
        <rFont val="游ゴシック"/>
        <family val="3"/>
        <charset val="128"/>
      </rPr>
      <t>Decent
Work and
Economic Growth</t>
    </r>
    <phoneticPr fontId="181"/>
  </si>
  <si>
    <r>
      <rPr>
        <b/>
        <sz val="10"/>
        <color theme="1"/>
        <rFont val="游ゴシック"/>
        <family val="3"/>
        <charset val="128"/>
      </rPr>
      <t xml:space="preserve">Goal 9.
</t>
    </r>
    <r>
      <rPr>
        <b/>
        <sz val="8"/>
        <color theme="1"/>
        <rFont val="游ゴシック"/>
        <family val="3"/>
        <charset val="128"/>
      </rPr>
      <t>Industry, Innovation
and Infra-
structure</t>
    </r>
    <phoneticPr fontId="181"/>
  </si>
  <si>
    <r>
      <rPr>
        <b/>
        <sz val="10"/>
        <color theme="1"/>
        <rFont val="游ゴシック"/>
        <family val="3"/>
        <charset val="128"/>
      </rPr>
      <t xml:space="preserve">Goal 10.
</t>
    </r>
    <r>
      <rPr>
        <b/>
        <sz val="8"/>
        <color theme="1"/>
        <rFont val="游ゴシック"/>
        <family val="3"/>
        <charset val="128"/>
      </rPr>
      <t>Reduced
Inequalities</t>
    </r>
    <phoneticPr fontId="181"/>
  </si>
  <si>
    <r>
      <rPr>
        <b/>
        <sz val="10"/>
        <color theme="1"/>
        <rFont val="游ゴシック"/>
        <family val="3"/>
        <charset val="128"/>
      </rPr>
      <t xml:space="preserve">Goal 11.
</t>
    </r>
    <r>
      <rPr>
        <b/>
        <sz val="8"/>
        <color theme="1"/>
        <rFont val="游ゴシック"/>
        <family val="3"/>
        <charset val="128"/>
      </rPr>
      <t>Sustainable
Cities and
Communities</t>
    </r>
    <phoneticPr fontId="181"/>
  </si>
  <si>
    <r>
      <rPr>
        <b/>
        <sz val="10"/>
        <color theme="1"/>
        <rFont val="游ゴシック"/>
        <family val="3"/>
        <charset val="128"/>
      </rPr>
      <t xml:space="preserve">Goal 13.
</t>
    </r>
    <r>
      <rPr>
        <b/>
        <sz val="8"/>
        <color theme="1"/>
        <rFont val="游ゴシック"/>
        <family val="3"/>
        <charset val="128"/>
      </rPr>
      <t>Climate
Action</t>
    </r>
    <phoneticPr fontId="181"/>
  </si>
  <si>
    <r>
      <rPr>
        <b/>
        <sz val="10"/>
        <color theme="1"/>
        <rFont val="游ゴシック"/>
        <family val="3"/>
        <charset val="128"/>
      </rPr>
      <t xml:space="preserve">Goal 14.
</t>
    </r>
    <r>
      <rPr>
        <b/>
        <sz val="8"/>
        <color theme="1"/>
        <rFont val="游ゴシック"/>
        <family val="3"/>
        <charset val="128"/>
      </rPr>
      <t>Life Below
Water</t>
    </r>
    <phoneticPr fontId="181"/>
  </si>
  <si>
    <t>Assessment based on Goal 12: Responsible Consumption and Production, etc.</t>
    <phoneticPr fontId="26"/>
  </si>
  <si>
    <r>
      <rPr>
        <b/>
        <sz val="10"/>
        <color theme="1"/>
        <rFont val="游ゴシック"/>
        <family val="3"/>
        <charset val="128"/>
      </rPr>
      <t xml:space="preserve">Goal 15.
</t>
    </r>
    <r>
      <rPr>
        <b/>
        <sz val="8"/>
        <color theme="1"/>
        <rFont val="游ゴシック"/>
        <family val="3"/>
        <charset val="128"/>
      </rPr>
      <t>Life on
Land</t>
    </r>
    <phoneticPr fontId="181"/>
  </si>
  <si>
    <r>
      <rPr>
        <b/>
        <sz val="10"/>
        <color theme="1"/>
        <rFont val="游ゴシック"/>
        <family val="3"/>
        <charset val="128"/>
      </rPr>
      <t xml:space="preserve">Goal 16.
</t>
    </r>
    <r>
      <rPr>
        <b/>
        <sz val="7"/>
        <color theme="1"/>
        <rFont val="游ゴシック"/>
        <family val="3"/>
        <charset val="128"/>
      </rPr>
      <t>Peace, Justice
and Strong
Institutions</t>
    </r>
    <phoneticPr fontId="181"/>
  </si>
  <si>
    <r>
      <rPr>
        <b/>
        <sz val="10"/>
        <color theme="1"/>
        <rFont val="游ゴシック"/>
        <family val="3"/>
        <charset val="128"/>
      </rPr>
      <t xml:space="preserve">Goal 17.
</t>
    </r>
    <r>
      <rPr>
        <b/>
        <sz val="8"/>
        <color theme="1"/>
        <rFont val="游ゴシック"/>
        <family val="3"/>
        <charset val="128"/>
      </rPr>
      <t>Partnerships
for the
Goals</t>
    </r>
    <phoneticPr fontId="181"/>
  </si>
  <si>
    <t>Not engaging in any of the following efforts (no applicable efforts), Engaging in one applicable effort, Actively engaging in two or more applicable efforts;
1) Security cameras and motion sensors are installed.
2) An access control system is in place.
3) Subscribed to a 24-hour security service.
4) A security staff is stationed in the building.</t>
    <phoneticPr fontId="26"/>
  </si>
  <si>
    <t>Not engaging in any of the following efforts (no applicable efforts), Actively engaging in one or more applicable efforts;
Each room is planned to meet the ventilation requirements (room pressure, ventilation frequency, and final filter efficiency) corresponding to the cleanliness class of the "Guideline for Design and Management of Hospital HVAC systems HEAS-02-2013" of the Japan Association of Healthcare Equipment and Services.</t>
    <phoneticPr fontId="181"/>
  </si>
  <si>
    <t>Not engaging in any of the following efforts (no applicable efforts), Actively engaging in one or more applicable efforts;
1) Establishment of study rooms
2) Secure space for active learning</t>
    <phoneticPr fontId="26"/>
  </si>
  <si>
    <t>Not engaging in any of the following efforts (no applicable efforts), Engaging in one applicable effort, Actively engaging in two or more applicable efforts;
1) Meet the standards (minimum level) for facilitating mobility in buildings under the new Barrier-Free Japan Act. (Q2.1.1.3 Level 4 or higher)
2) An environment in which students can use ICT one by one according to class development has been established through the provision of movable computers, etc. and wireless LAN. 
3) Built environment and facilities that contribute to environmental education (new energy, energy conservation, natural energy utilization, wood utilization, resource recycling, etc.) are in place.
4) Other than 3), buildings and facilities conducive to SDG education are in place.</t>
    <phoneticPr fontId="26"/>
  </si>
  <si>
    <t>Not engaging in any of the following efforts (no applicable efforts), Actively engaging in one or more applicable efforts;
1) Compliance with the minimum level of the New Barrier-Free Building Act (Level 4 or higher in Q2.1.1.3 of CASBEE-BD/NC)
2) Installation of LGBT-friendly restrooms</t>
    <phoneticPr fontId="26"/>
  </si>
  <si>
    <t>Non-Hal</t>
    <phoneticPr fontId="26"/>
  </si>
  <si>
    <t>Not engaging in any of the following efforts (no applicable efforts), Engaging in one applicable effort, Actively engaging in two or more applicable efforts;
1) The design is designed to reduce the burden of housework.
2) The design is designed to reduce the burden of childcare.3) The design is designed to reduce the burden of care.</t>
    <phoneticPr fontId="26"/>
  </si>
  <si>
    <t>Not engaging in any of the following efforts (no applicable efforts), Actively engaging in one or more applicable efforts;
Installation of personal air conditioning or other equipment that enables individual adjustment of temperature and cooling</t>
    <phoneticPr fontId="26"/>
  </si>
  <si>
    <t>Not engaging in any of the following efforts (no applicable efforts), Actively engaging in one or more applicable efforts;
1) Devices to reduce obstruction to groundwater flow
2) Active on-site greening</t>
    <phoneticPr fontId="26"/>
  </si>
  <si>
    <t>Not engaging in any of the following efforts (no applicable efforts), Actively engaging in one or more applicable efforts;
1) Conduct soil contamination survey
2) Excavation and removal of contaminated soil</t>
    <phoneticPr fontId="26"/>
  </si>
  <si>
    <t>Not engaging in any of the following efforts (no applicable efforts), Engaging in one applicable effort, Actively engaging in two or more applicable efforts;
1) Existence or non-existence of initiatives for area use (building groups/supply-demand linkage)
2) Provision of emergency power supply to the community (BCP compliance is also subject to assessment)
3) Introduction of CEMS
4) Active use of renewable energy/unused heat</t>
    <phoneticPr fontId="26"/>
  </si>
  <si>
    <t>Efforts toward LCCM, energy consumption and continuous efforts towards GHG emission reduction</t>
    <phoneticPr fontId="181"/>
  </si>
  <si>
    <t>Not engaging in any of the following efforts (no applicable efforts), Engaging in one applicable effort, Actively engaging in two or more applicable efforts;
1) Availability of spaces that are easy to concentrate, planned and maintained with a view to enhancing intellectual productivity
2) Availability of informal communication spaces that are planned and maintained with a view to enhancing intellectual productivity.
3) Availability of spaces for refreshment and relaxation planned and maintained with a view to enhancing intellectual productivity.</t>
    <phoneticPr fontId="26"/>
  </si>
  <si>
    <t>Not engaging in any of the following efforts (no applicable efforts), Actively engaging in one or more applicable efforts;
1) Confirm the hazard of the site using hazard maps, etc.
2) Other initiatives to improve resilience to natural disasters</t>
    <phoneticPr fontId="26"/>
  </si>
  <si>
    <t>Not engaging in any of the following efforts (no applicable efforts), Actively engaging in one or more applicable efforts;
Advanced efforts to withstand fire</t>
    <phoneticPr fontId="26"/>
  </si>
  <si>
    <t>Not engaging in any of the following efforts (no applicable efforts), Engaging in one applicable effort, Actively engaging in two or more applicable efforts;
1) Adoption of bldg. materials using the latest tech. (retroreflective solar reflective film, etc.)
2) Adoption of equipment using the latest technology (e.g., IoT for equipment)
3) Adoption of systems using the latest tech. (e.g., lifecycle management system using BIM)
4) Others (utilization of AI, etc.)</t>
    <phoneticPr fontId="26"/>
  </si>
  <si>
    <t>Not engaging in any of the following efforts (no applicable efforts), Engaging in one applicable effort, Actively engaging in two or more applicable efforts;
1) Introduction of high-speed, high-capacity, low-latency information systems, including 5G support
2) Optimal operation of facilities based on analysis of HEMS / BEMS data using AI
3) Cooperation with CEMS</t>
    <phoneticPr fontId="26"/>
  </si>
  <si>
    <t>Not engaging in any of the following efforts (no applicable efforts), Actively engaging in one or more applicable efforts;
1) Availability of formal communication spaces that are planned and maintained with a view to enhancing intellectual productivity.
2) Availability of informal communication spaces that are planned and maintained with a view to enhancing intellectual productivity.</t>
    <phoneticPr fontId="26"/>
  </si>
  <si>
    <t>Not engaging in any of the following efforts (no applicable efforts), Engaging in one applicable effort, Actively engaging in two or more applicable efforts;
1) In apartments, there is a separate study space.
2) In apartments, study spaces/study corners are located in common spaces.
3) In apartments, there is an ingenious study space that can be used in accordance with the changing stages of the family.
4) There is a study space/study corner in the common area of the apartments.</t>
    <phoneticPr fontId="26"/>
  </si>
  <si>
    <t>Not engaging in any of the following efforts (no applicable efforts), Engaging in one applicable effort, Actively engaging in two or more applicable efforts;
1) Devices against earthquakes (latest seismic isolation, vibration control (damping), etc.)
2) Devices against fire (e.g., use of the latest noncombustible materials)
3) Innovations against wind and flood damage (use of designs that minimize wind and flood damage using CFD technology)
4) Other innovations related to disasters</t>
    <phoneticPr fontId="26"/>
  </si>
  <si>
    <t>Assessment based on Goal 5: Gender Equality, etc.</t>
    <phoneticPr fontId="181"/>
  </si>
  <si>
    <t>Not engaging in any of the following efforts (no applicable efforts), Engaging in one applicable effort, Actively engaging in two or more applicable efforts;
1) Efforts to reduce costs during construction
2) Efforts to reduce costs during operation
3) Efforts to reduce costs at the time of repair and renewal</t>
    <phoneticPr fontId="26"/>
  </si>
  <si>
    <t>Not engaging in any of the following efforts (no applicable efforts), Actively engaging in one or more applicable efforts;
Proactive use of labeling and certification systems that indicate a built environment(CASBEE tools other than CASBEE-BD/NC, BELS, various performance indicators, etc.)</t>
    <phoneticPr fontId="1"/>
  </si>
  <si>
    <r>
      <rPr>
        <b/>
        <sz val="10"/>
        <color theme="1"/>
        <rFont val="游ゴシック"/>
        <family val="3"/>
        <charset val="128"/>
      </rPr>
      <t xml:space="preserve">Goal 12.
</t>
    </r>
    <r>
      <rPr>
        <b/>
        <sz val="7"/>
        <color theme="1"/>
        <rFont val="游ゴシック"/>
        <family val="3"/>
        <charset val="128"/>
      </rPr>
      <t>Responsible
Consumption
and
Production</t>
    </r>
    <phoneticPr fontId="181"/>
  </si>
  <si>
    <t>Not engaging in any of the following efforts (no applicable efforts), Engaging in one applicable effort, Actively engaging in two or more applicable efforts;
1) Procurement is conducted in consideration of economic aspects (e.g., payment of just compensation from the perspective of Creating Shared Value (CSV)).
2) Procurement is conducted in consideration of social cremation (e.g., checking the working environment of suppliers).
3) Procurement is conducted in consideration of environmental aspects (e.g., procurement of materials in accordance with the Green Procurement Guidelines).</t>
    <phoneticPr fontId="26"/>
  </si>
  <si>
    <t>Not engaging in any of the following efforts (no applicable efforts), Engaging in one applicable effort, Actively engaging in two or more applicable efforts;
1) Prepare for the possibility of increased damage from high winds in the future (design above and beyond building code, measures against flying debris in openings such as laminated glass, storm windows, shutters, etc.).
2) Preparing for flood damage that may increase in the future (confirming local characteristics that are less likely to be affected, consideration of electrical equipment, etc., and evacuation procedures).
3) Preparedness for possible increase in landslide disasters in the future (confirming local characteristics that are less likely to be affected and evacuation methods).
4) Evacuation measures for the elderly and other vulnerable groups in the event of a disaster (e.g., evacuation advisory with adequate time, transportation methods, preparation of medicines, etc.)</t>
    <phoneticPr fontId="181"/>
  </si>
  <si>
    <t>Not engaging in any of the following efforts (no applicable efforts), Actively engaging in one or more applicable efforts;
1) Confirm the hazard of the site using hazard maps, etc.
2) Share and disseminate information on disasters using digital signage, etc.</t>
    <phoneticPr fontId="26"/>
  </si>
  <si>
    <t>Not engaging in any of the following efforts (no applicable efforts), Actively engaging in one or more applicable efforts;
1) Identify the economic, social, and environmental improvement initiatives of suppliers of parts and materials for products, and determine whether or not to collaborate with them.
2) Utilize AI and IoT technologies to enhance collaboration with stakeholders.</t>
    <phoneticPr fontId="26"/>
  </si>
  <si>
    <t>Not engaging in any of the following efforts (no applicable efforts), Actively engaging in one or more applicable efforts;
Management of basic building information and maintenance history to enable follow-up investigations in the event of defects</t>
    <phoneticPr fontId="26"/>
  </si>
  <si>
    <t>Not engaging in any of the following efforts (no applicable efforts), Actively engaging in one or more applicable efforts;
Introduction of regional communication services utilizing ICT technology (disaster prevention information, energy management, regional monitoring service, community activities, etc.)</t>
    <phoneticPr fontId="26"/>
  </si>
  <si>
    <t>Not engaging in any of the following efforts (no applicable efforts), Actively engaging in one or more applicable efforts;
Reuse of domestic old wood</t>
    <phoneticPr fontId="26"/>
  </si>
  <si>
    <t>Not engaging in any of the following efforts (no applicable efforts), Actively engaging in one or more applicable efforts;
1) Ensure traceability
2) Implementation of quantity control using BIM</t>
    <phoneticPr fontId="26"/>
  </si>
  <si>
    <t>Not engaging in any of the following efforts (no applicable efforts), Engaging in one applicable effort, Actively engaging in two or more applicable efforts;
1) Solar heat utilization (hot water utilization), etc.
2) Solar power use (electricity use), etc.
3) Unused heat utilization (geothermal heat utilization/well water utilization/river water utilization heat pumps), etc.
4) Others (biomass, other renewable energy on-site)
5) Off-site renewable energy (award only renewables evaluated in LR1.3 "Efficiency in building service system")</t>
    <phoneticPr fontId="26"/>
  </si>
  <si>
    <t>Not engaging in any of the following efforts (no applicable efforts), Actively engaging in one or more applicable efforts;
1) Installation of LGBT-friendly restrooms
2) Other LGBT-friendly design innovations</t>
    <phoneticPr fontId="26"/>
  </si>
  <si>
    <t>Not engaging in any of the following efforts (no applicable efforts), Actively engaging in one or more applicable efforts;
ZEH Ready, ZEB Ready or higher</t>
    <phoneticPr fontId="26"/>
  </si>
  <si>
    <t>Efforts are being made for the surrounding townscape and landscape (use of materials suited to the characteristics of the area, planting of trees to create a good landscape)</t>
    <phoneticPr fontId="26"/>
  </si>
  <si>
    <t>Non-Rtl, non-Rst, Non-Hal</t>
    <phoneticPr fontId="26"/>
  </si>
  <si>
    <t>For Hal (oth.), museums and exhibition facilities will not be applicable.</t>
    <phoneticPr fontId="26"/>
  </si>
  <si>
    <t>特定建築物に該当する場合の取組みで評価する</t>
    <rPh sb="4" eb="5">
      <t>ブツ</t>
    </rPh>
    <phoneticPr fontId="26"/>
  </si>
  <si>
    <t>gross floor area=</t>
    <phoneticPr fontId="26"/>
  </si>
  <si>
    <t>[2] Sink for cleaning materials with safe drainage is installed.
* Hospital secure, in addition to the above, a space in which washing machines for cleaning materials are installed, depending on the number of beds.</t>
    <phoneticPr fontId="26"/>
  </si>
  <si>
    <t>Off,Hal,Hsp, Htl,Fct</t>
    <phoneticPr fontId="26"/>
  </si>
  <si>
    <t>Sch,Rtl, Rst,Apt</t>
    <phoneticPr fontId="26"/>
  </si>
  <si>
    <t xml:space="preserve">Off,Sch,Hal,Hsp,Htl,Fct,Apt: </t>
    <phoneticPr fontId="26"/>
  </si>
  <si>
    <t xml:space="preserve">Rtl,Rst: </t>
    <phoneticPr fontId="26"/>
  </si>
  <si>
    <r>
      <t xml:space="preserve">Off,Sch,Rtl,Rst,Hal,Hsp,Htl,Fct,Apt </t>
    </r>
    <r>
      <rPr>
        <sz val="9"/>
        <rFont val="ＭＳ Ｐゴシック"/>
        <family val="3"/>
        <charset val="128"/>
      </rPr>
      <t>【</t>
    </r>
    <r>
      <rPr>
        <sz val="9"/>
        <rFont val="Arial"/>
        <family val="2"/>
      </rPr>
      <t>&lt;2000</t>
    </r>
    <r>
      <rPr>
        <sz val="9"/>
        <rFont val="ＭＳ Ｐゴシック"/>
        <family val="3"/>
        <charset val="128"/>
      </rPr>
      <t>㎡】</t>
    </r>
    <phoneticPr fontId="26"/>
  </si>
  <si>
    <t>Efforts based on local characteristics and outdoor amenity are thorough and extensive. (5 or more points in total)</t>
  </si>
  <si>
    <t>Efforts based on local characteristics and outdoor amenity are inadequate. (1 point in total)</t>
    <phoneticPr fontId="26"/>
  </si>
  <si>
    <r>
      <rPr>
        <sz val="9"/>
        <rFont val="Arial"/>
        <family val="3"/>
      </rPr>
      <t>VII</t>
    </r>
    <r>
      <rPr>
        <sz val="9"/>
        <rFont val="Arial"/>
        <family val="2"/>
      </rPr>
      <t xml:space="preserve"> Other</t>
    </r>
    <phoneticPr fontId="26"/>
  </si>
  <si>
    <t>Other initiatives (State specific initiatives in the outline of env. efforts.)</t>
  </si>
  <si>
    <t>Item</t>
    <phoneticPr fontId="26"/>
  </si>
  <si>
    <t>Light shelves</t>
    <phoneticPr fontId="26"/>
  </si>
  <si>
    <t>Top lights</t>
    <phoneticPr fontId="26"/>
  </si>
  <si>
    <t>High side lights</t>
    <phoneticPr fontId="26"/>
  </si>
  <si>
    <t>Automatic dampers, manually operated openings and windows (those with a plan for an operational management method)</t>
    <phoneticPr fontId="26"/>
  </si>
  <si>
    <t>Night purging</t>
    <phoneticPr fontId="26"/>
  </si>
  <si>
    <t>Ventilation systems linked to atrium</t>
    <phoneticPr fontId="26"/>
  </si>
  <si>
    <t>Solar chimney ventilation towers</t>
    <phoneticPr fontId="26"/>
  </si>
  <si>
    <t>Cool and heat tubes and pits</t>
    <phoneticPr fontId="26"/>
  </si>
  <si>
    <t>Adopted</t>
    <phoneticPr fontId="26"/>
  </si>
  <si>
    <r>
      <rPr>
        <b/>
        <sz val="9"/>
        <rFont val="Arial"/>
        <family val="3"/>
      </rPr>
      <t>Level</t>
    </r>
    <r>
      <rPr>
        <b/>
        <sz val="9"/>
        <rFont val="Arial"/>
        <family val="2"/>
      </rPr>
      <t xml:space="preserve"> 1</t>
    </r>
    <phoneticPr fontId="26"/>
  </si>
  <si>
    <t>Level 2</t>
  </si>
  <si>
    <t>Level 5</t>
    <phoneticPr fontId="26"/>
  </si>
  <si>
    <t>Level 1</t>
  </si>
  <si>
    <t>Mixing room</t>
  </si>
  <si>
    <r>
      <t>Sufficient equipment capacity to achieving room temperatures of 22</t>
    </r>
    <r>
      <rPr>
        <sz val="9"/>
        <rFont val="ＭＳ Ｐゴシック"/>
        <family val="3"/>
        <charset val="128"/>
      </rPr>
      <t>˚</t>
    </r>
    <r>
      <rPr>
        <sz val="9"/>
        <rFont val="Arial"/>
        <family val="2"/>
      </rPr>
      <t>C or higher in winter and 24</t>
    </r>
    <r>
      <rPr>
        <sz val="9"/>
        <rFont val="ＭＳ Ｐゴシック"/>
        <family val="3"/>
        <charset val="128"/>
      </rPr>
      <t>˚</t>
    </r>
    <r>
      <rPr>
        <sz val="9"/>
        <rFont val="Arial"/>
        <family val="2"/>
      </rPr>
      <t>C or lower in summer</t>
    </r>
  </si>
  <si>
    <t>Requirements for Grade 6 or above in 5-1 Thermal Insulation Performance Grade of the Japan Housing Performance Indication Standard are satisfied.</t>
  </si>
  <si>
    <t>sample input; Introduction of airflow windows</t>
  </si>
  <si>
    <t>The air conditioning system is normal, but the air supply and extraction plan considered the vertical temperature distribution and airflow speed in occupancy zone, and the partitions in the medical examining rooms.</t>
  </si>
  <si>
    <t>Lighting control per task unit is available and adjustment via computer terminal/remote control or automatic control is available</t>
  </si>
  <si>
    <t>Sch(Univ.,etc...), Hal(Lib.), Hsp(Doctor’s Off.)</t>
  </si>
  <si>
    <t>Note; Describe introduced technics for each effort.</t>
  </si>
  <si>
    <t>Level 3 is awarded to all buildings with a gross floor area of 500 m2 or less.
Note; Enter Level 3 directly if the evaluated building has a gross floor area of 500 m2 or less.</t>
  </si>
  <si>
    <t>Note; Describe major materials etc.</t>
  </si>
  <si>
    <t>Water-covered area ratio</t>
  </si>
  <si>
    <t>evaporative material covered area</t>
  </si>
  <si>
    <t>Inapplicable (N.A.) if  no designated substances are treated, or if the building  has no designated facilities subject to the regulation.</t>
  </si>
  <si>
    <t>Note; State if there is no regulations against sunlight obstruction.</t>
  </si>
  <si>
    <t>*Energy consumption of ref. bld. (reference value) is equivalent to 0% in energy consumption reduction rate.</t>
    <phoneticPr fontId="26"/>
  </si>
  <si>
    <r>
      <t>m</t>
    </r>
    <r>
      <rPr>
        <vertAlign val="superscript"/>
        <sz val="10"/>
        <rFont val="Arial"/>
        <family val="2"/>
      </rPr>
      <t>2</t>
    </r>
    <r>
      <rPr>
        <sz val="10"/>
        <rFont val="Arial"/>
        <family val="2"/>
      </rPr>
      <t>/m</t>
    </r>
    <r>
      <rPr>
        <vertAlign val="superscript"/>
        <sz val="10"/>
        <rFont val="Arial"/>
        <family val="2"/>
      </rPr>
      <t>2</t>
    </r>
    <phoneticPr fontId="26"/>
  </si>
  <si>
    <r>
      <rPr>
        <sz val="11"/>
        <rFont val="ＭＳ Ｐゴシック"/>
        <family val="3"/>
        <charset val="128"/>
      </rPr>
      <t>　</t>
    </r>
    <r>
      <rPr>
        <sz val="11"/>
        <rFont val="Arial"/>
        <family val="2"/>
      </rPr>
      <t>(1) Using a designated emission factor:</t>
    </r>
    <phoneticPr fontId="26"/>
  </si>
  <si>
    <t xml:space="preserve"> Non-Apartment   Subtotal</t>
    <phoneticPr fontId="26"/>
  </si>
  <si>
    <r>
      <rPr>
        <sz val="10"/>
        <color indexed="18"/>
        <rFont val="Segoe UI Symbol"/>
        <family val="3"/>
      </rPr>
      <t>●</t>
    </r>
    <r>
      <rPr>
        <sz val="10"/>
        <color indexed="18"/>
        <rFont val="Arial"/>
        <family val="2"/>
      </rPr>
      <t>Score</t>
    </r>
    <phoneticPr fontId="26"/>
  </si>
  <si>
    <r>
      <rPr>
        <sz val="10"/>
        <color indexed="18"/>
        <rFont val="Segoe UI Symbol"/>
        <family val="3"/>
      </rPr>
      <t>●</t>
    </r>
    <r>
      <rPr>
        <sz val="10"/>
        <color indexed="18"/>
        <rFont val="Arial"/>
        <family val="2"/>
      </rPr>
      <t>Result</t>
    </r>
    <phoneticPr fontId="26"/>
  </si>
  <si>
    <r>
      <rPr>
        <sz val="10"/>
        <color indexed="18"/>
        <rFont val="ＭＳ Ｐゴシック"/>
        <family val="3"/>
        <charset val="128"/>
      </rPr>
      <t>←</t>
    </r>
    <phoneticPr fontId="26"/>
  </si>
  <si>
    <r>
      <t>●</t>
    </r>
    <r>
      <rPr>
        <sz val="10"/>
        <color rgb="FF000080"/>
        <rFont val="Arial"/>
        <family val="2"/>
      </rPr>
      <t>Result (2-1 SDGs)</t>
    </r>
    <phoneticPr fontId="26"/>
  </si>
  <si>
    <r>
      <rPr>
        <sz val="10"/>
        <color indexed="18"/>
        <rFont val="Segoe UI Symbol"/>
        <family val="3"/>
      </rPr>
      <t>●</t>
    </r>
    <r>
      <rPr>
        <sz val="10"/>
        <color indexed="18"/>
        <rFont val="Arial"/>
        <family val="2"/>
      </rPr>
      <t>WLC Calculation</t>
    </r>
    <phoneticPr fontId="26"/>
  </si>
  <si>
    <r>
      <rPr>
        <sz val="10"/>
        <color indexed="18"/>
        <rFont val="Segoe UI Symbol"/>
        <family val="3"/>
      </rPr>
      <t>●</t>
    </r>
    <r>
      <rPr>
        <sz val="10"/>
        <color indexed="18"/>
        <rFont val="Arial"/>
        <family val="2"/>
      </rPr>
      <t>Standard Calculation</t>
    </r>
    <phoneticPr fontId="26"/>
  </si>
  <si>
    <r>
      <rPr>
        <sz val="10"/>
        <color indexed="18"/>
        <rFont val="Segoe UI Symbol"/>
        <family val="3"/>
      </rPr>
      <t>●</t>
    </r>
    <r>
      <rPr>
        <sz val="10"/>
        <color indexed="18"/>
        <rFont val="Arial"/>
        <family val="2"/>
      </rPr>
      <t>Individual Calculation</t>
    </r>
    <phoneticPr fontId="26"/>
  </si>
  <si>
    <t>Not applicable</t>
  </si>
  <si>
    <t>CASBEE-BD_NCe_2024_v1.21</t>
    <phoneticPr fontId="26"/>
  </si>
</sst>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8">
    <numFmt numFmtId="176" formatCode="0;0;&quot;&quot;"/>
    <numFmt numFmtId="177" formatCode="0.0_ "/>
    <numFmt numFmtId="178" formatCode="0.00_ "/>
    <numFmt numFmtId="179" formatCode="0.00_);[Red]\(0.00\)"/>
    <numFmt numFmtId="180" formatCode="0;0;&quot;－&quot;"/>
    <numFmt numFmtId="181" formatCode="#,##0_ "/>
    <numFmt numFmtId="182" formatCode="0.0"/>
    <numFmt numFmtId="183" formatCode="0.0;0.0;&quot;-&quot;\ "/>
    <numFmt numFmtId="184" formatCode="0.00;0.00;&quot;-&quot;\ "/>
    <numFmt numFmtId="185" formatCode="0.0;0.0;&quot;－&quot;"/>
    <numFmt numFmtId="186" formatCode="#,##0.0;[Red]\-#,##0.0"/>
    <numFmt numFmtId="187" formatCode="0.000_ "/>
    <numFmt numFmtId="188" formatCode="0.000_);[Red]\(0.000\)"/>
    <numFmt numFmtId="189" formatCode="0_ "/>
    <numFmt numFmtId="190" formatCode="#,###&quot;㎡&quot;"/>
    <numFmt numFmtId="191" formatCode="0.00;0.00;&quot;-&quot;"/>
    <numFmt numFmtId="192" formatCode="0.00;0.00;&quot;対象外&quot;"/>
    <numFmt numFmtId="193" formatCode="&quot;レベル &quot;#0.0;0.00;&quot;対象外&quot;"/>
    <numFmt numFmtId="194" formatCode="0.0;_Ā"/>
    <numFmt numFmtId="195" formatCode="0.000;_Ā"/>
    <numFmt numFmtId="196" formatCode="0.0000"/>
    <numFmt numFmtId="197" formatCode="#&quot;年&quot;"/>
    <numFmt numFmtId="198" formatCode="0.0000_ "/>
    <numFmt numFmtId="199" formatCode="0.0_);[Red]\(0.0\)"/>
    <numFmt numFmtId="200" formatCode="0.000000_ "/>
    <numFmt numFmtId="201" formatCode="General;General;"/>
    <numFmt numFmtId="202" formatCode="0.00000_ "/>
    <numFmt numFmtId="203" formatCode="0.000"/>
    <numFmt numFmtId="204" formatCode="#,##0_);[Red]\(#,##0\)"/>
    <numFmt numFmtId="205" formatCode="#,##0.00_ ;[Red]\-#,##0.00\ "/>
    <numFmt numFmtId="206" formatCode="0.0%"/>
    <numFmt numFmtId="207" formatCode="0.000000"/>
    <numFmt numFmtId="208" formatCode="0.00;0.00;&quot;&quot;"/>
    <numFmt numFmtId="209" formatCode="0.000;0.000;&quot;&quot;"/>
    <numFmt numFmtId="210" formatCode="&quot;レベル &quot;#0;0.0;&quot;対象外&quot;"/>
    <numFmt numFmtId="211" formatCode="#,###.0&quot;㎡&quot;"/>
    <numFmt numFmtId="212" formatCode="#,###.0&quot;kW&quot;"/>
    <numFmt numFmtId="213" formatCode="0.0000_);[Red]\(0.0000\)"/>
    <numFmt numFmtId="214" formatCode="#,###.0&quot;kWh&quot;"/>
    <numFmt numFmtId="215" formatCode="0.000000_);[Red]\(0.000000\)"/>
    <numFmt numFmtId="216" formatCode="yyyy/m/d;@"/>
    <numFmt numFmtId="217" formatCode="#&quot;years&quot;"/>
    <numFmt numFmtId="218" formatCode="&quot;Level &quot;#0.00;0.000;&quot;N.A.&quot;"/>
    <numFmt numFmtId="219" formatCode="&quot;Level &quot;#0.0;0.00;&quot;N.A.&quot;"/>
    <numFmt numFmtId="220" formatCode=";;&quot;&quot;"/>
    <numFmt numFmtId="221" formatCode="#,###.0&quot;㎡/person&quot;"/>
    <numFmt numFmtId="222" formatCode="#,###.0&quot;㎡/bed&quot;"/>
    <numFmt numFmtId="223" formatCode="#,###&quot;m&quot;"/>
  </numFmts>
  <fonts count="316">
    <font>
      <sz val="11"/>
      <name val="ＭＳ Ｐゴシック"/>
      <family val="3"/>
      <charset val="128"/>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indexed="8"/>
      <name val="ＭＳ Ｐゴシック"/>
      <family val="3"/>
      <charset val="128"/>
    </font>
    <font>
      <sz val="11"/>
      <color indexed="9"/>
      <name val="ＭＳ Ｐゴシック"/>
      <family val="3"/>
      <charset val="128"/>
    </font>
    <font>
      <b/>
      <sz val="18"/>
      <color indexed="56"/>
      <name val="ＭＳ Ｐゴシック"/>
      <family val="3"/>
      <charset val="128"/>
    </font>
    <font>
      <b/>
      <sz val="11"/>
      <color indexed="9"/>
      <name val="ＭＳ Ｐゴシック"/>
      <family val="3"/>
      <charset val="128"/>
    </font>
    <font>
      <sz val="11"/>
      <color indexed="60"/>
      <name val="ＭＳ Ｐゴシック"/>
      <family val="3"/>
      <charset val="128"/>
    </font>
    <font>
      <sz val="11"/>
      <name val="ＭＳ Ｐゴシック"/>
      <family val="3"/>
      <charset val="128"/>
    </font>
    <font>
      <sz val="10"/>
      <color indexed="18"/>
      <name val="Arial"/>
      <family val="2"/>
    </font>
    <font>
      <sz val="11"/>
      <color indexed="52"/>
      <name val="ＭＳ Ｐゴシック"/>
      <family val="3"/>
      <charset val="128"/>
    </font>
    <font>
      <sz val="11"/>
      <color indexed="20"/>
      <name val="ＭＳ Ｐゴシック"/>
      <family val="3"/>
      <charset val="128"/>
    </font>
    <font>
      <b/>
      <sz val="11"/>
      <color indexed="52"/>
      <name val="ＭＳ Ｐゴシック"/>
      <family val="3"/>
      <charset val="128"/>
    </font>
    <font>
      <sz val="11"/>
      <color indexed="10"/>
      <name val="ＭＳ Ｐゴシック"/>
      <family val="3"/>
      <charset val="128"/>
    </font>
    <font>
      <b/>
      <sz val="15"/>
      <color indexed="56"/>
      <name val="ＭＳ Ｐゴシック"/>
      <family val="3"/>
      <charset val="128"/>
    </font>
    <font>
      <b/>
      <sz val="13"/>
      <color indexed="56"/>
      <name val="ＭＳ Ｐゴシック"/>
      <family val="3"/>
      <charset val="128"/>
    </font>
    <font>
      <b/>
      <sz val="11"/>
      <color indexed="56"/>
      <name val="ＭＳ Ｐゴシック"/>
      <family val="3"/>
      <charset val="128"/>
    </font>
    <font>
      <b/>
      <sz val="11"/>
      <color indexed="8"/>
      <name val="ＭＳ Ｐゴシック"/>
      <family val="3"/>
      <charset val="128"/>
    </font>
    <font>
      <b/>
      <sz val="11"/>
      <color indexed="63"/>
      <name val="ＭＳ Ｐゴシック"/>
      <family val="3"/>
      <charset val="128"/>
    </font>
    <font>
      <i/>
      <sz val="11"/>
      <color indexed="23"/>
      <name val="ＭＳ Ｐゴシック"/>
      <family val="3"/>
      <charset val="128"/>
    </font>
    <font>
      <sz val="11"/>
      <color indexed="62"/>
      <name val="ＭＳ Ｐゴシック"/>
      <family val="3"/>
      <charset val="128"/>
    </font>
    <font>
      <sz val="11"/>
      <name val="ＭＳ 明朝"/>
      <family val="1"/>
      <charset val="128"/>
    </font>
    <font>
      <sz val="11"/>
      <color indexed="17"/>
      <name val="ＭＳ Ｐゴシック"/>
      <family val="3"/>
      <charset val="128"/>
    </font>
    <font>
      <sz val="6"/>
      <name val="ＭＳ Ｐゴシック"/>
      <family val="3"/>
      <charset val="128"/>
    </font>
    <font>
      <strike/>
      <sz val="11"/>
      <name val="ＭＳ Ｐゴシック"/>
      <family val="3"/>
      <charset val="128"/>
    </font>
    <font>
      <b/>
      <sz val="11"/>
      <name val="ＭＳ Ｐゴシック"/>
      <family val="3"/>
      <charset val="128"/>
    </font>
    <font>
      <b/>
      <sz val="9"/>
      <name val="ＭＳ Ｐゴシック"/>
      <family val="3"/>
      <charset val="128"/>
    </font>
    <font>
      <b/>
      <sz val="10"/>
      <name val="Arial"/>
      <family val="2"/>
    </font>
    <font>
      <sz val="9"/>
      <name val="ＭＳ Ｐゴシック"/>
      <family val="3"/>
      <charset val="128"/>
    </font>
    <font>
      <sz val="9"/>
      <name val="Arial"/>
      <family val="2"/>
    </font>
    <font>
      <b/>
      <sz val="10"/>
      <color indexed="9"/>
      <name val="ＭＳ Ｐゴシック"/>
      <family val="3"/>
      <charset val="128"/>
    </font>
    <font>
      <sz val="10"/>
      <name val="ＭＳ Ｐゴシック"/>
      <family val="3"/>
      <charset val="128"/>
    </font>
    <font>
      <sz val="10"/>
      <name val="Arial"/>
      <family val="2"/>
    </font>
    <font>
      <b/>
      <sz val="9"/>
      <name val="Arial"/>
      <family val="2"/>
    </font>
    <font>
      <sz val="8"/>
      <name val="ＭＳ Ｐゴシック"/>
      <family val="3"/>
      <charset val="128"/>
    </font>
    <font>
      <sz val="9"/>
      <color indexed="10"/>
      <name val="ＭＳ Ｐゴシック"/>
      <family val="3"/>
      <charset val="128"/>
    </font>
    <font>
      <sz val="10"/>
      <color indexed="10"/>
      <name val="ＭＳ Ｐゴシック"/>
      <family val="3"/>
      <charset val="128"/>
    </font>
    <font>
      <b/>
      <sz val="12"/>
      <name val="ＭＳ Ｐゴシック"/>
      <family val="3"/>
      <charset val="128"/>
    </font>
    <font>
      <sz val="12"/>
      <name val="Arial"/>
      <family val="2"/>
    </font>
    <font>
      <b/>
      <sz val="18"/>
      <name val="Arial"/>
      <family val="2"/>
    </font>
    <font>
      <b/>
      <sz val="12"/>
      <name val="Arial"/>
      <family val="2"/>
    </font>
    <font>
      <sz val="11"/>
      <name val="Arial"/>
      <family val="2"/>
    </font>
    <font>
      <sz val="12"/>
      <color indexed="10"/>
      <name val="Arial"/>
      <family val="2"/>
    </font>
    <font>
      <b/>
      <i/>
      <sz val="9"/>
      <name val="ＭＳ Ｐ明朝"/>
      <family val="1"/>
      <charset val="128"/>
    </font>
    <font>
      <sz val="9"/>
      <color indexed="17"/>
      <name val="Arial"/>
      <family val="2"/>
    </font>
    <font>
      <sz val="9"/>
      <color indexed="10"/>
      <name val="Arial"/>
      <family val="2"/>
    </font>
    <font>
      <b/>
      <sz val="9"/>
      <color indexed="17"/>
      <name val="Arial"/>
      <family val="2"/>
    </font>
    <font>
      <b/>
      <sz val="9"/>
      <color indexed="17"/>
      <name val="ＭＳ Ｐゴシック"/>
      <family val="3"/>
      <charset val="128"/>
    </font>
    <font>
      <sz val="11"/>
      <color indexed="10"/>
      <name val="Arial"/>
      <family val="2"/>
    </font>
    <font>
      <b/>
      <i/>
      <sz val="9"/>
      <name val="Times New Roman"/>
      <family val="1"/>
    </font>
    <font>
      <b/>
      <i/>
      <sz val="9"/>
      <name val="Arial"/>
      <family val="2"/>
    </font>
    <font>
      <sz val="8"/>
      <color indexed="17"/>
      <name val="Arial"/>
      <family val="2"/>
    </font>
    <font>
      <b/>
      <sz val="8"/>
      <color indexed="17"/>
      <name val="Arial"/>
      <family val="2"/>
    </font>
    <font>
      <b/>
      <i/>
      <sz val="26"/>
      <color indexed="17"/>
      <name val="Arial"/>
      <family val="2"/>
    </font>
    <font>
      <b/>
      <i/>
      <sz val="8"/>
      <color indexed="17"/>
      <name val="Arial"/>
      <family val="2"/>
    </font>
    <font>
      <b/>
      <sz val="12"/>
      <color indexed="9"/>
      <name val="ＭＳ Ｐゴシック"/>
      <family val="3"/>
      <charset val="128"/>
    </font>
    <font>
      <b/>
      <sz val="12"/>
      <color indexed="9"/>
      <name val="Arial"/>
      <family val="2"/>
    </font>
    <font>
      <b/>
      <sz val="6"/>
      <color indexed="9"/>
      <name val="ＭＳ Ｐゴシック"/>
      <family val="3"/>
      <charset val="128"/>
    </font>
    <font>
      <b/>
      <sz val="11"/>
      <name val="Arial"/>
      <family val="2"/>
    </font>
    <font>
      <sz val="8"/>
      <name val="Arial"/>
      <family val="2"/>
    </font>
    <font>
      <sz val="11"/>
      <color indexed="63"/>
      <name val="Arial"/>
      <family val="2"/>
    </font>
    <font>
      <sz val="10"/>
      <color indexed="10"/>
      <name val="Arial"/>
      <family val="2"/>
    </font>
    <font>
      <b/>
      <sz val="14"/>
      <name val="Arial"/>
      <family val="2"/>
    </font>
    <font>
      <sz val="10"/>
      <color indexed="55"/>
      <name val="ＭＳ Ｐゴシック"/>
      <family val="3"/>
      <charset val="128"/>
    </font>
    <font>
      <b/>
      <sz val="10"/>
      <color indexed="55"/>
      <name val="Arial"/>
      <family val="2"/>
    </font>
    <font>
      <sz val="11"/>
      <color indexed="55"/>
      <name val="Arial"/>
      <family val="2"/>
    </font>
    <font>
      <sz val="11"/>
      <color indexed="22"/>
      <name val="Arial"/>
      <family val="2"/>
    </font>
    <font>
      <b/>
      <sz val="8"/>
      <color indexed="22"/>
      <name val="Arial"/>
      <family val="2"/>
    </font>
    <font>
      <i/>
      <sz val="10"/>
      <color indexed="22"/>
      <name val="ＭＳ Ｐゴシック"/>
      <family val="3"/>
      <charset val="128"/>
    </font>
    <font>
      <sz val="8"/>
      <color indexed="22"/>
      <name val="Arial"/>
      <family val="2"/>
    </font>
    <font>
      <sz val="12"/>
      <color indexed="9"/>
      <name val="Arial"/>
      <family val="2"/>
    </font>
    <font>
      <sz val="14"/>
      <color indexed="9"/>
      <name val="Arial"/>
      <family val="2"/>
    </font>
    <font>
      <sz val="11"/>
      <color indexed="9"/>
      <name val="Arial"/>
      <family val="2"/>
    </font>
    <font>
      <b/>
      <sz val="11"/>
      <color indexed="10"/>
      <name val="Arial"/>
      <family val="2"/>
    </font>
    <font>
      <sz val="9"/>
      <color indexed="8"/>
      <name val="ＭＳ Ｐゴシック"/>
      <family val="3"/>
      <charset val="128"/>
    </font>
    <font>
      <sz val="10"/>
      <color indexed="9"/>
      <name val="Arial"/>
      <family val="2"/>
    </font>
    <font>
      <sz val="8"/>
      <color indexed="9"/>
      <name val="ＭＳ Ｐゴシック"/>
      <family val="3"/>
      <charset val="128"/>
    </font>
    <font>
      <b/>
      <sz val="11"/>
      <color indexed="26"/>
      <name val="Arial"/>
      <family val="2"/>
    </font>
    <font>
      <b/>
      <i/>
      <sz val="14"/>
      <color indexed="9"/>
      <name val="Arial"/>
      <family val="2"/>
    </font>
    <font>
      <b/>
      <i/>
      <sz val="10"/>
      <name val="Arial"/>
      <family val="2"/>
    </font>
    <font>
      <b/>
      <i/>
      <sz val="11"/>
      <name val="ＭＳ Ｐゴシック"/>
      <family val="3"/>
      <charset val="128"/>
    </font>
    <font>
      <i/>
      <sz val="11"/>
      <name val="Arial"/>
      <family val="2"/>
    </font>
    <font>
      <b/>
      <sz val="11"/>
      <color indexed="42"/>
      <name val="Arial"/>
      <family val="2"/>
    </font>
    <font>
      <i/>
      <sz val="8"/>
      <name val="Arial"/>
      <family val="2"/>
    </font>
    <font>
      <sz val="8"/>
      <color indexed="9"/>
      <name val="Arial"/>
      <family val="2"/>
    </font>
    <font>
      <b/>
      <sz val="10"/>
      <color indexed="9"/>
      <name val="Arial"/>
      <family val="2"/>
    </font>
    <font>
      <b/>
      <sz val="11"/>
      <color indexed="9"/>
      <name val="Arial"/>
      <family val="2"/>
    </font>
    <font>
      <vertAlign val="subscript"/>
      <sz val="10"/>
      <name val="Arial"/>
      <family val="2"/>
    </font>
    <font>
      <vertAlign val="superscript"/>
      <sz val="10"/>
      <name val="Arial"/>
      <family val="2"/>
    </font>
    <font>
      <b/>
      <sz val="8"/>
      <color indexed="9"/>
      <name val="Arial"/>
      <family val="2"/>
    </font>
    <font>
      <b/>
      <sz val="8"/>
      <name val="ＭＳ Ｐゴシック"/>
      <family val="3"/>
      <charset val="128"/>
    </font>
    <font>
      <b/>
      <i/>
      <sz val="8"/>
      <name val="Arial"/>
      <family val="2"/>
    </font>
    <font>
      <sz val="8"/>
      <color indexed="23"/>
      <name val="Arial"/>
      <family val="2"/>
    </font>
    <font>
      <sz val="8"/>
      <color indexed="10"/>
      <name val="Arial"/>
      <family val="2"/>
    </font>
    <font>
      <sz val="8"/>
      <color indexed="10"/>
      <name val="ＭＳ Ｐゴシック"/>
      <family val="3"/>
      <charset val="128"/>
    </font>
    <font>
      <b/>
      <sz val="8"/>
      <name val="Arial"/>
      <family val="2"/>
    </font>
    <font>
      <sz val="6"/>
      <color indexed="23"/>
      <name val="Arial"/>
      <family val="2"/>
    </font>
    <font>
      <sz val="6"/>
      <name val="Arial"/>
      <family val="2"/>
    </font>
    <font>
      <b/>
      <sz val="14"/>
      <color indexed="9"/>
      <name val="ＭＳ Ｐゴシック"/>
      <family val="3"/>
      <charset val="128"/>
    </font>
    <font>
      <sz val="9"/>
      <color indexed="9"/>
      <name val="ＭＳ Ｐゴシック"/>
      <family val="3"/>
      <charset val="128"/>
    </font>
    <font>
      <b/>
      <sz val="8"/>
      <color indexed="9"/>
      <name val="ＭＳ Ｐゴシック"/>
      <family val="3"/>
      <charset val="128"/>
    </font>
    <font>
      <sz val="9"/>
      <color indexed="17"/>
      <name val="ＭＳ Ｐゴシック"/>
      <family val="3"/>
      <charset val="128"/>
    </font>
    <font>
      <b/>
      <sz val="8"/>
      <color indexed="17"/>
      <name val="ＭＳ Ｐゴシック"/>
      <family val="3"/>
      <charset val="128"/>
    </font>
    <font>
      <i/>
      <sz val="11"/>
      <name val="ＭＳ Ｐゴシック"/>
      <family val="3"/>
      <charset val="128"/>
    </font>
    <font>
      <i/>
      <sz val="9"/>
      <color indexed="8"/>
      <name val="ＭＳ Ｐゴシック"/>
      <family val="3"/>
      <charset val="128"/>
    </font>
    <font>
      <i/>
      <sz val="9"/>
      <name val="ＭＳ Ｐゴシック"/>
      <family val="3"/>
      <charset val="128"/>
    </font>
    <font>
      <b/>
      <sz val="9"/>
      <color indexed="9"/>
      <name val="ＭＳ Ｐゴシック"/>
      <family val="3"/>
      <charset val="128"/>
    </font>
    <font>
      <b/>
      <sz val="9"/>
      <color indexed="8"/>
      <name val="ＭＳ Ｐゴシック"/>
      <family val="3"/>
      <charset val="128"/>
    </font>
    <font>
      <b/>
      <sz val="10"/>
      <name val="ＭＳ Ｐゴシック"/>
      <family val="3"/>
      <charset val="128"/>
    </font>
    <font>
      <b/>
      <sz val="9"/>
      <color indexed="63"/>
      <name val="Arial"/>
      <family val="2"/>
    </font>
    <font>
      <b/>
      <sz val="11"/>
      <color indexed="63"/>
      <name val="Arial"/>
      <family val="2"/>
    </font>
    <font>
      <b/>
      <sz val="10"/>
      <color indexed="17"/>
      <name val="ＭＳ Ｐゴシック"/>
      <family val="3"/>
      <charset val="128"/>
    </font>
    <font>
      <sz val="9"/>
      <color indexed="63"/>
      <name val="Arial"/>
      <family val="2"/>
    </font>
    <font>
      <b/>
      <sz val="10"/>
      <color indexed="18"/>
      <name val="Arial"/>
      <family val="2"/>
    </font>
    <font>
      <b/>
      <sz val="10"/>
      <color indexed="10"/>
      <name val="ＭＳ Ｐゴシック"/>
      <family val="3"/>
      <charset val="128"/>
    </font>
    <font>
      <b/>
      <sz val="10"/>
      <color indexed="10"/>
      <name val="Arial"/>
      <family val="2"/>
    </font>
    <font>
      <vertAlign val="subscript"/>
      <sz val="10"/>
      <name val="ＭＳ Ｐゴシック"/>
      <family val="3"/>
      <charset val="128"/>
    </font>
    <font>
      <b/>
      <strike/>
      <sz val="10"/>
      <color indexed="18"/>
      <name val="Arial"/>
      <family val="2"/>
    </font>
    <font>
      <strike/>
      <sz val="10"/>
      <name val="ＭＳ Ｐゴシック"/>
      <family val="3"/>
      <charset val="128"/>
    </font>
    <font>
      <b/>
      <strike/>
      <sz val="10"/>
      <name val="ＭＳ Ｐゴシック"/>
      <family val="3"/>
      <charset val="128"/>
    </font>
    <font>
      <b/>
      <strike/>
      <sz val="9"/>
      <color indexed="8"/>
      <name val="ＭＳ Ｐゴシック"/>
      <family val="3"/>
      <charset val="128"/>
    </font>
    <font>
      <strike/>
      <sz val="9"/>
      <name val="ＭＳ Ｐゴシック"/>
      <family val="3"/>
      <charset val="128"/>
    </font>
    <font>
      <b/>
      <strike/>
      <sz val="8"/>
      <color indexed="17"/>
      <name val="ＭＳ Ｐゴシック"/>
      <family val="3"/>
      <charset val="128"/>
    </font>
    <font>
      <b/>
      <strike/>
      <sz val="11"/>
      <name val="ＭＳ Ｐゴシック"/>
      <family val="3"/>
      <charset val="128"/>
    </font>
    <font>
      <b/>
      <sz val="10"/>
      <color indexed="18"/>
      <name val="ＭＳ Ｐゴシック"/>
      <family val="3"/>
      <charset val="128"/>
    </font>
    <font>
      <b/>
      <sz val="16"/>
      <name val="ＭＳ Ｐゴシック"/>
      <family val="3"/>
      <charset val="128"/>
    </font>
    <font>
      <b/>
      <sz val="18"/>
      <name val="ＭＳ Ｐゴシック"/>
      <family val="3"/>
      <charset val="128"/>
    </font>
    <font>
      <b/>
      <sz val="14"/>
      <name val="ＭＳ Ｐゴシック"/>
      <family val="3"/>
      <charset val="128"/>
    </font>
    <font>
      <sz val="14"/>
      <name val="ＭＳ Ｐゴシック"/>
      <family val="3"/>
      <charset val="128"/>
    </font>
    <font>
      <b/>
      <i/>
      <sz val="12"/>
      <name val="ＭＳ Ｐゴシック"/>
      <family val="3"/>
      <charset val="128"/>
    </font>
    <font>
      <vertAlign val="superscript"/>
      <sz val="9"/>
      <name val="ＭＳ Ｐゴシック"/>
      <family val="3"/>
      <charset val="128"/>
    </font>
    <font>
      <b/>
      <vertAlign val="subscript"/>
      <sz val="10"/>
      <name val="Arial"/>
      <family val="2"/>
    </font>
    <font>
      <sz val="10"/>
      <color indexed="8"/>
      <name val="ＭＳ Ｐゴシック"/>
      <family val="3"/>
      <charset val="128"/>
    </font>
    <font>
      <b/>
      <sz val="9"/>
      <color indexed="81"/>
      <name val="ＭＳ Ｐゴシック"/>
      <family val="3"/>
      <charset val="128"/>
    </font>
    <font>
      <sz val="9"/>
      <color indexed="81"/>
      <name val="ＭＳ Ｐゴシック"/>
      <family val="3"/>
      <charset val="128"/>
    </font>
    <font>
      <b/>
      <sz val="10"/>
      <color indexed="8"/>
      <name val="ＭＳ Ｐゴシック"/>
      <family val="3"/>
      <charset val="128"/>
    </font>
    <font>
      <sz val="10"/>
      <color rgb="FFFF0000"/>
      <name val="ＭＳ Ｐゴシック"/>
      <family val="3"/>
      <charset val="128"/>
    </font>
    <font>
      <sz val="9"/>
      <color rgb="FFFF0000"/>
      <name val="ＭＳ Ｐゴシック"/>
      <family val="3"/>
      <charset val="128"/>
    </font>
    <font>
      <sz val="10"/>
      <color rgb="FF008000"/>
      <name val="ＭＳ Ｐゴシック"/>
      <family val="3"/>
      <charset val="128"/>
    </font>
    <font>
      <b/>
      <sz val="10"/>
      <color rgb="FF008000"/>
      <name val="ＭＳ Ｐゴシック"/>
      <family val="3"/>
      <charset val="128"/>
    </font>
    <font>
      <b/>
      <sz val="11"/>
      <color rgb="FF008000"/>
      <name val="ＭＳ Ｐゴシック"/>
      <family val="3"/>
      <charset val="128"/>
    </font>
    <font>
      <b/>
      <sz val="10"/>
      <color rgb="FF008000"/>
      <name val="Arial"/>
      <family val="2"/>
    </font>
    <font>
      <sz val="10"/>
      <color theme="9" tint="-0.499984740745262"/>
      <name val="ＭＳ Ｐゴシック"/>
      <family val="3"/>
      <charset val="128"/>
    </font>
    <font>
      <sz val="11"/>
      <color theme="9" tint="-0.499984740745262"/>
      <name val="ＭＳ Ｐゴシック"/>
      <family val="3"/>
      <charset val="128"/>
    </font>
    <font>
      <sz val="11"/>
      <name val="Arial Unicode MS"/>
      <family val="3"/>
      <charset val="128"/>
    </font>
    <font>
      <b/>
      <sz val="10"/>
      <color theme="2" tint="-0.499984740745262"/>
      <name val="ＭＳ Ｐゴシック"/>
      <family val="3"/>
      <charset val="128"/>
    </font>
    <font>
      <sz val="10"/>
      <color theme="2" tint="-0.499984740745262"/>
      <name val="ＭＳ Ｐゴシック"/>
      <family val="3"/>
      <charset val="128"/>
    </font>
    <font>
      <b/>
      <sz val="10"/>
      <color rgb="FFFF0000"/>
      <name val="Arial"/>
      <family val="2"/>
    </font>
    <font>
      <b/>
      <sz val="10"/>
      <color rgb="FFFF0000"/>
      <name val="ＭＳ Ｐゴシック"/>
      <family val="3"/>
      <charset val="128"/>
    </font>
    <font>
      <b/>
      <sz val="11"/>
      <color rgb="FFFF0000"/>
      <name val="ＭＳ Ｐゴシック"/>
      <family val="3"/>
      <charset val="128"/>
    </font>
    <font>
      <sz val="10"/>
      <color rgb="FFFF0000"/>
      <name val="Arial"/>
      <family val="2"/>
    </font>
    <font>
      <vertAlign val="superscript"/>
      <sz val="10"/>
      <color rgb="FFFF0000"/>
      <name val="Arial"/>
      <family val="2"/>
    </font>
    <font>
      <sz val="10"/>
      <color theme="8" tint="-0.499984740745262"/>
      <name val="ＭＳ Ｐゴシック"/>
      <family val="3"/>
      <charset val="128"/>
    </font>
    <font>
      <b/>
      <sz val="10"/>
      <color theme="5"/>
      <name val="ＭＳ Ｐゴシック"/>
      <family val="3"/>
      <charset val="128"/>
    </font>
    <font>
      <sz val="10"/>
      <color theme="5"/>
      <name val="ＭＳ Ｐゴシック"/>
      <family val="3"/>
      <charset val="128"/>
    </font>
    <font>
      <b/>
      <sz val="11"/>
      <color theme="5"/>
      <name val="ＭＳ Ｐゴシック"/>
      <family val="3"/>
      <charset val="128"/>
    </font>
    <font>
      <sz val="9"/>
      <color theme="5"/>
      <name val="Arial"/>
      <family val="2"/>
    </font>
    <font>
      <sz val="11"/>
      <color rgb="FFFF0000"/>
      <name val="ＭＳ Ｐゴシック"/>
      <family val="3"/>
      <charset val="128"/>
    </font>
    <font>
      <sz val="9"/>
      <color theme="8" tint="-0.249977111117893"/>
      <name val="ＭＳ Ｐゴシック"/>
      <family val="3"/>
      <charset val="128"/>
    </font>
    <font>
      <sz val="11"/>
      <color theme="8" tint="-0.249977111117893"/>
      <name val="ＭＳ Ｐゴシック"/>
      <family val="3"/>
      <charset val="128"/>
    </font>
    <font>
      <b/>
      <sz val="10"/>
      <color theme="8" tint="-0.249977111117893"/>
      <name val="ＭＳ Ｐゴシック"/>
      <family val="3"/>
      <charset val="128"/>
    </font>
    <font>
      <sz val="9"/>
      <color theme="0"/>
      <name val="ＭＳ Ｐゴシック"/>
      <family val="3"/>
      <charset val="128"/>
    </font>
    <font>
      <b/>
      <sz val="14"/>
      <color rgb="FF00B0F0"/>
      <name val="ＭＳ Ｐゴシック"/>
      <family val="3"/>
      <charset val="128"/>
    </font>
    <font>
      <sz val="9"/>
      <color rgb="FFFF0000"/>
      <name val="Arial"/>
      <family val="2"/>
    </font>
    <font>
      <sz val="10"/>
      <color indexed="53"/>
      <name val="Arial"/>
      <family val="2"/>
    </font>
    <font>
      <b/>
      <sz val="8"/>
      <color indexed="10"/>
      <name val="Arial"/>
      <family val="2"/>
    </font>
    <font>
      <b/>
      <sz val="11"/>
      <color indexed="17"/>
      <name val="Arial"/>
      <family val="2"/>
    </font>
    <font>
      <b/>
      <sz val="20"/>
      <color indexed="9"/>
      <name val="Arial"/>
      <family val="2"/>
    </font>
    <font>
      <sz val="10"/>
      <color theme="8" tint="-0.499984740745262"/>
      <name val="Arial"/>
      <family val="2"/>
    </font>
    <font>
      <b/>
      <i/>
      <sz val="20"/>
      <color indexed="9"/>
      <name val="Arial"/>
      <family val="2"/>
    </font>
    <font>
      <sz val="9"/>
      <color indexed="20"/>
      <name val="Arial"/>
      <family val="2"/>
    </font>
    <font>
      <sz val="10"/>
      <name val="游ゴシック"/>
      <family val="3"/>
      <charset val="128"/>
    </font>
    <font>
      <sz val="9"/>
      <name val="游ゴシック"/>
      <family val="3"/>
      <charset val="128"/>
    </font>
    <font>
      <b/>
      <sz val="22"/>
      <name val="游ゴシック"/>
      <family val="3"/>
      <charset val="128"/>
    </font>
    <font>
      <b/>
      <sz val="9"/>
      <color theme="0"/>
      <name val="游ゴシック"/>
      <family val="3"/>
      <charset val="128"/>
    </font>
    <font>
      <b/>
      <sz val="9"/>
      <color theme="1"/>
      <name val="游ゴシック"/>
      <family val="3"/>
      <charset val="128"/>
    </font>
    <font>
      <b/>
      <sz val="10"/>
      <color theme="1"/>
      <name val="游ゴシック"/>
      <family val="3"/>
      <charset val="128"/>
    </font>
    <font>
      <b/>
      <sz val="7"/>
      <color theme="1"/>
      <name val="游ゴシック"/>
      <family val="3"/>
      <charset val="128"/>
    </font>
    <font>
      <sz val="6"/>
      <name val="ＭＳ Ｐゴシック"/>
      <family val="2"/>
      <charset val="128"/>
      <scheme val="minor"/>
    </font>
    <font>
      <sz val="9"/>
      <color theme="1"/>
      <name val="游ゴシック"/>
      <family val="3"/>
      <charset val="128"/>
    </font>
    <font>
      <sz val="8"/>
      <name val="游ゴシック"/>
      <family val="3"/>
      <charset val="128"/>
    </font>
    <font>
      <sz val="6"/>
      <name val="游ゴシック"/>
      <family val="3"/>
      <charset val="128"/>
    </font>
    <font>
      <sz val="9"/>
      <color theme="1" tint="0.34998626667073579"/>
      <name val="游ゴシック"/>
      <family val="3"/>
      <charset val="128"/>
    </font>
    <font>
      <b/>
      <sz val="10.5"/>
      <name val="游ゴシック"/>
      <family val="3"/>
      <charset val="128"/>
    </font>
    <font>
      <b/>
      <sz val="8"/>
      <color theme="1"/>
      <name val="游ゴシック"/>
      <family val="3"/>
      <charset val="128"/>
    </font>
    <font>
      <sz val="8.5"/>
      <name val="游ゴシック"/>
      <family val="3"/>
      <charset val="128"/>
    </font>
    <font>
      <sz val="10.5"/>
      <name val="游ゴシック"/>
      <family val="3"/>
      <charset val="128"/>
    </font>
    <font>
      <sz val="9"/>
      <color rgb="FFFF0000"/>
      <name val="游ゴシック"/>
      <family val="3"/>
      <charset val="128"/>
    </font>
    <font>
      <b/>
      <sz val="10"/>
      <color theme="0"/>
      <name val="游ゴシック"/>
      <family val="3"/>
      <charset val="128"/>
    </font>
    <font>
      <b/>
      <sz val="6"/>
      <color theme="0"/>
      <name val="游ゴシック"/>
      <family val="3"/>
      <charset val="128"/>
    </font>
    <font>
      <b/>
      <sz val="8"/>
      <color theme="0"/>
      <name val="游ゴシック"/>
      <family val="3"/>
      <charset val="128"/>
    </font>
    <font>
      <sz val="10"/>
      <name val="Yu Gothic Medium"/>
      <family val="3"/>
      <charset val="128"/>
    </font>
    <font>
      <sz val="11"/>
      <name val="ＭＳ Ｐゴシック"/>
      <family val="2"/>
      <charset val="128"/>
    </font>
    <font>
      <sz val="5.5"/>
      <name val="游ゴシック"/>
      <family val="3"/>
      <charset val="128"/>
    </font>
    <font>
      <sz val="11"/>
      <color rgb="FF000000"/>
      <name val="ＭＳ Ｐゴシック"/>
      <family val="3"/>
      <charset val="128"/>
    </font>
    <font>
      <b/>
      <sz val="9"/>
      <color rgb="FFFF0000"/>
      <name val="ＭＳ Ｐゴシック"/>
      <family val="3"/>
      <charset val="128"/>
    </font>
    <font>
      <b/>
      <sz val="9"/>
      <color indexed="81"/>
      <name val="MS P ゴシック"/>
      <family val="3"/>
      <charset val="128"/>
    </font>
    <font>
      <sz val="7"/>
      <name val="Arial"/>
      <family val="2"/>
    </font>
    <font>
      <sz val="10"/>
      <color theme="4"/>
      <name val="ＭＳ Ｐゴシック"/>
      <family val="3"/>
      <charset val="128"/>
    </font>
    <font>
      <sz val="10"/>
      <color theme="8"/>
      <name val="ＭＳ Ｐゴシック"/>
      <family val="3"/>
      <charset val="128"/>
    </font>
    <font>
      <sz val="9"/>
      <color theme="8"/>
      <name val="ＭＳ Ｐゴシック"/>
      <family val="3"/>
      <charset val="128"/>
    </font>
    <font>
      <sz val="11"/>
      <color theme="1"/>
      <name val="ＭＳ Ｐゴシック"/>
      <family val="3"/>
      <charset val="128"/>
      <scheme val="minor"/>
    </font>
    <font>
      <sz val="9"/>
      <color theme="1"/>
      <name val="ＭＳ Ｐゴシック"/>
      <family val="2"/>
      <charset val="128"/>
      <scheme val="minor"/>
    </font>
    <font>
      <sz val="11"/>
      <color theme="1"/>
      <name val="ＭＳ Ｐゴシック"/>
      <family val="2"/>
      <scheme val="minor"/>
    </font>
    <font>
      <sz val="10"/>
      <color theme="1"/>
      <name val="ＭＳ Ｐゴシック"/>
      <family val="2"/>
      <charset val="128"/>
    </font>
    <font>
      <u/>
      <sz val="11"/>
      <color theme="10"/>
      <name val="ＭＳ Ｐゴシック"/>
      <family val="3"/>
      <charset val="128"/>
    </font>
    <font>
      <sz val="11"/>
      <color theme="4" tint="-0.249977111117893"/>
      <name val="ＭＳ Ｐゴシック"/>
      <family val="3"/>
      <charset val="128"/>
    </font>
    <font>
      <sz val="11"/>
      <color theme="4" tint="-0.249977111117893"/>
      <name val="Arial"/>
      <family val="2"/>
    </font>
    <font>
      <sz val="11"/>
      <color theme="4" tint="-0.249977111117893"/>
      <name val="ＭＳ Ｐゴシック"/>
      <family val="2"/>
      <charset val="128"/>
    </font>
    <font>
      <sz val="10"/>
      <color indexed="18"/>
      <name val="Segoe UI Symbol"/>
      <family val="3"/>
    </font>
    <font>
      <sz val="10"/>
      <name val="Arial"/>
      <family val="3"/>
    </font>
    <font>
      <sz val="10"/>
      <name val="Wingdings"/>
      <charset val="2"/>
    </font>
    <font>
      <sz val="10"/>
      <name val="Arial"/>
      <family val="2"/>
      <charset val="2"/>
    </font>
    <font>
      <sz val="9"/>
      <name val="Wingdings"/>
      <charset val="2"/>
    </font>
    <font>
      <sz val="10"/>
      <color theme="9" tint="-0.499984740745262"/>
      <name val="Arial"/>
      <family val="2"/>
    </font>
    <font>
      <b/>
      <sz val="12"/>
      <name val="Wingdings"/>
      <charset val="2"/>
    </font>
    <font>
      <sz val="8"/>
      <name val="Wingdings"/>
      <charset val="2"/>
    </font>
    <font>
      <b/>
      <sz val="10"/>
      <color rgb="FFFFFFFF"/>
      <name val="Arial"/>
      <family val="3"/>
    </font>
    <font>
      <sz val="14"/>
      <name val="Arial"/>
      <family val="2"/>
    </font>
    <font>
      <b/>
      <sz val="10"/>
      <color theme="2" tint="-0.499984740745262"/>
      <name val="Arial"/>
      <family val="2"/>
    </font>
    <font>
      <b/>
      <sz val="10"/>
      <color theme="5"/>
      <name val="Arial"/>
      <family val="2"/>
    </font>
    <font>
      <sz val="10"/>
      <color theme="2" tint="-0.499984740745262"/>
      <name val="Arial"/>
      <family val="2"/>
    </font>
    <font>
      <sz val="10"/>
      <color theme="5"/>
      <name val="Arial"/>
      <family val="2"/>
    </font>
    <font>
      <sz val="10"/>
      <color indexed="8"/>
      <name val="Arial"/>
      <family val="2"/>
    </font>
    <font>
      <b/>
      <sz val="10"/>
      <color indexed="8"/>
      <name val="Arial"/>
      <family val="2"/>
    </font>
    <font>
      <sz val="10"/>
      <color theme="4" tint="-0.249977111117893"/>
      <name val="Arial"/>
      <family val="2"/>
    </font>
    <font>
      <sz val="11"/>
      <color indexed="8"/>
      <name val="Arial"/>
      <family val="2"/>
    </font>
    <font>
      <sz val="11"/>
      <name val="Arial"/>
      <family val="3"/>
      <charset val="128"/>
    </font>
    <font>
      <b/>
      <sz val="12"/>
      <name val="Arial"/>
      <family val="2"/>
      <charset val="2"/>
    </font>
    <font>
      <b/>
      <sz val="16"/>
      <color indexed="9"/>
      <name val="Arial"/>
      <family val="2"/>
    </font>
    <font>
      <b/>
      <sz val="9"/>
      <color rgb="FFFF0000"/>
      <name val="Arial"/>
      <family val="2"/>
    </font>
    <font>
      <vertAlign val="subscript"/>
      <sz val="11"/>
      <name val="Arial"/>
      <family val="2"/>
    </font>
    <font>
      <sz val="11"/>
      <name val="Arial"/>
      <family val="3"/>
    </font>
    <font>
      <sz val="10"/>
      <color theme="8" tint="-0.249977111117893"/>
      <name val="Arial"/>
      <family val="3"/>
      <charset val="128"/>
    </font>
    <font>
      <sz val="10"/>
      <color theme="8" tint="-0.249977111117893"/>
      <name val="ＭＳ Ｐゴシック"/>
      <family val="3"/>
      <charset val="128"/>
    </font>
    <font>
      <sz val="10"/>
      <color theme="8" tint="-0.249977111117893"/>
      <name val="Arial"/>
      <family val="2"/>
    </font>
    <font>
      <b/>
      <sz val="10"/>
      <color indexed="12"/>
      <name val="Arial"/>
      <family val="2"/>
    </font>
    <font>
      <sz val="11"/>
      <color rgb="FFFF0000"/>
      <name val="Arial"/>
      <family val="2"/>
    </font>
    <font>
      <sz val="10"/>
      <color theme="4"/>
      <name val="Arial"/>
      <family val="2"/>
    </font>
    <font>
      <sz val="11"/>
      <color rgb="FFC00000"/>
      <name val="Arial"/>
      <family val="2"/>
    </font>
    <font>
      <sz val="11"/>
      <name val="Wingdings"/>
      <charset val="2"/>
    </font>
    <font>
      <sz val="9"/>
      <color indexed="9"/>
      <name val="Arial"/>
      <family val="2"/>
    </font>
    <font>
      <b/>
      <i/>
      <sz val="11"/>
      <name val="Arial"/>
      <family val="2"/>
    </font>
    <font>
      <sz val="9"/>
      <color indexed="8"/>
      <name val="Arial"/>
      <family val="2"/>
    </font>
    <font>
      <i/>
      <sz val="10"/>
      <name val="Arial"/>
      <family val="2"/>
    </font>
    <font>
      <b/>
      <sz val="10"/>
      <name val="Arial"/>
      <family val="3"/>
    </font>
    <font>
      <sz val="10"/>
      <color rgb="FF000080"/>
      <name val="Arial"/>
      <family val="2"/>
    </font>
    <font>
      <vertAlign val="superscript"/>
      <sz val="9"/>
      <name val="Arial"/>
      <family val="2"/>
    </font>
    <font>
      <vertAlign val="superscript"/>
      <sz val="8"/>
      <name val="Arial"/>
      <family val="2"/>
    </font>
    <font>
      <sz val="9"/>
      <color indexed="21"/>
      <name val="Arial"/>
      <family val="2"/>
    </font>
    <font>
      <b/>
      <sz val="9"/>
      <color indexed="9"/>
      <name val="Arial"/>
      <family val="2"/>
    </font>
    <font>
      <sz val="10"/>
      <color indexed="22"/>
      <name val="Arial"/>
      <family val="2"/>
    </font>
    <font>
      <b/>
      <i/>
      <sz val="10"/>
      <color indexed="9"/>
      <name val="Arial"/>
      <family val="2"/>
    </font>
    <font>
      <b/>
      <i/>
      <sz val="9"/>
      <color indexed="9"/>
      <name val="Arial"/>
      <family val="2"/>
    </font>
    <font>
      <vertAlign val="superscript"/>
      <sz val="9"/>
      <color rgb="FFFF0000"/>
      <name val="Arial"/>
      <family val="2"/>
    </font>
    <font>
      <b/>
      <sz val="10"/>
      <color theme="4"/>
      <name val="Arial"/>
      <family val="2"/>
    </font>
    <font>
      <b/>
      <strike/>
      <sz val="9"/>
      <color rgb="FFFF0000"/>
      <name val="Arial"/>
      <family val="2"/>
    </font>
    <font>
      <b/>
      <strike/>
      <sz val="10"/>
      <color rgb="FFFF0000"/>
      <name val="Arial"/>
      <family val="2"/>
    </font>
    <font>
      <strike/>
      <sz val="10"/>
      <color rgb="FFFF0000"/>
      <name val="Arial"/>
      <family val="2"/>
    </font>
    <font>
      <sz val="10"/>
      <color theme="8"/>
      <name val="Arial"/>
      <family val="2"/>
    </font>
    <font>
      <sz val="9"/>
      <color theme="8"/>
      <name val="Arial"/>
      <family val="2"/>
    </font>
    <font>
      <sz val="10"/>
      <color indexed="12"/>
      <name val="Arial"/>
      <family val="2"/>
    </font>
    <font>
      <b/>
      <sz val="10"/>
      <name val="Yu Gothic"/>
      <family val="2"/>
      <charset val="128"/>
    </font>
    <font>
      <sz val="9"/>
      <name val="Yu Gothic"/>
      <family val="2"/>
      <charset val="128"/>
    </font>
    <font>
      <sz val="8"/>
      <name val="Yu Gothic"/>
      <family val="2"/>
      <charset val="128"/>
    </font>
    <font>
      <b/>
      <sz val="7"/>
      <name val="Arial"/>
      <family val="2"/>
    </font>
    <font>
      <sz val="10"/>
      <name val="Arial"/>
      <family val="3"/>
      <charset val="128"/>
    </font>
    <font>
      <sz val="8"/>
      <color rgb="FFFF0000"/>
      <name val="Arial"/>
      <family val="2"/>
    </font>
    <font>
      <b/>
      <i/>
      <sz val="12"/>
      <name val="Arial"/>
      <family val="2"/>
    </font>
    <font>
      <sz val="7.5"/>
      <name val="Arial"/>
      <family val="2"/>
    </font>
    <font>
      <b/>
      <sz val="6"/>
      <name val="Arial"/>
      <family val="2"/>
    </font>
    <font>
      <b/>
      <sz val="10"/>
      <color rgb="FFFFFFFF"/>
      <name val="Arial"/>
      <family val="2"/>
    </font>
    <font>
      <b/>
      <sz val="9"/>
      <color rgb="FFFFFFFF"/>
      <name val="Arial"/>
      <family val="2"/>
    </font>
    <font>
      <b/>
      <sz val="8"/>
      <color rgb="FFFFFFFF"/>
      <name val="Arial"/>
      <family val="2"/>
    </font>
    <font>
      <sz val="8"/>
      <name val="Arial"/>
      <family val="3"/>
      <charset val="128"/>
    </font>
    <font>
      <sz val="8"/>
      <name val="Arial"/>
      <family val="3"/>
    </font>
    <font>
      <b/>
      <sz val="11"/>
      <color indexed="8"/>
      <name val="Arial"/>
      <family val="2"/>
    </font>
    <font>
      <b/>
      <sz val="9"/>
      <color indexed="8"/>
      <name val="Arial"/>
      <family val="2"/>
    </font>
    <font>
      <b/>
      <sz val="10"/>
      <color indexed="17"/>
      <name val="Arial"/>
      <family val="2"/>
    </font>
    <font>
      <strike/>
      <sz val="10"/>
      <name val="Arial"/>
      <family val="2"/>
    </font>
    <font>
      <b/>
      <sz val="11"/>
      <color rgb="FF008000"/>
      <name val="Arial"/>
      <family val="2"/>
    </font>
    <font>
      <sz val="10"/>
      <color rgb="FF008000"/>
      <name val="Arial"/>
      <family val="2"/>
    </font>
    <font>
      <b/>
      <sz val="9"/>
      <color indexed="10"/>
      <name val="Arial"/>
      <family val="2"/>
    </font>
    <font>
      <b/>
      <sz val="11"/>
      <color theme="5"/>
      <name val="Arial"/>
      <family val="2"/>
    </font>
    <font>
      <b/>
      <strike/>
      <sz val="10"/>
      <name val="Arial"/>
      <family val="2"/>
    </font>
    <font>
      <b/>
      <strike/>
      <sz val="9"/>
      <color indexed="8"/>
      <name val="Arial"/>
      <family val="2"/>
    </font>
    <font>
      <strike/>
      <sz val="9"/>
      <name val="Arial"/>
      <family val="2"/>
    </font>
    <font>
      <strike/>
      <sz val="11"/>
      <name val="Arial"/>
      <family val="2"/>
    </font>
    <font>
      <b/>
      <strike/>
      <sz val="8"/>
      <color indexed="17"/>
      <name val="Arial"/>
      <family val="2"/>
    </font>
    <font>
      <b/>
      <strike/>
      <sz val="11"/>
      <name val="Arial"/>
      <family val="2"/>
    </font>
    <font>
      <b/>
      <sz val="11"/>
      <color rgb="FFFF0000"/>
      <name val="Arial"/>
      <family val="2"/>
    </font>
    <font>
      <b/>
      <sz val="11"/>
      <color theme="8" tint="-0.249977111117893"/>
      <name val="Arial"/>
      <family val="2"/>
    </font>
    <font>
      <b/>
      <sz val="7"/>
      <color indexed="17"/>
      <name val="Arial"/>
      <family val="2"/>
    </font>
    <font>
      <b/>
      <sz val="11"/>
      <name val="ＭＳ Ｐゴシック"/>
      <family val="3"/>
      <charset val="128"/>
      <scheme val="minor"/>
    </font>
    <font>
      <sz val="10"/>
      <name val="ＭＳ Ｐゴシック"/>
      <family val="3"/>
      <charset val="128"/>
      <scheme val="minor"/>
    </font>
    <font>
      <b/>
      <sz val="14"/>
      <name val="Wingdings"/>
      <charset val="2"/>
    </font>
    <font>
      <b/>
      <sz val="10"/>
      <name val="ＭＳ Ｐゴシック"/>
      <family val="3"/>
      <charset val="128"/>
      <scheme val="minor"/>
    </font>
    <font>
      <sz val="7"/>
      <name val="ＭＳ ゴシック"/>
      <family val="3"/>
      <charset val="128"/>
    </font>
    <font>
      <sz val="9"/>
      <name val="Arial"/>
      <family val="3"/>
    </font>
    <font>
      <sz val="9"/>
      <name val="Arial"/>
      <family val="3"/>
      <charset val="128"/>
    </font>
    <font>
      <vertAlign val="subscript"/>
      <sz val="9"/>
      <name val="Arial"/>
      <family val="2"/>
    </font>
    <font>
      <sz val="9"/>
      <color theme="8" tint="-0.249977111117893"/>
      <name val="Arial"/>
      <family val="2"/>
    </font>
    <font>
      <sz val="8"/>
      <color theme="8" tint="-0.249977111117893"/>
      <name val="Arial"/>
      <family val="2"/>
    </font>
    <font>
      <sz val="11"/>
      <color theme="8" tint="-0.249977111117893"/>
      <name val="Arial"/>
      <family val="2"/>
    </font>
    <font>
      <sz val="11"/>
      <color rgb="FF002060"/>
      <name val="Arial"/>
      <family val="2"/>
    </font>
    <font>
      <b/>
      <sz val="9"/>
      <color theme="8" tint="-0.249977111117893"/>
      <name val="Arial"/>
      <family val="2"/>
    </font>
    <font>
      <b/>
      <sz val="12"/>
      <color theme="8" tint="-0.249977111117893"/>
      <name val="Arial"/>
      <family val="2"/>
    </font>
    <font>
      <sz val="10"/>
      <name val="Segoe UI Symbol"/>
      <family val="3"/>
    </font>
    <font>
      <sz val="7"/>
      <name val="游ゴシック"/>
      <family val="3"/>
      <charset val="128"/>
    </font>
    <font>
      <b/>
      <sz val="7"/>
      <color theme="0"/>
      <name val="游ゴシック"/>
      <family val="3"/>
      <charset val="128"/>
    </font>
    <font>
      <b/>
      <sz val="9"/>
      <name val="Arial"/>
      <family val="3"/>
    </font>
    <font>
      <sz val="10"/>
      <color indexed="18"/>
      <name val="ＭＳ Ｐゴシック"/>
      <family val="3"/>
      <charset val="128"/>
    </font>
    <font>
      <sz val="10"/>
      <color indexed="18"/>
      <name val="ＭＳ Ｐゴシック"/>
      <family val="3"/>
      <charset val="128"/>
      <scheme val="minor"/>
    </font>
  </fonts>
  <fills count="97">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42"/>
        <bgColor indexed="64"/>
      </patternFill>
    </fill>
    <fill>
      <patternFill patternType="solid">
        <fgColor indexed="46"/>
        <bgColor indexed="64"/>
      </patternFill>
    </fill>
    <fill>
      <patternFill patternType="solid">
        <fgColor indexed="13"/>
        <bgColor indexed="64"/>
      </patternFill>
    </fill>
    <fill>
      <patternFill patternType="solid">
        <fgColor indexed="26"/>
        <bgColor indexed="64"/>
      </patternFill>
    </fill>
    <fill>
      <patternFill patternType="solid">
        <fgColor indexed="17"/>
        <bgColor indexed="64"/>
      </patternFill>
    </fill>
    <fill>
      <patternFill patternType="solid">
        <fgColor indexed="9"/>
        <bgColor indexed="64"/>
      </patternFill>
    </fill>
    <fill>
      <patternFill patternType="solid">
        <fgColor indexed="8"/>
        <bgColor indexed="64"/>
      </patternFill>
    </fill>
    <fill>
      <patternFill patternType="solid">
        <fgColor indexed="22"/>
        <bgColor indexed="64"/>
      </patternFill>
    </fill>
    <fill>
      <patternFill patternType="solid">
        <fgColor indexed="23"/>
        <bgColor indexed="64"/>
      </patternFill>
    </fill>
    <fill>
      <patternFill patternType="solid">
        <fgColor indexed="15"/>
        <bgColor indexed="64"/>
      </patternFill>
    </fill>
    <fill>
      <patternFill patternType="solid">
        <fgColor indexed="55"/>
        <bgColor indexed="64"/>
      </patternFill>
    </fill>
    <fill>
      <patternFill patternType="solid">
        <fgColor indexed="63"/>
        <bgColor indexed="9"/>
      </patternFill>
    </fill>
    <fill>
      <patternFill patternType="solid">
        <fgColor indexed="63"/>
        <bgColor indexed="64"/>
      </patternFill>
    </fill>
    <fill>
      <patternFill patternType="solid">
        <fgColor indexed="65"/>
        <bgColor indexed="64"/>
      </patternFill>
    </fill>
    <fill>
      <patternFill patternType="solid">
        <fgColor indexed="27"/>
        <bgColor indexed="64"/>
      </patternFill>
    </fill>
    <fill>
      <patternFill patternType="solid">
        <fgColor indexed="47"/>
        <bgColor indexed="64"/>
      </patternFill>
    </fill>
    <fill>
      <patternFill patternType="solid">
        <fgColor indexed="41"/>
        <bgColor indexed="64"/>
      </patternFill>
    </fill>
    <fill>
      <patternFill patternType="lightTrellis">
        <bgColor indexed="26"/>
      </patternFill>
    </fill>
    <fill>
      <patternFill patternType="solid">
        <fgColor indexed="50"/>
        <bgColor indexed="64"/>
      </patternFill>
    </fill>
    <fill>
      <patternFill patternType="lightTrellis">
        <bgColor indexed="22"/>
      </patternFill>
    </fill>
    <fill>
      <patternFill patternType="solid">
        <fgColor indexed="14"/>
        <bgColor indexed="64"/>
      </patternFill>
    </fill>
    <fill>
      <patternFill patternType="solid">
        <fgColor indexed="10"/>
        <bgColor indexed="64"/>
      </patternFill>
    </fill>
    <fill>
      <patternFill patternType="solid">
        <fgColor indexed="45"/>
        <bgColor indexed="64"/>
      </patternFill>
    </fill>
    <fill>
      <patternFill patternType="lightTrellis"/>
    </fill>
    <fill>
      <patternFill patternType="solid">
        <fgColor theme="1" tint="0.499984740745262"/>
        <bgColor indexed="64"/>
      </patternFill>
    </fill>
    <fill>
      <patternFill patternType="solid">
        <fgColor rgb="FFFFFF00"/>
        <bgColor indexed="64"/>
      </patternFill>
    </fill>
    <fill>
      <patternFill patternType="solid">
        <fgColor rgb="FFFFFFCC"/>
        <bgColor indexed="64"/>
      </patternFill>
    </fill>
    <fill>
      <patternFill patternType="solid">
        <fgColor theme="9"/>
        <bgColor indexed="64"/>
      </patternFill>
    </fill>
    <fill>
      <patternFill patternType="solid">
        <fgColor theme="0" tint="-0.249977111117893"/>
        <bgColor indexed="64"/>
      </patternFill>
    </fill>
    <fill>
      <patternFill patternType="solid">
        <fgColor rgb="FFFFFFCC"/>
        <bgColor rgb="FF000000"/>
      </patternFill>
    </fill>
    <fill>
      <patternFill patternType="solid">
        <fgColor rgb="FFFFFF00"/>
        <bgColor rgb="FF000000"/>
      </patternFill>
    </fill>
    <fill>
      <patternFill patternType="lightTrellis">
        <fgColor rgb="FF000000"/>
        <bgColor rgb="FFFFFFCC"/>
      </patternFill>
    </fill>
    <fill>
      <patternFill patternType="lightTrellis">
        <fgColor rgb="FF000000"/>
        <bgColor rgb="FFFFFF00"/>
      </patternFill>
    </fill>
    <fill>
      <patternFill patternType="solid">
        <fgColor rgb="FFCCFFFF"/>
        <bgColor indexed="64"/>
      </patternFill>
    </fill>
    <fill>
      <patternFill patternType="solid">
        <fgColor theme="0"/>
        <bgColor indexed="64"/>
      </patternFill>
    </fill>
    <fill>
      <patternFill patternType="solid">
        <fgColor rgb="FF00B0F0"/>
        <bgColor indexed="64"/>
      </patternFill>
    </fill>
    <fill>
      <patternFill patternType="lightGray">
        <bgColor indexed="26"/>
      </patternFill>
    </fill>
    <fill>
      <patternFill patternType="lightGray"/>
    </fill>
    <fill>
      <patternFill patternType="solid">
        <fgColor theme="9" tint="0.39997558519241921"/>
        <bgColor indexed="64"/>
      </patternFill>
    </fill>
    <fill>
      <patternFill patternType="solid">
        <fgColor theme="9" tint="0.39997558519241921"/>
        <bgColor rgb="FF000000"/>
      </patternFill>
    </fill>
    <fill>
      <patternFill patternType="lightDown">
        <bgColor indexed="22"/>
      </patternFill>
    </fill>
    <fill>
      <patternFill patternType="lightDown">
        <bgColor indexed="26"/>
      </patternFill>
    </fill>
    <fill>
      <patternFill patternType="lightDown"/>
    </fill>
    <fill>
      <patternFill patternType="lightTrellis">
        <fgColor theme="1"/>
      </patternFill>
    </fill>
    <fill>
      <patternFill patternType="solid">
        <fgColor rgb="FFC0C0C0"/>
        <bgColor indexed="64"/>
      </patternFill>
    </fill>
    <fill>
      <patternFill patternType="solid">
        <fgColor rgb="FF92D050"/>
        <bgColor indexed="64"/>
      </patternFill>
    </fill>
    <fill>
      <patternFill patternType="lightTrellis">
        <bgColor rgb="FFFFFFCC"/>
      </patternFill>
    </fill>
    <fill>
      <patternFill patternType="solid">
        <fgColor theme="1" tint="0.34998626667073579"/>
        <bgColor indexed="64"/>
      </patternFill>
    </fill>
    <fill>
      <patternFill patternType="solid">
        <fgColor rgb="FFFF6C6F"/>
        <bgColor theme="0"/>
      </patternFill>
    </fill>
    <fill>
      <patternFill patternType="solid">
        <fgColor theme="7" tint="0.59996337778862885"/>
        <bgColor indexed="64"/>
      </patternFill>
    </fill>
    <fill>
      <patternFill patternType="solid">
        <fgColor rgb="FF78C965"/>
        <bgColor indexed="64"/>
      </patternFill>
    </fill>
    <fill>
      <patternFill patternType="solid">
        <fgColor theme="5"/>
        <bgColor indexed="64"/>
      </patternFill>
    </fill>
    <fill>
      <patternFill patternType="solid">
        <fgColor theme="5" tint="0.39997558519241921"/>
        <bgColor indexed="64"/>
      </patternFill>
    </fill>
    <fill>
      <patternFill patternType="solid">
        <fgColor indexed="65"/>
        <bgColor auto="1"/>
      </patternFill>
    </fill>
    <fill>
      <patternFill patternType="solid">
        <fgColor rgb="FFEE7281"/>
        <bgColor indexed="64"/>
      </patternFill>
    </fill>
    <fill>
      <patternFill patternType="solid">
        <fgColor rgb="FFFE8676"/>
        <bgColor indexed="64"/>
      </patternFill>
    </fill>
    <fill>
      <patternFill patternType="solid">
        <fgColor rgb="FF86DAEE"/>
        <bgColor indexed="64"/>
      </patternFill>
    </fill>
    <fill>
      <patternFill patternType="solid">
        <fgColor rgb="FFFDDD77"/>
        <bgColor indexed="64"/>
      </patternFill>
    </fill>
    <fill>
      <patternFill patternType="solid">
        <fgColor rgb="FFE44A7A"/>
        <bgColor indexed="64"/>
      </patternFill>
    </fill>
    <fill>
      <patternFill patternType="solid">
        <fgColor rgb="FFFD8C59"/>
        <bgColor indexed="64"/>
      </patternFill>
    </fill>
    <fill>
      <patternFill patternType="solid">
        <fgColor rgb="FFFF75AE"/>
        <bgColor indexed="64"/>
      </patternFill>
    </fill>
    <fill>
      <patternFill patternType="solid">
        <fgColor rgb="FFFDBB6B"/>
        <bgColor indexed="64"/>
      </patternFill>
    </fill>
    <fill>
      <patternFill patternType="solid">
        <fgColor rgb="FFDBB36B"/>
        <bgColor indexed="64"/>
      </patternFill>
    </fill>
    <fill>
      <patternFill patternType="solid">
        <fgColor rgb="FF77BB7C"/>
        <bgColor indexed="64"/>
      </patternFill>
    </fill>
    <fill>
      <patternFill patternType="solid">
        <fgColor theme="4" tint="0.59996337778862885"/>
        <bgColor indexed="64"/>
      </patternFill>
    </fill>
    <fill>
      <patternFill patternType="solid">
        <fgColor rgb="FF9BE27E"/>
        <bgColor indexed="64"/>
      </patternFill>
    </fill>
    <fill>
      <patternFill patternType="solid">
        <fgColor theme="8" tint="0.39994506668294322"/>
        <bgColor indexed="64"/>
      </patternFill>
    </fill>
    <fill>
      <patternFill patternType="solid">
        <fgColor rgb="FF6DADDD"/>
        <bgColor indexed="64"/>
      </patternFill>
    </fill>
    <fill>
      <patternFill patternType="solid">
        <fgColor theme="0" tint="-0.14999847407452621"/>
        <bgColor indexed="64"/>
      </patternFill>
    </fill>
    <fill>
      <patternFill patternType="solid">
        <fgColor theme="2" tint="-0.749992370372631"/>
        <bgColor indexed="64"/>
      </patternFill>
    </fill>
    <fill>
      <patternFill patternType="solid">
        <fgColor theme="5" tint="0.59999389629810485"/>
        <bgColor indexed="64"/>
      </patternFill>
    </fill>
    <fill>
      <patternFill patternType="solid">
        <fgColor rgb="FFCCECFF"/>
        <bgColor indexed="64"/>
      </patternFill>
    </fill>
    <fill>
      <patternFill patternType="solid">
        <fgColor rgb="FF00B050"/>
        <bgColor indexed="64"/>
      </patternFill>
    </fill>
  </fills>
  <borders count="245">
    <border>
      <left/>
      <right/>
      <top/>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thin">
        <color indexed="64"/>
      </right>
      <top/>
      <bottom/>
      <diagonal/>
    </border>
    <border>
      <left style="thin">
        <color indexed="64"/>
      </left>
      <right style="thin">
        <color indexed="64"/>
      </right>
      <top style="thin">
        <color indexed="64"/>
      </top>
      <bottom style="hair">
        <color indexed="64"/>
      </bottom>
      <diagonal/>
    </border>
    <border>
      <left/>
      <right style="thin">
        <color indexed="64"/>
      </right>
      <top/>
      <bottom/>
      <diagonal/>
    </border>
    <border>
      <left style="medium">
        <color indexed="17"/>
      </left>
      <right/>
      <top style="medium">
        <color indexed="17"/>
      </top>
      <bottom/>
      <diagonal/>
    </border>
    <border>
      <left/>
      <right/>
      <top style="medium">
        <color indexed="17"/>
      </top>
      <bottom/>
      <diagonal/>
    </border>
    <border>
      <left/>
      <right style="medium">
        <color indexed="17"/>
      </right>
      <top style="medium">
        <color indexed="17"/>
      </top>
      <bottom/>
      <diagonal/>
    </border>
    <border>
      <left style="medium">
        <color indexed="17"/>
      </left>
      <right/>
      <top style="thin">
        <color indexed="57"/>
      </top>
      <bottom style="thin">
        <color indexed="57"/>
      </bottom>
      <diagonal/>
    </border>
    <border>
      <left/>
      <right/>
      <top style="thin">
        <color indexed="57"/>
      </top>
      <bottom/>
      <diagonal/>
    </border>
    <border>
      <left/>
      <right style="medium">
        <color indexed="17"/>
      </right>
      <top style="thin">
        <color indexed="57"/>
      </top>
      <bottom/>
      <diagonal/>
    </border>
    <border>
      <left style="medium">
        <color indexed="17"/>
      </left>
      <right/>
      <top/>
      <bottom/>
      <diagonal/>
    </border>
    <border>
      <left/>
      <right style="medium">
        <color indexed="17"/>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17"/>
      </right>
      <top style="thin">
        <color indexed="64"/>
      </top>
      <bottom style="thin">
        <color indexed="64"/>
      </bottom>
      <diagonal/>
    </border>
    <border>
      <left style="medium">
        <color indexed="17"/>
      </left>
      <right/>
      <top style="medium">
        <color indexed="17"/>
      </top>
      <bottom style="medium">
        <color indexed="17"/>
      </bottom>
      <diagonal/>
    </border>
    <border>
      <left style="medium">
        <color indexed="17"/>
      </left>
      <right/>
      <top/>
      <bottom style="medium">
        <color indexed="17"/>
      </bottom>
      <diagonal/>
    </border>
    <border>
      <left style="thin">
        <color indexed="64"/>
      </left>
      <right style="thin">
        <color indexed="64"/>
      </right>
      <top style="thin">
        <color indexed="64"/>
      </top>
      <bottom style="medium">
        <color indexed="17"/>
      </bottom>
      <diagonal/>
    </border>
    <border>
      <left/>
      <right/>
      <top/>
      <bottom style="medium">
        <color indexed="17"/>
      </bottom>
      <diagonal/>
    </border>
    <border>
      <left/>
      <right style="medium">
        <color indexed="17"/>
      </right>
      <top/>
      <bottom style="medium">
        <color indexed="17"/>
      </bottom>
      <diagonal/>
    </border>
    <border>
      <left style="medium">
        <color indexed="17"/>
      </left>
      <right/>
      <top style="medium">
        <color indexed="17"/>
      </top>
      <bottom style="thin">
        <color indexed="17"/>
      </bottom>
      <diagonal/>
    </border>
    <border>
      <left/>
      <right/>
      <top style="medium">
        <color indexed="17"/>
      </top>
      <bottom style="thin">
        <color indexed="17"/>
      </bottom>
      <diagonal/>
    </border>
    <border>
      <left/>
      <right style="medium">
        <color indexed="17"/>
      </right>
      <top style="medium">
        <color indexed="17"/>
      </top>
      <bottom style="thin">
        <color indexed="17"/>
      </bottom>
      <diagonal/>
    </border>
    <border>
      <left/>
      <right/>
      <top style="thin">
        <color indexed="17"/>
      </top>
      <bottom/>
      <diagonal/>
    </border>
    <border>
      <left/>
      <right/>
      <top style="medium">
        <color indexed="17"/>
      </top>
      <bottom style="medium">
        <color indexed="17"/>
      </bottom>
      <diagonal/>
    </border>
    <border>
      <left/>
      <right style="medium">
        <color indexed="17"/>
      </right>
      <top style="medium">
        <color indexed="17"/>
      </top>
      <bottom style="medium">
        <color indexed="17"/>
      </bottom>
      <diagonal/>
    </border>
    <border>
      <left style="medium">
        <color indexed="17"/>
      </left>
      <right style="medium">
        <color indexed="17"/>
      </right>
      <top/>
      <bottom style="medium">
        <color indexed="17"/>
      </bottom>
      <diagonal/>
    </border>
    <border>
      <left style="medium">
        <color indexed="17"/>
      </left>
      <right/>
      <top style="medium">
        <color indexed="17"/>
      </top>
      <bottom style="hair">
        <color indexed="64"/>
      </bottom>
      <diagonal/>
    </border>
    <border>
      <left/>
      <right/>
      <top style="medium">
        <color indexed="17"/>
      </top>
      <bottom style="hair">
        <color indexed="64"/>
      </bottom>
      <diagonal/>
    </border>
    <border>
      <left/>
      <right style="medium">
        <color indexed="17"/>
      </right>
      <top style="medium">
        <color indexed="17"/>
      </top>
      <bottom style="hair">
        <color indexed="64"/>
      </bottom>
      <diagonal/>
    </border>
    <border>
      <left style="medium">
        <color indexed="17"/>
      </left>
      <right style="medium">
        <color indexed="17"/>
      </right>
      <top style="medium">
        <color indexed="17"/>
      </top>
      <bottom/>
      <diagonal/>
    </border>
    <border>
      <left style="medium">
        <color indexed="17"/>
      </left>
      <right/>
      <top style="hair">
        <color indexed="64"/>
      </top>
      <bottom style="hair">
        <color indexed="64"/>
      </bottom>
      <diagonal/>
    </border>
    <border>
      <left/>
      <right style="medium">
        <color indexed="17"/>
      </right>
      <top style="hair">
        <color indexed="64"/>
      </top>
      <bottom style="hair">
        <color indexed="64"/>
      </bottom>
      <diagonal/>
    </border>
    <border>
      <left style="medium">
        <color indexed="17"/>
      </left>
      <right/>
      <top style="hair">
        <color indexed="64"/>
      </top>
      <bottom style="medium">
        <color indexed="17"/>
      </bottom>
      <diagonal/>
    </border>
    <border>
      <left/>
      <right/>
      <top style="hair">
        <color indexed="64"/>
      </top>
      <bottom style="medium">
        <color indexed="17"/>
      </bottom>
      <diagonal/>
    </border>
    <border>
      <left/>
      <right style="medium">
        <color indexed="17"/>
      </right>
      <top style="hair">
        <color indexed="64"/>
      </top>
      <bottom style="medium">
        <color indexed="17"/>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thin">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9"/>
      </left>
      <right/>
      <top style="medium">
        <color indexed="64"/>
      </top>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hair">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hair">
        <color indexed="64"/>
      </left>
      <right/>
      <top/>
      <bottom/>
      <diagonal/>
    </border>
    <border>
      <left style="medium">
        <color indexed="64"/>
      </left>
      <right/>
      <top/>
      <bottom style="thin">
        <color indexed="64"/>
      </bottom>
      <diagonal/>
    </border>
    <border>
      <left style="hair">
        <color indexed="64"/>
      </left>
      <right/>
      <top/>
      <bottom style="thin">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style="hair">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9"/>
      </left>
      <right/>
      <top style="medium">
        <color indexed="64"/>
      </top>
      <bottom style="medium">
        <color indexed="64"/>
      </bottom>
      <diagonal/>
    </border>
    <border>
      <left style="medium">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medium">
        <color indexed="64"/>
      </left>
      <right/>
      <top style="thin">
        <color indexed="64"/>
      </top>
      <bottom/>
      <diagonal/>
    </border>
    <border>
      <left/>
      <right style="medium">
        <color indexed="64"/>
      </right>
      <top style="thin">
        <color indexed="64"/>
      </top>
      <bottom/>
      <diagonal/>
    </border>
    <border>
      <left style="thin">
        <color indexed="64"/>
      </left>
      <right/>
      <top style="medium">
        <color indexed="64"/>
      </top>
      <bottom/>
      <diagonal/>
    </border>
    <border>
      <left style="medium">
        <color indexed="64"/>
      </left>
      <right style="medium">
        <color indexed="64"/>
      </right>
      <top style="medium">
        <color indexed="64"/>
      </top>
      <bottom/>
      <diagonal/>
    </border>
    <border>
      <left style="thin">
        <color indexed="64"/>
      </left>
      <right style="dashed">
        <color indexed="64"/>
      </right>
      <top/>
      <bottom style="thin">
        <color indexed="64"/>
      </bottom>
      <diagonal/>
    </border>
    <border>
      <left style="dashed">
        <color indexed="64"/>
      </left>
      <right style="thin">
        <color indexed="64"/>
      </right>
      <top/>
      <bottom style="thin">
        <color indexed="64"/>
      </bottom>
      <diagonal/>
    </border>
    <border>
      <left style="dashed">
        <color indexed="64"/>
      </left>
      <right/>
      <top/>
      <bottom style="thin">
        <color indexed="64"/>
      </bottom>
      <diagonal/>
    </border>
    <border>
      <left style="medium">
        <color indexed="64"/>
      </left>
      <right style="medium">
        <color indexed="64"/>
      </right>
      <top/>
      <bottom style="thin">
        <color indexed="64"/>
      </bottom>
      <diagonal/>
    </border>
    <border>
      <left style="thin">
        <color indexed="64"/>
      </left>
      <right style="dashed">
        <color indexed="64"/>
      </right>
      <top/>
      <bottom/>
      <diagonal/>
    </border>
    <border>
      <left style="dashed">
        <color indexed="64"/>
      </left>
      <right style="thin">
        <color indexed="64"/>
      </right>
      <top/>
      <bottom/>
      <diagonal/>
    </border>
    <border>
      <left style="dashed">
        <color indexed="64"/>
      </left>
      <right/>
      <top/>
      <bottom/>
      <diagonal/>
    </border>
    <border>
      <left style="medium">
        <color indexed="64"/>
      </left>
      <right style="medium">
        <color indexed="64"/>
      </right>
      <top/>
      <bottom/>
      <diagonal/>
    </border>
    <border>
      <left style="medium">
        <color indexed="64"/>
      </left>
      <right/>
      <top/>
      <bottom style="medium">
        <color indexed="23"/>
      </bottom>
      <diagonal/>
    </border>
    <border>
      <left/>
      <right/>
      <top style="medium">
        <color indexed="23"/>
      </top>
      <bottom style="medium">
        <color indexed="23"/>
      </bottom>
      <diagonal/>
    </border>
    <border>
      <left/>
      <right style="medium">
        <color indexed="64"/>
      </right>
      <top style="medium">
        <color indexed="23"/>
      </top>
      <bottom style="medium">
        <color indexed="23"/>
      </bottom>
      <diagonal/>
    </border>
    <border>
      <left style="medium">
        <color indexed="64"/>
      </left>
      <right/>
      <top style="medium">
        <color indexed="23"/>
      </top>
      <bottom style="medium">
        <color indexed="23"/>
      </bottom>
      <diagonal/>
    </border>
    <border>
      <left style="thin">
        <color indexed="64"/>
      </left>
      <right style="dashed">
        <color indexed="64"/>
      </right>
      <top style="medium">
        <color indexed="23"/>
      </top>
      <bottom style="medium">
        <color indexed="23"/>
      </bottom>
      <diagonal/>
    </border>
    <border>
      <left style="dashed">
        <color indexed="64"/>
      </left>
      <right style="thin">
        <color indexed="64"/>
      </right>
      <top style="medium">
        <color indexed="23"/>
      </top>
      <bottom style="medium">
        <color indexed="23"/>
      </bottom>
      <diagonal/>
    </border>
    <border>
      <left style="dashed">
        <color indexed="64"/>
      </left>
      <right/>
      <top style="medium">
        <color indexed="23"/>
      </top>
      <bottom style="medium">
        <color indexed="23"/>
      </bottom>
      <diagonal/>
    </border>
    <border>
      <left style="medium">
        <color indexed="64"/>
      </left>
      <right style="medium">
        <color indexed="64"/>
      </right>
      <top style="medium">
        <color indexed="23"/>
      </top>
      <bottom style="medium">
        <color indexed="23"/>
      </bottom>
      <diagonal/>
    </border>
    <border>
      <left/>
      <right/>
      <top style="medium">
        <color indexed="23"/>
      </top>
      <bottom style="thin">
        <color indexed="64"/>
      </bottom>
      <diagonal/>
    </border>
    <border>
      <left style="thin">
        <color indexed="64"/>
      </left>
      <right style="dashed">
        <color indexed="64"/>
      </right>
      <top style="medium">
        <color indexed="23"/>
      </top>
      <bottom style="thin">
        <color indexed="64"/>
      </bottom>
      <diagonal/>
    </border>
    <border>
      <left style="thin">
        <color indexed="64"/>
      </left>
      <right style="dashed">
        <color indexed="64"/>
      </right>
      <top style="thin">
        <color indexed="64"/>
      </top>
      <bottom/>
      <diagonal/>
    </border>
    <border>
      <left style="medium">
        <color indexed="64"/>
      </left>
      <right style="medium">
        <color indexed="64"/>
      </right>
      <top style="thin">
        <color indexed="64"/>
      </top>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bottom style="thin">
        <color indexed="64"/>
      </bottom>
      <diagonal/>
    </border>
    <border>
      <left style="dashed">
        <color indexed="64"/>
      </left>
      <right style="thin">
        <color indexed="64"/>
      </right>
      <top style="thin">
        <color indexed="64"/>
      </top>
      <bottom style="thin">
        <color indexed="64"/>
      </bottom>
      <diagonal/>
    </border>
    <border>
      <left style="dashed">
        <color indexed="64"/>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dashed">
        <color indexed="64"/>
      </left>
      <right style="thin">
        <color indexed="64"/>
      </right>
      <top style="thin">
        <color indexed="64"/>
      </top>
      <bottom/>
      <diagonal/>
    </border>
    <border>
      <left style="dashed">
        <color indexed="64"/>
      </left>
      <right/>
      <top style="thin">
        <color indexed="64"/>
      </top>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medium">
        <color indexed="23"/>
      </bottom>
      <diagonal/>
    </border>
    <border>
      <left/>
      <right/>
      <top style="medium">
        <color indexed="64"/>
      </top>
      <bottom style="medium">
        <color indexed="23"/>
      </bottom>
      <diagonal/>
    </border>
    <border>
      <left/>
      <right style="medium">
        <color indexed="64"/>
      </right>
      <top style="medium">
        <color indexed="64"/>
      </top>
      <bottom style="medium">
        <color indexed="23"/>
      </bottom>
      <diagonal/>
    </border>
    <border>
      <left style="thin">
        <color indexed="64"/>
      </left>
      <right style="dashed">
        <color indexed="64"/>
      </right>
      <top style="medium">
        <color indexed="64"/>
      </top>
      <bottom style="medium">
        <color indexed="23"/>
      </bottom>
      <diagonal/>
    </border>
    <border>
      <left style="dashed">
        <color indexed="64"/>
      </left>
      <right style="thin">
        <color indexed="64"/>
      </right>
      <top style="medium">
        <color indexed="64"/>
      </top>
      <bottom style="medium">
        <color indexed="23"/>
      </bottom>
      <diagonal/>
    </border>
    <border>
      <left style="dashed">
        <color indexed="64"/>
      </left>
      <right/>
      <top style="medium">
        <color indexed="64"/>
      </top>
      <bottom style="medium">
        <color indexed="23"/>
      </bottom>
      <diagonal/>
    </border>
    <border>
      <left style="medium">
        <color indexed="64"/>
      </left>
      <right style="medium">
        <color indexed="64"/>
      </right>
      <top style="medium">
        <color indexed="64"/>
      </top>
      <bottom style="medium">
        <color indexed="23"/>
      </bottom>
      <diagonal/>
    </border>
    <border>
      <left style="thin">
        <color indexed="64"/>
      </left>
      <right style="dashed">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dashed">
        <color indexed="64"/>
      </left>
      <right/>
      <top/>
      <bottom style="medium">
        <color indexed="64"/>
      </bottom>
      <diagonal/>
    </border>
    <border>
      <left style="thin">
        <color indexed="64"/>
      </left>
      <right style="dashed">
        <color indexed="64"/>
      </right>
      <top style="medium">
        <color indexed="64"/>
      </top>
      <bottom/>
      <diagonal/>
    </border>
    <border>
      <left style="medium">
        <color indexed="64"/>
      </left>
      <right style="medium">
        <color indexed="64"/>
      </right>
      <top style="thin">
        <color indexed="64"/>
      </top>
      <bottom style="medium">
        <color indexed="64"/>
      </bottom>
      <diagonal/>
    </border>
    <border>
      <left style="dashed">
        <color indexed="64"/>
      </left>
      <right style="medium">
        <color indexed="64"/>
      </right>
      <top/>
      <bottom/>
      <diagonal/>
    </border>
    <border>
      <left style="dashed">
        <color indexed="64"/>
      </left>
      <right style="thin">
        <color indexed="64"/>
      </right>
      <top style="medium">
        <color indexed="64"/>
      </top>
      <bottom/>
      <diagonal/>
    </border>
    <border>
      <left style="dashed">
        <color indexed="64"/>
      </left>
      <right/>
      <top style="medium">
        <color indexed="64"/>
      </top>
      <bottom/>
      <diagonal/>
    </border>
    <border>
      <left style="thin">
        <color indexed="64"/>
      </left>
      <right style="dashed">
        <color indexed="64"/>
      </right>
      <top style="medium">
        <color indexed="23"/>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23"/>
      </top>
      <bottom/>
      <diagonal/>
    </border>
    <border>
      <left style="thin">
        <color indexed="64"/>
      </left>
      <right style="dashed">
        <color indexed="64"/>
      </right>
      <top style="medium">
        <color indexed="64"/>
      </top>
      <bottom style="medium">
        <color indexed="64"/>
      </bottom>
      <diagonal/>
    </border>
    <border>
      <left style="thin">
        <color indexed="64"/>
      </left>
      <right style="dashed">
        <color indexed="64"/>
      </right>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thin">
        <color indexed="64"/>
      </left>
      <right style="medium">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right style="medium">
        <color indexed="64"/>
      </right>
      <top style="medium">
        <color indexed="64"/>
      </top>
      <bottom style="double">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double">
        <color indexed="64"/>
      </bottom>
      <diagonal/>
    </border>
    <border>
      <left style="thin">
        <color indexed="64"/>
      </left>
      <right style="thin">
        <color indexed="64"/>
      </right>
      <top style="medium">
        <color indexed="64"/>
      </top>
      <bottom style="hair">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top style="hair">
        <color indexed="64"/>
      </top>
      <bottom style="thin">
        <color indexed="64"/>
      </bottom>
      <diagonal/>
    </border>
    <border>
      <left/>
      <right style="thin">
        <color indexed="64"/>
      </right>
      <top style="hair">
        <color indexed="64"/>
      </top>
      <bottom style="thin">
        <color indexed="64"/>
      </bottom>
      <diagonal/>
    </border>
    <border>
      <left/>
      <right/>
      <top style="hair">
        <color indexed="64"/>
      </top>
      <bottom style="thin">
        <color indexed="64"/>
      </bottom>
      <diagonal/>
    </border>
    <border>
      <left style="medium">
        <color indexed="64"/>
      </left>
      <right style="medium">
        <color indexed="64"/>
      </right>
      <top style="medium">
        <color indexed="64"/>
      </top>
      <bottom style="hair">
        <color indexed="64"/>
      </bottom>
      <diagonal/>
    </border>
    <border>
      <left style="medium">
        <color indexed="64"/>
      </left>
      <right style="medium">
        <color indexed="64"/>
      </right>
      <top style="hair">
        <color indexed="64"/>
      </top>
      <bottom style="hair">
        <color indexed="64"/>
      </bottom>
      <diagonal/>
    </border>
    <border>
      <left style="medium">
        <color indexed="64"/>
      </left>
      <right style="medium">
        <color indexed="64"/>
      </right>
      <top style="hair">
        <color indexed="64"/>
      </top>
      <bottom style="medium">
        <color indexed="64"/>
      </bottom>
      <diagonal/>
    </border>
    <border>
      <left style="thin">
        <color indexed="64"/>
      </left>
      <right/>
      <top/>
      <bottom style="hair">
        <color indexed="64"/>
      </bottom>
      <diagonal/>
    </border>
    <border>
      <left style="thin">
        <color indexed="64"/>
      </left>
      <right/>
      <top style="hair">
        <color indexed="64"/>
      </top>
      <bottom/>
      <diagonal/>
    </border>
    <border>
      <left style="thin">
        <color indexed="64"/>
      </left>
      <right style="thin">
        <color indexed="64"/>
      </right>
      <top style="hair">
        <color indexed="64"/>
      </top>
      <bottom/>
      <diagonal/>
    </border>
    <border>
      <left style="thin">
        <color indexed="64"/>
      </left>
      <right style="thin">
        <color indexed="64"/>
      </right>
      <top style="medium">
        <color indexed="64"/>
      </top>
      <bottom style="thin">
        <color indexed="64"/>
      </bottom>
      <diagonal/>
    </border>
    <border>
      <left style="double">
        <color indexed="64"/>
      </left>
      <right/>
      <top style="thin">
        <color indexed="64"/>
      </top>
      <bottom/>
      <diagonal/>
    </border>
    <border>
      <left style="double">
        <color indexed="64"/>
      </left>
      <right/>
      <top/>
      <bottom style="thin">
        <color indexed="64"/>
      </bottom>
      <diagonal/>
    </border>
    <border>
      <left/>
      <right/>
      <top style="hair">
        <color indexed="64"/>
      </top>
      <bottom/>
      <diagonal/>
    </border>
    <border>
      <left/>
      <right style="thin">
        <color indexed="64"/>
      </right>
      <top style="hair">
        <color indexed="64"/>
      </top>
      <bottom/>
      <diagonal/>
    </border>
    <border>
      <left style="double">
        <color indexed="64"/>
      </left>
      <right/>
      <top style="hair">
        <color indexed="64"/>
      </top>
      <bottom style="hair">
        <color indexed="64"/>
      </bottom>
      <diagonal/>
    </border>
    <border>
      <left style="medium">
        <color indexed="64"/>
      </left>
      <right/>
      <top style="thin">
        <color indexed="64"/>
      </top>
      <bottom style="hair">
        <color indexed="64"/>
      </bottom>
      <diagonal/>
    </border>
    <border>
      <left style="medium">
        <color indexed="64"/>
      </left>
      <right/>
      <top style="hair">
        <color indexed="64"/>
      </top>
      <bottom style="hair">
        <color indexed="64"/>
      </bottom>
      <diagonal/>
    </border>
    <border>
      <left style="medium">
        <color indexed="64"/>
      </left>
      <right/>
      <top style="hair">
        <color indexed="64"/>
      </top>
      <bottom style="thin">
        <color indexed="64"/>
      </bottom>
      <diagonal/>
    </border>
    <border>
      <left style="medium">
        <color indexed="64"/>
      </left>
      <right style="thin">
        <color indexed="64"/>
      </right>
      <top style="thin">
        <color indexed="64"/>
      </top>
      <bottom/>
      <diagonal/>
    </border>
    <border>
      <left style="medium">
        <color indexed="64"/>
      </left>
      <right style="medium">
        <color indexed="64"/>
      </right>
      <top style="hair">
        <color indexed="64"/>
      </top>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hair">
        <color indexed="64"/>
      </right>
      <top style="hair">
        <color indexed="64"/>
      </top>
      <bottom style="thin">
        <color indexed="64"/>
      </bottom>
      <diagonal/>
    </border>
    <border>
      <left style="medium">
        <color indexed="64"/>
      </left>
      <right style="thin">
        <color indexed="64"/>
      </right>
      <top style="medium">
        <color indexed="64"/>
      </top>
      <bottom style="hair">
        <color indexed="64"/>
      </bottom>
      <diagonal/>
    </border>
    <border>
      <left style="thin">
        <color indexed="64"/>
      </left>
      <right style="medium">
        <color indexed="64"/>
      </right>
      <top style="medium">
        <color indexed="64"/>
      </top>
      <bottom style="hair">
        <color indexed="64"/>
      </bottom>
      <diagonal/>
    </border>
    <border>
      <left style="medium">
        <color indexed="64"/>
      </left>
      <right/>
      <top style="hair">
        <color indexed="64"/>
      </top>
      <bottom/>
      <diagonal/>
    </border>
    <border>
      <left style="thin">
        <color indexed="64"/>
      </left>
      <right style="dashed">
        <color indexed="64"/>
      </right>
      <top style="medium">
        <color indexed="64"/>
      </top>
      <bottom style="thin">
        <color indexed="64"/>
      </bottom>
      <diagonal/>
    </border>
    <border>
      <left/>
      <right style="medium">
        <color indexed="64"/>
      </right>
      <top style="thin">
        <color indexed="64"/>
      </top>
      <bottom style="double">
        <color indexed="64"/>
      </bottom>
      <diagonal/>
    </border>
    <border>
      <left/>
      <right/>
      <top style="double">
        <color indexed="64"/>
      </top>
      <bottom style="medium">
        <color indexed="64"/>
      </bottom>
      <diagonal/>
    </border>
    <border>
      <left/>
      <right style="medium">
        <color indexed="64"/>
      </right>
      <top style="double">
        <color indexed="64"/>
      </top>
      <bottom style="medium">
        <color indexed="64"/>
      </bottom>
      <diagonal/>
    </border>
    <border>
      <left/>
      <right style="medium">
        <color indexed="64"/>
      </right>
      <top style="double">
        <color indexed="64"/>
      </top>
      <bottom style="thin">
        <color indexed="64"/>
      </bottom>
      <diagonal/>
    </border>
    <border>
      <left style="thin">
        <color indexed="64"/>
      </left>
      <right/>
      <top style="double">
        <color indexed="64"/>
      </top>
      <bottom style="thin">
        <color indexed="64"/>
      </bottom>
      <diagonal/>
    </border>
    <border>
      <left/>
      <right/>
      <top style="double">
        <color indexed="64"/>
      </top>
      <bottom style="thin">
        <color indexed="64"/>
      </bottom>
      <diagonal/>
    </border>
    <border>
      <left style="double">
        <color indexed="64"/>
      </left>
      <right style="double">
        <color indexed="64"/>
      </right>
      <top style="double">
        <color indexed="64"/>
      </top>
      <bottom/>
      <diagonal/>
    </border>
    <border>
      <left style="double">
        <color indexed="64"/>
      </left>
      <right style="double">
        <color indexed="64"/>
      </right>
      <top/>
      <bottom/>
      <diagonal/>
    </border>
    <border>
      <left style="double">
        <color indexed="64"/>
      </left>
      <right style="double">
        <color indexed="64"/>
      </right>
      <top/>
      <bottom style="double">
        <color indexed="64"/>
      </bottom>
      <diagonal/>
    </border>
    <border>
      <left style="double">
        <color indexed="64"/>
      </left>
      <right/>
      <top style="hair">
        <color indexed="64"/>
      </top>
      <bottom style="thin">
        <color indexed="64"/>
      </bottom>
      <diagonal/>
    </border>
    <border>
      <left style="double">
        <color indexed="64"/>
      </left>
      <right/>
      <top style="thin">
        <color indexed="64"/>
      </top>
      <bottom style="hair">
        <color indexed="64"/>
      </bottom>
      <diagonal/>
    </border>
    <border>
      <left style="medium">
        <color indexed="64"/>
      </left>
      <right style="medium">
        <color indexed="64"/>
      </right>
      <top/>
      <bottom style="hair">
        <color indexed="64"/>
      </bottom>
      <diagonal/>
    </border>
    <border>
      <left style="medium">
        <color indexed="64"/>
      </left>
      <right style="thin">
        <color indexed="64"/>
      </right>
      <top style="hair">
        <color indexed="64"/>
      </top>
      <bottom/>
      <diagonal/>
    </border>
    <border>
      <left style="medium">
        <color indexed="64"/>
      </left>
      <right style="thin">
        <color indexed="64"/>
      </right>
      <top/>
      <bottom style="hair">
        <color indexed="64"/>
      </bottom>
      <diagonal/>
    </border>
    <border>
      <left style="thin">
        <color indexed="64"/>
      </left>
      <right style="medium">
        <color indexed="64"/>
      </right>
      <top style="medium">
        <color indexed="23"/>
      </top>
      <bottom style="thin">
        <color indexed="64"/>
      </bottom>
      <diagonal/>
    </border>
    <border>
      <left style="medium">
        <color indexed="64"/>
      </left>
      <right style="medium">
        <color indexed="64"/>
      </right>
      <top style="medium">
        <color indexed="23"/>
      </top>
      <bottom style="thin">
        <color indexed="64"/>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23"/>
      </bottom>
      <diagonal/>
    </border>
    <border>
      <left style="thin">
        <color indexed="64"/>
      </left>
      <right style="medium">
        <color indexed="64"/>
      </right>
      <top style="medium">
        <color indexed="64"/>
      </top>
      <bottom style="medium">
        <color indexed="23"/>
      </bottom>
      <diagonal/>
    </border>
    <border>
      <left style="thin">
        <color indexed="64"/>
      </left>
      <right style="medium">
        <color indexed="64"/>
      </right>
      <top style="medium">
        <color indexed="23"/>
      </top>
      <bottom style="medium">
        <color indexed="23"/>
      </bottom>
      <diagonal/>
    </border>
    <border>
      <left style="medium">
        <color indexed="64"/>
      </left>
      <right style="medium">
        <color indexed="64"/>
      </right>
      <top style="hair">
        <color indexed="64"/>
      </top>
      <bottom style="thin">
        <color indexed="64"/>
      </bottom>
      <diagonal/>
    </border>
    <border>
      <left style="medium">
        <color indexed="64"/>
      </left>
      <right style="medium">
        <color indexed="64"/>
      </right>
      <top style="thin">
        <color indexed="64"/>
      </top>
      <bottom style="hair">
        <color indexed="64"/>
      </bottom>
      <diagonal/>
    </border>
    <border>
      <left style="hair">
        <color indexed="64"/>
      </left>
      <right/>
      <top style="thin">
        <color indexed="64"/>
      </top>
      <bottom/>
      <diagonal/>
    </border>
    <border>
      <left style="thin">
        <color indexed="64"/>
      </left>
      <right style="dashed">
        <color indexed="64"/>
      </right>
      <top style="thin">
        <color indexed="64"/>
      </top>
      <bottom style="medium">
        <color indexed="64"/>
      </bottom>
      <diagonal/>
    </border>
    <border>
      <left style="thin">
        <color indexed="64"/>
      </left>
      <right/>
      <top style="medium">
        <color indexed="64"/>
      </top>
      <bottom style="medium">
        <color indexed="64"/>
      </bottom>
      <diagonal/>
    </border>
    <border>
      <left style="thin">
        <color indexed="64"/>
      </left>
      <right style="dashed">
        <color indexed="64"/>
      </right>
      <top style="medium">
        <color theme="0" tint="-0.499984740745262"/>
      </top>
      <bottom style="medium">
        <color indexed="64"/>
      </bottom>
      <diagonal/>
    </border>
    <border>
      <left style="thin">
        <color indexed="64"/>
      </left>
      <right style="medium">
        <color indexed="64"/>
      </right>
      <top/>
      <bottom style="thin">
        <color indexed="64"/>
      </bottom>
      <diagonal/>
    </border>
    <border>
      <left style="medium">
        <color indexed="64"/>
      </left>
      <right/>
      <top style="medium">
        <color indexed="23"/>
      </top>
      <bottom style="thin">
        <color indexed="64"/>
      </bottom>
      <diagonal/>
    </border>
    <border>
      <left style="thin">
        <color indexed="64"/>
      </left>
      <right style="medium">
        <color indexed="64"/>
      </right>
      <top style="medium">
        <color indexed="64"/>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indexed="64"/>
      </right>
      <top/>
      <bottom style="medium">
        <color indexed="64"/>
      </bottom>
      <diagonal/>
    </border>
    <border>
      <left style="dashed">
        <color indexed="64"/>
      </left>
      <right style="thin">
        <color indexed="64"/>
      </right>
      <top/>
      <bottom style="medium">
        <color indexed="64"/>
      </bottom>
      <diagonal/>
    </border>
    <border diagonalDown="1">
      <left style="thin">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diagonal style="thin">
        <color indexed="64"/>
      </diagonal>
    </border>
    <border diagonalDown="1">
      <left style="thin">
        <color indexed="64"/>
      </left>
      <right style="thin">
        <color indexed="64"/>
      </right>
      <top/>
      <bottom/>
      <diagonal style="thin">
        <color indexed="64"/>
      </diagonal>
    </border>
    <border diagonalDown="1">
      <left style="thin">
        <color indexed="64"/>
      </left>
      <right style="thin">
        <color indexed="64"/>
      </right>
      <top/>
      <bottom style="thin">
        <color indexed="64"/>
      </bottom>
      <diagonal style="thin">
        <color indexed="64"/>
      </diagonal>
    </border>
    <border>
      <left/>
      <right/>
      <top style="medium">
        <color indexed="64"/>
      </top>
      <bottom style="medium">
        <color auto="1"/>
      </bottom>
      <diagonal/>
    </border>
    <border>
      <left/>
      <right style="medium">
        <color indexed="64"/>
      </right>
      <top style="hair">
        <color indexed="64"/>
      </top>
      <bottom/>
      <diagonal/>
    </border>
    <border>
      <left/>
      <right style="medium">
        <color indexed="64"/>
      </right>
      <top style="medium">
        <color indexed="64"/>
      </top>
      <bottom style="medium">
        <color auto="1"/>
      </bottom>
      <diagonal/>
    </border>
    <border>
      <left style="thin">
        <color indexed="64"/>
      </left>
      <right style="thin">
        <color indexed="64"/>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style="dotted">
        <color indexed="64"/>
      </bottom>
      <diagonal/>
    </border>
    <border>
      <left style="thin">
        <color indexed="64"/>
      </left>
      <right/>
      <top/>
      <bottom style="medium">
        <color indexed="17"/>
      </bottom>
      <diagonal/>
    </border>
    <border>
      <left/>
      <right style="thin">
        <color indexed="64"/>
      </right>
      <top style="medium">
        <color indexed="64"/>
      </top>
      <bottom style="thin">
        <color indexed="64"/>
      </bottom>
      <diagonal/>
    </border>
    <border>
      <left/>
      <right style="thin">
        <color indexed="64"/>
      </right>
      <top style="medium">
        <color indexed="64"/>
      </top>
      <bottom/>
      <diagonal/>
    </border>
    <border>
      <left/>
      <right style="double">
        <color indexed="64"/>
      </right>
      <top style="thin">
        <color indexed="64"/>
      </top>
      <bottom style="hair">
        <color indexed="64"/>
      </bottom>
      <diagonal/>
    </border>
    <border>
      <left/>
      <right style="double">
        <color indexed="64"/>
      </right>
      <top style="hair">
        <color indexed="64"/>
      </top>
      <bottom style="hair">
        <color indexed="64"/>
      </bottom>
      <diagonal/>
    </border>
    <border>
      <left/>
      <right style="double">
        <color indexed="64"/>
      </right>
      <top style="hair">
        <color indexed="64"/>
      </top>
      <bottom style="thin">
        <color indexed="64"/>
      </bottom>
      <diagonal/>
    </border>
  </borders>
  <cellStyleXfs count="130">
    <xf numFmtId="0" fontId="0" fillId="0" borderId="0">
      <alignment vertical="center"/>
    </xf>
    <xf numFmtId="0" fontId="6" fillId="2" borderId="0" applyNumberFormat="0" applyBorder="0" applyAlignment="0" applyProtection="0">
      <alignment vertical="center"/>
    </xf>
    <xf numFmtId="0" fontId="6" fillId="3" borderId="0" applyNumberFormat="0" applyBorder="0" applyAlignment="0" applyProtection="0">
      <alignment vertical="center"/>
    </xf>
    <xf numFmtId="0" fontId="6" fillId="4" borderId="0" applyNumberFormat="0" applyBorder="0" applyAlignment="0" applyProtection="0">
      <alignment vertical="center"/>
    </xf>
    <xf numFmtId="0" fontId="6" fillId="5" borderId="0" applyNumberFormat="0" applyBorder="0" applyAlignment="0" applyProtection="0">
      <alignment vertical="center"/>
    </xf>
    <xf numFmtId="0" fontId="6" fillId="6" borderId="0" applyNumberFormat="0" applyBorder="0" applyAlignment="0" applyProtection="0">
      <alignment vertical="center"/>
    </xf>
    <xf numFmtId="0" fontId="6" fillId="7" borderId="0" applyNumberFormat="0" applyBorder="0" applyAlignment="0" applyProtection="0">
      <alignment vertical="center"/>
    </xf>
    <xf numFmtId="0" fontId="6" fillId="8" borderId="0" applyNumberFormat="0" applyBorder="0" applyAlignment="0" applyProtection="0">
      <alignment vertical="center"/>
    </xf>
    <xf numFmtId="0" fontId="6" fillId="9" borderId="0" applyNumberFormat="0" applyBorder="0" applyAlignment="0" applyProtection="0">
      <alignment vertical="center"/>
    </xf>
    <xf numFmtId="0" fontId="6" fillId="10" borderId="0" applyNumberFormat="0" applyBorder="0" applyAlignment="0" applyProtection="0">
      <alignment vertical="center"/>
    </xf>
    <xf numFmtId="0" fontId="6" fillId="5" borderId="0" applyNumberFormat="0" applyBorder="0" applyAlignment="0" applyProtection="0">
      <alignment vertical="center"/>
    </xf>
    <xf numFmtId="0" fontId="6" fillId="8" borderId="0" applyNumberFormat="0" applyBorder="0" applyAlignment="0" applyProtection="0">
      <alignment vertical="center"/>
    </xf>
    <xf numFmtId="0" fontId="6" fillId="11" borderId="0" applyNumberFormat="0" applyBorder="0" applyAlignment="0" applyProtection="0">
      <alignment vertical="center"/>
    </xf>
    <xf numFmtId="0" fontId="7" fillId="12" borderId="0" applyNumberFormat="0" applyBorder="0" applyAlignment="0" applyProtection="0">
      <alignment vertical="center"/>
    </xf>
    <xf numFmtId="0" fontId="7" fillId="9" borderId="0" applyNumberFormat="0" applyBorder="0" applyAlignment="0" applyProtection="0">
      <alignment vertical="center"/>
    </xf>
    <xf numFmtId="0" fontId="7" fillId="10" borderId="0" applyNumberFormat="0" applyBorder="0" applyAlignment="0" applyProtection="0">
      <alignment vertical="center"/>
    </xf>
    <xf numFmtId="0" fontId="7" fillId="13"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16" borderId="0" applyNumberFormat="0" applyBorder="0" applyAlignment="0" applyProtection="0">
      <alignment vertical="center"/>
    </xf>
    <xf numFmtId="0" fontId="7" fillId="17" borderId="0" applyNumberFormat="0" applyBorder="0" applyAlignment="0" applyProtection="0">
      <alignment vertical="center"/>
    </xf>
    <xf numFmtId="0" fontId="7" fillId="18" borderId="0" applyNumberFormat="0" applyBorder="0" applyAlignment="0" applyProtection="0">
      <alignment vertical="center"/>
    </xf>
    <xf numFmtId="0" fontId="7" fillId="13" borderId="0" applyNumberFormat="0" applyBorder="0" applyAlignment="0" applyProtection="0">
      <alignment vertical="center"/>
    </xf>
    <xf numFmtId="0" fontId="7" fillId="14" borderId="0" applyNumberFormat="0" applyBorder="0" applyAlignment="0" applyProtection="0">
      <alignment vertical="center"/>
    </xf>
    <xf numFmtId="0" fontId="7" fillId="19" borderId="0" applyNumberFormat="0" applyBorder="0" applyAlignment="0" applyProtection="0">
      <alignment vertical="center"/>
    </xf>
    <xf numFmtId="0" fontId="8" fillId="0" borderId="0" applyNumberFormat="0" applyFill="0" applyBorder="0" applyAlignment="0" applyProtection="0">
      <alignment vertical="center"/>
    </xf>
    <xf numFmtId="0" fontId="9" fillId="20" borderId="1" applyNumberFormat="0" applyAlignment="0" applyProtection="0">
      <alignment vertical="center"/>
    </xf>
    <xf numFmtId="0" fontId="10" fillId="21" borderId="0" applyNumberFormat="0" applyBorder="0" applyAlignment="0" applyProtection="0">
      <alignment vertical="center"/>
    </xf>
    <xf numFmtId="9" fontId="11" fillId="0" borderId="0" applyFont="0" applyFill="0" applyBorder="0" applyAlignment="0" applyProtection="0">
      <alignment vertical="center"/>
    </xf>
    <xf numFmtId="0" fontId="12" fillId="0" borderId="0" applyNumberFormat="0" applyFill="0" applyBorder="0" applyAlignment="0" applyProtection="0">
      <alignment vertical="top"/>
      <protection locked="0"/>
    </xf>
    <xf numFmtId="0" fontId="11" fillId="22" borderId="2" applyNumberFormat="0" applyFont="0" applyAlignment="0" applyProtection="0">
      <alignment vertical="center"/>
    </xf>
    <xf numFmtId="0" fontId="13" fillId="0" borderId="3" applyNumberFormat="0" applyFill="0" applyAlignment="0" applyProtection="0">
      <alignment vertical="center"/>
    </xf>
    <xf numFmtId="0" fontId="14" fillId="3" borderId="0" applyNumberFormat="0" applyBorder="0" applyAlignment="0" applyProtection="0">
      <alignment vertical="center"/>
    </xf>
    <xf numFmtId="0" fontId="15" fillId="23" borderId="4" applyNumberFormat="0" applyAlignment="0" applyProtection="0">
      <alignment vertical="center"/>
    </xf>
    <xf numFmtId="0" fontId="16" fillId="0" borderId="0" applyNumberFormat="0" applyFill="0" applyBorder="0" applyAlignment="0" applyProtection="0">
      <alignment vertical="center"/>
    </xf>
    <xf numFmtId="38" fontId="11" fillId="0" borderId="0" applyFont="0" applyFill="0" applyBorder="0" applyAlignment="0" applyProtection="0">
      <alignment vertical="center"/>
    </xf>
    <xf numFmtId="0" fontId="17" fillId="0" borderId="5" applyNumberFormat="0" applyFill="0" applyAlignment="0" applyProtection="0">
      <alignment vertical="center"/>
    </xf>
    <xf numFmtId="0" fontId="18" fillId="0" borderId="6" applyNumberFormat="0" applyFill="0" applyAlignment="0" applyProtection="0">
      <alignment vertical="center"/>
    </xf>
    <xf numFmtId="0" fontId="19" fillId="0" borderId="7" applyNumberFormat="0" applyFill="0" applyAlignment="0" applyProtection="0">
      <alignment vertical="center"/>
    </xf>
    <xf numFmtId="0" fontId="19" fillId="0" borderId="0" applyNumberFormat="0" applyFill="0" applyBorder="0" applyAlignment="0" applyProtection="0">
      <alignment vertical="center"/>
    </xf>
    <xf numFmtId="0" fontId="20" fillId="0" borderId="8" applyNumberFormat="0" applyFill="0" applyAlignment="0" applyProtection="0">
      <alignment vertical="center"/>
    </xf>
    <xf numFmtId="0" fontId="21" fillId="23" borderId="9" applyNumberFormat="0" applyAlignment="0" applyProtection="0">
      <alignment vertical="center"/>
    </xf>
    <xf numFmtId="0" fontId="22" fillId="0" borderId="0" applyNumberFormat="0" applyFill="0" applyBorder="0" applyAlignment="0" applyProtection="0">
      <alignment vertical="center"/>
    </xf>
    <xf numFmtId="0" fontId="23" fillId="7" borderId="4" applyNumberFormat="0" applyAlignment="0" applyProtection="0">
      <alignment vertical="center"/>
    </xf>
    <xf numFmtId="0" fontId="11" fillId="0" borderId="0"/>
    <xf numFmtId="0" fontId="11" fillId="0" borderId="0"/>
    <xf numFmtId="0" fontId="24" fillId="0" borderId="0"/>
    <xf numFmtId="0" fontId="25" fillId="4" borderId="0" applyNumberFormat="0" applyBorder="0" applyAlignment="0" applyProtection="0">
      <alignment vertical="center"/>
    </xf>
    <xf numFmtId="0" fontId="5" fillId="0" borderId="0">
      <alignment vertical="center"/>
    </xf>
    <xf numFmtId="0" fontId="4" fillId="0" borderId="0">
      <alignment vertical="center"/>
    </xf>
    <xf numFmtId="0" fontId="11" fillId="0" borderId="0">
      <alignment vertical="center"/>
    </xf>
    <xf numFmtId="0" fontId="11" fillId="0" borderId="0"/>
    <xf numFmtId="38" fontId="11" fillId="0" borderId="0" applyFont="0" applyFill="0" applyBorder="0" applyAlignment="0" applyProtection="0">
      <alignment vertical="center"/>
    </xf>
    <xf numFmtId="0" fontId="2" fillId="0" borderId="0">
      <alignment vertical="center"/>
    </xf>
    <xf numFmtId="0" fontId="204" fillId="0" borderId="0">
      <alignment vertical="center"/>
    </xf>
    <xf numFmtId="0" fontId="11" fillId="0" borderId="0"/>
    <xf numFmtId="0" fontId="11" fillId="0" borderId="0">
      <alignment vertical="center"/>
    </xf>
    <xf numFmtId="0" fontId="2" fillId="0" borderId="0">
      <alignment vertical="center"/>
    </xf>
    <xf numFmtId="38" fontId="2" fillId="0" borderId="0" applyFont="0" applyFill="0" applyBorder="0" applyAlignment="0" applyProtection="0">
      <alignment vertical="center"/>
    </xf>
    <xf numFmtId="0" fontId="206" fillId="0" borderId="0"/>
    <xf numFmtId="38" fontId="206" fillId="0" borderId="0" applyFont="0" applyFill="0" applyBorder="0" applyAlignment="0" applyProtection="0">
      <alignment vertical="center"/>
    </xf>
    <xf numFmtId="0" fontId="2" fillId="0" borderId="0">
      <alignment vertical="center"/>
    </xf>
    <xf numFmtId="9" fontId="206" fillId="0" borderId="0" applyFont="0" applyFill="0" applyBorder="0" applyAlignment="0" applyProtection="0">
      <alignment vertical="center"/>
    </xf>
    <xf numFmtId="9" fontId="2" fillId="0" borderId="0" applyFont="0" applyFill="0" applyBorder="0" applyAlignment="0" applyProtection="0">
      <alignment vertical="center"/>
    </xf>
    <xf numFmtId="0" fontId="204" fillId="0" borderId="0">
      <alignment vertical="center"/>
    </xf>
    <xf numFmtId="0" fontId="204" fillId="0" borderId="0">
      <alignment vertical="center"/>
    </xf>
    <xf numFmtId="38" fontId="11" fillId="0" borderId="0" applyFont="0" applyFill="0" applyBorder="0" applyAlignment="0" applyProtection="0"/>
    <xf numFmtId="9" fontId="11" fillId="0" borderId="0" applyFont="0" applyFill="0" applyBorder="0" applyAlignment="0" applyProtection="0"/>
    <xf numFmtId="38" fontId="11" fillId="0" borderId="0" applyFont="0" applyFill="0" applyBorder="0" applyAlignment="0" applyProtection="0"/>
    <xf numFmtId="0" fontId="207" fillId="0" borderId="0">
      <alignment vertical="center"/>
    </xf>
    <xf numFmtId="0" fontId="206" fillId="0" borderId="0"/>
    <xf numFmtId="38" fontId="207" fillId="0" borderId="0" applyFont="0" applyFill="0" applyBorder="0" applyAlignment="0" applyProtection="0">
      <alignment vertical="center"/>
    </xf>
    <xf numFmtId="0" fontId="205" fillId="0" borderId="0">
      <alignment vertical="center"/>
    </xf>
    <xf numFmtId="0" fontId="206" fillId="0" borderId="0"/>
    <xf numFmtId="9" fontId="11" fillId="0" borderId="0" applyFont="0" applyFill="0" applyBorder="0" applyAlignment="0" applyProtection="0">
      <alignment vertical="center"/>
    </xf>
    <xf numFmtId="38" fontId="206" fillId="0" borderId="0" applyFont="0" applyFill="0" applyBorder="0" applyAlignment="0" applyProtection="0">
      <alignment vertical="center"/>
    </xf>
    <xf numFmtId="0" fontId="6" fillId="2" borderId="0" applyNumberFormat="0" applyBorder="0" applyAlignment="0" applyProtection="0">
      <alignment vertical="center"/>
    </xf>
    <xf numFmtId="0" fontId="6" fillId="3" borderId="0" applyNumberFormat="0" applyBorder="0" applyAlignment="0" applyProtection="0">
      <alignment vertical="center"/>
    </xf>
    <xf numFmtId="0" fontId="6" fillId="4" borderId="0" applyNumberFormat="0" applyBorder="0" applyAlignment="0" applyProtection="0">
      <alignment vertical="center"/>
    </xf>
    <xf numFmtId="0" fontId="6" fillId="5" borderId="0" applyNumberFormat="0" applyBorder="0" applyAlignment="0" applyProtection="0">
      <alignment vertical="center"/>
    </xf>
    <xf numFmtId="0" fontId="6" fillId="6" borderId="0" applyNumberFormat="0" applyBorder="0" applyAlignment="0" applyProtection="0">
      <alignment vertical="center"/>
    </xf>
    <xf numFmtId="0" fontId="6" fillId="7" borderId="0" applyNumberFormat="0" applyBorder="0" applyAlignment="0" applyProtection="0">
      <alignment vertical="center"/>
    </xf>
    <xf numFmtId="0" fontId="6" fillId="8" borderId="0" applyNumberFormat="0" applyBorder="0" applyAlignment="0" applyProtection="0">
      <alignment vertical="center"/>
    </xf>
    <xf numFmtId="0" fontId="6" fillId="9" borderId="0" applyNumberFormat="0" applyBorder="0" applyAlignment="0" applyProtection="0">
      <alignment vertical="center"/>
    </xf>
    <xf numFmtId="0" fontId="6" fillId="10" borderId="0" applyNumberFormat="0" applyBorder="0" applyAlignment="0" applyProtection="0">
      <alignment vertical="center"/>
    </xf>
    <xf numFmtId="0" fontId="6" fillId="5" borderId="0" applyNumberFormat="0" applyBorder="0" applyAlignment="0" applyProtection="0">
      <alignment vertical="center"/>
    </xf>
    <xf numFmtId="0" fontId="6" fillId="8" borderId="0" applyNumberFormat="0" applyBorder="0" applyAlignment="0" applyProtection="0">
      <alignment vertical="center"/>
    </xf>
    <xf numFmtId="0" fontId="6" fillId="11" borderId="0" applyNumberFormat="0" applyBorder="0" applyAlignment="0" applyProtection="0">
      <alignment vertical="center"/>
    </xf>
    <xf numFmtId="0" fontId="7" fillId="12" borderId="0" applyNumberFormat="0" applyBorder="0" applyAlignment="0" applyProtection="0">
      <alignment vertical="center"/>
    </xf>
    <xf numFmtId="0" fontId="7" fillId="9" borderId="0" applyNumberFormat="0" applyBorder="0" applyAlignment="0" applyProtection="0">
      <alignment vertical="center"/>
    </xf>
    <xf numFmtId="0" fontId="7" fillId="10" borderId="0" applyNumberFormat="0" applyBorder="0" applyAlignment="0" applyProtection="0">
      <alignment vertical="center"/>
    </xf>
    <xf numFmtId="0" fontId="7" fillId="13"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0" fontId="7" fillId="16" borderId="0" applyNumberFormat="0" applyBorder="0" applyAlignment="0" applyProtection="0">
      <alignment vertical="center"/>
    </xf>
    <xf numFmtId="0" fontId="7" fillId="17" borderId="0" applyNumberFormat="0" applyBorder="0" applyAlignment="0" applyProtection="0">
      <alignment vertical="center"/>
    </xf>
    <xf numFmtId="0" fontId="7" fillId="18" borderId="0" applyNumberFormat="0" applyBorder="0" applyAlignment="0" applyProtection="0">
      <alignment vertical="center"/>
    </xf>
    <xf numFmtId="0" fontId="7" fillId="13" borderId="0" applyNumberFormat="0" applyBorder="0" applyAlignment="0" applyProtection="0">
      <alignment vertical="center"/>
    </xf>
    <xf numFmtId="0" fontId="7" fillId="14" borderId="0" applyNumberFormat="0" applyBorder="0" applyAlignment="0" applyProtection="0">
      <alignment vertical="center"/>
    </xf>
    <xf numFmtId="0" fontId="7" fillId="19" borderId="0" applyNumberFormat="0" applyBorder="0" applyAlignment="0" applyProtection="0">
      <alignment vertical="center"/>
    </xf>
    <xf numFmtId="0" fontId="8" fillId="0" borderId="0" applyNumberFormat="0" applyFill="0" applyBorder="0" applyAlignment="0" applyProtection="0">
      <alignment vertical="center"/>
    </xf>
    <xf numFmtId="0" fontId="9" fillId="20" borderId="1" applyNumberFormat="0" applyAlignment="0" applyProtection="0">
      <alignment vertical="center"/>
    </xf>
    <xf numFmtId="0" fontId="10" fillId="21" borderId="0" applyNumberFormat="0" applyBorder="0" applyAlignment="0" applyProtection="0">
      <alignment vertical="center"/>
    </xf>
    <xf numFmtId="9" fontId="11" fillId="0" borderId="0" applyFont="0" applyFill="0" applyBorder="0" applyAlignment="0" applyProtection="0"/>
    <xf numFmtId="9" fontId="11" fillId="0" borderId="0" applyFont="0" applyFill="0" applyBorder="0" applyAlignment="0" applyProtection="0"/>
    <xf numFmtId="0" fontId="6" fillId="22" borderId="2" applyNumberFormat="0" applyFont="0" applyAlignment="0" applyProtection="0">
      <alignment vertical="center"/>
    </xf>
    <xf numFmtId="0" fontId="13" fillId="0" borderId="3" applyNumberFormat="0" applyFill="0" applyAlignment="0" applyProtection="0">
      <alignment vertical="center"/>
    </xf>
    <xf numFmtId="0" fontId="14" fillId="3" borderId="0" applyNumberFormat="0" applyBorder="0" applyAlignment="0" applyProtection="0">
      <alignment vertical="center"/>
    </xf>
    <xf numFmtId="0" fontId="15" fillId="23" borderId="4" applyNumberFormat="0" applyAlignment="0" applyProtection="0">
      <alignment vertical="center"/>
    </xf>
    <xf numFmtId="0" fontId="16" fillId="0" borderId="0" applyNumberFormat="0" applyFill="0" applyBorder="0" applyAlignment="0" applyProtection="0">
      <alignment vertical="center"/>
    </xf>
    <xf numFmtId="38" fontId="11" fillId="0" borderId="0" applyFont="0" applyFill="0" applyBorder="0" applyAlignment="0" applyProtection="0"/>
    <xf numFmtId="0" fontId="17" fillId="0" borderId="5" applyNumberFormat="0" applyFill="0" applyAlignment="0" applyProtection="0">
      <alignment vertical="center"/>
    </xf>
    <xf numFmtId="0" fontId="18" fillId="0" borderId="6" applyNumberFormat="0" applyFill="0" applyAlignment="0" applyProtection="0">
      <alignment vertical="center"/>
    </xf>
    <xf numFmtId="0" fontId="19" fillId="0" borderId="7" applyNumberFormat="0" applyFill="0" applyAlignment="0" applyProtection="0">
      <alignment vertical="center"/>
    </xf>
    <xf numFmtId="0" fontId="19" fillId="0" borderId="0" applyNumberFormat="0" applyFill="0" applyBorder="0" applyAlignment="0" applyProtection="0">
      <alignment vertical="center"/>
    </xf>
    <xf numFmtId="0" fontId="20" fillId="0" borderId="8" applyNumberFormat="0" applyFill="0" applyAlignment="0" applyProtection="0">
      <alignment vertical="center"/>
    </xf>
    <xf numFmtId="0" fontId="21" fillId="23" borderId="9" applyNumberFormat="0" applyAlignment="0" applyProtection="0">
      <alignment vertical="center"/>
    </xf>
    <xf numFmtId="0" fontId="22" fillId="0" borderId="0" applyNumberFormat="0" applyFill="0" applyBorder="0" applyAlignment="0" applyProtection="0">
      <alignment vertical="center"/>
    </xf>
    <xf numFmtId="0" fontId="23" fillId="7" borderId="4" applyNumberFormat="0" applyAlignment="0" applyProtection="0">
      <alignment vertical="center"/>
    </xf>
    <xf numFmtId="0" fontId="11" fillId="0" borderId="0"/>
    <xf numFmtId="0" fontId="204" fillId="0" borderId="0">
      <alignment vertical="center"/>
    </xf>
    <xf numFmtId="0" fontId="11" fillId="0" borderId="0"/>
    <xf numFmtId="0" fontId="204" fillId="0" borderId="0">
      <alignment vertical="center"/>
    </xf>
    <xf numFmtId="0" fontId="6" fillId="0" borderId="0">
      <alignment vertical="center"/>
    </xf>
    <xf numFmtId="0" fontId="11" fillId="0" borderId="0"/>
    <xf numFmtId="0" fontId="204" fillId="0" borderId="0">
      <alignment vertical="center"/>
    </xf>
    <xf numFmtId="0" fontId="25" fillId="4" borderId="0" applyNumberFormat="0" applyBorder="0" applyAlignment="0" applyProtection="0">
      <alignment vertical="center"/>
    </xf>
    <xf numFmtId="0" fontId="208" fillId="0" borderId="0" applyNumberFormat="0" applyFill="0" applyBorder="0" applyAlignment="0" applyProtection="0"/>
    <xf numFmtId="38" fontId="11" fillId="0" borderId="0" applyFont="0" applyFill="0" applyBorder="0" applyAlignment="0" applyProtection="0">
      <alignment vertical="center"/>
    </xf>
    <xf numFmtId="0" fontId="205" fillId="0" borderId="0">
      <alignment vertical="center"/>
    </xf>
  </cellStyleXfs>
  <cellXfs count="4455">
    <xf numFmtId="0" fontId="0" fillId="0" borderId="0" xfId="0">
      <alignment vertical="center"/>
    </xf>
    <xf numFmtId="0" fontId="0" fillId="0" borderId="10" xfId="0" applyBorder="1">
      <alignment vertical="center"/>
    </xf>
    <xf numFmtId="0" fontId="0" fillId="0" borderId="15" xfId="0" applyBorder="1">
      <alignment vertical="center"/>
    </xf>
    <xf numFmtId="0" fontId="11" fillId="27" borderId="0" xfId="0" applyFont="1" applyFill="1">
      <alignment vertical="center"/>
    </xf>
    <xf numFmtId="0" fontId="16" fillId="27" borderId="0" xfId="0" applyFont="1" applyFill="1">
      <alignment vertical="center"/>
    </xf>
    <xf numFmtId="0" fontId="30" fillId="27" borderId="0" xfId="0" applyFont="1" applyFill="1" applyAlignment="1">
      <alignment horizontal="left" vertical="center"/>
    </xf>
    <xf numFmtId="0" fontId="32" fillId="27" borderId="0" xfId="0" applyFont="1" applyFill="1" applyAlignment="1">
      <alignment horizontal="left" vertical="center"/>
    </xf>
    <xf numFmtId="0" fontId="34" fillId="27" borderId="0" xfId="0" applyFont="1" applyFill="1">
      <alignment vertical="center"/>
    </xf>
    <xf numFmtId="0" fontId="11" fillId="0" borderId="0" xfId="0" applyFont="1">
      <alignment vertical="center"/>
    </xf>
    <xf numFmtId="0" fontId="41" fillId="0" borderId="0" xfId="0" applyFont="1" applyProtection="1">
      <alignment vertical="center"/>
      <protection hidden="1"/>
    </xf>
    <xf numFmtId="0" fontId="41" fillId="0" borderId="0" xfId="0" applyFont="1" applyAlignment="1" applyProtection="1">
      <alignment horizontal="left" vertical="center"/>
      <protection hidden="1"/>
    </xf>
    <xf numFmtId="0" fontId="42" fillId="0" borderId="0" xfId="0" applyFont="1" applyAlignment="1" applyProtection="1">
      <alignment horizontal="left" vertical="center"/>
      <protection hidden="1"/>
    </xf>
    <xf numFmtId="0" fontId="41" fillId="0" borderId="0" xfId="0" applyFont="1" applyAlignment="1" applyProtection="1">
      <alignment horizontal="right" vertical="center"/>
      <protection hidden="1"/>
    </xf>
    <xf numFmtId="0" fontId="43" fillId="0" borderId="0" xfId="0" applyFont="1" applyProtection="1">
      <alignment vertical="center"/>
      <protection hidden="1"/>
    </xf>
    <xf numFmtId="0" fontId="43" fillId="0" borderId="0" xfId="0" applyFont="1" applyAlignment="1" applyProtection="1">
      <alignment horizontal="center" vertical="center"/>
      <protection hidden="1"/>
    </xf>
    <xf numFmtId="14" fontId="44" fillId="0" borderId="0" xfId="0" applyNumberFormat="1" applyFont="1" applyAlignment="1" applyProtection="1">
      <alignment horizontal="center" vertical="center"/>
      <protection hidden="1"/>
    </xf>
    <xf numFmtId="0" fontId="45" fillId="0" borderId="0" xfId="0" applyFont="1" applyProtection="1">
      <alignment vertical="center"/>
      <protection hidden="1"/>
    </xf>
    <xf numFmtId="178" fontId="45" fillId="0" borderId="0" xfId="0" applyNumberFormat="1" applyFont="1" applyProtection="1">
      <alignment vertical="center"/>
      <protection hidden="1"/>
    </xf>
    <xf numFmtId="0" fontId="44" fillId="0" borderId="0" xfId="0" applyFont="1" applyProtection="1">
      <alignment vertical="center"/>
      <protection hidden="1"/>
    </xf>
    <xf numFmtId="0" fontId="29" fillId="0" borderId="0" xfId="0" applyFont="1" applyAlignment="1" applyProtection="1">
      <protection hidden="1"/>
    </xf>
    <xf numFmtId="0" fontId="46" fillId="0" borderId="0" xfId="0" applyFont="1" applyAlignment="1" applyProtection="1">
      <alignment horizontal="left" vertical="center"/>
      <protection hidden="1"/>
    </xf>
    <xf numFmtId="0" fontId="47" fillId="0" borderId="0" xfId="0" applyFont="1" applyAlignment="1" applyProtection="1">
      <alignment horizontal="right" vertical="center"/>
      <protection hidden="1"/>
    </xf>
    <xf numFmtId="0" fontId="47" fillId="0" borderId="0" xfId="0" applyFont="1" applyProtection="1">
      <alignment vertical="center"/>
      <protection hidden="1"/>
    </xf>
    <xf numFmtId="0" fontId="48" fillId="0" borderId="0" xfId="0" applyFont="1" applyProtection="1">
      <alignment vertical="center"/>
      <protection hidden="1"/>
    </xf>
    <xf numFmtId="0" fontId="49" fillId="0" borderId="0" xfId="0" applyFont="1" applyProtection="1">
      <alignment vertical="center"/>
      <protection hidden="1"/>
    </xf>
    <xf numFmtId="0" fontId="50" fillId="0" borderId="0" xfId="0" applyFont="1" applyAlignment="1" applyProtection="1">
      <alignment horizontal="center" vertical="center"/>
      <protection hidden="1"/>
    </xf>
    <xf numFmtId="0" fontId="31" fillId="0" borderId="0" xfId="0" applyFont="1" applyAlignment="1" applyProtection="1">
      <alignment horizontal="left" vertical="center"/>
      <protection hidden="1"/>
    </xf>
    <xf numFmtId="0" fontId="51" fillId="0" borderId="0" xfId="0" applyFont="1" applyProtection="1">
      <alignment vertical="center"/>
      <protection hidden="1"/>
    </xf>
    <xf numFmtId="0" fontId="32" fillId="0" borderId="0" xfId="0" applyFont="1" applyAlignment="1" applyProtection="1">
      <alignment horizontal="left" vertical="center"/>
      <protection hidden="1"/>
    </xf>
    <xf numFmtId="0" fontId="50" fillId="0" borderId="0" xfId="0" applyFont="1" applyAlignment="1" applyProtection="1">
      <alignment horizontal="right" vertical="center"/>
      <protection hidden="1"/>
    </xf>
    <xf numFmtId="0" fontId="52" fillId="0" borderId="0" xfId="0" applyFont="1" applyAlignment="1" applyProtection="1">
      <alignment horizontal="left" vertical="top"/>
      <protection hidden="1"/>
    </xf>
    <xf numFmtId="0" fontId="47" fillId="0" borderId="0" xfId="0" applyFont="1" applyAlignment="1" applyProtection="1">
      <alignment horizontal="left" vertical="center"/>
      <protection hidden="1"/>
    </xf>
    <xf numFmtId="0" fontId="53" fillId="0" borderId="0" xfId="0" applyFont="1" applyProtection="1">
      <alignment vertical="center"/>
      <protection hidden="1"/>
    </xf>
    <xf numFmtId="0" fontId="54" fillId="0" borderId="0" xfId="0" applyFont="1" applyAlignment="1" applyProtection="1">
      <alignment horizontal="left" vertical="center"/>
      <protection hidden="1"/>
    </xf>
    <xf numFmtId="0" fontId="54" fillId="0" borderId="0" xfId="0" applyFont="1" applyAlignment="1" applyProtection="1">
      <alignment horizontal="right" vertical="center"/>
      <protection hidden="1"/>
    </xf>
    <xf numFmtId="0" fontId="54" fillId="0" borderId="0" xfId="0" applyFont="1" applyProtection="1">
      <alignment vertical="center"/>
      <protection hidden="1"/>
    </xf>
    <xf numFmtId="0" fontId="55" fillId="0" borderId="0" xfId="0" applyFont="1" applyProtection="1">
      <alignment vertical="center"/>
      <protection hidden="1"/>
    </xf>
    <xf numFmtId="0" fontId="55" fillId="0" borderId="0" xfId="0" applyFont="1" applyAlignment="1" applyProtection="1">
      <alignment horizontal="center" vertical="center"/>
      <protection hidden="1"/>
    </xf>
    <xf numFmtId="0" fontId="56" fillId="0" borderId="0" xfId="0" applyFont="1" applyAlignment="1" applyProtection="1">
      <alignment horizontal="center" vertical="center"/>
      <protection hidden="1"/>
    </xf>
    <xf numFmtId="0" fontId="57" fillId="0" borderId="0" xfId="0" applyFont="1" applyProtection="1">
      <alignment vertical="center"/>
      <protection hidden="1"/>
    </xf>
    <xf numFmtId="0" fontId="59" fillId="30" borderId="68" xfId="0" applyFont="1" applyFill="1" applyBorder="1" applyAlignment="1" applyProtection="1">
      <alignment horizontal="left" vertical="center"/>
      <protection hidden="1"/>
    </xf>
    <xf numFmtId="0" fontId="59" fillId="30" borderId="69" xfId="0" applyFont="1" applyFill="1" applyBorder="1" applyAlignment="1" applyProtection="1">
      <alignment horizontal="left" vertical="center"/>
      <protection hidden="1"/>
    </xf>
    <xf numFmtId="0" fontId="60" fillId="30" borderId="69" xfId="0" applyFont="1" applyFill="1" applyBorder="1" applyAlignment="1" applyProtection="1">
      <alignment horizontal="right" vertical="top"/>
      <protection hidden="1"/>
    </xf>
    <xf numFmtId="0" fontId="51" fillId="30" borderId="70" xfId="0" applyFont="1" applyFill="1" applyBorder="1" applyProtection="1">
      <alignment vertical="center"/>
      <protection hidden="1"/>
    </xf>
    <xf numFmtId="0" fontId="51" fillId="30" borderId="60" xfId="0" applyFont="1" applyFill="1" applyBorder="1" applyProtection="1">
      <alignment vertical="center"/>
      <protection hidden="1"/>
    </xf>
    <xf numFmtId="56" fontId="59" fillId="30" borderId="70" xfId="0" applyNumberFormat="1" applyFont="1" applyFill="1" applyBorder="1" applyProtection="1">
      <alignment vertical="center"/>
      <protection hidden="1"/>
    </xf>
    <xf numFmtId="0" fontId="59" fillId="30" borderId="71" xfId="0" applyFont="1" applyFill="1" applyBorder="1" applyAlignment="1" applyProtection="1">
      <alignment horizontal="left" vertical="center"/>
      <protection hidden="1"/>
    </xf>
    <xf numFmtId="0" fontId="61" fillId="0" borderId="0" xfId="0" applyFont="1" applyProtection="1">
      <alignment vertical="center"/>
      <protection hidden="1"/>
    </xf>
    <xf numFmtId="3" fontId="30" fillId="0" borderId="73" xfId="0" applyNumberFormat="1" applyFont="1" applyBorder="1" applyAlignment="1" applyProtection="1">
      <alignment horizontal="left" vertical="center"/>
      <protection hidden="1"/>
    </xf>
    <xf numFmtId="0" fontId="51" fillId="0" borderId="75" xfId="0" applyFont="1" applyBorder="1" applyProtection="1">
      <alignment vertical="center"/>
      <protection hidden="1"/>
    </xf>
    <xf numFmtId="0" fontId="35" fillId="0" borderId="0" xfId="0" applyFont="1" applyAlignment="1" applyProtection="1">
      <alignment horizontal="left" vertical="center"/>
      <protection hidden="1"/>
    </xf>
    <xf numFmtId="2" fontId="35" fillId="0" borderId="0" xfId="0" applyNumberFormat="1" applyFont="1" applyAlignment="1" applyProtection="1">
      <alignment horizontal="left" vertical="center"/>
      <protection hidden="1"/>
    </xf>
    <xf numFmtId="0" fontId="62" fillId="0" borderId="59" xfId="0" applyFont="1" applyBorder="1" applyProtection="1">
      <alignment vertical="center"/>
      <protection hidden="1"/>
    </xf>
    <xf numFmtId="0" fontId="62" fillId="0" borderId="0" xfId="0" applyFont="1" applyProtection="1">
      <alignment vertical="center"/>
      <protection hidden="1"/>
    </xf>
    <xf numFmtId="0" fontId="62" fillId="0" borderId="63" xfId="0" applyFont="1" applyBorder="1" applyProtection="1">
      <alignment vertical="center"/>
      <protection hidden="1"/>
    </xf>
    <xf numFmtId="0" fontId="51" fillId="0" borderId="10" xfId="0" applyFont="1" applyBorder="1" applyProtection="1">
      <alignment vertical="center"/>
      <protection hidden="1"/>
    </xf>
    <xf numFmtId="0" fontId="11" fillId="0" borderId="10" xfId="0" applyFont="1" applyBorder="1" applyProtection="1">
      <alignment vertical="center"/>
      <protection hidden="1"/>
    </xf>
    <xf numFmtId="0" fontId="63" fillId="0" borderId="10" xfId="0" applyFont="1" applyBorder="1" applyProtection="1">
      <alignment vertical="center"/>
      <protection hidden="1"/>
    </xf>
    <xf numFmtId="0" fontId="44" fillId="0" borderId="10" xfId="0" applyFont="1" applyBorder="1" applyProtection="1">
      <alignment vertical="center"/>
      <protection hidden="1"/>
    </xf>
    <xf numFmtId="3" fontId="30" fillId="0" borderId="0" xfId="0" applyNumberFormat="1" applyFont="1" applyAlignment="1" applyProtection="1">
      <alignment horizontal="left" vertical="center"/>
      <protection hidden="1"/>
    </xf>
    <xf numFmtId="0" fontId="35" fillId="0" borderId="57" xfId="0" applyFont="1" applyBorder="1" applyAlignment="1" applyProtection="1">
      <alignment horizontal="left" vertical="center"/>
      <protection hidden="1"/>
    </xf>
    <xf numFmtId="3" fontId="35" fillId="0" borderId="79" xfId="0" applyNumberFormat="1" applyFont="1" applyBorder="1" applyAlignment="1" applyProtection="1">
      <alignment horizontal="left" vertical="center"/>
      <protection hidden="1"/>
    </xf>
    <xf numFmtId="0" fontId="51" fillId="0" borderId="62" xfId="0" applyFont="1" applyBorder="1" applyProtection="1">
      <alignment vertical="center"/>
      <protection hidden="1"/>
    </xf>
    <xf numFmtId="0" fontId="51" fillId="0" borderId="63" xfId="0" applyFont="1" applyBorder="1" applyProtection="1">
      <alignment vertical="center"/>
      <protection hidden="1"/>
    </xf>
    <xf numFmtId="0" fontId="44" fillId="0" borderId="10" xfId="35" applyNumberFormat="1" applyFont="1" applyFill="1" applyBorder="1" applyAlignment="1" applyProtection="1">
      <protection hidden="1"/>
    </xf>
    <xf numFmtId="3" fontId="35" fillId="0" borderId="0" xfId="0" applyNumberFormat="1" applyFont="1" applyAlignment="1" applyProtection="1">
      <alignment horizontal="left" vertical="center"/>
      <protection hidden="1"/>
    </xf>
    <xf numFmtId="0" fontId="51" fillId="0" borderId="62" xfId="0" applyFont="1" applyBorder="1" applyProtection="1">
      <alignment vertical="center"/>
      <protection locked="0"/>
    </xf>
    <xf numFmtId="0" fontId="51" fillId="0" borderId="0" xfId="0" applyFont="1" applyProtection="1">
      <alignment vertical="center"/>
      <protection locked="0"/>
    </xf>
    <xf numFmtId="0" fontId="51" fillId="0" borderId="63" xfId="0" applyFont="1" applyBorder="1" applyProtection="1">
      <alignment vertical="center"/>
      <protection locked="0"/>
    </xf>
    <xf numFmtId="0" fontId="44" fillId="0" borderId="10" xfId="0" applyFont="1" applyBorder="1" applyAlignment="1" applyProtection="1">
      <alignment horizontal="left" vertical="center" wrapText="1"/>
      <protection hidden="1"/>
    </xf>
    <xf numFmtId="3" fontId="30" fillId="0" borderId="57" xfId="0" applyNumberFormat="1" applyFont="1" applyBorder="1" applyAlignment="1" applyProtection="1">
      <alignment horizontal="left" vertical="center"/>
      <protection hidden="1"/>
    </xf>
    <xf numFmtId="0" fontId="51" fillId="0" borderId="79" xfId="0" applyFont="1" applyBorder="1" applyProtection="1">
      <alignment vertical="center"/>
      <protection hidden="1"/>
    </xf>
    <xf numFmtId="0" fontId="11" fillId="0" borderId="10" xfId="0" applyFont="1" applyBorder="1" applyAlignment="1" applyProtection="1">
      <alignment vertical="center" wrapText="1"/>
      <protection hidden="1"/>
    </xf>
    <xf numFmtId="3" fontId="30" fillId="0" borderId="50" xfId="0" applyNumberFormat="1" applyFont="1" applyBorder="1" applyAlignment="1" applyProtection="1">
      <alignment horizontal="left" vertical="center"/>
      <protection hidden="1"/>
    </xf>
    <xf numFmtId="0" fontId="51" fillId="0" borderId="82" xfId="0" applyFont="1" applyBorder="1" applyProtection="1">
      <alignment vertical="center"/>
      <protection hidden="1"/>
    </xf>
    <xf numFmtId="0" fontId="35" fillId="0" borderId="57" xfId="0" applyFont="1" applyBorder="1" applyProtection="1">
      <alignment vertical="center"/>
      <protection hidden="1"/>
    </xf>
    <xf numFmtId="0" fontId="35" fillId="0" borderId="79" xfId="0" applyFont="1" applyBorder="1" applyProtection="1">
      <alignment vertical="center"/>
      <protection hidden="1"/>
    </xf>
    <xf numFmtId="0" fontId="64" fillId="0" borderId="0" xfId="0" applyFont="1" applyProtection="1">
      <alignment vertical="center"/>
      <protection hidden="1"/>
    </xf>
    <xf numFmtId="0" fontId="35" fillId="0" borderId="0" xfId="0" applyFont="1" applyProtection="1">
      <alignment vertical="center"/>
      <protection hidden="1"/>
    </xf>
    <xf numFmtId="186" fontId="65" fillId="0" borderId="10" xfId="35" applyNumberFormat="1" applyFont="1" applyFill="1" applyBorder="1" applyAlignment="1" applyProtection="1">
      <alignment horizontal="center" vertical="center"/>
      <protection hidden="1"/>
    </xf>
    <xf numFmtId="37" fontId="35" fillId="0" borderId="0" xfId="0" applyNumberFormat="1" applyFont="1" applyAlignment="1" applyProtection="1">
      <alignment horizontal="left" vertical="center"/>
      <protection hidden="1"/>
    </xf>
    <xf numFmtId="0" fontId="51" fillId="0" borderId="76" xfId="0" applyFont="1" applyBorder="1" applyProtection="1">
      <alignment vertical="center"/>
      <protection hidden="1"/>
    </xf>
    <xf numFmtId="186" fontId="0" fillId="0" borderId="10" xfId="0" applyNumberFormat="1" applyBorder="1" applyProtection="1">
      <alignment vertical="center"/>
      <protection hidden="1"/>
    </xf>
    <xf numFmtId="0" fontId="34" fillId="0" borderId="0" xfId="0" applyFont="1" applyAlignment="1" applyProtection="1">
      <alignment horizontal="left" vertical="center"/>
      <protection hidden="1"/>
    </xf>
    <xf numFmtId="0" fontId="51" fillId="0" borderId="65" xfId="0" applyFont="1" applyBorder="1" applyProtection="1">
      <alignment vertical="center"/>
      <protection locked="0"/>
    </xf>
    <xf numFmtId="0" fontId="51" fillId="0" borderId="66" xfId="0" applyFont="1" applyBorder="1" applyProtection="1">
      <alignment vertical="center"/>
      <protection locked="0"/>
    </xf>
    <xf numFmtId="0" fontId="51" fillId="0" borderId="67" xfId="0" applyFont="1" applyBorder="1" applyProtection="1">
      <alignment vertical="center"/>
      <protection locked="0"/>
    </xf>
    <xf numFmtId="186" fontId="44" fillId="0" borderId="10" xfId="0" applyNumberFormat="1" applyFont="1" applyBorder="1" applyProtection="1">
      <alignment vertical="center"/>
      <protection hidden="1"/>
    </xf>
    <xf numFmtId="0" fontId="11" fillId="0" borderId="0" xfId="0" applyFont="1" applyProtection="1">
      <alignment vertical="center"/>
      <protection hidden="1"/>
    </xf>
    <xf numFmtId="3" fontId="66" fillId="0" borderId="64" xfId="0" applyNumberFormat="1" applyFont="1" applyBorder="1" applyAlignment="1" applyProtection="1">
      <alignment horizontal="left" vertical="center"/>
      <protection hidden="1"/>
    </xf>
    <xf numFmtId="3" fontId="66" fillId="0" borderId="17" xfId="0" applyNumberFormat="1" applyFont="1" applyBorder="1" applyAlignment="1" applyProtection="1">
      <alignment horizontal="left" vertical="center"/>
      <protection hidden="1"/>
    </xf>
    <xf numFmtId="3" fontId="67" fillId="0" borderId="0" xfId="0" applyNumberFormat="1" applyFont="1" applyAlignment="1" applyProtection="1">
      <alignment horizontal="left" vertical="center"/>
      <protection hidden="1"/>
    </xf>
    <xf numFmtId="0" fontId="68" fillId="0" borderId="64" xfId="0" applyFont="1" applyBorder="1" applyProtection="1">
      <alignment vertical="center"/>
      <protection hidden="1"/>
    </xf>
    <xf numFmtId="0" fontId="44" fillId="0" borderId="63" xfId="0" applyFont="1" applyBorder="1" applyProtection="1">
      <alignment vertical="center"/>
      <protection hidden="1"/>
    </xf>
    <xf numFmtId="0" fontId="51" fillId="0" borderId="66" xfId="0" applyFont="1" applyBorder="1" applyProtection="1">
      <alignment vertical="center"/>
      <protection hidden="1"/>
    </xf>
    <xf numFmtId="0" fontId="44" fillId="0" borderId="66" xfId="0" applyFont="1" applyBorder="1" applyProtection="1">
      <alignment vertical="center"/>
      <protection hidden="1"/>
    </xf>
    <xf numFmtId="0" fontId="68" fillId="0" borderId="83" xfId="0" applyFont="1" applyBorder="1" applyProtection="1">
      <alignment vertical="center"/>
      <protection hidden="1"/>
    </xf>
    <xf numFmtId="3" fontId="66" fillId="0" borderId="84" xfId="0" applyNumberFormat="1" applyFont="1" applyBorder="1" applyAlignment="1" applyProtection="1">
      <alignment horizontal="left" vertical="center"/>
      <protection hidden="1"/>
    </xf>
    <xf numFmtId="0" fontId="44" fillId="0" borderId="67" xfId="0" applyFont="1" applyBorder="1" applyProtection="1">
      <alignment vertical="center"/>
      <protection hidden="1"/>
    </xf>
    <xf numFmtId="0" fontId="69" fillId="0" borderId="60" xfId="0" applyFont="1" applyBorder="1" applyProtection="1">
      <alignment vertical="center"/>
      <protection hidden="1"/>
    </xf>
    <xf numFmtId="0" fontId="70" fillId="0" borderId="60" xfId="0" applyFont="1" applyBorder="1" applyProtection="1">
      <alignment vertical="center"/>
      <protection hidden="1"/>
    </xf>
    <xf numFmtId="0" fontId="51" fillId="0" borderId="60" xfId="0" applyFont="1" applyBorder="1" applyProtection="1">
      <alignment vertical="center"/>
      <protection hidden="1"/>
    </xf>
    <xf numFmtId="3" fontId="71" fillId="0" borderId="60" xfId="0" applyNumberFormat="1" applyFont="1" applyBorder="1" applyAlignment="1" applyProtection="1">
      <alignment horizontal="left" vertical="center"/>
      <protection hidden="1"/>
    </xf>
    <xf numFmtId="0" fontId="72" fillId="0" borderId="60" xfId="0" applyFont="1" applyBorder="1" applyProtection="1">
      <alignment vertical="center"/>
      <protection hidden="1"/>
    </xf>
    <xf numFmtId="37" fontId="34" fillId="0" borderId="60" xfId="0" applyNumberFormat="1" applyFont="1" applyBorder="1" applyAlignment="1" applyProtection="1">
      <alignment horizontal="left" vertical="center"/>
      <protection hidden="1"/>
    </xf>
    <xf numFmtId="0" fontId="59" fillId="30" borderId="59" xfId="0" applyFont="1" applyFill="1" applyBorder="1" applyProtection="1">
      <alignment vertical="center"/>
      <protection hidden="1"/>
    </xf>
    <xf numFmtId="0" fontId="73" fillId="30" borderId="60" xfId="0" applyFont="1" applyFill="1" applyBorder="1" applyAlignment="1" applyProtection="1">
      <alignment horizontal="right" vertical="center"/>
      <protection hidden="1"/>
    </xf>
    <xf numFmtId="0" fontId="73" fillId="30" borderId="60" xfId="0" applyFont="1" applyFill="1" applyBorder="1" applyProtection="1">
      <alignment vertical="center"/>
      <protection hidden="1"/>
    </xf>
    <xf numFmtId="0" fontId="74" fillId="30" borderId="60" xfId="0" applyFont="1" applyFill="1" applyBorder="1" applyProtection="1">
      <alignment vertical="center"/>
      <protection hidden="1"/>
    </xf>
    <xf numFmtId="0" fontId="58" fillId="30" borderId="69" xfId="0" applyFont="1" applyFill="1" applyBorder="1" applyAlignment="1" applyProtection="1">
      <alignment horizontal="left" vertical="center"/>
      <protection hidden="1"/>
    </xf>
    <xf numFmtId="0" fontId="75" fillId="30" borderId="69" xfId="0" applyFont="1" applyFill="1" applyBorder="1" applyAlignment="1" applyProtection="1">
      <alignment horizontal="right" vertical="center"/>
      <protection hidden="1"/>
    </xf>
    <xf numFmtId="0" fontId="32" fillId="0" borderId="59" xfId="0" applyFont="1" applyBorder="1" applyProtection="1">
      <alignment vertical="center"/>
      <protection hidden="1"/>
    </xf>
    <xf numFmtId="0" fontId="32" fillId="0" borderId="60" xfId="0" applyFont="1" applyBorder="1" applyProtection="1">
      <alignment vertical="center"/>
      <protection hidden="1"/>
    </xf>
    <xf numFmtId="0" fontId="76" fillId="0" borderId="61" xfId="0" applyFont="1" applyBorder="1" applyAlignment="1" applyProtection="1">
      <alignment horizontal="right" vertical="center"/>
      <protection hidden="1"/>
    </xf>
    <xf numFmtId="0" fontId="51" fillId="0" borderId="59" xfId="0" applyFont="1" applyBorder="1" applyProtection="1">
      <alignment vertical="center"/>
      <protection hidden="1"/>
    </xf>
    <xf numFmtId="38" fontId="44" fillId="0" borderId="10" xfId="35" applyFont="1" applyFill="1" applyBorder="1" applyAlignment="1" applyProtection="1">
      <protection hidden="1"/>
    </xf>
    <xf numFmtId="0" fontId="43" fillId="0" borderId="62" xfId="0" applyFont="1" applyBorder="1" applyProtection="1">
      <alignment vertical="center"/>
      <protection hidden="1"/>
    </xf>
    <xf numFmtId="186" fontId="65" fillId="0" borderId="0" xfId="0" applyNumberFormat="1" applyFont="1" applyAlignment="1" applyProtection="1">
      <alignment horizontal="center" vertical="center"/>
      <protection hidden="1"/>
    </xf>
    <xf numFmtId="0" fontId="32" fillId="0" borderId="62" xfId="0" applyFont="1" applyBorder="1" applyProtection="1">
      <alignment vertical="center"/>
      <protection hidden="1"/>
    </xf>
    <xf numFmtId="0" fontId="32" fillId="0" borderId="0" xfId="0" applyFont="1" applyProtection="1">
      <alignment vertical="center"/>
      <protection hidden="1"/>
    </xf>
    <xf numFmtId="0" fontId="36" fillId="0" borderId="0" xfId="0" applyFont="1" applyAlignment="1" applyProtection="1">
      <alignment horizontal="center" vertical="center"/>
      <protection hidden="1"/>
    </xf>
    <xf numFmtId="0" fontId="36" fillId="0" borderId="63" xfId="0" applyFont="1" applyBorder="1" applyAlignment="1" applyProtection="1">
      <alignment horizontal="center" vertical="center"/>
      <protection hidden="1"/>
    </xf>
    <xf numFmtId="0" fontId="43" fillId="0" borderId="62" xfId="0" applyFont="1" applyBorder="1" applyAlignment="1" applyProtection="1">
      <alignment horizontal="right" vertical="center"/>
      <protection hidden="1"/>
    </xf>
    <xf numFmtId="38" fontId="11" fillId="0" borderId="10" xfId="0" applyNumberFormat="1" applyFont="1" applyBorder="1" applyProtection="1">
      <alignment vertical="center"/>
      <protection hidden="1"/>
    </xf>
    <xf numFmtId="0" fontId="51" fillId="0" borderId="86" xfId="0" applyFont="1" applyBorder="1" applyProtection="1">
      <alignment vertical="center"/>
      <protection hidden="1"/>
    </xf>
    <xf numFmtId="0" fontId="51" fillId="0" borderId="87" xfId="0" applyFont="1" applyBorder="1" applyProtection="1">
      <alignment vertical="center"/>
      <protection hidden="1"/>
    </xf>
    <xf numFmtId="0" fontId="32" fillId="0" borderId="86" xfId="0" applyFont="1" applyBorder="1" applyProtection="1">
      <alignment vertical="center"/>
      <protection hidden="1"/>
    </xf>
    <xf numFmtId="0" fontId="32" fillId="0" borderId="87" xfId="0" applyFont="1" applyBorder="1" applyProtection="1">
      <alignment vertical="center"/>
      <protection hidden="1"/>
    </xf>
    <xf numFmtId="0" fontId="36" fillId="0" borderId="87" xfId="0" applyFont="1" applyBorder="1" applyAlignment="1" applyProtection="1">
      <alignment horizontal="center" vertical="center"/>
      <protection hidden="1"/>
    </xf>
    <xf numFmtId="0" fontId="36" fillId="0" borderId="88" xfId="0" applyFont="1" applyBorder="1" applyAlignment="1" applyProtection="1">
      <alignment horizontal="center" vertical="center"/>
      <protection hidden="1"/>
    </xf>
    <xf numFmtId="38" fontId="11" fillId="0" borderId="10" xfId="35" applyFont="1" applyFill="1" applyBorder="1" applyProtection="1">
      <alignment vertical="center"/>
      <protection hidden="1"/>
    </xf>
    <xf numFmtId="0" fontId="43" fillId="0" borderId="62" xfId="0" applyFont="1" applyBorder="1" applyAlignment="1" applyProtection="1">
      <alignment horizontal="left" vertical="center"/>
      <protection hidden="1"/>
    </xf>
    <xf numFmtId="0" fontId="77" fillId="0" borderId="0" xfId="0" applyFont="1" applyAlignment="1" applyProtection="1">
      <alignment horizontal="center" vertical="center"/>
      <protection hidden="1"/>
    </xf>
    <xf numFmtId="0" fontId="51" fillId="0" borderId="0" xfId="0" applyFont="1">
      <alignment vertical="center"/>
    </xf>
    <xf numFmtId="0" fontId="31" fillId="0" borderId="63" xfId="0" applyFont="1" applyBorder="1" applyAlignment="1" applyProtection="1">
      <alignment horizontal="right" vertical="center"/>
      <protection hidden="1"/>
    </xf>
    <xf numFmtId="0" fontId="11" fillId="0" borderId="10" xfId="0" applyFont="1" applyBorder="1" applyAlignment="1" applyProtection="1">
      <alignment horizontal="center"/>
      <protection hidden="1"/>
    </xf>
    <xf numFmtId="0" fontId="11" fillId="0" borderId="10" xfId="35" applyNumberFormat="1" applyFont="1" applyFill="1" applyBorder="1" applyAlignment="1" applyProtection="1">
      <protection hidden="1"/>
    </xf>
    <xf numFmtId="0" fontId="11" fillId="0" borderId="10" xfId="35" quotePrefix="1" applyNumberFormat="1" applyFont="1" applyFill="1" applyBorder="1" applyAlignment="1" applyProtection="1">
      <protection hidden="1"/>
    </xf>
    <xf numFmtId="0" fontId="43" fillId="0" borderId="86" xfId="0" applyFont="1" applyBorder="1" applyAlignment="1" applyProtection="1">
      <alignment horizontal="left" vertical="center"/>
      <protection hidden="1"/>
    </xf>
    <xf numFmtId="0" fontId="77" fillId="0" borderId="87" xfId="0" applyFont="1" applyBorder="1" applyAlignment="1" applyProtection="1">
      <alignment horizontal="center" vertical="center"/>
      <protection hidden="1"/>
    </xf>
    <xf numFmtId="0" fontId="51" fillId="0" borderId="87" xfId="0" applyFont="1" applyBorder="1">
      <alignment vertical="center"/>
    </xf>
    <xf numFmtId="0" fontId="31" fillId="0" borderId="88" xfId="0" applyFont="1" applyBorder="1" applyAlignment="1" applyProtection="1">
      <alignment horizontal="right" vertical="center"/>
      <protection hidden="1"/>
    </xf>
    <xf numFmtId="0" fontId="11" fillId="0" borderId="0" xfId="0" applyFont="1" applyAlignment="1" applyProtection="1">
      <alignment horizontal="center"/>
      <protection hidden="1"/>
    </xf>
    <xf numFmtId="0" fontId="11" fillId="0" borderId="0" xfId="35" applyNumberFormat="1" applyFont="1" applyFill="1" applyBorder="1" applyAlignment="1" applyProtection="1">
      <protection hidden="1"/>
    </xf>
    <xf numFmtId="0" fontId="62" fillId="0" borderId="62" xfId="0" applyFont="1" applyBorder="1" applyAlignment="1" applyProtection="1">
      <alignment vertical="center" wrapText="1"/>
      <protection hidden="1"/>
    </xf>
    <xf numFmtId="0" fontId="62" fillId="0" borderId="0" xfId="0" applyFont="1" applyAlignment="1" applyProtection="1">
      <alignment vertical="center" wrapText="1"/>
      <protection hidden="1"/>
    </xf>
    <xf numFmtId="0" fontId="62" fillId="0" borderId="63" xfId="0" applyFont="1" applyBorder="1" applyAlignment="1" applyProtection="1">
      <alignment vertical="center" wrapText="1"/>
      <protection hidden="1"/>
    </xf>
    <xf numFmtId="186" fontId="43" fillId="0" borderId="0" xfId="35" applyNumberFormat="1" applyFont="1" applyFill="1" applyBorder="1" applyAlignment="1" applyProtection="1">
      <alignment horizontal="right" vertical="center"/>
      <protection hidden="1"/>
    </xf>
    <xf numFmtId="0" fontId="16" fillId="0" borderId="0" xfId="0" applyFont="1" applyProtection="1">
      <alignment vertical="center"/>
      <protection hidden="1"/>
    </xf>
    <xf numFmtId="0" fontId="11" fillId="0" borderId="0" xfId="35" applyNumberFormat="1" applyFont="1" applyFill="1" applyBorder="1" applyAlignment="1" applyProtection="1">
      <alignment wrapText="1"/>
      <protection hidden="1"/>
    </xf>
    <xf numFmtId="186" fontId="43" fillId="0" borderId="0" xfId="35" applyNumberFormat="1" applyFont="1" applyFill="1" applyBorder="1" applyAlignment="1" applyProtection="1">
      <alignment horizontal="right" vertical="top"/>
      <protection hidden="1"/>
    </xf>
    <xf numFmtId="0" fontId="62" fillId="0" borderId="0" xfId="0" applyFont="1" applyAlignment="1" applyProtection="1">
      <alignment horizontal="left"/>
      <protection hidden="1"/>
    </xf>
    <xf numFmtId="0" fontId="51" fillId="0" borderId="65" xfId="0" applyFont="1" applyBorder="1" applyProtection="1">
      <alignment vertical="center"/>
      <protection hidden="1"/>
    </xf>
    <xf numFmtId="0" fontId="62" fillId="0" borderId="66" xfId="0" applyFont="1" applyBorder="1" applyAlignment="1" applyProtection="1">
      <alignment horizontal="left" vertical="top"/>
      <protection hidden="1"/>
    </xf>
    <xf numFmtId="0" fontId="51" fillId="0" borderId="67" xfId="0" applyFont="1" applyBorder="1" applyProtection="1">
      <alignment vertical="center"/>
      <protection hidden="1"/>
    </xf>
    <xf numFmtId="0" fontId="76" fillId="0" borderId="10" xfId="0" applyFont="1" applyBorder="1" applyProtection="1">
      <alignment vertical="center"/>
      <protection hidden="1"/>
    </xf>
    <xf numFmtId="0" fontId="16" fillId="0" borderId="10" xfId="0" applyFont="1" applyBorder="1" applyProtection="1">
      <alignment vertical="center"/>
      <protection hidden="1"/>
    </xf>
    <xf numFmtId="0" fontId="59" fillId="30" borderId="68" xfId="0" applyFont="1" applyFill="1" applyBorder="1" applyProtection="1">
      <alignment vertical="center"/>
      <protection hidden="1"/>
    </xf>
    <xf numFmtId="0" fontId="78" fillId="30" borderId="69" xfId="0" applyFont="1" applyFill="1" applyBorder="1" applyProtection="1">
      <alignment vertical="center"/>
      <protection hidden="1"/>
    </xf>
    <xf numFmtId="0" fontId="78" fillId="30" borderId="69" xfId="0" applyFont="1" applyFill="1" applyBorder="1" applyAlignment="1" applyProtection="1">
      <alignment horizontal="right" vertical="center"/>
      <protection hidden="1"/>
    </xf>
    <xf numFmtId="0" fontId="55" fillId="30" borderId="69" xfId="0" applyFont="1" applyFill="1" applyBorder="1" applyAlignment="1" applyProtection="1">
      <alignment horizontal="center" vertical="center"/>
      <protection hidden="1"/>
    </xf>
    <xf numFmtId="0" fontId="62" fillId="30" borderId="69" xfId="0" applyFont="1" applyFill="1" applyBorder="1" applyProtection="1">
      <alignment vertical="center"/>
      <protection hidden="1"/>
    </xf>
    <xf numFmtId="9" fontId="51" fillId="0" borderId="10" xfId="0" applyNumberFormat="1" applyFont="1" applyBorder="1" applyProtection="1">
      <alignment vertical="center"/>
      <protection hidden="1"/>
    </xf>
    <xf numFmtId="0" fontId="80" fillId="32" borderId="62" xfId="0" applyFont="1" applyFill="1" applyBorder="1" applyProtection="1">
      <alignment vertical="center"/>
      <protection hidden="1"/>
    </xf>
    <xf numFmtId="0" fontId="78" fillId="32" borderId="0" xfId="0" applyFont="1" applyFill="1" applyProtection="1">
      <alignment vertical="center"/>
      <protection hidden="1"/>
    </xf>
    <xf numFmtId="0" fontId="55" fillId="32" borderId="0" xfId="0" applyFont="1" applyFill="1" applyAlignment="1" applyProtection="1">
      <alignment horizontal="center" vertical="center"/>
      <protection hidden="1"/>
    </xf>
    <xf numFmtId="0" fontId="81" fillId="32" borderId="0" xfId="0" applyFont="1" applyFill="1" applyAlignment="1" applyProtection="1">
      <alignment horizontal="right" vertical="center"/>
      <protection hidden="1"/>
    </xf>
    <xf numFmtId="177" fontId="81" fillId="32" borderId="0" xfId="0" applyNumberFormat="1" applyFont="1" applyFill="1" applyAlignment="1" applyProtection="1">
      <alignment horizontal="right" vertical="center"/>
      <protection hidden="1"/>
    </xf>
    <xf numFmtId="182" fontId="61" fillId="0" borderId="0" xfId="0" applyNumberFormat="1" applyFont="1" applyAlignment="1" applyProtection="1">
      <alignment horizontal="left" vertical="center"/>
      <protection hidden="1"/>
    </xf>
    <xf numFmtId="0" fontId="61" fillId="0" borderId="0" xfId="0" applyFont="1" applyAlignment="1" applyProtection="1">
      <alignment horizontal="left" vertical="center"/>
      <protection hidden="1"/>
    </xf>
    <xf numFmtId="0" fontId="82" fillId="0" borderId="0" xfId="0" applyFont="1" applyAlignment="1" applyProtection="1">
      <alignment horizontal="left" vertical="center"/>
      <protection hidden="1"/>
    </xf>
    <xf numFmtId="0" fontId="84" fillId="0" borderId="0" xfId="0" applyFont="1" applyProtection="1">
      <alignment vertical="center"/>
      <protection hidden="1"/>
    </xf>
    <xf numFmtId="182" fontId="61" fillId="0" borderId="63" xfId="0" applyNumberFormat="1" applyFont="1" applyBorder="1" applyAlignment="1" applyProtection="1">
      <alignment horizontal="center" vertical="center"/>
      <protection hidden="1"/>
    </xf>
    <xf numFmtId="0" fontId="51" fillId="0" borderId="0" xfId="0" quotePrefix="1" applyFont="1" applyProtection="1">
      <alignment vertical="center"/>
      <protection hidden="1"/>
    </xf>
    <xf numFmtId="0" fontId="44" fillId="0" borderId="10" xfId="0" applyFont="1" applyBorder="1" applyAlignment="1" applyProtection="1">
      <alignment horizontal="left" vertical="center"/>
      <protection hidden="1"/>
    </xf>
    <xf numFmtId="194" fontId="44" fillId="0" borderId="10" xfId="0" applyNumberFormat="1" applyFont="1" applyBorder="1" applyAlignment="1" applyProtection="1">
      <alignment horizontal="left"/>
      <protection hidden="1"/>
    </xf>
    <xf numFmtId="177" fontId="44" fillId="0" borderId="10" xfId="0" applyNumberFormat="1" applyFont="1" applyBorder="1" applyAlignment="1" applyProtection="1">
      <alignment horizontal="right"/>
      <protection hidden="1"/>
    </xf>
    <xf numFmtId="177" fontId="44" fillId="0" borderId="10" xfId="0" applyNumberFormat="1" applyFont="1" applyBorder="1" applyProtection="1">
      <alignment vertical="center"/>
      <protection hidden="1"/>
    </xf>
    <xf numFmtId="182" fontId="30" fillId="0" borderId="0" xfId="0" applyNumberFormat="1" applyFont="1" applyAlignment="1" applyProtection="1">
      <alignment horizontal="left" vertical="center"/>
      <protection hidden="1"/>
    </xf>
    <xf numFmtId="0" fontId="11" fillId="0" borderId="10" xfId="0" applyFont="1" applyBorder="1" applyAlignment="1" applyProtection="1">
      <alignment horizontal="left" vertical="center"/>
      <protection hidden="1"/>
    </xf>
    <xf numFmtId="0" fontId="55" fillId="0" borderId="57" xfId="0" applyFont="1" applyBorder="1" applyAlignment="1" applyProtection="1">
      <alignment horizontal="center" vertical="center"/>
      <protection hidden="1"/>
    </xf>
    <xf numFmtId="0" fontId="55" fillId="0" borderId="57" xfId="0" applyFont="1" applyBorder="1" applyProtection="1">
      <alignment vertical="center"/>
      <protection hidden="1"/>
    </xf>
    <xf numFmtId="0" fontId="44" fillId="0" borderId="57" xfId="0" applyFont="1" applyBorder="1" applyProtection="1">
      <alignment vertical="center"/>
      <protection hidden="1"/>
    </xf>
    <xf numFmtId="0" fontId="44" fillId="0" borderId="79" xfId="0" applyFont="1" applyBorder="1" applyProtection="1">
      <alignment vertical="center"/>
      <protection hidden="1"/>
    </xf>
    <xf numFmtId="0" fontId="85" fillId="32" borderId="89" xfId="0" applyFont="1" applyFill="1" applyBorder="1" applyProtection="1">
      <alignment vertical="center"/>
      <protection hidden="1"/>
    </xf>
    <xf numFmtId="0" fontId="78" fillId="32" borderId="53" xfId="0" applyFont="1" applyFill="1" applyBorder="1" applyProtection="1">
      <alignment vertical="center"/>
      <protection hidden="1"/>
    </xf>
    <xf numFmtId="0" fontId="78" fillId="32" borderId="53" xfId="0" applyFont="1" applyFill="1" applyBorder="1" applyAlignment="1" applyProtection="1">
      <alignment horizontal="right" vertical="center"/>
      <protection hidden="1"/>
    </xf>
    <xf numFmtId="182" fontId="81" fillId="32" borderId="0" xfId="0" applyNumberFormat="1" applyFont="1" applyFill="1" applyAlignment="1" applyProtection="1">
      <alignment horizontal="right" vertical="center"/>
      <protection hidden="1"/>
    </xf>
    <xf numFmtId="0" fontId="61" fillId="0" borderId="62" xfId="0" applyFont="1" applyBorder="1" applyAlignment="1" applyProtection="1">
      <alignment horizontal="left" vertical="center"/>
      <protection hidden="1"/>
    </xf>
    <xf numFmtId="1" fontId="61" fillId="0" borderId="0" xfId="0" applyNumberFormat="1" applyFont="1" applyAlignment="1" applyProtection="1">
      <alignment horizontal="left" vertical="center"/>
      <protection hidden="1"/>
    </xf>
    <xf numFmtId="0" fontId="61" fillId="0" borderId="63" xfId="0" applyFont="1" applyBorder="1" applyAlignment="1" applyProtection="1">
      <alignment horizontal="left" vertical="center"/>
      <protection hidden="1"/>
    </xf>
    <xf numFmtId="0" fontId="62" fillId="0" borderId="62" xfId="0" applyFont="1" applyBorder="1" applyProtection="1">
      <alignment vertical="center"/>
      <protection hidden="1"/>
    </xf>
    <xf numFmtId="0" fontId="86" fillId="0" borderId="0" xfId="0" applyFont="1" applyProtection="1">
      <alignment vertical="center"/>
      <protection hidden="1"/>
    </xf>
    <xf numFmtId="0" fontId="35" fillId="0" borderId="0" xfId="0" applyFont="1" applyAlignment="1" applyProtection="1">
      <alignment horizontal="right" vertical="center"/>
      <protection hidden="1"/>
    </xf>
    <xf numFmtId="1" fontId="35" fillId="0" borderId="0" xfId="0" applyNumberFormat="1" applyFont="1" applyProtection="1">
      <alignment vertical="center"/>
      <protection hidden="1"/>
    </xf>
    <xf numFmtId="0" fontId="62" fillId="0" borderId="0" xfId="0" applyFont="1" applyAlignment="1" applyProtection="1">
      <alignment horizontal="right" vertical="center"/>
      <protection hidden="1"/>
    </xf>
    <xf numFmtId="0" fontId="30" fillId="0" borderId="0" xfId="0" applyFont="1" applyAlignment="1" applyProtection="1">
      <alignment horizontal="left" vertical="center"/>
      <protection hidden="1"/>
    </xf>
    <xf numFmtId="0" fontId="44" fillId="0" borderId="10" xfId="0" applyFont="1" applyBorder="1" applyAlignment="1" applyProtection="1">
      <alignment horizontal="right"/>
      <protection hidden="1"/>
    </xf>
    <xf numFmtId="0" fontId="35" fillId="0" borderId="62" xfId="0" applyFont="1" applyBorder="1" applyProtection="1">
      <alignment vertical="center"/>
      <protection hidden="1"/>
    </xf>
    <xf numFmtId="177" fontId="51" fillId="0" borderId="0" xfId="0" applyNumberFormat="1" applyFont="1" applyProtection="1">
      <alignment vertical="center"/>
      <protection hidden="1"/>
    </xf>
    <xf numFmtId="186" fontId="44" fillId="0" borderId="10" xfId="35" applyNumberFormat="1" applyFont="1" applyFill="1" applyBorder="1" applyAlignment="1" applyProtection="1">
      <alignment horizontal="right"/>
      <protection hidden="1"/>
    </xf>
    <xf numFmtId="0" fontId="11" fillId="0" borderId="10" xfId="0" applyFont="1" applyBorder="1" applyAlignment="1" applyProtection="1">
      <alignment horizontal="left"/>
      <protection hidden="1"/>
    </xf>
    <xf numFmtId="0" fontId="35" fillId="0" borderId="65" xfId="0" applyFont="1" applyBorder="1" applyProtection="1">
      <alignment vertical="center"/>
      <protection hidden="1"/>
    </xf>
    <xf numFmtId="0" fontId="35" fillId="0" borderId="66" xfId="0" applyFont="1" applyBorder="1" applyProtection="1">
      <alignment vertical="center"/>
      <protection hidden="1"/>
    </xf>
    <xf numFmtId="0" fontId="35" fillId="0" borderId="66" xfId="0" applyFont="1" applyBorder="1" applyAlignment="1" applyProtection="1">
      <alignment horizontal="right" vertical="center"/>
      <protection hidden="1"/>
    </xf>
    <xf numFmtId="0" fontId="55" fillId="0" borderId="66" xfId="0" applyFont="1" applyBorder="1" applyProtection="1">
      <alignment vertical="center"/>
      <protection hidden="1"/>
    </xf>
    <xf numFmtId="0" fontId="30" fillId="0" borderId="66" xfId="0" applyFont="1" applyBorder="1" applyAlignment="1" applyProtection="1">
      <alignment horizontal="left" vertical="center"/>
      <protection hidden="1"/>
    </xf>
    <xf numFmtId="0" fontId="62" fillId="0" borderId="66" xfId="0" applyFont="1" applyBorder="1" applyProtection="1">
      <alignment vertical="center"/>
      <protection hidden="1"/>
    </xf>
    <xf numFmtId="0" fontId="62" fillId="0" borderId="67" xfId="0" applyFont="1" applyBorder="1" applyProtection="1">
      <alignment vertical="center"/>
      <protection hidden="1"/>
    </xf>
    <xf numFmtId="0" fontId="0" fillId="0" borderId="10" xfId="0" applyBorder="1" applyProtection="1">
      <alignment vertical="center"/>
      <protection hidden="1"/>
    </xf>
    <xf numFmtId="177" fontId="44" fillId="33" borderId="10" xfId="0" applyNumberFormat="1" applyFont="1" applyFill="1" applyBorder="1" applyAlignment="1" applyProtection="1">
      <alignment horizontal="right"/>
      <protection hidden="1"/>
    </xf>
    <xf numFmtId="0" fontId="72" fillId="0" borderId="0" xfId="0" applyFont="1" applyProtection="1">
      <alignment vertical="center"/>
      <protection hidden="1"/>
    </xf>
    <xf numFmtId="0" fontId="30" fillId="0" borderId="0" xfId="0" applyFont="1" applyAlignment="1" applyProtection="1">
      <alignment horizontal="right" vertical="center"/>
      <protection hidden="1"/>
    </xf>
    <xf numFmtId="0" fontId="44" fillId="0" borderId="0" xfId="0" applyFont="1" applyAlignment="1" applyProtection="1">
      <alignment horizontal="right"/>
      <protection hidden="1"/>
    </xf>
    <xf numFmtId="0" fontId="78" fillId="30" borderId="60" xfId="0" applyFont="1" applyFill="1" applyBorder="1" applyProtection="1">
      <alignment vertical="center"/>
      <protection hidden="1"/>
    </xf>
    <xf numFmtId="0" fontId="78" fillId="30" borderId="60" xfId="0" applyFont="1" applyFill="1" applyBorder="1" applyAlignment="1" applyProtection="1">
      <alignment horizontal="right" vertical="center"/>
      <protection hidden="1"/>
    </xf>
    <xf numFmtId="0" fontId="87" fillId="30" borderId="60" xfId="0" applyFont="1" applyFill="1" applyBorder="1" applyAlignment="1" applyProtection="1">
      <alignment horizontal="right" vertical="top"/>
      <protection hidden="1"/>
    </xf>
    <xf numFmtId="0" fontId="55" fillId="30" borderId="60" xfId="0" applyFont="1" applyFill="1" applyBorder="1" applyAlignment="1" applyProtection="1">
      <alignment horizontal="center" vertical="center"/>
      <protection hidden="1"/>
    </xf>
    <xf numFmtId="0" fontId="62" fillId="30" borderId="60" xfId="0" applyFont="1" applyFill="1" applyBorder="1" applyProtection="1">
      <alignment vertical="center"/>
      <protection hidden="1"/>
    </xf>
    <xf numFmtId="0" fontId="87" fillId="30" borderId="61" xfId="0" applyFont="1" applyFill="1" applyBorder="1" applyAlignment="1" applyProtection="1">
      <alignment horizontal="right" vertical="center"/>
      <protection hidden="1"/>
    </xf>
    <xf numFmtId="0" fontId="78" fillId="34" borderId="53" xfId="0" applyFont="1" applyFill="1" applyBorder="1" applyProtection="1">
      <alignment vertical="center"/>
      <protection hidden="1"/>
    </xf>
    <xf numFmtId="0" fontId="78" fillId="34" borderId="53" xfId="0" applyFont="1" applyFill="1" applyBorder="1" applyAlignment="1" applyProtection="1">
      <alignment horizontal="right" vertical="center"/>
      <protection hidden="1"/>
    </xf>
    <xf numFmtId="0" fontId="88" fillId="34" borderId="54" xfId="0" applyFont="1" applyFill="1" applyBorder="1" applyProtection="1">
      <alignment vertical="center"/>
      <protection hidden="1"/>
    </xf>
    <xf numFmtId="0" fontId="88" fillId="34" borderId="53" xfId="0" applyFont="1" applyFill="1" applyBorder="1" applyAlignment="1" applyProtection="1">
      <alignment horizontal="center" vertical="center"/>
      <protection hidden="1"/>
    </xf>
    <xf numFmtId="0" fontId="88" fillId="34" borderId="90" xfId="0" applyFont="1" applyFill="1" applyBorder="1" applyAlignment="1" applyProtection="1">
      <alignment horizontal="center" vertical="center"/>
      <protection hidden="1"/>
    </xf>
    <xf numFmtId="195" fontId="44" fillId="0" borderId="0" xfId="0" applyNumberFormat="1" applyFont="1" applyProtection="1">
      <alignment vertical="center"/>
      <protection hidden="1"/>
    </xf>
    <xf numFmtId="0" fontId="89" fillId="34" borderId="89" xfId="0" applyFont="1" applyFill="1" applyBorder="1" applyProtection="1">
      <alignment vertical="center"/>
      <protection hidden="1"/>
    </xf>
    <xf numFmtId="0" fontId="88" fillId="34" borderId="54" xfId="0" applyFont="1" applyFill="1" applyBorder="1" applyAlignment="1" applyProtection="1">
      <alignment horizontal="center" vertical="center"/>
      <protection hidden="1"/>
    </xf>
    <xf numFmtId="0" fontId="89" fillId="34" borderId="64" xfId="0" applyFont="1" applyFill="1" applyBorder="1">
      <alignment vertical="center"/>
    </xf>
    <xf numFmtId="0" fontId="88" fillId="34" borderId="0" xfId="0" applyFont="1" applyFill="1" applyAlignment="1" applyProtection="1">
      <alignment horizontal="center" vertical="center"/>
      <protection hidden="1"/>
    </xf>
    <xf numFmtId="0" fontId="88" fillId="34" borderId="17" xfId="0" applyFont="1" applyFill="1" applyBorder="1" applyAlignment="1" applyProtection="1">
      <alignment horizontal="center" vertical="center"/>
      <protection hidden="1"/>
    </xf>
    <xf numFmtId="0" fontId="89" fillId="34" borderId="52" xfId="0" applyFont="1" applyFill="1" applyBorder="1">
      <alignment vertical="center"/>
    </xf>
    <xf numFmtId="0" fontId="88" fillId="34" borderId="0" xfId="0" applyFont="1" applyFill="1" applyAlignment="1" applyProtection="1">
      <alignment horizontal="left" vertical="center"/>
      <protection hidden="1"/>
    </xf>
    <xf numFmtId="0" fontId="78" fillId="34" borderId="0" xfId="0" applyFont="1" applyFill="1" applyAlignment="1" applyProtection="1">
      <alignment horizontal="right" vertical="center"/>
      <protection hidden="1"/>
    </xf>
    <xf numFmtId="0" fontId="78" fillId="34" borderId="63" xfId="0" applyFont="1" applyFill="1" applyBorder="1" applyAlignment="1" applyProtection="1">
      <alignment horizontal="right" vertical="center"/>
      <protection hidden="1"/>
    </xf>
    <xf numFmtId="0" fontId="89" fillId="34" borderId="89" xfId="0" applyFont="1" applyFill="1" applyBorder="1">
      <alignment vertical="center"/>
    </xf>
    <xf numFmtId="0" fontId="88" fillId="34" borderId="53" xfId="0" applyFont="1" applyFill="1" applyBorder="1" applyAlignment="1" applyProtection="1">
      <alignment horizontal="left" vertical="center"/>
      <protection hidden="1"/>
    </xf>
    <xf numFmtId="0" fontId="78" fillId="34" borderId="54" xfId="0" applyFont="1" applyFill="1" applyBorder="1" applyAlignment="1" applyProtection="1">
      <alignment horizontal="right" vertical="center"/>
      <protection hidden="1"/>
    </xf>
    <xf numFmtId="0" fontId="89" fillId="34" borderId="0" xfId="0" applyFont="1" applyFill="1">
      <alignment vertical="center"/>
    </xf>
    <xf numFmtId="0" fontId="89" fillId="34" borderId="53" xfId="0" applyFont="1" applyFill="1" applyBorder="1">
      <alignment vertical="center"/>
    </xf>
    <xf numFmtId="0" fontId="78" fillId="34" borderId="90" xfId="0" applyFont="1" applyFill="1" applyBorder="1" applyAlignment="1" applyProtection="1">
      <alignment horizontal="right" vertical="center"/>
      <protection hidden="1"/>
    </xf>
    <xf numFmtId="0" fontId="58" fillId="35" borderId="68" xfId="0" applyFont="1" applyFill="1" applyBorder="1" applyProtection="1">
      <alignment vertical="center"/>
      <protection hidden="1"/>
    </xf>
    <xf numFmtId="0" fontId="78" fillId="35" borderId="69" xfId="0" applyFont="1" applyFill="1" applyBorder="1" applyProtection="1">
      <alignment vertical="center"/>
      <protection hidden="1"/>
    </xf>
    <xf numFmtId="0" fontId="78" fillId="35" borderId="69" xfId="0" applyFont="1" applyFill="1" applyBorder="1" applyAlignment="1" applyProtection="1">
      <alignment horizontal="right" vertical="center"/>
      <protection hidden="1"/>
    </xf>
    <xf numFmtId="0" fontId="79" fillId="35" borderId="69" xfId="0" applyFont="1" applyFill="1" applyBorder="1" applyAlignment="1" applyProtection="1">
      <alignment vertical="top"/>
      <protection hidden="1"/>
    </xf>
    <xf numFmtId="0" fontId="62" fillId="35" borderId="69" xfId="0" applyFont="1" applyFill="1" applyBorder="1" applyProtection="1">
      <alignment vertical="center"/>
      <protection hidden="1"/>
    </xf>
    <xf numFmtId="0" fontId="87" fillId="35" borderId="69" xfId="0" applyFont="1" applyFill="1" applyBorder="1" applyProtection="1">
      <alignment vertical="center"/>
      <protection hidden="1"/>
    </xf>
    <xf numFmtId="0" fontId="79" fillId="35" borderId="71" xfId="0" applyFont="1" applyFill="1" applyBorder="1" applyAlignment="1" applyProtection="1">
      <alignment horizontal="right" vertical="center"/>
      <protection hidden="1"/>
    </xf>
    <xf numFmtId="0" fontId="58" fillId="36" borderId="59" xfId="0" applyFont="1" applyFill="1" applyBorder="1" applyProtection="1">
      <alignment vertical="center"/>
      <protection hidden="1"/>
    </xf>
    <xf numFmtId="0" fontId="78" fillId="36" borderId="60" xfId="0" applyFont="1" applyFill="1" applyBorder="1" applyProtection="1">
      <alignment vertical="center"/>
      <protection hidden="1"/>
    </xf>
    <xf numFmtId="0" fontId="78" fillId="36" borderId="60" xfId="0" applyFont="1" applyFill="1" applyBorder="1" applyAlignment="1" applyProtection="1">
      <alignment horizontal="right" vertical="center"/>
      <protection hidden="1"/>
    </xf>
    <xf numFmtId="0" fontId="87" fillId="36" borderId="60" xfId="0" applyFont="1" applyFill="1" applyBorder="1" applyProtection="1">
      <alignment vertical="center"/>
      <protection hidden="1"/>
    </xf>
    <xf numFmtId="0" fontId="7" fillId="36" borderId="60" xfId="0" applyFont="1" applyFill="1" applyBorder="1" applyProtection="1">
      <alignment vertical="center"/>
      <protection hidden="1"/>
    </xf>
    <xf numFmtId="0" fontId="62" fillId="36" borderId="60" xfId="0" applyFont="1" applyFill="1" applyBorder="1" applyProtection="1">
      <alignment vertical="center"/>
      <protection hidden="1"/>
    </xf>
    <xf numFmtId="0" fontId="7" fillId="36" borderId="61" xfId="0" applyFont="1" applyFill="1" applyBorder="1" applyAlignment="1" applyProtection="1">
      <alignment horizontal="right" vertical="center"/>
      <protection hidden="1"/>
    </xf>
    <xf numFmtId="0" fontId="54" fillId="37" borderId="59" xfId="0" applyFont="1" applyFill="1" applyBorder="1" applyAlignment="1" applyProtection="1">
      <alignment horizontal="left" vertical="center"/>
      <protection hidden="1"/>
    </xf>
    <xf numFmtId="0" fontId="54" fillId="37" borderId="60" xfId="0" applyFont="1" applyFill="1" applyBorder="1" applyAlignment="1" applyProtection="1">
      <alignment horizontal="left" vertical="center"/>
      <protection hidden="1"/>
    </xf>
    <xf numFmtId="0" fontId="54" fillId="37" borderId="60" xfId="0" applyFont="1" applyFill="1" applyBorder="1" applyAlignment="1" applyProtection="1">
      <alignment horizontal="right" vertical="center"/>
      <protection hidden="1"/>
    </xf>
    <xf numFmtId="0" fontId="37" fillId="31" borderId="60" xfId="0" applyFont="1" applyFill="1" applyBorder="1" applyProtection="1">
      <alignment vertical="center"/>
      <protection hidden="1"/>
    </xf>
    <xf numFmtId="0" fontId="35" fillId="31" borderId="60" xfId="0" applyFont="1" applyFill="1" applyBorder="1" applyProtection="1">
      <alignment vertical="center"/>
      <protection hidden="1"/>
    </xf>
    <xf numFmtId="0" fontId="62" fillId="31" borderId="60" xfId="0" applyFont="1" applyFill="1" applyBorder="1" applyProtection="1">
      <alignment vertical="center"/>
      <protection hidden="1"/>
    </xf>
    <xf numFmtId="0" fontId="35" fillId="31" borderId="61" xfId="0" applyFont="1" applyFill="1" applyBorder="1" applyAlignment="1" applyProtection="1">
      <alignment horizontal="right" vertical="center"/>
      <protection hidden="1"/>
    </xf>
    <xf numFmtId="0" fontId="54" fillId="37" borderId="62" xfId="0" applyFont="1" applyFill="1" applyBorder="1" applyAlignment="1" applyProtection="1">
      <alignment horizontal="left" vertical="center"/>
      <protection hidden="1"/>
    </xf>
    <xf numFmtId="49" fontId="34" fillId="37" borderId="0" xfId="0" applyNumberFormat="1" applyFont="1" applyFill="1" applyAlignment="1" applyProtection="1">
      <alignment horizontal="left" vertical="center"/>
      <protection hidden="1"/>
    </xf>
    <xf numFmtId="49" fontId="35" fillId="37" borderId="0" xfId="0" applyNumberFormat="1" applyFont="1" applyFill="1" applyAlignment="1" applyProtection="1">
      <alignment horizontal="right" vertical="center"/>
      <protection hidden="1"/>
    </xf>
    <xf numFmtId="49" fontId="30" fillId="24" borderId="0" xfId="0" applyNumberFormat="1" applyFont="1" applyFill="1" applyAlignment="1" applyProtection="1">
      <alignment horizontal="left" vertical="center"/>
      <protection locked="0"/>
    </xf>
    <xf numFmtId="49" fontId="34" fillId="0" borderId="0" xfId="0" applyNumberFormat="1" applyFont="1" applyAlignment="1" applyProtection="1">
      <alignment horizontal="left" vertical="center"/>
      <protection hidden="1"/>
    </xf>
    <xf numFmtId="49" fontId="35" fillId="0" borderId="0" xfId="0" applyNumberFormat="1" applyFont="1" applyAlignment="1" applyProtection="1">
      <alignment horizontal="left" vertical="center"/>
      <protection hidden="1"/>
    </xf>
    <xf numFmtId="49" fontId="30" fillId="24" borderId="0" xfId="0" applyNumberFormat="1" applyFont="1" applyFill="1" applyAlignment="1" applyProtection="1">
      <alignment horizontal="right" vertical="center"/>
      <protection locked="0"/>
    </xf>
    <xf numFmtId="0" fontId="35" fillId="24" borderId="0" xfId="0" applyFont="1" applyFill="1" applyAlignment="1" applyProtection="1">
      <alignment horizontal="center" vertical="center"/>
      <protection locked="0"/>
    </xf>
    <xf numFmtId="0" fontId="35" fillId="0" borderId="0" xfId="0" applyFont="1" applyAlignment="1" applyProtection="1">
      <alignment horizontal="center" vertical="center"/>
      <protection hidden="1"/>
    </xf>
    <xf numFmtId="49" fontId="30" fillId="0" borderId="0" xfId="0" applyNumberFormat="1" applyFont="1" applyAlignment="1" applyProtection="1">
      <alignment horizontal="center" vertical="center"/>
      <protection hidden="1"/>
    </xf>
    <xf numFmtId="49" fontId="30" fillId="0" borderId="63" xfId="0" applyNumberFormat="1" applyFont="1" applyBorder="1" applyAlignment="1" applyProtection="1">
      <alignment horizontal="left" vertical="center"/>
      <protection hidden="1"/>
    </xf>
    <xf numFmtId="0" fontId="34" fillId="37" borderId="0" xfId="0" applyFont="1" applyFill="1" applyProtection="1">
      <alignment vertical="center"/>
      <protection hidden="1"/>
    </xf>
    <xf numFmtId="0" fontId="35" fillId="37" borderId="0" xfId="0" applyFont="1" applyFill="1" applyAlignment="1" applyProtection="1">
      <alignment horizontal="right" vertical="center"/>
      <protection hidden="1"/>
    </xf>
    <xf numFmtId="0" fontId="35" fillId="24" borderId="0" xfId="0" applyFont="1" applyFill="1" applyProtection="1">
      <alignment vertical="center"/>
      <protection locked="0"/>
    </xf>
    <xf numFmtId="0" fontId="35" fillId="24" borderId="0" xfId="0" applyFont="1" applyFill="1" applyAlignment="1" applyProtection="1">
      <alignment horizontal="right" vertical="center"/>
      <protection locked="0"/>
    </xf>
    <xf numFmtId="0" fontId="35" fillId="0" borderId="63" xfId="0" applyFont="1" applyBorder="1" applyProtection="1">
      <alignment vertical="center"/>
      <protection hidden="1"/>
    </xf>
    <xf numFmtId="0" fontId="75" fillId="0" borderId="0" xfId="0" applyFont="1" applyProtection="1">
      <alignment vertical="center"/>
      <protection hidden="1"/>
    </xf>
    <xf numFmtId="0" fontId="75" fillId="37" borderId="62" xfId="0" applyFont="1" applyFill="1" applyBorder="1" applyProtection="1">
      <alignment vertical="center"/>
      <protection hidden="1"/>
    </xf>
    <xf numFmtId="0" fontId="34" fillId="37" borderId="0" xfId="0" applyFont="1" applyFill="1" applyAlignment="1" applyProtection="1">
      <alignment horizontal="left" vertical="center"/>
      <protection hidden="1"/>
    </xf>
    <xf numFmtId="49" fontId="35" fillId="0" borderId="0" xfId="0" applyNumberFormat="1" applyFont="1" applyAlignment="1" applyProtection="1">
      <alignment horizontal="center" vertical="center"/>
      <protection hidden="1"/>
    </xf>
    <xf numFmtId="0" fontId="35" fillId="37" borderId="0" xfId="0" applyFont="1" applyFill="1" applyAlignment="1" applyProtection="1">
      <alignment horizontal="left" vertical="center"/>
      <protection hidden="1"/>
    </xf>
    <xf numFmtId="49" fontId="35" fillId="0" borderId="63" xfId="0" applyNumberFormat="1" applyFont="1" applyBorder="1" applyAlignment="1" applyProtection="1">
      <alignment horizontal="left" vertical="center"/>
      <protection hidden="1"/>
    </xf>
    <xf numFmtId="0" fontId="34" fillId="0" borderId="0" xfId="0" applyFont="1" applyProtection="1">
      <alignment vertical="center"/>
      <protection hidden="1"/>
    </xf>
    <xf numFmtId="0" fontId="54" fillId="37" borderId="65" xfId="0" applyFont="1" applyFill="1" applyBorder="1" applyAlignment="1" applyProtection="1">
      <alignment horizontal="left" vertical="center"/>
      <protection hidden="1"/>
    </xf>
    <xf numFmtId="0" fontId="35" fillId="24" borderId="66" xfId="0" applyFont="1" applyFill="1" applyBorder="1" applyAlignment="1" applyProtection="1">
      <alignment horizontal="left" vertical="center"/>
      <protection locked="0"/>
    </xf>
    <xf numFmtId="0" fontId="35" fillId="37" borderId="66" xfId="0" applyFont="1" applyFill="1" applyBorder="1" applyAlignment="1" applyProtection="1">
      <alignment horizontal="right" vertical="center"/>
      <protection hidden="1"/>
    </xf>
    <xf numFmtId="0" fontId="35" fillId="24" borderId="66" xfId="0" applyFont="1" applyFill="1" applyBorder="1" applyProtection="1">
      <alignment vertical="center"/>
      <protection locked="0"/>
    </xf>
    <xf numFmtId="0" fontId="34" fillId="0" borderId="66" xfId="0" applyFont="1" applyBorder="1" applyProtection="1">
      <alignment vertical="center"/>
      <protection hidden="1"/>
    </xf>
    <xf numFmtId="0" fontId="35" fillId="24" borderId="66" xfId="0" applyFont="1" applyFill="1" applyBorder="1" applyAlignment="1" applyProtection="1">
      <alignment horizontal="right" vertical="center"/>
      <protection locked="0"/>
    </xf>
    <xf numFmtId="0" fontId="35" fillId="0" borderId="66" xfId="0" applyFont="1" applyBorder="1" applyAlignment="1" applyProtection="1">
      <alignment horizontal="center" vertical="center"/>
      <protection hidden="1"/>
    </xf>
    <xf numFmtId="0" fontId="35" fillId="0" borderId="67" xfId="0" applyFont="1" applyBorder="1" applyProtection="1">
      <alignment vertical="center"/>
      <protection hidden="1"/>
    </xf>
    <xf numFmtId="0" fontId="58" fillId="36" borderId="68" xfId="0" applyFont="1" applyFill="1" applyBorder="1" applyAlignment="1" applyProtection="1">
      <alignment horizontal="left" vertical="center"/>
      <protection hidden="1"/>
    </xf>
    <xf numFmtId="0" fontId="87" fillId="36" borderId="69" xfId="0" applyFont="1" applyFill="1" applyBorder="1" applyAlignment="1" applyProtection="1">
      <alignment horizontal="left" vertical="center"/>
      <protection hidden="1"/>
    </xf>
    <xf numFmtId="0" fontId="87" fillId="36" borderId="69" xfId="0" applyFont="1" applyFill="1" applyBorder="1" applyAlignment="1" applyProtection="1">
      <alignment horizontal="right" vertical="center"/>
      <protection hidden="1"/>
    </xf>
    <xf numFmtId="0" fontId="87" fillId="36" borderId="69" xfId="0" applyFont="1" applyFill="1" applyBorder="1" applyProtection="1">
      <alignment vertical="center"/>
      <protection hidden="1"/>
    </xf>
    <xf numFmtId="0" fontId="92" fillId="36" borderId="69" xfId="0" applyFont="1" applyFill="1" applyBorder="1" applyProtection="1">
      <alignment vertical="center"/>
      <protection hidden="1"/>
    </xf>
    <xf numFmtId="0" fontId="92" fillId="36" borderId="71" xfId="0" applyFont="1" applyFill="1" applyBorder="1" applyProtection="1">
      <alignment vertical="center"/>
      <protection hidden="1"/>
    </xf>
    <xf numFmtId="0" fontId="9" fillId="32" borderId="59" xfId="0" applyFont="1" applyFill="1" applyBorder="1" applyProtection="1">
      <alignment vertical="center"/>
      <protection hidden="1"/>
    </xf>
    <xf numFmtId="0" fontId="88" fillId="32" borderId="60" xfId="0" applyFont="1" applyFill="1" applyBorder="1" applyProtection="1">
      <alignment vertical="center"/>
      <protection hidden="1"/>
    </xf>
    <xf numFmtId="0" fontId="88" fillId="32" borderId="60" xfId="0" applyFont="1" applyFill="1" applyBorder="1" applyAlignment="1" applyProtection="1">
      <alignment horizontal="right" vertical="center"/>
      <protection hidden="1"/>
    </xf>
    <xf numFmtId="182" fontId="59" fillId="32" borderId="60" xfId="0" applyNumberFormat="1" applyFont="1" applyFill="1" applyBorder="1" applyAlignment="1" applyProtection="1">
      <alignment horizontal="center" vertical="center"/>
      <protection hidden="1"/>
    </xf>
    <xf numFmtId="0" fontId="75" fillId="32" borderId="60" xfId="0" applyFont="1" applyFill="1" applyBorder="1" applyProtection="1">
      <alignment vertical="center"/>
      <protection hidden="1"/>
    </xf>
    <xf numFmtId="0" fontId="9" fillId="32" borderId="91" xfId="0" applyFont="1" applyFill="1" applyBorder="1" applyProtection="1">
      <alignment vertical="center"/>
      <protection hidden="1"/>
    </xf>
    <xf numFmtId="0" fontId="59" fillId="32" borderId="60" xfId="0" applyFont="1" applyFill="1" applyBorder="1" applyProtection="1">
      <alignment vertical="center"/>
      <protection hidden="1"/>
    </xf>
    <xf numFmtId="0" fontId="59" fillId="32" borderId="60" xfId="0" applyFont="1" applyFill="1" applyBorder="1" applyAlignment="1" applyProtection="1">
      <alignment horizontal="right" vertical="center"/>
      <protection hidden="1"/>
    </xf>
    <xf numFmtId="0" fontId="88" fillId="32" borderId="61" xfId="0" applyFont="1" applyFill="1" applyBorder="1" applyProtection="1">
      <alignment vertical="center"/>
      <protection hidden="1"/>
    </xf>
    <xf numFmtId="0" fontId="62" fillId="0" borderId="62" xfId="0" applyFont="1" applyBorder="1" applyAlignment="1" applyProtection="1">
      <alignment horizontal="left" vertical="center"/>
      <protection hidden="1"/>
    </xf>
    <xf numFmtId="0" fontId="93" fillId="24" borderId="0" xfId="0" applyFont="1" applyFill="1" applyAlignment="1" applyProtection="1">
      <alignment horizontal="left" vertical="center"/>
      <protection locked="0"/>
    </xf>
    <xf numFmtId="0" fontId="94" fillId="0" borderId="0" xfId="0" applyFont="1" applyAlignment="1" applyProtection="1">
      <alignment horizontal="right" vertical="center"/>
      <protection hidden="1"/>
    </xf>
    <xf numFmtId="0" fontId="93" fillId="24" borderId="64" xfId="0" applyFont="1" applyFill="1" applyBorder="1" applyAlignment="1" applyProtection="1">
      <alignment horizontal="left" vertical="center"/>
      <protection locked="0"/>
    </xf>
    <xf numFmtId="0" fontId="76" fillId="0" borderId="0" xfId="0" applyFont="1" applyProtection="1">
      <alignment vertical="center"/>
      <protection hidden="1"/>
    </xf>
    <xf numFmtId="0" fontId="62" fillId="0" borderId="65" xfId="0" applyFont="1" applyBorder="1" applyAlignment="1" applyProtection="1">
      <alignment horizontal="left" vertical="center"/>
      <protection hidden="1"/>
    </xf>
    <xf numFmtId="0" fontId="94" fillId="24" borderId="66" xfId="0" applyFont="1" applyFill="1" applyBorder="1" applyAlignment="1" applyProtection="1">
      <alignment horizontal="left" vertical="center"/>
      <protection locked="0"/>
    </xf>
    <xf numFmtId="0" fontId="94" fillId="0" borderId="66" xfId="0" applyFont="1" applyBorder="1" applyAlignment="1" applyProtection="1">
      <alignment horizontal="right" vertical="center"/>
      <protection hidden="1"/>
    </xf>
    <xf numFmtId="0" fontId="94" fillId="24" borderId="83" xfId="0" applyFont="1" applyFill="1" applyBorder="1" applyAlignment="1" applyProtection="1">
      <alignment horizontal="left" vertical="center"/>
      <protection locked="0"/>
    </xf>
    <xf numFmtId="0" fontId="39" fillId="0" borderId="66" xfId="0" applyFont="1" applyBorder="1" applyAlignment="1" applyProtection="1">
      <alignment horizontal="left" vertical="top"/>
      <protection hidden="1"/>
    </xf>
    <xf numFmtId="0" fontId="39" fillId="0" borderId="67" xfId="0" applyFont="1" applyBorder="1" applyAlignment="1" applyProtection="1">
      <alignment horizontal="left" vertical="top"/>
      <protection hidden="1"/>
    </xf>
    <xf numFmtId="0" fontId="95" fillId="0" borderId="52" xfId="0" quotePrefix="1" applyFont="1" applyBorder="1" applyAlignment="1" applyProtection="1">
      <alignment horizontal="left" vertical="center"/>
      <protection hidden="1"/>
    </xf>
    <xf numFmtId="0" fontId="96" fillId="0" borderId="53" xfId="0" applyFont="1" applyBorder="1" applyAlignment="1" applyProtection="1">
      <alignment horizontal="right" vertical="center"/>
      <protection hidden="1"/>
    </xf>
    <xf numFmtId="0" fontId="54" fillId="0" borderId="53" xfId="0" applyFont="1" applyBorder="1" applyAlignment="1" applyProtection="1">
      <alignment horizontal="right" vertical="center"/>
      <protection hidden="1"/>
    </xf>
    <xf numFmtId="0" fontId="96" fillId="0" borderId="53" xfId="0" quotePrefix="1" applyFont="1" applyBorder="1" applyAlignment="1" applyProtection="1">
      <alignment horizontal="left" vertical="center"/>
      <protection hidden="1"/>
    </xf>
    <xf numFmtId="0" fontId="51" fillId="0" borderId="53" xfId="0" applyFont="1" applyBorder="1" applyProtection="1">
      <alignment vertical="center"/>
      <protection hidden="1"/>
    </xf>
    <xf numFmtId="0" fontId="96" fillId="0" borderId="53" xfId="0" quotePrefix="1" applyFont="1" applyBorder="1" applyAlignment="1" applyProtection="1">
      <alignment horizontal="center" vertical="center"/>
      <protection hidden="1"/>
    </xf>
    <xf numFmtId="0" fontId="96" fillId="0" borderId="53" xfId="0" applyFont="1" applyBorder="1" applyAlignment="1" applyProtection="1">
      <alignment horizontal="center" vertical="center"/>
      <protection hidden="1"/>
    </xf>
    <xf numFmtId="0" fontId="96" fillId="0" borderId="53" xfId="0" applyFont="1" applyBorder="1" applyProtection="1">
      <alignment vertical="center"/>
      <protection hidden="1"/>
    </xf>
    <xf numFmtId="0" fontId="96" fillId="0" borderId="54" xfId="0" applyFont="1" applyBorder="1" applyProtection="1">
      <alignment vertical="center"/>
      <protection hidden="1"/>
    </xf>
    <xf numFmtId="0" fontId="95" fillId="0" borderId="64" xfId="0" quotePrefix="1" applyFont="1" applyBorder="1" applyAlignment="1" applyProtection="1">
      <alignment horizontal="left" vertical="center"/>
      <protection hidden="1"/>
    </xf>
    <xf numFmtId="0" fontId="97" fillId="0" borderId="0" xfId="0" applyFont="1" applyAlignment="1" applyProtection="1">
      <alignment horizontal="right" vertical="center"/>
      <protection hidden="1"/>
    </xf>
    <xf numFmtId="0" fontId="96" fillId="0" borderId="0" xfId="0" applyFont="1" applyAlignment="1" applyProtection="1">
      <alignment horizontal="center" vertical="center"/>
      <protection hidden="1"/>
    </xf>
    <xf numFmtId="0" fontId="96" fillId="0" borderId="0" xfId="0" applyFont="1" applyAlignment="1" applyProtection="1">
      <alignment horizontal="right" vertical="center"/>
      <protection hidden="1"/>
    </xf>
    <xf numFmtId="0" fontId="96" fillId="0" borderId="17" xfId="0" applyFont="1" applyBorder="1" applyAlignment="1" applyProtection="1">
      <alignment horizontal="right" vertical="center"/>
      <protection hidden="1"/>
    </xf>
    <xf numFmtId="0" fontId="97" fillId="0" borderId="0" xfId="0" applyFont="1" applyAlignment="1" applyProtection="1">
      <alignment horizontal="left" vertical="center"/>
      <protection hidden="1"/>
    </xf>
    <xf numFmtId="0" fontId="97" fillId="0" borderId="0" xfId="0" quotePrefix="1" applyFont="1" applyAlignment="1" applyProtection="1">
      <alignment horizontal="left" vertical="center"/>
      <protection hidden="1"/>
    </xf>
    <xf numFmtId="0" fontId="62" fillId="0" borderId="0" xfId="0" quotePrefix="1" applyFont="1" applyAlignment="1" applyProtection="1">
      <alignment horizontal="left" vertical="center"/>
      <protection hidden="1"/>
    </xf>
    <xf numFmtId="0" fontId="98" fillId="0" borderId="0" xfId="0" quotePrefix="1" applyFont="1" applyAlignment="1" applyProtection="1">
      <alignment horizontal="center" vertical="center"/>
      <protection hidden="1"/>
    </xf>
    <xf numFmtId="0" fontId="98" fillId="0" borderId="0" xfId="0" applyFont="1" applyAlignment="1" applyProtection="1">
      <alignment horizontal="center" vertical="center"/>
      <protection hidden="1"/>
    </xf>
    <xf numFmtId="0" fontId="62" fillId="0" borderId="17" xfId="0" applyFont="1" applyBorder="1" applyProtection="1">
      <alignment vertical="center"/>
      <protection hidden="1"/>
    </xf>
    <xf numFmtId="178" fontId="51" fillId="0" borderId="0" xfId="0" applyNumberFormat="1" applyFont="1" applyProtection="1">
      <alignment vertical="center"/>
      <protection hidden="1"/>
    </xf>
    <xf numFmtId="0" fontId="54" fillId="0" borderId="64" xfId="0" applyFont="1" applyBorder="1" applyAlignment="1" applyProtection="1">
      <alignment horizontal="left" vertical="center"/>
      <protection hidden="1"/>
    </xf>
    <xf numFmtId="0" fontId="98" fillId="0" borderId="0" xfId="0" applyFont="1" applyProtection="1">
      <alignment vertical="center"/>
      <protection hidden="1"/>
    </xf>
    <xf numFmtId="0" fontId="54" fillId="0" borderId="56" xfId="0" applyFont="1" applyBorder="1" applyAlignment="1" applyProtection="1">
      <alignment horizontal="left" vertical="center"/>
      <protection hidden="1"/>
    </xf>
    <xf numFmtId="0" fontId="97" fillId="0" borderId="57" xfId="0" applyFont="1" applyBorder="1" applyAlignment="1" applyProtection="1">
      <alignment horizontal="right" vertical="center"/>
      <protection hidden="1"/>
    </xf>
    <xf numFmtId="0" fontId="97" fillId="0" borderId="57" xfId="0" applyFont="1" applyBorder="1" applyAlignment="1" applyProtection="1">
      <alignment horizontal="left" vertical="center"/>
      <protection hidden="1"/>
    </xf>
    <xf numFmtId="0" fontId="54" fillId="0" borderId="57" xfId="0" applyFont="1" applyBorder="1" applyProtection="1">
      <alignment vertical="center"/>
      <protection hidden="1"/>
    </xf>
    <xf numFmtId="0" fontId="98" fillId="0" borderId="57" xfId="0" applyFont="1" applyBorder="1" applyProtection="1">
      <alignment vertical="center"/>
      <protection hidden="1"/>
    </xf>
    <xf numFmtId="0" fontId="62" fillId="0" borderId="57" xfId="0" applyFont="1" applyBorder="1" applyProtection="1">
      <alignment vertical="center"/>
      <protection hidden="1"/>
    </xf>
    <xf numFmtId="0" fontId="62" fillId="0" borderId="58" xfId="0" applyFont="1" applyBorder="1" applyProtection="1">
      <alignment vertical="center"/>
      <protection hidden="1"/>
    </xf>
    <xf numFmtId="0" fontId="62" fillId="0" borderId="0" xfId="0" applyFont="1" applyAlignment="1" applyProtection="1">
      <alignment horizontal="left" vertical="center"/>
      <protection hidden="1"/>
    </xf>
    <xf numFmtId="0" fontId="99" fillId="0" borderId="0" xfId="0" quotePrefix="1" applyFont="1" applyAlignment="1" applyProtection="1">
      <alignment horizontal="left" vertical="center"/>
      <protection hidden="1"/>
    </xf>
    <xf numFmtId="0" fontId="100" fillId="0" borderId="0" xfId="0" quotePrefix="1" applyFont="1" applyAlignment="1" applyProtection="1">
      <alignment horizontal="left" vertical="center"/>
      <protection hidden="1"/>
    </xf>
    <xf numFmtId="0" fontId="100" fillId="0" borderId="0" xfId="0" quotePrefix="1" applyFont="1" applyAlignment="1" applyProtection="1">
      <alignment horizontal="right" vertical="center"/>
      <protection hidden="1"/>
    </xf>
    <xf numFmtId="0" fontId="99" fillId="0" borderId="0" xfId="0" quotePrefix="1" applyFont="1" applyAlignment="1" applyProtection="1">
      <alignment horizontal="right" vertical="center"/>
      <protection hidden="1"/>
    </xf>
    <xf numFmtId="185" fontId="48" fillId="0" borderId="0" xfId="0" applyNumberFormat="1" applyFont="1" applyAlignment="1" applyProtection="1">
      <alignment horizontal="center"/>
      <protection hidden="1"/>
    </xf>
    <xf numFmtId="0" fontId="32" fillId="0" borderId="10" xfId="0" applyFont="1" applyBorder="1" applyProtection="1">
      <alignment vertical="center"/>
      <protection hidden="1"/>
    </xf>
    <xf numFmtId="0" fontId="48" fillId="0" borderId="10" xfId="0" applyFont="1" applyBorder="1" applyAlignment="1" applyProtection="1">
      <alignment horizontal="center" vertical="center" wrapText="1"/>
      <protection hidden="1"/>
    </xf>
    <xf numFmtId="0" fontId="112" fillId="0" borderId="10" xfId="0" applyFont="1" applyBorder="1" applyAlignment="1" applyProtection="1">
      <alignment horizontal="center" vertical="center"/>
      <protection hidden="1"/>
    </xf>
    <xf numFmtId="0" fontId="32" fillId="0" borderId="51" xfId="0" applyFont="1" applyBorder="1" applyProtection="1">
      <alignment vertical="center"/>
      <protection hidden="1"/>
    </xf>
    <xf numFmtId="0" fontId="36" fillId="27" borderId="10" xfId="0" applyFont="1" applyFill="1" applyBorder="1" applyAlignment="1" applyProtection="1">
      <alignment horizontal="center" vertical="center"/>
      <protection hidden="1"/>
    </xf>
    <xf numFmtId="0" fontId="32" fillId="40" borderId="10" xfId="0" applyFont="1" applyFill="1" applyBorder="1" applyAlignment="1" applyProtection="1">
      <alignment horizontal="center" vertical="center"/>
      <protection hidden="1"/>
    </xf>
    <xf numFmtId="0" fontId="34" fillId="27" borderId="50" xfId="0" applyFont="1" applyFill="1" applyBorder="1" applyProtection="1">
      <alignment vertical="center"/>
      <protection hidden="1"/>
    </xf>
    <xf numFmtId="177" fontId="48" fillId="39" borderId="10" xfId="0" applyNumberFormat="1" applyFont="1" applyFill="1" applyBorder="1" applyAlignment="1" applyProtection="1">
      <alignment horizontal="center" vertical="center"/>
      <protection hidden="1"/>
    </xf>
    <xf numFmtId="0" fontId="48" fillId="0" borderId="10" xfId="0" applyFont="1" applyBorder="1" applyAlignment="1" applyProtection="1">
      <alignment horizontal="center" vertical="center"/>
      <protection hidden="1"/>
    </xf>
    <xf numFmtId="0" fontId="34" fillId="41" borderId="50" xfId="0" applyFont="1" applyFill="1" applyBorder="1" applyProtection="1">
      <alignment vertical="center"/>
      <protection hidden="1"/>
    </xf>
    <xf numFmtId="177" fontId="32" fillId="0" borderId="100" xfId="0" applyNumberFormat="1" applyFont="1" applyBorder="1" applyAlignment="1" applyProtection="1">
      <alignment horizontal="center" vertical="center"/>
      <protection hidden="1"/>
    </xf>
    <xf numFmtId="177" fontId="32" fillId="0" borderId="66" xfId="0" applyNumberFormat="1" applyFont="1" applyBorder="1" applyAlignment="1" applyProtection="1">
      <alignment horizontal="center" vertical="center"/>
      <protection hidden="1"/>
    </xf>
    <xf numFmtId="177" fontId="32" fillId="0" borderId="60" xfId="0" applyNumberFormat="1" applyFont="1" applyBorder="1" applyAlignment="1" applyProtection="1">
      <alignment horizontal="center" vertical="center"/>
      <protection hidden="1"/>
    </xf>
    <xf numFmtId="177" fontId="32" fillId="0" borderId="62" xfId="0" applyNumberFormat="1" applyFont="1" applyBorder="1" applyAlignment="1" applyProtection="1">
      <alignment horizontal="center" vertical="center"/>
      <protection hidden="1"/>
    </xf>
    <xf numFmtId="177" fontId="32" fillId="0" borderId="0" xfId="0" applyNumberFormat="1" applyFont="1" applyAlignment="1" applyProtection="1">
      <alignment horizontal="center" vertical="center"/>
      <protection hidden="1"/>
    </xf>
    <xf numFmtId="177" fontId="32" fillId="0" borderId="69" xfId="0" applyNumberFormat="1" applyFont="1" applyBorder="1" applyAlignment="1" applyProtection="1">
      <alignment horizontal="center" vertical="center"/>
      <protection hidden="1"/>
    </xf>
    <xf numFmtId="199" fontId="32" fillId="0" borderId="100" xfId="0" applyNumberFormat="1" applyFont="1" applyBorder="1" applyAlignment="1" applyProtection="1">
      <alignment horizontal="center" vertical="center"/>
      <protection hidden="1"/>
    </xf>
    <xf numFmtId="199" fontId="32" fillId="0" borderId="100" xfId="0" applyNumberFormat="1" applyFont="1" applyBorder="1" applyAlignment="1" applyProtection="1">
      <alignment horizontal="center" vertical="justify"/>
      <protection hidden="1"/>
    </xf>
    <xf numFmtId="199" fontId="32" fillId="0" borderId="115" xfId="0" applyNumberFormat="1" applyFont="1" applyBorder="1" applyAlignment="1" applyProtection="1">
      <alignment horizontal="center" vertical="justify"/>
      <protection hidden="1"/>
    </xf>
    <xf numFmtId="199" fontId="32" fillId="0" borderId="0" xfId="0" applyNumberFormat="1" applyFont="1" applyAlignment="1" applyProtection="1">
      <alignment horizontal="center" vertical="center"/>
      <protection hidden="1"/>
    </xf>
    <xf numFmtId="199" fontId="32" fillId="0" borderId="144" xfId="0" applyNumberFormat="1" applyFont="1" applyBorder="1" applyAlignment="1" applyProtection="1">
      <alignment horizontal="center" vertical="justify"/>
      <protection hidden="1"/>
    </xf>
    <xf numFmtId="199" fontId="32" fillId="0" borderId="66" xfId="0" applyNumberFormat="1" applyFont="1" applyBorder="1" applyAlignment="1" applyProtection="1">
      <alignment horizontal="center" vertical="center"/>
      <protection hidden="1"/>
    </xf>
    <xf numFmtId="199" fontId="32" fillId="0" borderId="69" xfId="0" applyNumberFormat="1" applyFont="1" applyBorder="1" applyAlignment="1" applyProtection="1">
      <alignment horizontal="center" vertical="center"/>
      <protection hidden="1"/>
    </xf>
    <xf numFmtId="0" fontId="34" fillId="27" borderId="26" xfId="0" applyFont="1" applyFill="1" applyBorder="1" applyAlignment="1" applyProtection="1">
      <alignment horizontal="left" vertical="center" shrinkToFit="1"/>
      <protection hidden="1"/>
    </xf>
    <xf numFmtId="0" fontId="102" fillId="36" borderId="60" xfId="0" applyFont="1" applyFill="1" applyBorder="1" applyAlignment="1">
      <alignment horizontal="left" vertical="center"/>
    </xf>
    <xf numFmtId="0" fontId="102" fillId="36" borderId="60" xfId="0" applyFont="1" applyFill="1" applyBorder="1">
      <alignment vertical="center"/>
    </xf>
    <xf numFmtId="0" fontId="103" fillId="36" borderId="61" xfId="0" applyFont="1" applyFill="1" applyBorder="1">
      <alignment vertical="center"/>
    </xf>
    <xf numFmtId="0" fontId="34" fillId="0" borderId="0" xfId="0" applyFont="1">
      <alignment vertical="center"/>
    </xf>
    <xf numFmtId="0" fontId="34" fillId="27" borderId="26" xfId="0" applyFont="1" applyFill="1" applyBorder="1">
      <alignment vertical="center"/>
    </xf>
    <xf numFmtId="0" fontId="34" fillId="27" borderId="10" xfId="0" applyFont="1" applyFill="1" applyBorder="1">
      <alignment vertical="center"/>
    </xf>
    <xf numFmtId="0" fontId="129" fillId="0" borderId="0" xfId="0" applyFont="1" applyAlignment="1">
      <alignment horizontal="center" vertical="center"/>
    </xf>
    <xf numFmtId="0" fontId="34" fillId="0" borderId="126" xfId="0" applyFont="1" applyBorder="1">
      <alignment vertical="center"/>
    </xf>
    <xf numFmtId="0" fontId="34" fillId="0" borderId="126" xfId="0" applyFont="1" applyBorder="1" applyAlignment="1">
      <alignment horizontal="left" vertical="top" wrapText="1"/>
    </xf>
    <xf numFmtId="3" fontId="30" fillId="0" borderId="0" xfId="0" applyNumberFormat="1" applyFont="1" applyAlignment="1">
      <alignment horizontal="left" vertical="center"/>
    </xf>
    <xf numFmtId="0" fontId="0" fillId="31" borderId="154" xfId="0" applyFill="1" applyBorder="1" applyAlignment="1">
      <alignment horizontal="center" vertical="center"/>
    </xf>
    <xf numFmtId="0" fontId="0" fillId="31" borderId="155" xfId="0" applyFill="1" applyBorder="1" applyAlignment="1">
      <alignment horizontal="center" vertical="center"/>
    </xf>
    <xf numFmtId="0" fontId="0" fillId="31" borderId="156" xfId="0" applyFill="1" applyBorder="1">
      <alignment vertical="center"/>
    </xf>
    <xf numFmtId="0" fontId="0" fillId="0" borderId="0" xfId="0" applyAlignment="1">
      <alignment horizontal="left" vertical="center"/>
    </xf>
    <xf numFmtId="0" fontId="43" fillId="0" borderId="0" xfId="0" applyFont="1" applyAlignment="1">
      <alignment horizontal="left" vertical="center"/>
    </xf>
    <xf numFmtId="0" fontId="31" fillId="0" borderId="0" xfId="0" applyFont="1">
      <alignment vertical="center"/>
    </xf>
    <xf numFmtId="0" fontId="43" fillId="0" borderId="0" xfId="0" applyFont="1" applyAlignment="1" applyProtection="1">
      <alignment horizontal="left" vertical="center"/>
      <protection hidden="1"/>
    </xf>
    <xf numFmtId="0" fontId="30" fillId="0" borderId="0" xfId="0" applyFont="1" applyAlignment="1">
      <alignment horizontal="left" vertical="center"/>
    </xf>
    <xf numFmtId="0" fontId="43" fillId="0" borderId="0" xfId="0" applyFont="1" applyAlignment="1" applyProtection="1">
      <alignment horizontal="left"/>
      <protection hidden="1"/>
    </xf>
    <xf numFmtId="0" fontId="43" fillId="37" borderId="0" xfId="0" applyFont="1" applyFill="1" applyAlignment="1" applyProtection="1">
      <alignment horizontal="left"/>
      <protection hidden="1"/>
    </xf>
    <xf numFmtId="0" fontId="43" fillId="37" borderId="0" xfId="0" applyFont="1" applyFill="1" applyAlignment="1" applyProtection="1">
      <alignment horizontal="left" vertical="center"/>
      <protection hidden="1"/>
    </xf>
    <xf numFmtId="0" fontId="30" fillId="0" borderId="0" xfId="0" applyFont="1">
      <alignment vertical="center"/>
    </xf>
    <xf numFmtId="0" fontId="30" fillId="37" borderId="0" xfId="0" applyFont="1" applyFill="1" applyAlignment="1">
      <alignment horizontal="left" vertical="center"/>
    </xf>
    <xf numFmtId="0" fontId="43" fillId="0" borderId="0" xfId="29" applyFont="1" applyFill="1" applyAlignment="1" applyProtection="1">
      <alignment horizontal="left" vertical="center"/>
      <protection hidden="1"/>
    </xf>
    <xf numFmtId="0" fontId="43" fillId="0" borderId="0" xfId="29" applyFont="1" applyFill="1" applyAlignment="1" applyProtection="1">
      <alignment horizontal="left"/>
      <protection hidden="1"/>
    </xf>
    <xf numFmtId="0" fontId="65" fillId="0" borderId="0" xfId="0" applyFont="1" applyAlignment="1" applyProtection="1">
      <alignment horizontal="left" vertical="center"/>
      <protection hidden="1"/>
    </xf>
    <xf numFmtId="0" fontId="130" fillId="0" borderId="0" xfId="0" applyFont="1" applyProtection="1">
      <alignment vertical="center"/>
      <protection hidden="1"/>
    </xf>
    <xf numFmtId="0" fontId="28" fillId="0" borderId="0" xfId="0" applyFont="1">
      <alignment vertical="center"/>
    </xf>
    <xf numFmtId="0" fontId="43" fillId="0" borderId="0" xfId="0" applyFont="1" applyAlignment="1">
      <alignment horizontal="right" vertical="center"/>
    </xf>
    <xf numFmtId="0" fontId="34" fillId="27" borderId="10" xfId="0" applyFont="1" applyFill="1" applyBorder="1" applyAlignment="1">
      <alignment horizontal="left" vertical="center" shrinkToFit="1"/>
    </xf>
    <xf numFmtId="0" fontId="65" fillId="0" borderId="0" xfId="0" applyFont="1" applyAlignment="1">
      <alignment horizontal="left" vertical="center"/>
    </xf>
    <xf numFmtId="0" fontId="43" fillId="0" borderId="0" xfId="0" applyFont="1" applyAlignment="1" applyProtection="1">
      <alignment horizontal="left" vertical="top"/>
      <protection hidden="1"/>
    </xf>
    <xf numFmtId="0" fontId="62" fillId="0" borderId="0" xfId="0" applyFont="1" applyAlignment="1">
      <alignment vertical="top" wrapText="1"/>
    </xf>
    <xf numFmtId="0" fontId="30" fillId="0" borderId="0" xfId="0" applyFont="1" applyProtection="1">
      <alignment vertical="center"/>
      <protection hidden="1"/>
    </xf>
    <xf numFmtId="0" fontId="0" fillId="0" borderId="57" xfId="0" applyBorder="1">
      <alignment vertical="center"/>
    </xf>
    <xf numFmtId="0" fontId="34" fillId="27" borderId="10" xfId="0" applyFont="1" applyFill="1" applyBorder="1" applyAlignment="1">
      <alignment horizontal="center" vertical="center"/>
    </xf>
    <xf numFmtId="0" fontId="34" fillId="0" borderId="0" xfId="0" applyFont="1" applyAlignment="1">
      <alignment horizontal="left"/>
    </xf>
    <xf numFmtId="0" fontId="34" fillId="0" borderId="0" xfId="0" applyFont="1" applyAlignment="1">
      <alignment shrinkToFit="1"/>
    </xf>
    <xf numFmtId="187" fontId="34" fillId="0" borderId="0" xfId="35" applyNumberFormat="1" applyFont="1" applyFill="1" applyBorder="1" applyAlignment="1"/>
    <xf numFmtId="178" fontId="34" fillId="0" borderId="0" xfId="35" applyNumberFormat="1" applyFont="1" applyFill="1" applyBorder="1" applyAlignment="1"/>
    <xf numFmtId="49" fontId="34" fillId="0" borderId="0" xfId="35" applyNumberFormat="1" applyFont="1" applyFill="1" applyBorder="1" applyAlignment="1">
      <alignment horizontal="center"/>
    </xf>
    <xf numFmtId="2" fontId="34" fillId="0" borderId="0" xfId="0" applyNumberFormat="1" applyFont="1" applyAlignment="1">
      <alignment horizontal="left" shrinkToFit="1"/>
    </xf>
    <xf numFmtId="2" fontId="34" fillId="0" borderId="0" xfId="0" applyNumberFormat="1" applyFont="1" applyAlignment="1">
      <alignment horizontal="center"/>
    </xf>
    <xf numFmtId="0" fontId="11" fillId="0" borderId="0" xfId="0" applyFont="1" applyAlignment="1">
      <alignment horizontal="left" vertical="center" shrinkToFit="1"/>
    </xf>
    <xf numFmtId="49" fontId="130" fillId="0" borderId="0" xfId="0" applyNumberFormat="1" applyFont="1" applyProtection="1">
      <alignment vertical="center"/>
      <protection hidden="1"/>
    </xf>
    <xf numFmtId="0" fontId="131" fillId="0" borderId="0" xfId="0" applyFont="1" applyAlignment="1">
      <alignment vertical="center" shrinkToFit="1"/>
    </xf>
    <xf numFmtId="0" fontId="131" fillId="0" borderId="0" xfId="0" applyFont="1">
      <alignment vertical="center"/>
    </xf>
    <xf numFmtId="2" fontId="131" fillId="0" borderId="0" xfId="0" applyNumberFormat="1" applyFont="1" applyAlignment="1" applyProtection="1">
      <alignment horizontal="center"/>
      <protection hidden="1"/>
    </xf>
    <xf numFmtId="0" fontId="131" fillId="0" borderId="0" xfId="0" applyFont="1" applyAlignment="1">
      <alignment horizontal="left" vertical="center" shrinkToFit="1"/>
    </xf>
    <xf numFmtId="2" fontId="131" fillId="0" borderId="0" xfId="0" applyNumberFormat="1" applyFont="1" applyAlignment="1" applyProtection="1">
      <alignment horizontal="left" shrinkToFit="1"/>
      <protection hidden="1"/>
    </xf>
    <xf numFmtId="0" fontId="11" fillId="34" borderId="10" xfId="0" applyFont="1" applyFill="1" applyBorder="1" applyAlignment="1" applyProtection="1">
      <alignment horizontal="center" vertical="center"/>
      <protection hidden="1"/>
    </xf>
    <xf numFmtId="0" fontId="11" fillId="34" borderId="10" xfId="0" applyFont="1" applyFill="1" applyBorder="1" applyAlignment="1" applyProtection="1">
      <alignment horizontal="center" vertical="center" shrinkToFit="1"/>
      <protection hidden="1"/>
    </xf>
    <xf numFmtId="0" fontId="11" fillId="34" borderId="10" xfId="0" applyFont="1" applyFill="1" applyBorder="1" applyAlignment="1" applyProtection="1">
      <alignment horizontal="left" vertical="center" shrinkToFit="1"/>
      <protection hidden="1"/>
    </xf>
    <xf numFmtId="40" fontId="34" fillId="34" borderId="10" xfId="35" applyNumberFormat="1" applyFont="1" applyFill="1" applyBorder="1" applyAlignment="1" applyProtection="1">
      <alignment horizontal="center" vertical="top"/>
      <protection hidden="1"/>
    </xf>
    <xf numFmtId="40" fontId="34" fillId="34" borderId="26" xfId="35" applyNumberFormat="1" applyFont="1" applyFill="1" applyBorder="1" applyAlignment="1" applyProtection="1">
      <alignment horizontal="center" vertical="top"/>
      <protection hidden="1"/>
    </xf>
    <xf numFmtId="0" fontId="28" fillId="34" borderId="10" xfId="0" applyFont="1" applyFill="1" applyBorder="1" applyAlignment="1" applyProtection="1">
      <alignment horizontal="center" vertical="center"/>
      <protection hidden="1"/>
    </xf>
    <xf numFmtId="0" fontId="40" fillId="34" borderId="58" xfId="0" applyFont="1" applyFill="1" applyBorder="1" applyAlignment="1" applyProtection="1">
      <alignment horizontal="left" vertical="center" shrinkToFit="1"/>
      <protection hidden="1"/>
    </xf>
    <xf numFmtId="0" fontId="28" fillId="34" borderId="10" xfId="0" applyFont="1" applyFill="1" applyBorder="1" applyAlignment="1" applyProtection="1">
      <alignment horizontal="left" vertical="center" shrinkToFit="1"/>
      <protection hidden="1"/>
    </xf>
    <xf numFmtId="40" fontId="111" fillId="34" borderId="10" xfId="35" applyNumberFormat="1" applyFont="1" applyFill="1" applyBorder="1" applyAlignment="1" applyProtection="1">
      <alignment horizontal="center" vertical="top"/>
      <protection hidden="1"/>
    </xf>
    <xf numFmtId="40" fontId="111" fillId="34" borderId="26" xfId="35" applyNumberFormat="1" applyFont="1" applyFill="1" applyBorder="1" applyAlignment="1" applyProtection="1">
      <alignment horizontal="center" vertical="top"/>
      <protection hidden="1"/>
    </xf>
    <xf numFmtId="2" fontId="111" fillId="34" borderId="27" xfId="0" applyNumberFormat="1" applyFont="1" applyFill="1" applyBorder="1" applyAlignment="1" applyProtection="1">
      <alignment horizontal="center" vertical="top"/>
      <protection hidden="1"/>
    </xf>
    <xf numFmtId="2" fontId="111" fillId="34" borderId="10" xfId="0" applyNumberFormat="1" applyFont="1" applyFill="1" applyBorder="1" applyAlignment="1" applyProtection="1">
      <alignment horizontal="center" vertical="top"/>
      <protection hidden="1"/>
    </xf>
    <xf numFmtId="0" fontId="111" fillId="31" borderId="10" xfId="0" applyFont="1" applyFill="1" applyBorder="1" applyAlignment="1" applyProtection="1">
      <alignment horizontal="left" vertical="center"/>
      <protection hidden="1"/>
    </xf>
    <xf numFmtId="0" fontId="111" fillId="31" borderId="10" xfId="0" applyFont="1" applyFill="1" applyBorder="1" applyAlignment="1" applyProtection="1">
      <alignment horizontal="left" vertical="center" shrinkToFit="1"/>
      <protection hidden="1"/>
    </xf>
    <xf numFmtId="38" fontId="111" fillId="31" borderId="10" xfId="35" applyFont="1" applyFill="1" applyBorder="1" applyAlignment="1" applyProtection="1">
      <alignment horizontal="center" vertical="center"/>
      <protection hidden="1"/>
    </xf>
    <xf numFmtId="49" fontId="111" fillId="31" borderId="10" xfId="0" applyNumberFormat="1" applyFont="1" applyFill="1" applyBorder="1" applyAlignment="1" applyProtection="1">
      <alignment horizontal="left" vertical="center"/>
      <protection hidden="1"/>
    </xf>
    <xf numFmtId="2" fontId="111" fillId="31" borderId="10" xfId="35" applyNumberFormat="1" applyFont="1" applyFill="1" applyBorder="1" applyAlignment="1" applyProtection="1">
      <alignment horizontal="center" vertical="center"/>
      <protection hidden="1"/>
    </xf>
    <xf numFmtId="2" fontId="111" fillId="31" borderId="27" xfId="35" applyNumberFormat="1" applyFont="1" applyFill="1" applyBorder="1" applyAlignment="1" applyProtection="1">
      <alignment horizontal="center" vertical="center"/>
      <protection hidden="1"/>
    </xf>
    <xf numFmtId="0" fontId="111" fillId="27" borderId="10" xfId="0" applyFont="1" applyFill="1" applyBorder="1" applyAlignment="1" applyProtection="1">
      <alignment horizontal="left" vertical="center"/>
      <protection hidden="1"/>
    </xf>
    <xf numFmtId="0" fontId="111" fillId="27" borderId="10" xfId="0" applyFont="1" applyFill="1" applyBorder="1" applyAlignment="1" applyProtection="1">
      <alignment horizontal="left" vertical="center" shrinkToFit="1"/>
      <protection hidden="1"/>
    </xf>
    <xf numFmtId="38" fontId="111" fillId="27" borderId="10" xfId="35" applyFont="1" applyFill="1" applyBorder="1" applyAlignment="1" applyProtection="1">
      <alignment horizontal="center"/>
      <protection hidden="1"/>
    </xf>
    <xf numFmtId="38" fontId="111" fillId="27" borderId="26" xfId="35" applyFont="1" applyFill="1" applyBorder="1" applyAlignment="1" applyProtection="1">
      <alignment horizontal="center" vertical="center"/>
      <protection hidden="1"/>
    </xf>
    <xf numFmtId="49" fontId="111" fillId="27" borderId="10" xfId="0" applyNumberFormat="1" applyFont="1" applyFill="1" applyBorder="1" applyAlignment="1" applyProtection="1">
      <alignment horizontal="left" vertical="center"/>
      <protection hidden="1"/>
    </xf>
    <xf numFmtId="2" fontId="111" fillId="27" borderId="10" xfId="35" applyNumberFormat="1" applyFont="1" applyFill="1" applyBorder="1" applyAlignment="1" applyProtection="1">
      <alignment horizontal="center"/>
      <protection hidden="1"/>
    </xf>
    <xf numFmtId="2" fontId="111" fillId="27" borderId="27" xfId="35" applyNumberFormat="1" applyFont="1" applyFill="1" applyBorder="1" applyAlignment="1" applyProtection="1">
      <alignment horizontal="center"/>
      <protection hidden="1"/>
    </xf>
    <xf numFmtId="2" fontId="111" fillId="27" borderId="26" xfId="35" applyNumberFormat="1" applyFont="1" applyFill="1" applyBorder="1" applyAlignment="1" applyProtection="1">
      <alignment horizontal="center" vertical="center"/>
      <protection hidden="1"/>
    </xf>
    <xf numFmtId="0" fontId="34" fillId="27" borderId="10" xfId="0" applyFont="1" applyFill="1" applyBorder="1" applyAlignment="1" applyProtection="1">
      <alignment horizontal="left" vertical="center"/>
      <protection hidden="1"/>
    </xf>
    <xf numFmtId="0" fontId="34" fillId="27" borderId="10" xfId="0" applyFont="1" applyFill="1" applyBorder="1" applyAlignment="1" applyProtection="1">
      <alignment horizontal="left" vertical="center" shrinkToFit="1"/>
      <protection hidden="1"/>
    </xf>
    <xf numFmtId="38" fontId="34" fillId="27" borderId="10" xfId="35" applyFont="1" applyFill="1" applyBorder="1" applyAlignment="1" applyProtection="1">
      <alignment horizontal="center" vertical="center"/>
      <protection hidden="1"/>
    </xf>
    <xf numFmtId="38" fontId="34" fillId="27" borderId="27" xfId="35" applyFont="1" applyFill="1" applyBorder="1" applyAlignment="1" applyProtection="1">
      <alignment horizontal="center" vertical="center"/>
      <protection hidden="1"/>
    </xf>
    <xf numFmtId="49" fontId="34" fillId="27" borderId="10" xfId="0" applyNumberFormat="1" applyFont="1" applyFill="1" applyBorder="1" applyAlignment="1" applyProtection="1">
      <alignment horizontal="left" vertical="center"/>
      <protection hidden="1"/>
    </xf>
    <xf numFmtId="38" fontId="34" fillId="44" borderId="10" xfId="35" applyFont="1" applyFill="1" applyBorder="1" applyAlignment="1" applyProtection="1">
      <alignment horizontal="center" vertical="center"/>
      <protection hidden="1"/>
    </xf>
    <xf numFmtId="2" fontId="34" fillId="27" borderId="10" xfId="35" applyNumberFormat="1" applyFont="1" applyFill="1" applyBorder="1" applyAlignment="1" applyProtection="1">
      <alignment horizontal="center" vertical="center"/>
      <protection hidden="1"/>
    </xf>
    <xf numFmtId="2" fontId="34" fillId="27" borderId="27" xfId="35" applyNumberFormat="1" applyFont="1" applyFill="1" applyBorder="1" applyAlignment="1" applyProtection="1">
      <alignment horizontal="center" vertical="center"/>
      <protection hidden="1"/>
    </xf>
    <xf numFmtId="178" fontId="34" fillId="27" borderId="26" xfId="0" applyNumberFormat="1" applyFont="1" applyFill="1" applyBorder="1" applyAlignment="1" applyProtection="1">
      <alignment horizontal="center" vertical="center"/>
      <protection hidden="1"/>
    </xf>
    <xf numFmtId="2" fontId="34" fillId="44" borderId="10" xfId="35" applyNumberFormat="1" applyFont="1" applyFill="1" applyBorder="1" applyAlignment="1" applyProtection="1">
      <alignment horizontal="center" vertical="center"/>
      <protection hidden="1"/>
    </xf>
    <xf numFmtId="38" fontId="34" fillId="27" borderId="26" xfId="35" applyFont="1" applyFill="1" applyBorder="1" applyAlignment="1" applyProtection="1">
      <alignment horizontal="center" vertical="center"/>
      <protection hidden="1"/>
    </xf>
    <xf numFmtId="38" fontId="34" fillId="41" borderId="10" xfId="35" applyFont="1" applyFill="1" applyBorder="1" applyAlignment="1" applyProtection="1">
      <alignment horizontal="center" vertical="center"/>
      <protection hidden="1"/>
    </xf>
    <xf numFmtId="2" fontId="34" fillId="45" borderId="10" xfId="35" applyNumberFormat="1" applyFont="1" applyFill="1" applyBorder="1" applyAlignment="1" applyProtection="1">
      <alignment horizontal="center" vertical="center"/>
      <protection hidden="1"/>
    </xf>
    <xf numFmtId="2" fontId="34" fillId="27" borderId="26" xfId="35" applyNumberFormat="1" applyFont="1" applyFill="1" applyBorder="1" applyAlignment="1" applyProtection="1">
      <alignment horizontal="center" vertical="center"/>
      <protection hidden="1"/>
    </xf>
    <xf numFmtId="0" fontId="111" fillId="27" borderId="26" xfId="0" applyFont="1" applyFill="1" applyBorder="1" applyAlignment="1" applyProtection="1">
      <alignment horizontal="center" vertical="center"/>
      <protection hidden="1"/>
    </xf>
    <xf numFmtId="178" fontId="111" fillId="27" borderId="26" xfId="0" applyNumberFormat="1" applyFont="1" applyFill="1" applyBorder="1" applyAlignment="1" applyProtection="1">
      <alignment horizontal="center" vertical="center"/>
      <protection hidden="1"/>
    </xf>
    <xf numFmtId="0" fontId="34" fillId="27" borderId="26" xfId="0" applyFont="1" applyFill="1" applyBorder="1" applyAlignment="1" applyProtection="1">
      <alignment horizontal="center" vertical="center"/>
      <protection hidden="1"/>
    </xf>
    <xf numFmtId="0" fontId="34" fillId="41" borderId="26" xfId="0" applyFont="1" applyFill="1" applyBorder="1" applyAlignment="1" applyProtection="1">
      <alignment horizontal="center" vertical="center"/>
      <protection hidden="1"/>
    </xf>
    <xf numFmtId="2" fontId="34" fillId="27" borderId="10" xfId="0" applyNumberFormat="1" applyFont="1" applyFill="1" applyBorder="1" applyAlignment="1" applyProtection="1">
      <alignment horizontal="center"/>
      <protection hidden="1"/>
    </xf>
    <xf numFmtId="2" fontId="34" fillId="25" borderId="10" xfId="35" applyNumberFormat="1" applyFont="1" applyFill="1" applyBorder="1" applyAlignment="1" applyProtection="1">
      <alignment horizontal="center" vertical="center"/>
      <protection hidden="1"/>
    </xf>
    <xf numFmtId="0" fontId="34" fillId="41" borderId="10" xfId="0" applyFont="1" applyFill="1" applyBorder="1" applyAlignment="1" applyProtection="1">
      <alignment horizontal="left" vertical="center"/>
      <protection hidden="1"/>
    </xf>
    <xf numFmtId="0" fontId="34" fillId="41" borderId="10" xfId="0" applyFont="1" applyFill="1" applyBorder="1" applyAlignment="1" applyProtection="1">
      <alignment horizontal="left" vertical="center" shrinkToFit="1"/>
      <protection hidden="1"/>
    </xf>
    <xf numFmtId="38" fontId="34" fillId="41" borderId="26" xfId="35" applyFont="1" applyFill="1" applyBorder="1" applyAlignment="1" applyProtection="1">
      <alignment horizontal="center" vertical="center"/>
      <protection hidden="1"/>
    </xf>
    <xf numFmtId="49" fontId="34" fillId="41" borderId="10" xfId="0" applyNumberFormat="1" applyFont="1" applyFill="1" applyBorder="1" applyAlignment="1" applyProtection="1">
      <alignment horizontal="left" vertical="center"/>
      <protection hidden="1"/>
    </xf>
    <xf numFmtId="2" fontId="34" fillId="41" borderId="10" xfId="35" applyNumberFormat="1" applyFont="1" applyFill="1" applyBorder="1" applyAlignment="1" applyProtection="1">
      <alignment horizontal="center" vertical="center"/>
      <protection hidden="1"/>
    </xf>
    <xf numFmtId="2" fontId="34" fillId="41" borderId="26" xfId="35" applyNumberFormat="1" applyFont="1" applyFill="1" applyBorder="1" applyAlignment="1" applyProtection="1">
      <alignment horizontal="center" vertical="center"/>
      <protection hidden="1"/>
    </xf>
    <xf numFmtId="2" fontId="34" fillId="41" borderId="27" xfId="35" applyNumberFormat="1" applyFont="1" applyFill="1" applyBorder="1" applyAlignment="1" applyProtection="1">
      <alignment horizontal="center" vertical="center"/>
      <protection hidden="1"/>
    </xf>
    <xf numFmtId="178" fontId="34" fillId="41" borderId="10" xfId="35" applyNumberFormat="1" applyFont="1" applyFill="1" applyBorder="1" applyAlignment="1" applyProtection="1">
      <alignment horizontal="center" vertical="center"/>
      <protection hidden="1"/>
    </xf>
    <xf numFmtId="178" fontId="34" fillId="41" borderId="26" xfId="35" applyNumberFormat="1" applyFont="1" applyFill="1" applyBorder="1" applyAlignment="1" applyProtection="1">
      <alignment horizontal="center" vertical="center"/>
      <protection hidden="1"/>
    </xf>
    <xf numFmtId="178" fontId="34" fillId="41" borderId="27" xfId="35" applyNumberFormat="1" applyFont="1" applyFill="1" applyBorder="1" applyAlignment="1" applyProtection="1">
      <alignment horizontal="center" vertical="center"/>
      <protection hidden="1"/>
    </xf>
    <xf numFmtId="178" fontId="111" fillId="27" borderId="10" xfId="35" applyNumberFormat="1" applyFont="1" applyFill="1" applyBorder="1" applyAlignment="1" applyProtection="1">
      <alignment horizontal="center"/>
      <protection hidden="1"/>
    </xf>
    <xf numFmtId="178" fontId="111" fillId="27" borderId="27" xfId="35" applyNumberFormat="1" applyFont="1" applyFill="1" applyBorder="1" applyAlignment="1" applyProtection="1">
      <alignment horizontal="center"/>
      <protection hidden="1"/>
    </xf>
    <xf numFmtId="178" fontId="34" fillId="27" borderId="10" xfId="35" applyNumberFormat="1" applyFont="1" applyFill="1" applyBorder="1" applyAlignment="1" applyProtection="1">
      <alignment horizontal="center" vertical="center"/>
      <protection hidden="1"/>
    </xf>
    <xf numFmtId="178" fontId="34" fillId="27" borderId="26" xfId="35" applyNumberFormat="1" applyFont="1" applyFill="1" applyBorder="1" applyAlignment="1" applyProtection="1">
      <alignment horizontal="center" vertical="center"/>
      <protection hidden="1"/>
    </xf>
    <xf numFmtId="178" fontId="34" fillId="27" borderId="27" xfId="35" applyNumberFormat="1" applyFont="1" applyFill="1" applyBorder="1" applyAlignment="1" applyProtection="1">
      <alignment horizontal="center" vertical="center"/>
      <protection hidden="1"/>
    </xf>
    <xf numFmtId="178" fontId="135" fillId="27" borderId="10" xfId="35" applyNumberFormat="1" applyFont="1" applyFill="1" applyBorder="1" applyAlignment="1" applyProtection="1">
      <alignment horizontal="center" vertical="center"/>
      <protection hidden="1"/>
    </xf>
    <xf numFmtId="178" fontId="135" fillId="41" borderId="10" xfId="35" applyNumberFormat="1" applyFont="1" applyFill="1" applyBorder="1" applyAlignment="1" applyProtection="1">
      <alignment horizontal="center" vertical="center"/>
      <protection hidden="1"/>
    </xf>
    <xf numFmtId="38" fontId="111" fillId="27" borderId="10" xfId="35" applyFont="1" applyFill="1" applyBorder="1" applyAlignment="1" applyProtection="1">
      <alignment horizontal="center" vertical="center"/>
      <protection hidden="1"/>
    </xf>
    <xf numFmtId="2" fontId="111" fillId="27" borderId="10" xfId="35" applyNumberFormat="1" applyFont="1" applyFill="1" applyBorder="1" applyAlignment="1" applyProtection="1">
      <alignment horizontal="center" vertical="center"/>
      <protection hidden="1"/>
    </xf>
    <xf numFmtId="2" fontId="111" fillId="27" borderId="27" xfId="35" applyNumberFormat="1" applyFont="1" applyFill="1" applyBorder="1" applyAlignment="1" applyProtection="1">
      <alignment horizontal="center" vertical="center"/>
      <protection hidden="1"/>
    </xf>
    <xf numFmtId="179" fontId="111" fillId="27" borderId="26" xfId="0" applyNumberFormat="1" applyFont="1" applyFill="1" applyBorder="1" applyAlignment="1" applyProtection="1">
      <alignment horizontal="center" vertical="center"/>
      <protection hidden="1"/>
    </xf>
    <xf numFmtId="179" fontId="34" fillId="27" borderId="26" xfId="0" applyNumberFormat="1" applyFont="1" applyFill="1" applyBorder="1" applyAlignment="1" applyProtection="1">
      <alignment horizontal="center" vertical="center"/>
      <protection hidden="1"/>
    </xf>
    <xf numFmtId="38" fontId="111" fillId="27" borderId="26" xfId="35" applyFont="1" applyFill="1" applyBorder="1" applyAlignment="1" applyProtection="1">
      <alignment horizontal="center"/>
      <protection hidden="1"/>
    </xf>
    <xf numFmtId="2" fontId="111" fillId="27" borderId="26" xfId="35" applyNumberFormat="1" applyFont="1" applyFill="1" applyBorder="1" applyAlignment="1" applyProtection="1">
      <alignment horizontal="center"/>
      <protection hidden="1"/>
    </xf>
    <xf numFmtId="0" fontId="34" fillId="41" borderId="53" xfId="0" applyFont="1" applyFill="1" applyBorder="1" applyAlignment="1" applyProtection="1">
      <alignment horizontal="left" vertical="center"/>
      <protection hidden="1"/>
    </xf>
    <xf numFmtId="188" fontId="111" fillId="27" borderId="10" xfId="0" applyNumberFormat="1" applyFont="1" applyFill="1" applyBorder="1">
      <alignment vertical="center"/>
    </xf>
    <xf numFmtId="2" fontId="34" fillId="27" borderId="10" xfId="0" applyNumberFormat="1" applyFont="1" applyFill="1" applyBorder="1" applyAlignment="1" applyProtection="1">
      <alignment horizontal="left" vertical="center" shrinkToFit="1"/>
      <protection hidden="1"/>
    </xf>
    <xf numFmtId="38" fontId="34" fillId="27" borderId="10" xfId="35" applyFont="1" applyFill="1" applyBorder="1" applyAlignment="1" applyProtection="1">
      <alignment horizontal="center"/>
      <protection hidden="1"/>
    </xf>
    <xf numFmtId="2" fontId="34" fillId="27" borderId="10" xfId="35" applyNumberFormat="1" applyFont="1" applyFill="1" applyBorder="1" applyAlignment="1" applyProtection="1">
      <alignment horizontal="center"/>
      <protection hidden="1"/>
    </xf>
    <xf numFmtId="2" fontId="34" fillId="27" borderId="27" xfId="35" applyNumberFormat="1" applyFont="1" applyFill="1" applyBorder="1" applyAlignment="1" applyProtection="1">
      <alignment horizontal="center"/>
      <protection hidden="1"/>
    </xf>
    <xf numFmtId="0" fontId="111" fillId="27" borderId="10" xfId="0" quotePrefix="1" applyFont="1" applyFill="1" applyBorder="1" applyAlignment="1" applyProtection="1">
      <alignment horizontal="left" vertical="center"/>
      <protection hidden="1"/>
    </xf>
    <xf numFmtId="188" fontId="34" fillId="27" borderId="10" xfId="0" applyNumberFormat="1" applyFont="1" applyFill="1" applyBorder="1">
      <alignment vertical="center"/>
    </xf>
    <xf numFmtId="0" fontId="34" fillId="27" borderId="10" xfId="0" quotePrefix="1" applyFont="1" applyFill="1" applyBorder="1" applyAlignment="1" applyProtection="1">
      <alignment horizontal="left" vertical="center"/>
      <protection hidden="1"/>
    </xf>
    <xf numFmtId="49" fontId="34" fillId="27" borderId="10" xfId="0" quotePrefix="1" applyNumberFormat="1" applyFont="1" applyFill="1" applyBorder="1" applyAlignment="1" applyProtection="1">
      <alignment horizontal="left" vertical="center"/>
      <protection hidden="1"/>
    </xf>
    <xf numFmtId="0" fontId="111" fillId="31" borderId="10" xfId="0" applyFont="1" applyFill="1" applyBorder="1" applyProtection="1">
      <alignment vertical="center"/>
      <protection hidden="1"/>
    </xf>
    <xf numFmtId="49" fontId="111" fillId="31" borderId="10" xfId="0" applyNumberFormat="1" applyFont="1" applyFill="1" applyBorder="1" applyProtection="1">
      <alignment vertical="center"/>
      <protection hidden="1"/>
    </xf>
    <xf numFmtId="2" fontId="111" fillId="31" borderId="26" xfId="35" applyNumberFormat="1" applyFont="1" applyFill="1" applyBorder="1" applyAlignment="1" applyProtection="1">
      <alignment horizontal="center" vertical="center"/>
      <protection hidden="1"/>
    </xf>
    <xf numFmtId="2" fontId="111" fillId="31" borderId="27" xfId="0" applyNumberFormat="1" applyFont="1" applyFill="1" applyBorder="1" applyAlignment="1" applyProtection="1">
      <alignment horizontal="center"/>
      <protection hidden="1"/>
    </xf>
    <xf numFmtId="2" fontId="111" fillId="31" borderId="10" xfId="0" applyNumberFormat="1" applyFont="1" applyFill="1" applyBorder="1" applyAlignment="1" applyProtection="1">
      <alignment horizontal="center"/>
      <protection hidden="1"/>
    </xf>
    <xf numFmtId="2" fontId="111" fillId="27" borderId="27" xfId="0" applyNumberFormat="1" applyFont="1" applyFill="1" applyBorder="1" applyAlignment="1" applyProtection="1">
      <alignment horizontal="center"/>
      <protection hidden="1"/>
    </xf>
    <xf numFmtId="2" fontId="111" fillId="27" borderId="10" xfId="0" applyNumberFormat="1" applyFont="1" applyFill="1" applyBorder="1" applyAlignment="1" applyProtection="1">
      <alignment horizontal="center"/>
      <protection hidden="1"/>
    </xf>
    <xf numFmtId="2" fontId="34" fillId="27" borderId="27" xfId="0" applyNumberFormat="1" applyFont="1" applyFill="1" applyBorder="1" applyAlignment="1" applyProtection="1">
      <alignment horizontal="center"/>
      <protection hidden="1"/>
    </xf>
    <xf numFmtId="196" fontId="111" fillId="27" borderId="27" xfId="0" applyNumberFormat="1" applyFont="1" applyFill="1" applyBorder="1" applyAlignment="1" applyProtection="1">
      <alignment horizontal="center"/>
      <protection hidden="1"/>
    </xf>
    <xf numFmtId="0" fontId="34" fillId="27" borderId="10" xfId="0" applyFont="1" applyFill="1" applyBorder="1" applyProtection="1">
      <alignment vertical="center"/>
      <protection hidden="1"/>
    </xf>
    <xf numFmtId="0" fontId="34" fillId="27" borderId="50" xfId="0" applyFont="1" applyFill="1" applyBorder="1" applyAlignment="1" applyProtection="1">
      <alignment horizontal="left" vertical="center" shrinkToFit="1"/>
      <protection hidden="1"/>
    </xf>
    <xf numFmtId="0" fontId="0" fillId="0" borderId="0" xfId="0" applyProtection="1">
      <alignment vertical="center"/>
      <protection hidden="1"/>
    </xf>
    <xf numFmtId="0" fontId="128" fillId="0" borderId="0" xfId="46" applyFont="1" applyProtection="1">
      <protection hidden="1"/>
    </xf>
    <xf numFmtId="0" fontId="43" fillId="0" borderId="0" xfId="0" applyFont="1" applyAlignment="1" applyProtection="1">
      <alignment horizontal="right" vertical="center"/>
      <protection hidden="1"/>
    </xf>
    <xf numFmtId="38" fontId="138" fillId="27" borderId="10" xfId="35" applyFont="1" applyFill="1" applyBorder="1" applyAlignment="1" applyProtection="1">
      <alignment horizontal="center" vertical="center"/>
      <protection hidden="1"/>
    </xf>
    <xf numFmtId="2" fontId="138" fillId="27" borderId="27" xfId="35" applyNumberFormat="1" applyFont="1" applyFill="1" applyBorder="1" applyAlignment="1" applyProtection="1">
      <alignment horizontal="center" vertical="center"/>
      <protection hidden="1"/>
    </xf>
    <xf numFmtId="2" fontId="138" fillId="27" borderId="10" xfId="35" applyNumberFormat="1" applyFont="1" applyFill="1" applyBorder="1" applyAlignment="1" applyProtection="1">
      <alignment horizontal="center" vertical="center"/>
      <protection hidden="1"/>
    </xf>
    <xf numFmtId="0" fontId="34" fillId="27" borderId="73" xfId="0" applyFont="1" applyFill="1" applyBorder="1">
      <alignment vertical="center"/>
    </xf>
    <xf numFmtId="0" fontId="0" fillId="27" borderId="73" xfId="0" applyFill="1" applyBorder="1">
      <alignment vertical="center"/>
    </xf>
    <xf numFmtId="0" fontId="34" fillId="27" borderId="73" xfId="0" applyFont="1" applyFill="1" applyBorder="1" applyAlignment="1">
      <alignment horizontal="right" vertical="center"/>
    </xf>
    <xf numFmtId="0" fontId="0" fillId="27" borderId="61" xfId="0" applyFill="1" applyBorder="1">
      <alignment vertical="center"/>
    </xf>
    <xf numFmtId="0" fontId="111" fillId="27" borderId="0" xfId="0" applyFont="1" applyFill="1">
      <alignment vertical="center"/>
    </xf>
    <xf numFmtId="0" fontId="34" fillId="27" borderId="0" xfId="0" applyFont="1" applyFill="1" applyAlignment="1">
      <alignment horizontal="left" vertical="center"/>
    </xf>
    <xf numFmtId="203" fontId="111" fillId="27" borderId="10" xfId="35" applyNumberFormat="1" applyFont="1" applyFill="1" applyBorder="1" applyAlignment="1" applyProtection="1">
      <alignment horizontal="center" vertical="center"/>
      <protection hidden="1"/>
    </xf>
    <xf numFmtId="2" fontId="34" fillId="46" borderId="10" xfId="35" applyNumberFormat="1" applyFont="1" applyFill="1" applyBorder="1" applyAlignment="1" applyProtection="1">
      <alignment horizontal="center" vertical="center"/>
      <protection hidden="1"/>
    </xf>
    <xf numFmtId="0" fontId="0" fillId="0" borderId="52" xfId="0" applyBorder="1" applyAlignment="1">
      <alignment vertical="top"/>
    </xf>
    <xf numFmtId="0" fontId="0" fillId="0" borderId="57" xfId="0" applyBorder="1" applyAlignment="1">
      <alignment vertical="top"/>
    </xf>
    <xf numFmtId="0" fontId="0" fillId="0" borderId="51" xfId="0" applyBorder="1" applyAlignment="1">
      <alignment vertical="top"/>
    </xf>
    <xf numFmtId="0" fontId="0" fillId="0" borderId="26" xfId="0" applyBorder="1" applyAlignment="1">
      <alignment vertical="top"/>
    </xf>
    <xf numFmtId="0" fontId="0" fillId="0" borderId="55" xfId="0" applyBorder="1" applyAlignment="1">
      <alignment vertical="top"/>
    </xf>
    <xf numFmtId="0" fontId="0" fillId="0" borderId="50" xfId="0" applyBorder="1" applyAlignment="1">
      <alignment vertical="top"/>
    </xf>
    <xf numFmtId="0" fontId="0" fillId="0" borderId="15" xfId="0" applyBorder="1" applyAlignment="1">
      <alignment vertical="top"/>
    </xf>
    <xf numFmtId="0" fontId="0" fillId="0" borderId="56" xfId="0" applyBorder="1" applyAlignment="1">
      <alignment vertical="top"/>
    </xf>
    <xf numFmtId="0" fontId="0" fillId="0" borderId="55" xfId="0" applyBorder="1">
      <alignment vertical="center"/>
    </xf>
    <xf numFmtId="0" fontId="0" fillId="0" borderId="64" xfId="0" applyBorder="1" applyAlignment="1">
      <alignment vertical="top"/>
    </xf>
    <xf numFmtId="179" fontId="0" fillId="0" borderId="10" xfId="0" applyNumberFormat="1" applyBorder="1" applyAlignment="1">
      <alignment vertical="top"/>
    </xf>
    <xf numFmtId="0" fontId="34" fillId="0" borderId="50" xfId="0" applyFont="1" applyBorder="1">
      <alignment vertical="center"/>
    </xf>
    <xf numFmtId="0" fontId="111" fillId="27" borderId="0" xfId="0" applyFont="1" applyFill="1" applyAlignment="1">
      <alignment horizontal="right" vertical="center"/>
    </xf>
    <xf numFmtId="0" fontId="30" fillId="48" borderId="0" xfId="0" applyFont="1" applyFill="1" applyAlignment="1">
      <alignment horizontal="left" vertical="center"/>
    </xf>
    <xf numFmtId="177" fontId="32" fillId="0" borderId="144" xfId="0" applyNumberFormat="1" applyFont="1" applyBorder="1" applyAlignment="1" applyProtection="1">
      <alignment horizontal="center" vertical="center"/>
      <protection hidden="1"/>
    </xf>
    <xf numFmtId="2" fontId="34" fillId="0" borderId="0" xfId="0" applyNumberFormat="1" applyFont="1" applyAlignment="1" applyProtection="1">
      <alignment horizontal="center"/>
      <protection hidden="1"/>
    </xf>
    <xf numFmtId="2" fontId="34" fillId="0" borderId="0" xfId="0" applyNumberFormat="1" applyFont="1" applyAlignment="1" applyProtection="1">
      <alignment horizontal="center" vertical="top" shrinkToFit="1"/>
      <protection hidden="1"/>
    </xf>
    <xf numFmtId="40" fontId="34" fillId="0" borderId="0" xfId="35" applyNumberFormat="1" applyFont="1" applyFill="1" applyBorder="1" applyAlignment="1" applyProtection="1">
      <alignment horizontal="center" vertical="top"/>
      <protection hidden="1"/>
    </xf>
    <xf numFmtId="2" fontId="111" fillId="0" borderId="0" xfId="0" applyNumberFormat="1" applyFont="1" applyAlignment="1" applyProtection="1">
      <alignment horizontal="center" vertical="top"/>
      <protection hidden="1"/>
    </xf>
    <xf numFmtId="2" fontId="111" fillId="0" borderId="0" xfId="35" applyNumberFormat="1" applyFont="1" applyFill="1" applyBorder="1" applyAlignment="1" applyProtection="1">
      <alignment horizontal="center" vertical="center"/>
      <protection hidden="1"/>
    </xf>
    <xf numFmtId="2" fontId="111" fillId="0" borderId="0" xfId="35" applyNumberFormat="1" applyFont="1" applyFill="1" applyBorder="1" applyAlignment="1" applyProtection="1">
      <alignment horizontal="center"/>
      <protection hidden="1"/>
    </xf>
    <xf numFmtId="2" fontId="34" fillId="0" borderId="0" xfId="35" applyNumberFormat="1" applyFont="1" applyFill="1" applyBorder="1" applyAlignment="1" applyProtection="1">
      <alignment horizontal="center" vertical="center"/>
      <protection hidden="1"/>
    </xf>
    <xf numFmtId="178" fontId="34" fillId="0" borderId="0" xfId="35" applyNumberFormat="1" applyFont="1" applyFill="1" applyBorder="1" applyAlignment="1" applyProtection="1">
      <alignment horizontal="center" vertical="center"/>
      <protection hidden="1"/>
    </xf>
    <xf numFmtId="178" fontId="111" fillId="0" borderId="0" xfId="35" applyNumberFormat="1" applyFont="1" applyFill="1" applyBorder="1" applyAlignment="1" applyProtection="1">
      <alignment horizontal="center"/>
      <protection hidden="1"/>
    </xf>
    <xf numFmtId="2" fontId="34" fillId="0" borderId="0" xfId="35" applyNumberFormat="1" applyFont="1" applyFill="1" applyBorder="1" applyAlignment="1" applyProtection="1">
      <alignment horizontal="center"/>
      <protection hidden="1"/>
    </xf>
    <xf numFmtId="2" fontId="111" fillId="0" borderId="0" xfId="0" applyNumberFormat="1" applyFont="1" applyAlignment="1" applyProtection="1">
      <alignment horizontal="center"/>
      <protection hidden="1"/>
    </xf>
    <xf numFmtId="0" fontId="11" fillId="0" borderId="0" xfId="0" applyFont="1" applyAlignment="1">
      <alignment horizontal="left" vertical="center"/>
    </xf>
    <xf numFmtId="0" fontId="43" fillId="0" borderId="0" xfId="0" quotePrefix="1" applyFont="1" applyAlignment="1" applyProtection="1">
      <alignment horizontal="left" vertical="center"/>
      <protection hidden="1"/>
    </xf>
    <xf numFmtId="0" fontId="41" fillId="0" borderId="0" xfId="0" applyFont="1" applyAlignment="1">
      <alignment horizontal="left" vertical="center"/>
    </xf>
    <xf numFmtId="2" fontId="0" fillId="0" borderId="10" xfId="0" applyNumberFormat="1" applyBorder="1">
      <alignment vertical="center"/>
    </xf>
    <xf numFmtId="0" fontId="0" fillId="0" borderId="60" xfId="0" applyBorder="1">
      <alignment vertical="center"/>
    </xf>
    <xf numFmtId="0" fontId="0" fillId="37" borderId="0" xfId="0" applyFill="1">
      <alignment vertical="center"/>
    </xf>
    <xf numFmtId="40" fontId="0" fillId="0" borderId="10" xfId="0" applyNumberFormat="1" applyBorder="1">
      <alignment vertical="center"/>
    </xf>
    <xf numFmtId="2" fontId="111" fillId="53" borderId="26" xfId="35" applyNumberFormat="1" applyFont="1" applyFill="1" applyBorder="1" applyAlignment="1" applyProtection="1">
      <alignment horizontal="center" vertical="center"/>
      <protection hidden="1"/>
    </xf>
    <xf numFmtId="2" fontId="34" fillId="53" borderId="10" xfId="35" applyNumberFormat="1" applyFont="1" applyFill="1" applyBorder="1" applyAlignment="1" applyProtection="1">
      <alignment horizontal="center" vertical="center"/>
      <protection hidden="1"/>
    </xf>
    <xf numFmtId="2" fontId="34" fillId="54" borderId="10" xfId="35" applyNumberFormat="1" applyFont="1" applyFill="1" applyBorder="1" applyAlignment="1" applyProtection="1">
      <alignment horizontal="center" vertical="center"/>
      <protection hidden="1"/>
    </xf>
    <xf numFmtId="2" fontId="34" fillId="53" borderId="26" xfId="35" applyNumberFormat="1" applyFont="1" applyFill="1" applyBorder="1" applyAlignment="1" applyProtection="1">
      <alignment horizontal="center" vertical="center"/>
      <protection hidden="1"/>
    </xf>
    <xf numFmtId="178" fontId="111" fillId="53" borderId="26" xfId="0" applyNumberFormat="1" applyFont="1" applyFill="1" applyBorder="1" applyAlignment="1" applyProtection="1">
      <alignment horizontal="center" vertical="center"/>
      <protection hidden="1"/>
    </xf>
    <xf numFmtId="178" fontId="34" fillId="53" borderId="26" xfId="0" applyNumberFormat="1" applyFont="1" applyFill="1" applyBorder="1" applyAlignment="1" applyProtection="1">
      <alignment horizontal="center" vertical="center"/>
      <protection hidden="1"/>
    </xf>
    <xf numFmtId="178" fontId="34" fillId="55" borderId="26" xfId="35" applyNumberFormat="1" applyFont="1" applyFill="1" applyBorder="1" applyAlignment="1" applyProtection="1">
      <alignment horizontal="center" vertical="center"/>
      <protection hidden="1"/>
    </xf>
    <xf numFmtId="178" fontId="34" fillId="54" borderId="26" xfId="0" applyNumberFormat="1" applyFont="1" applyFill="1" applyBorder="1" applyAlignment="1" applyProtection="1">
      <alignment horizontal="center" vertical="center"/>
      <protection hidden="1"/>
    </xf>
    <xf numFmtId="178" fontId="139" fillId="53" borderId="26" xfId="0" applyNumberFormat="1" applyFont="1" applyFill="1" applyBorder="1" applyAlignment="1" applyProtection="1">
      <alignment horizontal="center" vertical="center"/>
      <protection hidden="1"/>
    </xf>
    <xf numFmtId="178" fontId="34" fillId="56" borderId="26" xfId="35" applyNumberFormat="1" applyFont="1" applyFill="1" applyBorder="1" applyAlignment="1" applyProtection="1">
      <alignment horizontal="center" vertical="center"/>
      <protection hidden="1"/>
    </xf>
    <xf numFmtId="178" fontId="34" fillId="53" borderId="26" xfId="35" applyNumberFormat="1" applyFont="1" applyFill="1" applyBorder="1" applyAlignment="1" applyProtection="1">
      <alignment horizontal="center" vertical="center"/>
      <protection hidden="1"/>
    </xf>
    <xf numFmtId="178" fontId="34" fillId="53" borderId="10" xfId="35" applyNumberFormat="1" applyFont="1" applyFill="1" applyBorder="1" applyAlignment="1" applyProtection="1">
      <alignment horizontal="center" vertical="center"/>
      <protection hidden="1"/>
    </xf>
    <xf numFmtId="0" fontId="34" fillId="27" borderId="50" xfId="0" applyFont="1" applyFill="1" applyBorder="1">
      <alignment vertical="center"/>
    </xf>
    <xf numFmtId="0" fontId="115" fillId="0" borderId="10" xfId="0" applyFont="1" applyBorder="1" applyAlignment="1" applyProtection="1">
      <alignment horizontal="center" vertical="center"/>
      <protection hidden="1"/>
    </xf>
    <xf numFmtId="177" fontId="32" fillId="0" borderId="113" xfId="0" applyNumberFormat="1" applyFont="1" applyBorder="1" applyAlignment="1" applyProtection="1">
      <alignment horizontal="center" vertical="center"/>
      <protection hidden="1"/>
    </xf>
    <xf numFmtId="177" fontId="32" fillId="0" borderId="114" xfId="0" applyNumberFormat="1" applyFont="1" applyBorder="1" applyAlignment="1" applyProtection="1">
      <alignment horizontal="center" vertical="center"/>
      <protection hidden="1"/>
    </xf>
    <xf numFmtId="177" fontId="32" fillId="0" borderId="116" xfId="0" applyNumberFormat="1" applyFont="1" applyBorder="1" applyAlignment="1" applyProtection="1">
      <alignment horizontal="center" vertical="center"/>
      <protection hidden="1"/>
    </xf>
    <xf numFmtId="177" fontId="32" fillId="0" borderId="117" xfId="0" applyNumberFormat="1" applyFont="1" applyBorder="1" applyAlignment="1" applyProtection="1">
      <alignment horizontal="center" vertical="center"/>
      <protection hidden="1"/>
    </xf>
    <xf numFmtId="177" fontId="32" fillId="0" borderId="118" xfId="0" applyNumberFormat="1" applyFont="1" applyBorder="1" applyAlignment="1" applyProtection="1">
      <alignment horizontal="center" vertical="center"/>
      <protection hidden="1"/>
    </xf>
    <xf numFmtId="177" fontId="32" fillId="0" borderId="119" xfId="0" applyNumberFormat="1" applyFont="1" applyBorder="1" applyAlignment="1" applyProtection="1">
      <alignment horizontal="center" vertical="center"/>
      <protection hidden="1"/>
    </xf>
    <xf numFmtId="177" fontId="32" fillId="0" borderId="92" xfId="0" applyNumberFormat="1" applyFont="1" applyBorder="1" applyAlignment="1" applyProtection="1">
      <alignment horizontal="center" vertical="center"/>
      <protection hidden="1"/>
    </xf>
    <xf numFmtId="177" fontId="32" fillId="0" borderId="115" xfId="0" applyNumberFormat="1" applyFont="1" applyBorder="1" applyAlignment="1" applyProtection="1">
      <alignment horizontal="center" vertical="center"/>
      <protection hidden="1"/>
    </xf>
    <xf numFmtId="177" fontId="32" fillId="0" borderId="68" xfId="0" applyNumberFormat="1" applyFont="1" applyBorder="1" applyAlignment="1" applyProtection="1">
      <alignment horizontal="center" vertical="center"/>
      <protection hidden="1"/>
    </xf>
    <xf numFmtId="177" fontId="48" fillId="0" borderId="10" xfId="0" applyNumberFormat="1" applyFont="1" applyBorder="1" applyAlignment="1" applyProtection="1">
      <alignment horizontal="center" vertical="center"/>
      <protection hidden="1"/>
    </xf>
    <xf numFmtId="3" fontId="145" fillId="0" borderId="62" xfId="0" applyNumberFormat="1" applyFont="1" applyBorder="1" applyAlignment="1" applyProtection="1">
      <alignment horizontal="left" vertical="center"/>
      <protection hidden="1"/>
    </xf>
    <xf numFmtId="0" fontId="146" fillId="0" borderId="0" xfId="0" applyFont="1">
      <alignment vertical="center"/>
    </xf>
    <xf numFmtId="0" fontId="147" fillId="0" borderId="0" xfId="0" applyFont="1">
      <alignment vertical="center"/>
    </xf>
    <xf numFmtId="191" fontId="111" fillId="31" borderId="10" xfId="35" applyNumberFormat="1" applyFont="1" applyFill="1" applyBorder="1" applyAlignment="1" applyProtection="1">
      <alignment horizontal="center" vertical="center"/>
      <protection hidden="1"/>
    </xf>
    <xf numFmtId="191" fontId="111" fillId="31" borderId="27" xfId="35" applyNumberFormat="1" applyFont="1" applyFill="1" applyBorder="1" applyAlignment="1" applyProtection="1">
      <alignment horizontal="center" vertical="center"/>
      <protection hidden="1"/>
    </xf>
    <xf numFmtId="191" fontId="111" fillId="27" borderId="10" xfId="35" applyNumberFormat="1" applyFont="1" applyFill="1" applyBorder="1" applyAlignment="1" applyProtection="1">
      <alignment horizontal="center"/>
      <protection hidden="1"/>
    </xf>
    <xf numFmtId="191" fontId="111" fillId="27" borderId="27" xfId="35" applyNumberFormat="1" applyFont="1" applyFill="1" applyBorder="1" applyAlignment="1" applyProtection="1">
      <alignment horizontal="center"/>
      <protection hidden="1"/>
    </xf>
    <xf numFmtId="191" fontId="34" fillId="27" borderId="10" xfId="35" applyNumberFormat="1" applyFont="1" applyFill="1" applyBorder="1" applyAlignment="1" applyProtection="1">
      <alignment horizontal="center" vertical="center"/>
      <protection hidden="1"/>
    </xf>
    <xf numFmtId="191" fontId="111" fillId="27" borderId="10" xfId="35" applyNumberFormat="1" applyFont="1" applyFill="1" applyBorder="1" applyAlignment="1" applyProtection="1">
      <alignment horizontal="center" vertical="center"/>
      <protection hidden="1"/>
    </xf>
    <xf numFmtId="191" fontId="111" fillId="27" borderId="27" xfId="35" applyNumberFormat="1" applyFont="1" applyFill="1" applyBorder="1" applyAlignment="1" applyProtection="1">
      <alignment horizontal="center" vertical="center"/>
      <protection hidden="1"/>
    </xf>
    <xf numFmtId="191" fontId="34" fillId="27" borderId="10" xfId="35" applyNumberFormat="1" applyFont="1" applyFill="1" applyBorder="1" applyAlignment="1" applyProtection="1">
      <alignment horizontal="center"/>
      <protection hidden="1"/>
    </xf>
    <xf numFmtId="191" fontId="111" fillId="31" borderId="27" xfId="0" applyNumberFormat="1" applyFont="1" applyFill="1" applyBorder="1" applyAlignment="1" applyProtection="1">
      <alignment horizontal="center"/>
      <protection hidden="1"/>
    </xf>
    <xf numFmtId="191" fontId="111" fillId="31" borderId="10" xfId="0" applyNumberFormat="1" applyFont="1" applyFill="1" applyBorder="1" applyAlignment="1" applyProtection="1">
      <alignment horizontal="center"/>
      <protection hidden="1"/>
    </xf>
    <xf numFmtId="191" fontId="148" fillId="31" borderId="10" xfId="35" applyNumberFormat="1" applyFont="1" applyFill="1" applyBorder="1" applyAlignment="1" applyProtection="1">
      <alignment horizontal="center" vertical="center"/>
      <protection hidden="1"/>
    </xf>
    <xf numFmtId="191" fontId="148" fillId="31" borderId="27" xfId="35" applyNumberFormat="1" applyFont="1" applyFill="1" applyBorder="1" applyAlignment="1" applyProtection="1">
      <alignment horizontal="center" vertical="center"/>
      <protection hidden="1"/>
    </xf>
    <xf numFmtId="191" fontId="148" fillId="27" borderId="10" xfId="35" applyNumberFormat="1" applyFont="1" applyFill="1" applyBorder="1" applyAlignment="1" applyProtection="1">
      <alignment horizontal="center"/>
      <protection hidden="1"/>
    </xf>
    <xf numFmtId="191" fontId="148" fillId="53" borderId="26" xfId="35" applyNumberFormat="1" applyFont="1" applyFill="1" applyBorder="1" applyAlignment="1" applyProtection="1">
      <alignment horizontal="center" vertical="center"/>
      <protection hidden="1"/>
    </xf>
    <xf numFmtId="191" fontId="148" fillId="27" borderId="27" xfId="35" applyNumberFormat="1" applyFont="1" applyFill="1" applyBorder="1" applyAlignment="1" applyProtection="1">
      <alignment horizontal="center"/>
      <protection hidden="1"/>
    </xf>
    <xf numFmtId="191" fontId="149" fillId="27" borderId="10" xfId="35" applyNumberFormat="1" applyFont="1" applyFill="1" applyBorder="1" applyAlignment="1" applyProtection="1">
      <alignment horizontal="center" vertical="center"/>
      <protection hidden="1"/>
    </xf>
    <xf numFmtId="191" fontId="149" fillId="53" borderId="10" xfId="35" applyNumberFormat="1" applyFont="1" applyFill="1" applyBorder="1" applyAlignment="1" applyProtection="1">
      <alignment horizontal="center" vertical="center"/>
      <protection hidden="1"/>
    </xf>
    <xf numFmtId="191" fontId="149" fillId="27" borderId="27" xfId="35" applyNumberFormat="1" applyFont="1" applyFill="1" applyBorder="1" applyAlignment="1" applyProtection="1">
      <alignment horizontal="center" vertical="center"/>
      <protection hidden="1"/>
    </xf>
    <xf numFmtId="191" fontId="149" fillId="53" borderId="26" xfId="35" applyNumberFormat="1" applyFont="1" applyFill="1" applyBorder="1" applyAlignment="1" applyProtection="1">
      <alignment horizontal="center" vertical="center"/>
      <protection hidden="1"/>
    </xf>
    <xf numFmtId="191" fontId="148" fillId="53" borderId="26" xfId="0" applyNumberFormat="1" applyFont="1" applyFill="1" applyBorder="1" applyAlignment="1" applyProtection="1">
      <alignment horizontal="center" vertical="center"/>
      <protection hidden="1"/>
    </xf>
    <xf numFmtId="191" fontId="149" fillId="53" borderId="26" xfId="0" applyNumberFormat="1" applyFont="1" applyFill="1" applyBorder="1" applyAlignment="1" applyProtection="1">
      <alignment horizontal="center" vertical="center"/>
      <protection hidden="1"/>
    </xf>
    <xf numFmtId="191" fontId="149" fillId="27" borderId="10" xfId="0" applyNumberFormat="1" applyFont="1" applyFill="1" applyBorder="1" applyAlignment="1" applyProtection="1">
      <alignment horizontal="center"/>
      <protection hidden="1"/>
    </xf>
    <xf numFmtId="191" fontId="149" fillId="41" borderId="10" xfId="35" applyNumberFormat="1" applyFont="1" applyFill="1" applyBorder="1" applyAlignment="1" applyProtection="1">
      <alignment horizontal="center" vertical="center"/>
      <protection hidden="1"/>
    </xf>
    <xf numFmtId="191" fontId="149" fillId="55" borderId="26" xfId="35" applyNumberFormat="1" applyFont="1" applyFill="1" applyBorder="1" applyAlignment="1" applyProtection="1">
      <alignment horizontal="center" vertical="center"/>
      <protection hidden="1"/>
    </xf>
    <xf numFmtId="191" fontId="149" fillId="41" borderId="27" xfId="35" applyNumberFormat="1" applyFont="1" applyFill="1" applyBorder="1" applyAlignment="1" applyProtection="1">
      <alignment horizontal="center" vertical="center"/>
      <protection hidden="1"/>
    </xf>
    <xf numFmtId="191" fontId="148" fillId="27" borderId="10" xfId="35" applyNumberFormat="1" applyFont="1" applyFill="1" applyBorder="1" applyAlignment="1" applyProtection="1">
      <alignment horizontal="center" vertical="center"/>
      <protection hidden="1"/>
    </xf>
    <xf numFmtId="191" fontId="148" fillId="27" borderId="27" xfId="35" applyNumberFormat="1" applyFont="1" applyFill="1" applyBorder="1" applyAlignment="1" applyProtection="1">
      <alignment horizontal="center" vertical="center"/>
      <protection hidden="1"/>
    </xf>
    <xf numFmtId="191" fontId="149" fillId="27" borderId="26" xfId="35" applyNumberFormat="1" applyFont="1" applyFill="1" applyBorder="1" applyAlignment="1" applyProtection="1">
      <alignment horizontal="center" vertical="center"/>
      <protection hidden="1"/>
    </xf>
    <xf numFmtId="191" fontId="149" fillId="27" borderId="26" xfId="0" applyNumberFormat="1" applyFont="1" applyFill="1" applyBorder="1" applyAlignment="1" applyProtection="1">
      <alignment horizontal="center" vertical="center"/>
      <protection hidden="1"/>
    </xf>
    <xf numFmtId="191" fontId="148" fillId="27" borderId="26" xfId="35" applyNumberFormat="1" applyFont="1" applyFill="1" applyBorder="1" applyAlignment="1" applyProtection="1">
      <alignment horizontal="center"/>
      <protection hidden="1"/>
    </xf>
    <xf numFmtId="191" fontId="149" fillId="27" borderId="10" xfId="35" applyNumberFormat="1" applyFont="1" applyFill="1" applyBorder="1" applyAlignment="1" applyProtection="1">
      <alignment horizontal="center"/>
      <protection hidden="1"/>
    </xf>
    <xf numFmtId="191" fontId="149" fillId="27" borderId="27" xfId="35" applyNumberFormat="1" applyFont="1" applyFill="1" applyBorder="1" applyAlignment="1" applyProtection="1">
      <alignment horizontal="center"/>
      <protection hidden="1"/>
    </xf>
    <xf numFmtId="191" fontId="148" fillId="34" borderId="10" xfId="35" applyNumberFormat="1" applyFont="1" applyFill="1" applyBorder="1" applyAlignment="1" applyProtection="1">
      <alignment horizontal="center" vertical="top"/>
      <protection hidden="1"/>
    </xf>
    <xf numFmtId="191" fontId="148" fillId="34" borderId="26" xfId="35" applyNumberFormat="1" applyFont="1" applyFill="1" applyBorder="1" applyAlignment="1" applyProtection="1">
      <alignment horizontal="center" vertical="top"/>
      <protection hidden="1"/>
    </xf>
    <xf numFmtId="191" fontId="148" fillId="34" borderId="27" xfId="0" applyNumberFormat="1" applyFont="1" applyFill="1" applyBorder="1" applyAlignment="1" applyProtection="1">
      <alignment horizontal="center" vertical="top"/>
      <protection hidden="1"/>
    </xf>
    <xf numFmtId="191" fontId="148" fillId="34" borderId="10" xfId="0" applyNumberFormat="1" applyFont="1" applyFill="1" applyBorder="1" applyAlignment="1" applyProtection="1">
      <alignment horizontal="center" vertical="top"/>
      <protection hidden="1"/>
    </xf>
    <xf numFmtId="191" fontId="148" fillId="31" borderId="27" xfId="0" applyNumberFormat="1" applyFont="1" applyFill="1" applyBorder="1" applyAlignment="1" applyProtection="1">
      <alignment horizontal="center"/>
      <protection hidden="1"/>
    </xf>
    <xf numFmtId="191" fontId="148" fillId="31" borderId="10" xfId="0" applyNumberFormat="1" applyFont="1" applyFill="1" applyBorder="1" applyAlignment="1" applyProtection="1">
      <alignment horizontal="center"/>
      <protection hidden="1"/>
    </xf>
    <xf numFmtId="191" fontId="148" fillId="27" borderId="27" xfId="0" applyNumberFormat="1" applyFont="1" applyFill="1" applyBorder="1" applyAlignment="1" applyProtection="1">
      <alignment horizontal="center"/>
      <protection hidden="1"/>
    </xf>
    <xf numFmtId="191" fontId="148" fillId="27" borderId="10" xfId="0" applyNumberFormat="1" applyFont="1" applyFill="1" applyBorder="1" applyAlignment="1" applyProtection="1">
      <alignment horizontal="center"/>
      <protection hidden="1"/>
    </xf>
    <xf numFmtId="191" fontId="149" fillId="27" borderId="27" xfId="0" applyNumberFormat="1" applyFont="1" applyFill="1" applyBorder="1" applyAlignment="1" applyProtection="1">
      <alignment horizontal="center"/>
      <protection hidden="1"/>
    </xf>
    <xf numFmtId="199" fontId="32" fillId="0" borderId="92" xfId="0" applyNumberFormat="1" applyFont="1" applyBorder="1" applyAlignment="1" applyProtection="1">
      <alignment horizontal="center" vertical="center"/>
      <protection hidden="1"/>
    </xf>
    <xf numFmtId="199" fontId="32" fillId="0" borderId="115" xfId="0" applyNumberFormat="1" applyFont="1" applyBorder="1" applyAlignment="1" applyProtection="1">
      <alignment horizontal="center" vertical="center"/>
      <protection hidden="1"/>
    </xf>
    <xf numFmtId="2" fontId="35" fillId="0" borderId="53" xfId="0" applyNumberFormat="1" applyFont="1" applyBorder="1" applyAlignment="1" applyProtection="1">
      <alignment horizontal="left" vertical="center"/>
      <protection hidden="1"/>
    </xf>
    <xf numFmtId="0" fontId="51" fillId="0" borderId="90" xfId="0" applyFont="1" applyBorder="1" applyProtection="1">
      <alignment vertical="center"/>
      <protection hidden="1"/>
    </xf>
    <xf numFmtId="37" fontId="35" fillId="0" borderId="53" xfId="0" applyNumberFormat="1" applyFont="1" applyBorder="1" applyAlignment="1" applyProtection="1">
      <alignment horizontal="left" vertical="center"/>
      <protection hidden="1"/>
    </xf>
    <xf numFmtId="0" fontId="51" fillId="0" borderId="217" xfId="0" applyFont="1" applyBorder="1" applyProtection="1">
      <alignment vertical="center"/>
      <protection hidden="1"/>
    </xf>
    <xf numFmtId="191" fontId="34" fillId="27" borderId="26" xfId="35" applyNumberFormat="1" applyFont="1" applyFill="1" applyBorder="1" applyAlignment="1" applyProtection="1">
      <alignment horizontal="center" vertical="center"/>
      <protection hidden="1"/>
    </xf>
    <xf numFmtId="179" fontId="0" fillId="0" borderId="10" xfId="0" applyNumberFormat="1" applyBorder="1">
      <alignment vertical="center"/>
    </xf>
    <xf numFmtId="0" fontId="153" fillId="0" borderId="0" xfId="0" applyFont="1" applyAlignment="1" applyProtection="1">
      <alignment horizontal="left" vertical="center"/>
      <protection hidden="1"/>
    </xf>
    <xf numFmtId="183" fontId="36" fillId="0" borderId="92" xfId="0" applyNumberFormat="1" applyFont="1" applyBorder="1" applyAlignment="1" applyProtection="1">
      <alignment horizontal="center" vertical="center"/>
      <protection locked="0"/>
    </xf>
    <xf numFmtId="191" fontId="111" fillId="53" borderId="26" xfId="35" applyNumberFormat="1" applyFont="1" applyFill="1" applyBorder="1" applyAlignment="1" applyProtection="1">
      <alignment horizontal="center" vertical="center"/>
      <protection hidden="1"/>
    </xf>
    <xf numFmtId="191" fontId="34" fillId="53" borderId="10" xfId="35" applyNumberFormat="1" applyFont="1" applyFill="1" applyBorder="1" applyAlignment="1" applyProtection="1">
      <alignment horizontal="center" vertical="center"/>
      <protection hidden="1"/>
    </xf>
    <xf numFmtId="191" fontId="34" fillId="27" borderId="27" xfId="35" applyNumberFormat="1" applyFont="1" applyFill="1" applyBorder="1" applyAlignment="1" applyProtection="1">
      <alignment horizontal="center" vertical="center"/>
      <protection hidden="1"/>
    </xf>
    <xf numFmtId="191" fontId="111" fillId="53" borderId="26" xfId="0" applyNumberFormat="1" applyFont="1" applyFill="1" applyBorder="1" applyAlignment="1" applyProtection="1">
      <alignment horizontal="center" vertical="center"/>
      <protection hidden="1"/>
    </xf>
    <xf numFmtId="191" fontId="34" fillId="53" borderId="26" xfId="0" applyNumberFormat="1" applyFont="1" applyFill="1" applyBorder="1" applyAlignment="1" applyProtection="1">
      <alignment horizontal="center" vertical="center"/>
      <protection hidden="1"/>
    </xf>
    <xf numFmtId="191" fontId="34" fillId="27" borderId="10" xfId="0" applyNumberFormat="1" applyFont="1" applyFill="1" applyBorder="1" applyAlignment="1" applyProtection="1">
      <alignment horizontal="center"/>
      <protection hidden="1"/>
    </xf>
    <xf numFmtId="191" fontId="34" fillId="41" borderId="10" xfId="35" applyNumberFormat="1" applyFont="1" applyFill="1" applyBorder="1" applyAlignment="1" applyProtection="1">
      <alignment horizontal="center" vertical="center"/>
      <protection hidden="1"/>
    </xf>
    <xf numFmtId="191" fontId="34" fillId="55" borderId="26" xfId="35" applyNumberFormat="1" applyFont="1" applyFill="1" applyBorder="1" applyAlignment="1" applyProtection="1">
      <alignment horizontal="center" vertical="center"/>
      <protection hidden="1"/>
    </xf>
    <xf numFmtId="191" fontId="34" fillId="41" borderId="27" xfId="35" applyNumberFormat="1" applyFont="1" applyFill="1" applyBorder="1" applyAlignment="1" applyProtection="1">
      <alignment horizontal="center" vertical="center"/>
      <protection hidden="1"/>
    </xf>
    <xf numFmtId="191" fontId="34" fillId="53" borderId="26" xfId="35" applyNumberFormat="1" applyFont="1" applyFill="1" applyBorder="1" applyAlignment="1" applyProtection="1">
      <alignment horizontal="center" vertical="center"/>
      <protection hidden="1"/>
    </xf>
    <xf numFmtId="191" fontId="34" fillId="27" borderId="26" xfId="0" applyNumberFormat="1" applyFont="1" applyFill="1" applyBorder="1" applyAlignment="1" applyProtection="1">
      <alignment horizontal="center" vertical="center"/>
      <protection hidden="1"/>
    </xf>
    <xf numFmtId="191" fontId="111" fillId="27" borderId="26" xfId="35" applyNumberFormat="1" applyFont="1" applyFill="1" applyBorder="1" applyAlignment="1" applyProtection="1">
      <alignment horizontal="center"/>
      <protection hidden="1"/>
    </xf>
    <xf numFmtId="191" fontId="34" fillId="27" borderId="27" xfId="35" applyNumberFormat="1" applyFont="1" applyFill="1" applyBorder="1" applyAlignment="1" applyProtection="1">
      <alignment horizontal="center"/>
      <protection hidden="1"/>
    </xf>
    <xf numFmtId="191" fontId="111" fillId="34" borderId="10" xfId="35" applyNumberFormat="1" applyFont="1" applyFill="1" applyBorder="1" applyAlignment="1" applyProtection="1">
      <alignment horizontal="center" vertical="top"/>
      <protection hidden="1"/>
    </xf>
    <xf numFmtId="191" fontId="111" fillId="34" borderId="26" xfId="35" applyNumberFormat="1" applyFont="1" applyFill="1" applyBorder="1" applyAlignment="1" applyProtection="1">
      <alignment horizontal="center" vertical="top"/>
      <protection hidden="1"/>
    </xf>
    <xf numFmtId="191" fontId="111" fillId="34" borderId="27" xfId="0" applyNumberFormat="1" applyFont="1" applyFill="1" applyBorder="1" applyAlignment="1" applyProtection="1">
      <alignment horizontal="center" vertical="top"/>
      <protection hidden="1"/>
    </xf>
    <xf numFmtId="191" fontId="111" fillId="34" borderId="10" xfId="0" applyNumberFormat="1" applyFont="1" applyFill="1" applyBorder="1" applyAlignment="1" applyProtection="1">
      <alignment horizontal="center" vertical="top"/>
      <protection hidden="1"/>
    </xf>
    <xf numFmtId="191" fontId="111" fillId="27" borderId="27" xfId="0" applyNumberFormat="1" applyFont="1" applyFill="1" applyBorder="1" applyAlignment="1" applyProtection="1">
      <alignment horizontal="center"/>
      <protection hidden="1"/>
    </xf>
    <xf numFmtId="191" fontId="111" fillId="27" borderId="10" xfId="0" applyNumberFormat="1" applyFont="1" applyFill="1" applyBorder="1" applyAlignment="1" applyProtection="1">
      <alignment horizontal="center"/>
      <protection hidden="1"/>
    </xf>
    <xf numFmtId="191" fontId="34" fillId="27" borderId="27" xfId="0" applyNumberFormat="1" applyFont="1" applyFill="1" applyBorder="1" applyAlignment="1" applyProtection="1">
      <alignment horizontal="center"/>
      <protection hidden="1"/>
    </xf>
    <xf numFmtId="191" fontId="156" fillId="31" borderId="10" xfId="35" applyNumberFormat="1" applyFont="1" applyFill="1" applyBorder="1" applyAlignment="1" applyProtection="1">
      <alignment horizontal="center" vertical="center"/>
      <protection hidden="1"/>
    </xf>
    <xf numFmtId="191" fontId="157" fillId="27" borderId="10" xfId="35" applyNumberFormat="1" applyFont="1" applyFill="1" applyBorder="1" applyAlignment="1" applyProtection="1">
      <alignment horizontal="center" vertical="center"/>
      <protection hidden="1"/>
    </xf>
    <xf numFmtId="2" fontId="34" fillId="62" borderId="10" xfId="35" applyNumberFormat="1" applyFont="1" applyFill="1" applyBorder="1" applyAlignment="1" applyProtection="1">
      <alignment horizontal="center" vertical="center"/>
      <protection hidden="1"/>
    </xf>
    <xf numFmtId="178" fontId="34" fillId="62" borderId="10" xfId="35" applyNumberFormat="1" applyFont="1" applyFill="1" applyBorder="1" applyAlignment="1" applyProtection="1">
      <alignment horizontal="center" vertical="center"/>
      <protection hidden="1"/>
    </xf>
    <xf numFmtId="191" fontId="156" fillId="27" borderId="10" xfId="35" applyNumberFormat="1" applyFont="1" applyFill="1" applyBorder="1" applyAlignment="1" applyProtection="1">
      <alignment horizontal="center" vertical="center"/>
      <protection hidden="1"/>
    </xf>
    <xf numFmtId="49" fontId="157" fillId="27" borderId="10" xfId="0" applyNumberFormat="1" applyFont="1" applyFill="1" applyBorder="1" applyAlignment="1" applyProtection="1">
      <alignment horizontal="left" vertical="center"/>
      <protection hidden="1"/>
    </xf>
    <xf numFmtId="0" fontId="157" fillId="27" borderId="10" xfId="0" applyFont="1" applyFill="1" applyBorder="1" applyAlignment="1" applyProtection="1">
      <alignment horizontal="left" vertical="center" shrinkToFit="1"/>
      <protection hidden="1"/>
    </xf>
    <xf numFmtId="2" fontId="157" fillId="27" borderId="10" xfId="35" applyNumberFormat="1" applyFont="1" applyFill="1" applyBorder="1" applyAlignment="1" applyProtection="1">
      <alignment horizontal="center" vertical="center"/>
      <protection hidden="1"/>
    </xf>
    <xf numFmtId="191" fontId="156" fillId="27" borderId="10" xfId="35" applyNumberFormat="1" applyFont="1" applyFill="1" applyBorder="1" applyAlignment="1" applyProtection="1">
      <alignment horizontal="center"/>
      <protection hidden="1"/>
    </xf>
    <xf numFmtId="0" fontId="156" fillId="27" borderId="10" xfId="0" applyFont="1" applyFill="1" applyBorder="1" applyAlignment="1" applyProtection="1">
      <alignment horizontal="left" vertical="center" shrinkToFit="1"/>
      <protection hidden="1"/>
    </xf>
    <xf numFmtId="2" fontId="157" fillId="27" borderId="10" xfId="0" applyNumberFormat="1" applyFont="1" applyFill="1" applyBorder="1" applyAlignment="1" applyProtection="1">
      <alignment horizontal="left" vertical="center" shrinkToFit="1"/>
      <protection hidden="1"/>
    </xf>
    <xf numFmtId="191" fontId="157" fillId="27" borderId="10" xfId="35" applyNumberFormat="1" applyFont="1" applyFill="1" applyBorder="1" applyAlignment="1" applyProtection="1">
      <alignment horizontal="center"/>
      <protection hidden="1"/>
    </xf>
    <xf numFmtId="0" fontId="157" fillId="27" borderId="26" xfId="0" applyFont="1" applyFill="1" applyBorder="1" applyAlignment="1" applyProtection="1">
      <alignment horizontal="left" vertical="center" shrinkToFit="1"/>
      <protection hidden="1"/>
    </xf>
    <xf numFmtId="183" fontId="36" fillId="0" borderId="144" xfId="0" applyNumberFormat="1" applyFont="1" applyBorder="1" applyAlignment="1" applyProtection="1">
      <alignment horizontal="center" vertical="center"/>
      <protection locked="0"/>
    </xf>
    <xf numFmtId="183" fontId="32" fillId="0" borderId="92" xfId="0" applyNumberFormat="1" applyFont="1" applyBorder="1" applyAlignment="1" applyProtection="1">
      <alignment horizontal="center" vertical="center"/>
      <protection locked="0"/>
    </xf>
    <xf numFmtId="183" fontId="32" fillId="0" borderId="100" xfId="0" applyNumberFormat="1" applyFont="1" applyBorder="1" applyAlignment="1" applyProtection="1">
      <alignment horizontal="center" vertical="center"/>
      <protection locked="0"/>
    </xf>
    <xf numFmtId="183" fontId="36" fillId="0" borderId="115" xfId="0" applyNumberFormat="1" applyFont="1" applyBorder="1" applyAlignment="1" applyProtection="1">
      <alignment horizontal="center" vertical="center"/>
      <protection locked="0"/>
    </xf>
    <xf numFmtId="183" fontId="36" fillId="0" borderId="100" xfId="0" applyNumberFormat="1" applyFont="1" applyBorder="1" applyAlignment="1" applyProtection="1">
      <alignment horizontal="center" vertical="center"/>
      <protection locked="0"/>
    </xf>
    <xf numFmtId="183" fontId="32" fillId="0" borderId="115" xfId="0" applyNumberFormat="1" applyFont="1" applyBorder="1" applyAlignment="1" applyProtection="1">
      <alignment horizontal="center" vertical="center"/>
      <protection locked="0"/>
    </xf>
    <xf numFmtId="177" fontId="48" fillId="50" borderId="10" xfId="0" applyNumberFormat="1" applyFont="1" applyFill="1" applyBorder="1" applyAlignment="1" applyProtection="1">
      <alignment horizontal="center" vertical="center"/>
      <protection hidden="1"/>
    </xf>
    <xf numFmtId="0" fontId="36" fillId="62" borderId="10" xfId="0" applyFont="1" applyFill="1" applyBorder="1" applyAlignment="1" applyProtection="1">
      <alignment horizontal="center" vertical="center"/>
      <protection hidden="1"/>
    </xf>
    <xf numFmtId="177" fontId="48" fillId="62" borderId="10" xfId="0" applyNumberFormat="1" applyFont="1" applyFill="1" applyBorder="1" applyAlignment="1" applyProtection="1">
      <alignment horizontal="center" vertical="center"/>
      <protection hidden="1"/>
    </xf>
    <xf numFmtId="0" fontId="36" fillId="50" borderId="10" xfId="0" applyFont="1" applyFill="1" applyBorder="1" applyAlignment="1" applyProtection="1">
      <alignment horizontal="center" vertical="center"/>
      <protection hidden="1"/>
    </xf>
    <xf numFmtId="178" fontId="34" fillId="37" borderId="0" xfId="35" applyNumberFormat="1" applyFont="1" applyFill="1" applyBorder="1" applyAlignment="1" applyProtection="1">
      <alignment horizontal="center" vertical="center"/>
      <protection hidden="1"/>
    </xf>
    <xf numFmtId="0" fontId="36" fillId="0" borderId="0" xfId="0" applyFont="1" applyAlignment="1" applyProtection="1">
      <alignment horizontal="center" vertical="justify"/>
      <protection hidden="1"/>
    </xf>
    <xf numFmtId="0" fontId="32" fillId="27" borderId="10" xfId="0" applyFont="1" applyFill="1" applyBorder="1" applyAlignment="1" applyProtection="1">
      <alignment horizontal="center" vertical="center" shrinkToFit="1"/>
      <protection hidden="1"/>
    </xf>
    <xf numFmtId="0" fontId="32" fillId="0" borderId="0" xfId="0" applyFont="1" applyAlignment="1" applyProtection="1">
      <alignment horizontal="center" vertical="justify"/>
      <protection hidden="1"/>
    </xf>
    <xf numFmtId="0" fontId="32" fillId="0" borderId="69" xfId="0" applyFont="1" applyBorder="1" applyAlignment="1" applyProtection="1">
      <alignment horizontal="center" vertical="justify"/>
      <protection hidden="1"/>
    </xf>
    <xf numFmtId="0" fontId="32" fillId="0" borderId="60" xfId="0" applyFont="1" applyBorder="1" applyAlignment="1" applyProtection="1">
      <alignment horizontal="center" vertical="justify"/>
      <protection hidden="1"/>
    </xf>
    <xf numFmtId="0" fontId="32" fillId="0" borderId="66" xfId="0" applyFont="1" applyBorder="1" applyAlignment="1" applyProtection="1">
      <alignment horizontal="center" vertical="justify"/>
      <protection hidden="1"/>
    </xf>
    <xf numFmtId="0" fontId="32" fillId="0" borderId="62" xfId="0" applyFont="1" applyBorder="1" applyAlignment="1" applyProtection="1">
      <alignment horizontal="center" vertical="justify"/>
      <protection hidden="1"/>
    </xf>
    <xf numFmtId="177" fontId="32" fillId="0" borderId="117" xfId="0" applyNumberFormat="1" applyFont="1" applyBorder="1" applyAlignment="1" applyProtection="1">
      <alignment horizontal="center" vertical="justify"/>
      <protection hidden="1"/>
    </xf>
    <xf numFmtId="0" fontId="36" fillId="0" borderId="62" xfId="0" applyFont="1" applyBorder="1" applyAlignment="1" applyProtection="1">
      <alignment horizontal="center" vertical="justify"/>
      <protection hidden="1"/>
    </xf>
    <xf numFmtId="177" fontId="32" fillId="0" borderId="100" xfId="0" applyNumberFormat="1" applyFont="1" applyBorder="1" applyAlignment="1" applyProtection="1">
      <alignment horizontal="center" vertical="justify"/>
      <protection hidden="1"/>
    </xf>
    <xf numFmtId="177" fontId="32" fillId="0" borderId="115" xfId="0" applyNumberFormat="1" applyFont="1" applyBorder="1" applyAlignment="1" applyProtection="1">
      <alignment horizontal="center" vertical="justify"/>
      <protection hidden="1"/>
    </xf>
    <xf numFmtId="177" fontId="32" fillId="0" borderId="92" xfId="0" applyNumberFormat="1" applyFont="1" applyBorder="1" applyAlignment="1" applyProtection="1">
      <alignment horizontal="center" vertical="justify"/>
      <protection hidden="1"/>
    </xf>
    <xf numFmtId="177" fontId="32" fillId="0" borderId="0" xfId="0" applyNumberFormat="1" applyFont="1" applyAlignment="1" applyProtection="1">
      <alignment horizontal="center" vertical="justify"/>
      <protection hidden="1"/>
    </xf>
    <xf numFmtId="0" fontId="44" fillId="0" borderId="0" xfId="0" applyFont="1" applyAlignment="1">
      <alignment horizontal="center" vertical="center"/>
    </xf>
    <xf numFmtId="0" fontId="98" fillId="0" borderId="0" xfId="0" applyFont="1" applyAlignment="1" applyProtection="1">
      <alignment horizontal="center" vertical="top"/>
      <protection hidden="1"/>
    </xf>
    <xf numFmtId="0" fontId="44" fillId="0" borderId="60" xfId="0" applyFont="1" applyBorder="1" applyAlignment="1">
      <alignment horizontal="center" vertical="center"/>
    </xf>
    <xf numFmtId="177" fontId="159" fillId="0" borderId="100" xfId="0" applyNumberFormat="1" applyFont="1" applyBorder="1" applyAlignment="1" applyProtection="1">
      <alignment horizontal="center" vertical="center"/>
      <protection hidden="1"/>
    </xf>
    <xf numFmtId="177" fontId="159" fillId="0" borderId="115" xfId="0" applyNumberFormat="1" applyFont="1" applyBorder="1" applyAlignment="1" applyProtection="1">
      <alignment horizontal="center" vertical="justify"/>
      <protection hidden="1"/>
    </xf>
    <xf numFmtId="177" fontId="159" fillId="0" borderId="118" xfId="0" applyNumberFormat="1" applyFont="1" applyBorder="1" applyAlignment="1" applyProtection="1">
      <alignment horizontal="center" vertical="center"/>
      <protection hidden="1"/>
    </xf>
    <xf numFmtId="177" fontId="159" fillId="0" borderId="116" xfId="0" applyNumberFormat="1" applyFont="1" applyBorder="1" applyAlignment="1" applyProtection="1">
      <alignment horizontal="center" vertical="center"/>
      <protection hidden="1"/>
    </xf>
    <xf numFmtId="178" fontId="34" fillId="63" borderId="26" xfId="0" applyNumberFormat="1" applyFont="1" applyFill="1" applyBorder="1" applyAlignment="1" applyProtection="1">
      <alignment horizontal="center" vertical="center"/>
      <protection hidden="1"/>
    </xf>
    <xf numFmtId="0" fontId="0" fillId="57" borderId="56" xfId="0" applyFill="1" applyBorder="1">
      <alignment vertical="center"/>
    </xf>
    <xf numFmtId="0" fontId="0" fillId="57" borderId="26" xfId="0" applyFill="1" applyBorder="1">
      <alignment vertical="center"/>
    </xf>
    <xf numFmtId="0" fontId="0" fillId="57" borderId="185" xfId="0" applyFill="1" applyBorder="1">
      <alignment vertical="center"/>
    </xf>
    <xf numFmtId="0" fontId="0" fillId="57" borderId="66" xfId="0" applyFill="1" applyBorder="1">
      <alignment vertical="center"/>
    </xf>
    <xf numFmtId="49" fontId="34" fillId="0" borderId="0" xfId="35" applyNumberFormat="1" applyFont="1" applyFill="1" applyBorder="1" applyAlignment="1" applyProtection="1">
      <alignment horizontal="center"/>
    </xf>
    <xf numFmtId="178" fontId="34" fillId="0" borderId="0" xfId="35" applyNumberFormat="1" applyFont="1" applyFill="1" applyBorder="1" applyAlignment="1" applyProtection="1"/>
    <xf numFmtId="187" fontId="34" fillId="0" borderId="0" xfId="35" applyNumberFormat="1" applyFont="1" applyFill="1" applyBorder="1" applyAlignment="1" applyProtection="1"/>
    <xf numFmtId="40" fontId="34" fillId="27" borderId="10" xfId="35" applyNumberFormat="1" applyFont="1" applyFill="1" applyBorder="1" applyAlignment="1" applyProtection="1">
      <alignment horizontal="center"/>
    </xf>
    <xf numFmtId="40" fontId="34" fillId="27" borderId="27" xfId="35" applyNumberFormat="1" applyFont="1" applyFill="1" applyBorder="1" applyAlignment="1" applyProtection="1">
      <alignment horizontal="center"/>
    </xf>
    <xf numFmtId="40" fontId="34" fillId="27" borderId="10" xfId="35" applyNumberFormat="1" applyFont="1" applyFill="1" applyBorder="1" applyAlignment="1" applyProtection="1">
      <alignment horizontal="center" vertical="center"/>
    </xf>
    <xf numFmtId="0" fontId="34" fillId="27" borderId="50" xfId="0" applyFont="1" applyFill="1" applyBorder="1" applyAlignment="1">
      <alignment horizontal="left" vertical="center" shrinkToFit="1"/>
    </xf>
    <xf numFmtId="49" fontId="34" fillId="27" borderId="10" xfId="0" applyNumberFormat="1" applyFont="1" applyFill="1" applyBorder="1" applyAlignment="1">
      <alignment horizontal="left" vertical="center"/>
    </xf>
    <xf numFmtId="208" fontId="34" fillId="27" borderId="10" xfId="35" applyNumberFormat="1" applyFont="1" applyFill="1" applyBorder="1" applyAlignment="1" applyProtection="1">
      <alignment horizontal="center" vertical="center"/>
    </xf>
    <xf numFmtId="209" fontId="34" fillId="27" borderId="10" xfId="35" applyNumberFormat="1" applyFont="1" applyFill="1" applyBorder="1" applyAlignment="1" applyProtection="1">
      <alignment horizontal="center" vertical="center"/>
    </xf>
    <xf numFmtId="183" fontId="32" fillId="0" borderId="117" xfId="0" applyNumberFormat="1" applyFont="1" applyBorder="1" applyAlignment="1">
      <alignment horizontal="center" vertical="center"/>
    </xf>
    <xf numFmtId="183" fontId="32" fillId="0" borderId="65" xfId="0" applyNumberFormat="1" applyFont="1" applyBorder="1" applyAlignment="1">
      <alignment horizontal="center" vertical="center"/>
    </xf>
    <xf numFmtId="0" fontId="0" fillId="0" borderId="100" xfId="0" applyBorder="1">
      <alignment vertical="center"/>
    </xf>
    <xf numFmtId="0" fontId="34" fillId="27" borderId="51" xfId="0" applyFont="1" applyFill="1" applyBorder="1" applyAlignment="1">
      <alignment horizontal="center" vertical="center"/>
    </xf>
    <xf numFmtId="0" fontId="116" fillId="27" borderId="64" xfId="29" applyNumberFormat="1" applyFont="1" applyFill="1" applyBorder="1" applyAlignment="1" applyProtection="1">
      <alignment horizontal="center" vertical="center"/>
    </xf>
    <xf numFmtId="0" fontId="127" fillId="27" borderId="62" xfId="0" applyFont="1" applyFill="1" applyBorder="1" applyAlignment="1">
      <alignment horizontal="center"/>
    </xf>
    <xf numFmtId="188" fontId="34" fillId="27" borderId="10" xfId="35" applyNumberFormat="1" applyFont="1" applyFill="1" applyBorder="1" applyAlignment="1" applyProtection="1"/>
    <xf numFmtId="187" fontId="34" fillId="27" borderId="10" xfId="35" applyNumberFormat="1" applyFont="1" applyFill="1" applyBorder="1" applyAlignment="1" applyProtection="1">
      <alignment horizontal="right"/>
    </xf>
    <xf numFmtId="0" fontId="111" fillId="31" borderId="10" xfId="0" applyFont="1" applyFill="1" applyBorder="1" applyAlignment="1">
      <alignment horizontal="left" vertical="center"/>
    </xf>
    <xf numFmtId="183" fontId="32" fillId="0" borderId="114" xfId="0" applyNumberFormat="1" applyFont="1" applyBorder="1" applyAlignment="1">
      <alignment horizontal="center" vertical="center"/>
    </xf>
    <xf numFmtId="183" fontId="32" fillId="0" borderId="59" xfId="0" applyNumberFormat="1" applyFont="1" applyBorder="1" applyAlignment="1">
      <alignment horizontal="center" vertical="center"/>
    </xf>
    <xf numFmtId="49" fontId="34" fillId="27" borderId="10" xfId="0" applyNumberFormat="1" applyFont="1" applyFill="1" applyBorder="1">
      <alignment vertical="center"/>
    </xf>
    <xf numFmtId="208" fontId="34" fillId="27" borderId="10" xfId="35" applyNumberFormat="1" applyFont="1" applyFill="1" applyBorder="1" applyAlignment="1" applyProtection="1">
      <alignment horizontal="center"/>
    </xf>
    <xf numFmtId="209" fontId="34" fillId="27" borderId="10" xfId="35" applyNumberFormat="1" applyFont="1" applyFill="1" applyBorder="1" applyAlignment="1" applyProtection="1">
      <alignment horizontal="center"/>
    </xf>
    <xf numFmtId="183" fontId="36" fillId="27" borderId="92" xfId="0" applyNumberFormat="1" applyFont="1" applyFill="1" applyBorder="1" applyAlignment="1">
      <alignment horizontal="center" vertical="center"/>
    </xf>
    <xf numFmtId="183" fontId="36" fillId="27" borderId="114" xfId="0" applyNumberFormat="1" applyFont="1" applyFill="1" applyBorder="1" applyAlignment="1">
      <alignment horizontal="center" vertical="center"/>
    </xf>
    <xf numFmtId="183" fontId="36" fillId="27" borderId="59" xfId="0" applyNumberFormat="1" applyFont="1" applyFill="1" applyBorder="1" applyAlignment="1">
      <alignment horizontal="center" vertical="center"/>
    </xf>
    <xf numFmtId="0" fontId="114" fillId="27" borderId="57" xfId="0" applyFont="1" applyFill="1" applyBorder="1">
      <alignment vertical="center"/>
    </xf>
    <xf numFmtId="0" fontId="111" fillId="27" borderId="57" xfId="0" applyFont="1" applyFill="1" applyBorder="1" applyAlignment="1">
      <alignment horizontal="left" vertical="center"/>
    </xf>
    <xf numFmtId="0" fontId="34" fillId="27" borderId="50" xfId="0" applyFont="1" applyFill="1" applyBorder="1" applyAlignment="1">
      <alignment horizontal="left" vertical="center"/>
    </xf>
    <xf numFmtId="0" fontId="28" fillId="27" borderId="52" xfId="0" applyFont="1" applyFill="1" applyBorder="1">
      <alignment vertical="center"/>
    </xf>
    <xf numFmtId="0" fontId="114" fillId="27" borderId="50" xfId="0" applyFont="1" applyFill="1" applyBorder="1">
      <alignment vertical="center"/>
    </xf>
    <xf numFmtId="183" fontId="32" fillId="0" borderId="119" xfId="0" applyNumberFormat="1" applyFont="1" applyBorder="1" applyAlignment="1">
      <alignment horizontal="center" vertical="center"/>
    </xf>
    <xf numFmtId="183" fontId="32" fillId="0" borderId="62" xfId="0" applyNumberFormat="1" applyFont="1" applyBorder="1" applyAlignment="1">
      <alignment horizontal="center" vertical="center"/>
    </xf>
    <xf numFmtId="40" fontId="34" fillId="27" borderId="27" xfId="35" applyNumberFormat="1" applyFont="1" applyFill="1" applyBorder="1" applyAlignment="1" applyProtection="1">
      <alignment horizontal="center" vertical="center"/>
    </xf>
    <xf numFmtId="0" fontId="34" fillId="27" borderId="10" xfId="0" applyFont="1" applyFill="1" applyBorder="1" applyAlignment="1">
      <alignment horizontal="left" vertical="center"/>
    </xf>
    <xf numFmtId="183" fontId="36" fillId="27" borderId="115" xfId="0" applyNumberFormat="1" applyFont="1" applyFill="1" applyBorder="1" applyAlignment="1">
      <alignment horizontal="center" vertical="center"/>
    </xf>
    <xf numFmtId="183" fontId="36" fillId="27" borderId="117" xfId="0" applyNumberFormat="1" applyFont="1" applyFill="1" applyBorder="1" applyAlignment="1">
      <alignment horizontal="center" vertical="center"/>
    </xf>
    <xf numFmtId="183" fontId="36" fillId="27" borderId="65" xfId="0" applyNumberFormat="1" applyFont="1" applyFill="1" applyBorder="1" applyAlignment="1">
      <alignment horizontal="center" vertical="center"/>
    </xf>
    <xf numFmtId="0" fontId="114" fillId="27" borderId="0" xfId="0" applyFont="1" applyFill="1">
      <alignment vertical="center"/>
    </xf>
    <xf numFmtId="0" fontId="111" fillId="27" borderId="0" xfId="0" applyFont="1" applyFill="1" applyAlignment="1">
      <alignment horizontal="left" vertical="center"/>
    </xf>
    <xf numFmtId="0" fontId="34" fillId="27" borderId="57" xfId="0" applyFont="1" applyFill="1" applyBorder="1" applyAlignment="1">
      <alignment horizontal="left" vertical="center"/>
    </xf>
    <xf numFmtId="0" fontId="28" fillId="27" borderId="62" xfId="0" applyFont="1" applyFill="1" applyBorder="1">
      <alignment vertical="center"/>
    </xf>
    <xf numFmtId="40" fontId="111" fillId="27" borderId="10" xfId="35" applyNumberFormat="1" applyFont="1" applyFill="1" applyBorder="1" applyAlignment="1" applyProtection="1">
      <alignment horizontal="center"/>
    </xf>
    <xf numFmtId="40" fontId="111" fillId="27" borderId="27" xfId="35" applyNumberFormat="1" applyFont="1" applyFill="1" applyBorder="1" applyAlignment="1" applyProtection="1">
      <alignment horizontal="center"/>
    </xf>
    <xf numFmtId="0" fontId="111" fillId="27" borderId="10" xfId="0" applyFont="1" applyFill="1" applyBorder="1" applyAlignment="1">
      <alignment horizontal="left" vertical="center" shrinkToFit="1"/>
    </xf>
    <xf numFmtId="49" fontId="111" fillId="27" borderId="10" xfId="0" applyNumberFormat="1" applyFont="1" applyFill="1" applyBorder="1" applyAlignment="1">
      <alignment horizontal="left" vertical="center"/>
    </xf>
    <xf numFmtId="49" fontId="111" fillId="27" borderId="10" xfId="0" applyNumberFormat="1" applyFont="1" applyFill="1" applyBorder="1">
      <alignment vertical="center"/>
    </xf>
    <xf numFmtId="208" fontId="111" fillId="27" borderId="10" xfId="35" applyNumberFormat="1" applyFont="1" applyFill="1" applyBorder="1" applyAlignment="1" applyProtection="1">
      <alignment horizontal="center"/>
    </xf>
    <xf numFmtId="209" fontId="111" fillId="27" borderId="10" xfId="35" applyNumberFormat="1" applyFont="1" applyFill="1" applyBorder="1" applyAlignment="1" applyProtection="1">
      <alignment horizontal="center"/>
    </xf>
    <xf numFmtId="183" fontId="36" fillId="27" borderId="96" xfId="0" applyNumberFormat="1" applyFont="1" applyFill="1" applyBorder="1" applyAlignment="1">
      <alignment horizontal="center" vertical="center"/>
    </xf>
    <xf numFmtId="183" fontId="36" fillId="27" borderId="221" xfId="0" applyNumberFormat="1" applyFont="1" applyFill="1" applyBorder="1" applyAlignment="1">
      <alignment horizontal="center" vertical="center"/>
    </xf>
    <xf numFmtId="183" fontId="36" fillId="27" borderId="77" xfId="0" applyNumberFormat="1" applyFont="1" applyFill="1" applyBorder="1" applyAlignment="1">
      <alignment horizontal="center" vertical="center"/>
    </xf>
    <xf numFmtId="0" fontId="111" fillId="27" borderId="50" xfId="0" applyFont="1" applyFill="1" applyBorder="1" applyAlignment="1">
      <alignment horizontal="left" vertical="center"/>
    </xf>
    <xf numFmtId="0" fontId="28" fillId="27" borderId="89" xfId="0" applyFont="1" applyFill="1" applyBorder="1">
      <alignment vertical="center"/>
    </xf>
    <xf numFmtId="188" fontId="111" fillId="27" borderId="10" xfId="35" applyNumberFormat="1" applyFont="1" applyFill="1" applyBorder="1" applyAlignment="1" applyProtection="1"/>
    <xf numFmtId="187" fontId="111" fillId="27" borderId="10" xfId="35" applyNumberFormat="1" applyFont="1" applyFill="1" applyBorder="1" applyAlignment="1" applyProtection="1">
      <alignment horizontal="right"/>
    </xf>
    <xf numFmtId="0" fontId="34" fillId="27" borderId="26" xfId="0" applyFont="1" applyFill="1" applyBorder="1" applyAlignment="1">
      <alignment horizontal="left" vertical="center" shrinkToFit="1"/>
    </xf>
    <xf numFmtId="183" fontId="32" fillId="0" borderId="100" xfId="0" applyNumberFormat="1" applyFont="1" applyBorder="1" applyAlignment="1">
      <alignment horizontal="center" vertical="center"/>
    </xf>
    <xf numFmtId="0" fontId="157" fillId="27" borderId="57" xfId="0" applyFont="1" applyFill="1" applyBorder="1" applyAlignment="1">
      <alignment horizontal="left" vertical="center"/>
    </xf>
    <xf numFmtId="0" fontId="158" fillId="27" borderId="26" xfId="0" applyFont="1" applyFill="1" applyBorder="1">
      <alignment vertical="center"/>
    </xf>
    <xf numFmtId="0" fontId="28" fillId="27" borderId="62" xfId="0" quotePrefix="1" applyFont="1" applyFill="1" applyBorder="1">
      <alignment vertical="center"/>
    </xf>
    <xf numFmtId="0" fontId="116" fillId="27" borderId="56" xfId="29" applyNumberFormat="1" applyFont="1" applyFill="1" applyBorder="1" applyAlignment="1" applyProtection="1">
      <alignment horizontal="center" vertical="center"/>
    </xf>
    <xf numFmtId="0" fontId="28" fillId="27" borderId="64" xfId="0" applyFont="1" applyFill="1" applyBorder="1">
      <alignment vertical="center"/>
    </xf>
    <xf numFmtId="0" fontId="28" fillId="27" borderId="26" xfId="0" applyFont="1" applyFill="1" applyBorder="1">
      <alignment vertical="center"/>
    </xf>
    <xf numFmtId="0" fontId="28" fillId="27" borderId="89" xfId="0" quotePrefix="1" applyFont="1" applyFill="1" applyBorder="1">
      <alignment vertical="center"/>
    </xf>
    <xf numFmtId="209" fontId="111" fillId="49" borderId="10" xfId="35" applyNumberFormat="1" applyFont="1" applyFill="1" applyBorder="1" applyAlignment="1" applyProtection="1">
      <alignment horizontal="center" vertical="center"/>
    </xf>
    <xf numFmtId="183" fontId="36" fillId="27" borderId="210" xfId="0" applyNumberFormat="1" applyFont="1" applyFill="1" applyBorder="1" applyAlignment="1">
      <alignment horizontal="center" vertical="center"/>
    </xf>
    <xf numFmtId="183" fontId="36" fillId="27" borderId="209" xfId="0" applyNumberFormat="1" applyFont="1" applyFill="1" applyBorder="1" applyAlignment="1">
      <alignment horizontal="center" vertical="center"/>
    </xf>
    <xf numFmtId="183" fontId="36" fillId="27" borderId="222" xfId="0" applyNumberFormat="1" applyFont="1" applyFill="1" applyBorder="1" applyAlignment="1">
      <alignment horizontal="center" vertical="center"/>
    </xf>
    <xf numFmtId="49" fontId="111" fillId="31" borderId="10" xfId="0" applyNumberFormat="1" applyFont="1" applyFill="1" applyBorder="1" applyAlignment="1">
      <alignment horizontal="left" vertical="center"/>
    </xf>
    <xf numFmtId="40" fontId="111" fillId="31" borderId="10" xfId="0" applyNumberFormat="1" applyFont="1" applyFill="1" applyBorder="1" applyAlignment="1">
      <alignment horizontal="center"/>
    </xf>
    <xf numFmtId="40" fontId="111" fillId="31" borderId="27" xfId="0" applyNumberFormat="1" applyFont="1" applyFill="1" applyBorder="1" applyAlignment="1">
      <alignment horizontal="center"/>
    </xf>
    <xf numFmtId="40" fontId="111" fillId="31" borderId="10" xfId="35" applyNumberFormat="1" applyFont="1" applyFill="1" applyBorder="1" applyAlignment="1" applyProtection="1">
      <alignment horizontal="center" vertical="center"/>
    </xf>
    <xf numFmtId="0" fontId="111" fillId="31" borderId="10" xfId="0" applyFont="1" applyFill="1" applyBorder="1" applyAlignment="1">
      <alignment horizontal="left" vertical="center" shrinkToFit="1"/>
    </xf>
    <xf numFmtId="0" fontId="111" fillId="31" borderId="10" xfId="0" applyFont="1" applyFill="1" applyBorder="1">
      <alignment vertical="center"/>
    </xf>
    <xf numFmtId="208" fontId="111" fillId="31" borderId="10" xfId="35" applyNumberFormat="1" applyFont="1" applyFill="1" applyBorder="1" applyAlignment="1" applyProtection="1">
      <alignment horizontal="center" vertical="center"/>
    </xf>
    <xf numFmtId="209" fontId="111" fillId="31" borderId="10" xfId="35" applyNumberFormat="1" applyFont="1" applyFill="1" applyBorder="1" applyAlignment="1" applyProtection="1">
      <alignment horizontal="center" vertical="center"/>
    </xf>
    <xf numFmtId="180" fontId="164" fillId="31" borderId="134" xfId="0" applyNumberFormat="1" applyFont="1" applyFill="1" applyBorder="1" applyAlignment="1">
      <alignment horizontal="center" vertical="center"/>
    </xf>
    <xf numFmtId="180" fontId="37" fillId="31" borderId="213" xfId="0" applyNumberFormat="1" applyFont="1" applyFill="1" applyBorder="1" applyAlignment="1">
      <alignment horizontal="center"/>
    </xf>
    <xf numFmtId="180" fontId="37" fillId="31" borderId="128" xfId="0" applyNumberFormat="1" applyFont="1" applyFill="1" applyBorder="1" applyAlignment="1">
      <alignment horizontal="center"/>
    </xf>
    <xf numFmtId="0" fontId="34" fillId="31" borderId="129" xfId="0" applyFont="1" applyFill="1" applyBorder="1" applyAlignment="1">
      <alignment horizontal="left" vertical="center"/>
    </xf>
    <xf numFmtId="0" fontId="28" fillId="31" borderId="129" xfId="0" applyFont="1" applyFill="1" applyBorder="1" applyAlignment="1">
      <alignment horizontal="left" vertical="center"/>
    </xf>
    <xf numFmtId="0" fontId="28" fillId="31" borderId="128" xfId="0" applyFont="1" applyFill="1" applyBorder="1">
      <alignment vertical="center"/>
    </xf>
    <xf numFmtId="188" fontId="111" fillId="31" borderId="10" xfId="35" applyNumberFormat="1" applyFont="1" applyFill="1" applyBorder="1" applyAlignment="1" applyProtection="1"/>
    <xf numFmtId="187" fontId="111" fillId="31" borderId="10" xfId="35" applyNumberFormat="1" applyFont="1" applyFill="1" applyBorder="1" applyAlignment="1" applyProtection="1">
      <alignment horizontal="right" vertical="center"/>
    </xf>
    <xf numFmtId="40" fontId="34" fillId="27" borderId="10" xfId="0" applyNumberFormat="1" applyFont="1" applyFill="1" applyBorder="1" applyAlignment="1">
      <alignment horizontal="center"/>
    </xf>
    <xf numFmtId="40" fontId="34" fillId="27" borderId="27" xfId="0" applyNumberFormat="1" applyFont="1" applyFill="1" applyBorder="1" applyAlignment="1">
      <alignment horizontal="center"/>
    </xf>
    <xf numFmtId="40" fontId="34" fillId="27" borderId="26" xfId="35" applyNumberFormat="1" applyFont="1" applyFill="1" applyBorder="1" applyAlignment="1" applyProtection="1">
      <alignment horizontal="center" vertical="center"/>
    </xf>
    <xf numFmtId="208" fontId="34" fillId="27" borderId="26" xfId="35" applyNumberFormat="1" applyFont="1" applyFill="1" applyBorder="1" applyAlignment="1" applyProtection="1">
      <alignment horizontal="center" vertical="center"/>
    </xf>
    <xf numFmtId="0" fontId="114" fillId="27" borderId="126" xfId="0" applyFont="1" applyFill="1" applyBorder="1">
      <alignment vertical="center"/>
    </xf>
    <xf numFmtId="0" fontId="34" fillId="27" borderId="126" xfId="0" applyFont="1" applyFill="1" applyBorder="1">
      <alignment vertical="center"/>
    </xf>
    <xf numFmtId="0" fontId="34" fillId="27" borderId="136" xfId="0" applyFont="1" applyFill="1" applyBorder="1" applyAlignment="1">
      <alignment horizontal="center" vertical="center"/>
    </xf>
    <xf numFmtId="0" fontId="116" fillId="27" borderId="83" xfId="29" applyFont="1" applyFill="1" applyBorder="1" applyAlignment="1" applyProtection="1">
      <alignment horizontal="center" vertical="center"/>
    </xf>
    <xf numFmtId="0" fontId="111" fillId="27" borderId="116" xfId="0" applyFont="1" applyFill="1" applyBorder="1" applyAlignment="1">
      <alignment horizontal="center" vertical="center"/>
    </xf>
    <xf numFmtId="187" fontId="34" fillId="27" borderId="10" xfId="0" applyNumberFormat="1" applyFont="1" applyFill="1" applyBorder="1">
      <alignment vertical="center"/>
    </xf>
    <xf numFmtId="0" fontId="116" fillId="27" borderId="64" xfId="29" applyFont="1" applyFill="1" applyBorder="1" applyAlignment="1" applyProtection="1">
      <alignment horizontal="center" vertical="center"/>
    </xf>
    <xf numFmtId="0" fontId="111" fillId="27" borderId="62" xfId="0" applyFont="1" applyFill="1" applyBorder="1" applyAlignment="1">
      <alignment horizontal="center" vertical="center"/>
    </xf>
    <xf numFmtId="183" fontId="36" fillId="27" borderId="100" xfId="0" applyNumberFormat="1" applyFont="1" applyFill="1" applyBorder="1" applyAlignment="1">
      <alignment horizontal="center" vertical="center"/>
    </xf>
    <xf numFmtId="183" fontId="36" fillId="27" borderId="119" xfId="0" applyNumberFormat="1" applyFont="1" applyFill="1" applyBorder="1" applyAlignment="1">
      <alignment horizontal="center" vertical="center"/>
    </xf>
    <xf numFmtId="183" fontId="36" fillId="27" borderId="62" xfId="0" applyNumberFormat="1" applyFont="1" applyFill="1" applyBorder="1" applyAlignment="1">
      <alignment horizontal="center" vertical="center"/>
    </xf>
    <xf numFmtId="0" fontId="114" fillId="27" borderId="53" xfId="0" applyFont="1" applyFill="1" applyBorder="1">
      <alignment vertical="center"/>
    </xf>
    <xf numFmtId="0" fontId="34" fillId="27" borderId="53" xfId="0" applyFont="1" applyFill="1" applyBorder="1">
      <alignment vertical="center"/>
    </xf>
    <xf numFmtId="183" fontId="32" fillId="0" borderId="144" xfId="0" applyNumberFormat="1" applyFont="1" applyBorder="1" applyAlignment="1" applyProtection="1">
      <alignment horizontal="center" vertical="center"/>
      <protection locked="0"/>
    </xf>
    <xf numFmtId="183" fontId="32" fillId="0" borderId="223" xfId="0" applyNumberFormat="1" applyFont="1" applyBorder="1" applyAlignment="1">
      <alignment horizontal="center" vertical="center"/>
    </xf>
    <xf numFmtId="183" fontId="32" fillId="0" borderId="68" xfId="0" applyNumberFormat="1" applyFont="1" applyBorder="1" applyAlignment="1">
      <alignment horizontal="center" vertical="center"/>
    </xf>
    <xf numFmtId="40" fontId="111" fillId="27" borderId="10" xfId="0" applyNumberFormat="1" applyFont="1" applyFill="1" applyBorder="1" applyAlignment="1">
      <alignment horizontal="center"/>
    </xf>
    <xf numFmtId="40" fontId="111" fillId="27" borderId="27" xfId="0" applyNumberFormat="1" applyFont="1" applyFill="1" applyBorder="1" applyAlignment="1">
      <alignment horizontal="center"/>
    </xf>
    <xf numFmtId="40" fontId="111" fillId="27" borderId="26" xfId="35" applyNumberFormat="1" applyFont="1" applyFill="1" applyBorder="1" applyAlignment="1" applyProtection="1">
      <alignment horizontal="center"/>
    </xf>
    <xf numFmtId="0" fontId="111" fillId="27" borderId="10" xfId="0" applyFont="1" applyFill="1" applyBorder="1" applyAlignment="1">
      <alignment horizontal="left" vertical="center"/>
    </xf>
    <xf numFmtId="208" fontId="111" fillId="27" borderId="26" xfId="35" applyNumberFormat="1" applyFont="1" applyFill="1" applyBorder="1" applyAlignment="1" applyProtection="1">
      <alignment horizontal="center"/>
    </xf>
    <xf numFmtId="0" fontId="111" fillId="27" borderId="53" xfId="0" applyFont="1" applyFill="1" applyBorder="1" applyAlignment="1">
      <alignment horizontal="left" vertical="center"/>
    </xf>
    <xf numFmtId="0" fontId="151" fillId="27" borderId="50" xfId="0" applyFont="1" applyFill="1" applyBorder="1">
      <alignment vertical="center"/>
    </xf>
    <xf numFmtId="0" fontId="139" fillId="27" borderId="50" xfId="0" applyFont="1" applyFill="1" applyBorder="1">
      <alignment vertical="center"/>
    </xf>
    <xf numFmtId="0" fontId="139" fillId="27" borderId="50" xfId="0" applyFont="1" applyFill="1" applyBorder="1" applyAlignment="1">
      <alignment horizontal="left" vertical="center"/>
    </xf>
    <xf numFmtId="0" fontId="152" fillId="27" borderId="26" xfId="0" applyFont="1" applyFill="1" applyBorder="1">
      <alignment vertical="center"/>
    </xf>
    <xf numFmtId="0" fontId="139" fillId="27" borderId="10" xfId="0" applyFont="1" applyFill="1" applyBorder="1" applyAlignment="1">
      <alignment horizontal="center" vertical="center"/>
    </xf>
    <xf numFmtId="0" fontId="150" fillId="27" borderId="64" xfId="29" applyFont="1" applyFill="1" applyBorder="1" applyAlignment="1" applyProtection="1">
      <alignment horizontal="center" vertical="center"/>
    </xf>
    <xf numFmtId="0" fontId="111" fillId="27" borderId="62" xfId="0" quotePrefix="1" applyFont="1" applyFill="1" applyBorder="1" applyAlignment="1">
      <alignment horizontal="center" vertical="center"/>
    </xf>
    <xf numFmtId="0" fontId="152" fillId="27" borderId="52" xfId="0" applyFont="1" applyFill="1" applyBorder="1">
      <alignment vertical="center"/>
    </xf>
    <xf numFmtId="0" fontId="116" fillId="27" borderId="56" xfId="29" quotePrefix="1" applyNumberFormat="1" applyFont="1" applyFill="1" applyBorder="1" applyAlignment="1" applyProtection="1">
      <alignment horizontal="center" vertical="center"/>
    </xf>
    <xf numFmtId="0" fontId="111" fillId="27" borderId="77" xfId="0" quotePrefix="1" applyFont="1" applyFill="1" applyBorder="1" applyAlignment="1">
      <alignment horizontal="center" vertical="center"/>
    </xf>
    <xf numFmtId="0" fontId="116" fillId="27" borderId="64" xfId="29" quotePrefix="1" applyNumberFormat="1" applyFont="1" applyFill="1" applyBorder="1" applyAlignment="1" applyProtection="1">
      <alignment horizontal="center" vertical="center"/>
    </xf>
    <xf numFmtId="0" fontId="34" fillId="27" borderId="10" xfId="0" quotePrefix="1" applyFont="1" applyFill="1" applyBorder="1" applyAlignment="1">
      <alignment horizontal="left" vertical="center"/>
    </xf>
    <xf numFmtId="0" fontId="34" fillId="27" borderId="53" xfId="0" applyFont="1" applyFill="1" applyBorder="1" applyAlignment="1">
      <alignment horizontal="left" vertical="center"/>
    </xf>
    <xf numFmtId="0" fontId="28" fillId="27" borderId="64" xfId="0" quotePrefix="1" applyFont="1" applyFill="1" applyBorder="1">
      <alignment vertical="center"/>
    </xf>
    <xf numFmtId="0" fontId="111" fillId="27" borderId="10" xfId="0" quotePrefix="1" applyFont="1" applyFill="1" applyBorder="1" applyAlignment="1">
      <alignment horizontal="left" vertical="center"/>
    </xf>
    <xf numFmtId="0" fontId="28" fillId="27" borderId="145" xfId="0" quotePrefix="1" applyFont="1" applyFill="1" applyBorder="1">
      <alignment vertical="center"/>
    </xf>
    <xf numFmtId="40" fontId="111" fillId="31" borderId="26" xfId="35" applyNumberFormat="1" applyFont="1" applyFill="1" applyBorder="1" applyAlignment="1" applyProtection="1">
      <alignment horizontal="center" vertical="center"/>
    </xf>
    <xf numFmtId="208" fontId="111" fillId="31" borderId="26" xfId="35" applyNumberFormat="1" applyFont="1" applyFill="1" applyBorder="1" applyAlignment="1" applyProtection="1">
      <alignment horizontal="center" vertical="center"/>
    </xf>
    <xf numFmtId="40" fontId="111" fillId="27" borderId="10" xfId="35" applyNumberFormat="1" applyFont="1" applyFill="1" applyBorder="1" applyAlignment="1" applyProtection="1">
      <alignment horizontal="center" vertical="center"/>
    </xf>
    <xf numFmtId="40" fontId="111" fillId="27" borderId="26" xfId="35" applyNumberFormat="1" applyFont="1" applyFill="1" applyBorder="1" applyAlignment="1" applyProtection="1">
      <alignment horizontal="center" vertical="center"/>
    </xf>
    <xf numFmtId="208" fontId="111" fillId="27" borderId="10" xfId="35" applyNumberFormat="1" applyFont="1" applyFill="1" applyBorder="1" applyAlignment="1" applyProtection="1">
      <alignment horizontal="center" vertical="center"/>
    </xf>
    <xf numFmtId="208" fontId="111" fillId="27" borderId="26" xfId="35" applyNumberFormat="1" applyFont="1" applyFill="1" applyBorder="1" applyAlignment="1" applyProtection="1">
      <alignment horizontal="center" vertical="center"/>
    </xf>
    <xf numFmtId="209" fontId="111" fillId="27" borderId="10" xfId="35" applyNumberFormat="1" applyFont="1" applyFill="1" applyBorder="1" applyAlignment="1" applyProtection="1">
      <alignment horizontal="center" vertical="center"/>
    </xf>
    <xf numFmtId="183" fontId="36" fillId="27" borderId="149" xfId="0" applyNumberFormat="1" applyFont="1" applyFill="1" applyBorder="1" applyAlignment="1">
      <alignment horizontal="center" vertical="center"/>
    </xf>
    <xf numFmtId="183" fontId="36" fillId="27" borderId="224" xfId="0" applyNumberFormat="1" applyFont="1" applyFill="1" applyBorder="1" applyAlignment="1">
      <alignment horizontal="center" vertical="center"/>
    </xf>
    <xf numFmtId="183" fontId="36" fillId="27" borderId="72" xfId="0" applyNumberFormat="1" applyFont="1" applyFill="1" applyBorder="1" applyAlignment="1">
      <alignment horizontal="center" vertical="center"/>
    </xf>
    <xf numFmtId="183" fontId="32" fillId="0" borderId="115" xfId="0" applyNumberFormat="1" applyFont="1" applyBorder="1" applyAlignment="1">
      <alignment horizontal="center" vertical="center"/>
    </xf>
    <xf numFmtId="0" fontId="114" fillId="0" borderId="50" xfId="0" applyFont="1" applyBorder="1">
      <alignment vertical="center"/>
    </xf>
    <xf numFmtId="0" fontId="121" fillId="0" borderId="50" xfId="0" applyFont="1" applyBorder="1" applyAlignment="1">
      <alignment horizontal="left" vertical="center"/>
    </xf>
    <xf numFmtId="0" fontId="126" fillId="0" borderId="26" xfId="0" applyFont="1" applyBorder="1">
      <alignment vertical="center"/>
    </xf>
    <xf numFmtId="0" fontId="127" fillId="0" borderId="77" xfId="0" applyFont="1" applyBorder="1" applyAlignment="1">
      <alignment horizontal="center" vertical="center"/>
    </xf>
    <xf numFmtId="0" fontId="127" fillId="0" borderId="62" xfId="0" applyFont="1" applyBorder="1" applyAlignment="1">
      <alignment horizontal="center" vertical="center"/>
    </xf>
    <xf numFmtId="183" fontId="32" fillId="0" borderId="92" xfId="0" applyNumberFormat="1" applyFont="1" applyBorder="1" applyAlignment="1">
      <alignment horizontal="center" vertical="center"/>
    </xf>
    <xf numFmtId="183" fontId="32" fillId="67" borderId="117" xfId="0" applyNumberFormat="1" applyFont="1" applyFill="1" applyBorder="1" applyAlignment="1">
      <alignment horizontal="center" vertical="center"/>
    </xf>
    <xf numFmtId="183" fontId="32" fillId="67" borderId="65" xfId="0" applyNumberFormat="1" applyFont="1" applyFill="1" applyBorder="1" applyAlignment="1">
      <alignment horizontal="center" vertical="center"/>
    </xf>
    <xf numFmtId="0" fontId="28" fillId="0" borderId="26" xfId="0" applyFont="1" applyBorder="1" applyAlignment="1">
      <alignment horizontal="left" vertical="center"/>
    </xf>
    <xf numFmtId="0" fontId="28" fillId="0" borderId="62" xfId="0" applyFont="1" applyBorder="1">
      <alignment vertical="center"/>
    </xf>
    <xf numFmtId="183" fontId="32" fillId="67" borderId="114" xfId="0" applyNumberFormat="1" applyFont="1" applyFill="1" applyBorder="1" applyAlignment="1">
      <alignment horizontal="center" vertical="center"/>
    </xf>
    <xf numFmtId="183" fontId="32" fillId="67" borderId="59" xfId="0" applyNumberFormat="1" applyFont="1" applyFill="1" applyBorder="1" applyAlignment="1">
      <alignment horizontal="center" vertical="center"/>
    </xf>
    <xf numFmtId="0" fontId="111" fillId="27" borderId="50" xfId="0" applyFont="1" applyFill="1" applyBorder="1" applyAlignment="1">
      <alignment horizontal="right" vertical="center"/>
    </xf>
    <xf numFmtId="183" fontId="36" fillId="0" borderId="115" xfId="0" applyNumberFormat="1" applyFont="1" applyBorder="1" applyAlignment="1">
      <alignment horizontal="center" vertical="center"/>
    </xf>
    <xf numFmtId="183" fontId="36" fillId="0" borderId="117" xfId="0" applyNumberFormat="1" applyFont="1" applyBorder="1" applyAlignment="1">
      <alignment horizontal="center" vertical="center"/>
    </xf>
    <xf numFmtId="183" fontId="36" fillId="0" borderId="65" xfId="0" applyNumberFormat="1" applyFont="1" applyBorder="1" applyAlignment="1">
      <alignment horizontal="center" vertical="center"/>
    </xf>
    <xf numFmtId="0" fontId="28" fillId="27" borderId="26" xfId="0" applyFont="1" applyFill="1" applyBorder="1" applyAlignment="1">
      <alignment horizontal="right" vertical="center"/>
    </xf>
    <xf numFmtId="0" fontId="28" fillId="27" borderId="120" xfId="0" applyFont="1" applyFill="1" applyBorder="1">
      <alignment vertical="center"/>
    </xf>
    <xf numFmtId="183" fontId="36" fillId="0" borderId="92" xfId="0" applyNumberFormat="1" applyFont="1" applyBorder="1" applyAlignment="1">
      <alignment horizontal="center" vertical="center"/>
    </xf>
    <xf numFmtId="183" fontId="36" fillId="0" borderId="114" xfId="0" applyNumberFormat="1" applyFont="1" applyBorder="1" applyAlignment="1">
      <alignment horizontal="center" vertical="center"/>
    </xf>
    <xf numFmtId="183" fontId="36" fillId="0" borderId="59" xfId="0" applyNumberFormat="1" applyFont="1" applyBorder="1" applyAlignment="1">
      <alignment horizontal="center" vertical="center"/>
    </xf>
    <xf numFmtId="183" fontId="32" fillId="0" borderId="144" xfId="0" applyNumberFormat="1" applyFont="1" applyBorder="1" applyAlignment="1">
      <alignment horizontal="center" vertical="center"/>
    </xf>
    <xf numFmtId="183" fontId="32" fillId="0" borderId="153" xfId="0" applyNumberFormat="1" applyFont="1" applyBorder="1" applyAlignment="1">
      <alignment horizontal="center" vertical="center"/>
    </xf>
    <xf numFmtId="183" fontId="32" fillId="0" borderId="225" xfId="0" applyNumberFormat="1" applyFont="1" applyBorder="1" applyAlignment="1">
      <alignment horizontal="center" vertical="center"/>
    </xf>
    <xf numFmtId="40" fontId="111" fillId="31" borderId="27" xfId="35" applyNumberFormat="1" applyFont="1" applyFill="1" applyBorder="1" applyAlignment="1" applyProtection="1">
      <alignment horizontal="center" vertical="center"/>
    </xf>
    <xf numFmtId="0" fontId="111" fillId="31" borderId="102" xfId="0" applyFont="1" applyFill="1" applyBorder="1" applyAlignment="1">
      <alignment horizontal="right" vertical="center"/>
    </xf>
    <xf numFmtId="0" fontId="28" fillId="31" borderId="102" xfId="0" applyFont="1" applyFill="1" applyBorder="1" applyAlignment="1">
      <alignment horizontal="left" vertical="center"/>
    </xf>
    <xf numFmtId="0" fontId="28" fillId="31" borderId="104" xfId="0" applyFont="1" applyFill="1" applyBorder="1">
      <alignment vertical="center"/>
    </xf>
    <xf numFmtId="40" fontId="111" fillId="34" borderId="10" xfId="0" applyNumberFormat="1" applyFont="1" applyFill="1" applyBorder="1" applyAlignment="1">
      <alignment horizontal="center" vertical="top"/>
    </xf>
    <xf numFmtId="40" fontId="111" fillId="34" borderId="27" xfId="0" applyNumberFormat="1" applyFont="1" applyFill="1" applyBorder="1" applyAlignment="1">
      <alignment horizontal="center" vertical="top"/>
    </xf>
    <xf numFmtId="40" fontId="111" fillId="34" borderId="10" xfId="35" applyNumberFormat="1" applyFont="1" applyFill="1" applyBorder="1" applyAlignment="1" applyProtection="1">
      <alignment horizontal="center" vertical="top"/>
    </xf>
    <xf numFmtId="40" fontId="111" fillId="34" borderId="26" xfId="35" applyNumberFormat="1" applyFont="1" applyFill="1" applyBorder="1" applyAlignment="1" applyProtection="1">
      <alignment horizontal="center" vertical="top"/>
    </xf>
    <xf numFmtId="0" fontId="28" fillId="34" borderId="10" xfId="0" applyFont="1" applyFill="1" applyBorder="1" applyAlignment="1">
      <alignment horizontal="center" vertical="center" shrinkToFit="1"/>
    </xf>
    <xf numFmtId="0" fontId="28" fillId="34" borderId="10" xfId="0" applyFont="1" applyFill="1" applyBorder="1" applyAlignment="1">
      <alignment horizontal="center" vertical="center"/>
    </xf>
    <xf numFmtId="208" fontId="111" fillId="34" borderId="10" xfId="35" applyNumberFormat="1" applyFont="1" applyFill="1" applyBorder="1" applyAlignment="1" applyProtection="1">
      <alignment horizontal="center" vertical="top"/>
    </xf>
    <xf numFmtId="208" fontId="111" fillId="34" borderId="26" xfId="35" applyNumberFormat="1" applyFont="1" applyFill="1" applyBorder="1" applyAlignment="1" applyProtection="1">
      <alignment horizontal="center" vertical="top"/>
    </xf>
    <xf numFmtId="209" fontId="111" fillId="34" borderId="10" xfId="35" applyNumberFormat="1" applyFont="1" applyFill="1" applyBorder="1" applyAlignment="1" applyProtection="1">
      <alignment horizontal="center" vertical="top"/>
    </xf>
    <xf numFmtId="180" fontId="37" fillId="32" borderId="92" xfId="0" applyNumberFormat="1" applyFont="1" applyFill="1" applyBorder="1" applyAlignment="1">
      <alignment horizontal="center"/>
    </xf>
    <xf numFmtId="180" fontId="37" fillId="32" borderId="114" xfId="0" applyNumberFormat="1" applyFont="1" applyFill="1" applyBorder="1" applyAlignment="1">
      <alignment horizontal="center"/>
    </xf>
    <xf numFmtId="180" fontId="37" fillId="32" borderId="59" xfId="0" applyNumberFormat="1" applyFont="1" applyFill="1" applyBorder="1" applyAlignment="1">
      <alignment horizontal="center"/>
    </xf>
    <xf numFmtId="0" fontId="58" fillId="32" borderId="60" xfId="0" applyFont="1" applyFill="1" applyBorder="1" applyAlignment="1">
      <alignment horizontal="left" vertical="center"/>
    </xf>
    <xf numFmtId="0" fontId="58" fillId="32" borderId="59" xfId="0" applyFont="1" applyFill="1" applyBorder="1" applyAlignment="1">
      <alignment horizontal="left" vertical="center"/>
    </xf>
    <xf numFmtId="178" fontId="111" fillId="34" borderId="10" xfId="35" applyNumberFormat="1" applyFont="1" applyFill="1" applyBorder="1" applyAlignment="1" applyProtection="1">
      <alignment horizontal="center"/>
    </xf>
    <xf numFmtId="187" fontId="111" fillId="34" borderId="27" xfId="35" applyNumberFormat="1" applyFont="1" applyFill="1" applyBorder="1" applyAlignment="1" applyProtection="1"/>
    <xf numFmtId="0" fontId="40" fillId="34" borderId="58" xfId="0" applyFont="1" applyFill="1" applyBorder="1" applyAlignment="1">
      <alignment horizontal="left" vertical="center" shrinkToFit="1"/>
    </xf>
    <xf numFmtId="0" fontId="28" fillId="31" borderId="10" xfId="0" applyFont="1" applyFill="1" applyBorder="1" applyAlignment="1">
      <alignment horizontal="center" vertical="center"/>
    </xf>
    <xf numFmtId="0" fontId="125" fillId="0" borderId="0" xfId="0" applyFont="1">
      <alignment vertical="center"/>
    </xf>
    <xf numFmtId="0" fontId="27" fillId="0" borderId="0" xfId="0" applyFont="1">
      <alignment vertical="center"/>
    </xf>
    <xf numFmtId="0" fontId="124" fillId="0" borderId="0" xfId="0" applyFont="1">
      <alignment vertical="center"/>
    </xf>
    <xf numFmtId="0" fontId="123" fillId="0" borderId="0" xfId="0" applyFont="1" applyAlignment="1">
      <alignment horizontal="left"/>
    </xf>
    <xf numFmtId="0" fontId="122" fillId="0" borderId="62" xfId="0" quotePrefix="1" applyFont="1" applyBorder="1" applyAlignment="1">
      <alignment horizontal="left" vertical="center"/>
    </xf>
    <xf numFmtId="0" fontId="34" fillId="27" borderId="57" xfId="0" applyFont="1" applyFill="1" applyBorder="1">
      <alignment vertical="center"/>
    </xf>
    <xf numFmtId="183" fontId="36" fillId="0" borderId="139" xfId="0" applyNumberFormat="1" applyFont="1" applyBorder="1" applyAlignment="1" applyProtection="1">
      <alignment horizontal="center" vertical="center"/>
      <protection locked="0"/>
    </xf>
    <xf numFmtId="0" fontId="28" fillId="27" borderId="80" xfId="0" quotePrefix="1" applyFont="1" applyFill="1" applyBorder="1">
      <alignment vertical="center"/>
    </xf>
    <xf numFmtId="0" fontId="158" fillId="27" borderId="64" xfId="0" applyFont="1" applyFill="1" applyBorder="1">
      <alignment vertical="center"/>
    </xf>
    <xf numFmtId="0" fontId="158" fillId="27" borderId="62" xfId="0" quotePrefix="1" applyFont="1" applyFill="1" applyBorder="1">
      <alignment vertical="center"/>
    </xf>
    <xf numFmtId="0" fontId="157" fillId="27" borderId="50" xfId="0" applyFont="1" applyFill="1" applyBorder="1">
      <alignment vertical="center"/>
    </xf>
    <xf numFmtId="0" fontId="156" fillId="27" borderId="50" xfId="0" applyFont="1" applyFill="1" applyBorder="1" applyAlignment="1">
      <alignment horizontal="left" vertical="center"/>
    </xf>
    <xf numFmtId="0" fontId="158" fillId="27" borderId="89" xfId="0" quotePrefix="1" applyFont="1" applyFill="1" applyBorder="1">
      <alignment vertical="center"/>
    </xf>
    <xf numFmtId="183" fontId="32" fillId="0" borderId="224" xfId="0" applyNumberFormat="1" applyFont="1" applyBorder="1" applyAlignment="1">
      <alignment horizontal="center" vertical="center"/>
    </xf>
    <xf numFmtId="183" fontId="32" fillId="0" borderId="72" xfId="0" applyNumberFormat="1" applyFont="1" applyBorder="1" applyAlignment="1">
      <alignment horizontal="center" vertical="center"/>
    </xf>
    <xf numFmtId="180" fontId="37" fillId="31" borderId="114" xfId="0" applyNumberFormat="1" applyFont="1" applyFill="1" applyBorder="1" applyAlignment="1">
      <alignment horizontal="center"/>
    </xf>
    <xf numFmtId="180" fontId="37" fillId="31" borderId="59" xfId="0" applyNumberFormat="1" applyFont="1" applyFill="1" applyBorder="1" applyAlignment="1">
      <alignment horizontal="center"/>
    </xf>
    <xf numFmtId="187" fontId="111" fillId="31" borderId="10" xfId="35" applyNumberFormat="1" applyFont="1" applyFill="1" applyBorder="1" applyAlignment="1" applyProtection="1">
      <alignment horizontal="right"/>
    </xf>
    <xf numFmtId="0" fontId="116" fillId="27" borderId="83" xfId="29" applyNumberFormat="1" applyFont="1" applyFill="1" applyBorder="1" applyAlignment="1" applyProtection="1">
      <alignment horizontal="center" vertical="center"/>
    </xf>
    <xf numFmtId="0" fontId="111" fillId="27" borderId="65" xfId="0" quotePrefix="1" applyFont="1" applyFill="1" applyBorder="1" applyAlignment="1">
      <alignment horizontal="center" vertical="center"/>
    </xf>
    <xf numFmtId="183" fontId="36" fillId="27" borderId="123" xfId="0" applyNumberFormat="1" applyFont="1" applyFill="1" applyBorder="1" applyAlignment="1">
      <alignment horizontal="center" vertical="center"/>
    </xf>
    <xf numFmtId="0" fontId="121" fillId="27" borderId="0" xfId="0" applyFont="1" applyFill="1" applyAlignment="1">
      <alignment horizontal="center" vertical="center"/>
    </xf>
    <xf numFmtId="0" fontId="121" fillId="27" borderId="0" xfId="0" applyFont="1" applyFill="1" applyAlignment="1">
      <alignment horizontal="left" vertical="center"/>
    </xf>
    <xf numFmtId="0" fontId="120" fillId="27" borderId="0" xfId="29" applyNumberFormat="1" applyFont="1" applyFill="1" applyBorder="1" applyAlignment="1" applyProtection="1">
      <alignment horizontal="center" vertical="center"/>
    </xf>
    <xf numFmtId="0" fontId="111" fillId="27" borderId="62" xfId="0" applyFont="1" applyFill="1" applyBorder="1" applyAlignment="1">
      <alignment horizontal="center"/>
    </xf>
    <xf numFmtId="0" fontId="111" fillId="27" borderId="77" xfId="0" applyFont="1" applyFill="1" applyBorder="1" applyAlignment="1">
      <alignment horizontal="center"/>
    </xf>
    <xf numFmtId="0" fontId="142" fillId="27" borderId="50" xfId="0" applyFont="1" applyFill="1" applyBorder="1">
      <alignment vertical="center"/>
    </xf>
    <xf numFmtId="0" fontId="141" fillId="27" borderId="50" xfId="0" applyFont="1" applyFill="1" applyBorder="1">
      <alignment vertical="center"/>
    </xf>
    <xf numFmtId="0" fontId="141" fillId="27" borderId="10" xfId="0" applyFont="1" applyFill="1" applyBorder="1" applyAlignment="1">
      <alignment horizontal="center" vertical="center"/>
    </xf>
    <xf numFmtId="0" fontId="144" fillId="27" borderId="56" xfId="29" applyFont="1" applyFill="1" applyBorder="1" applyAlignment="1" applyProtection="1">
      <alignment horizontal="center" vertical="center"/>
    </xf>
    <xf numFmtId="0" fontId="34" fillId="27" borderId="53" xfId="0" applyFont="1" applyFill="1" applyBorder="1" applyAlignment="1">
      <alignment horizontal="left" vertical="center" shrinkToFit="1"/>
    </xf>
    <xf numFmtId="0" fontId="144" fillId="27" borderId="64" xfId="29" applyFont="1" applyFill="1" applyBorder="1" applyAlignment="1" applyProtection="1">
      <alignment horizontal="center" vertical="center"/>
    </xf>
    <xf numFmtId="0" fontId="142" fillId="27" borderId="53" xfId="0" applyFont="1" applyFill="1" applyBorder="1">
      <alignment vertical="center"/>
    </xf>
    <xf numFmtId="0" fontId="141" fillId="27" borderId="53" xfId="0" applyFont="1" applyFill="1" applyBorder="1">
      <alignment vertical="center"/>
    </xf>
    <xf numFmtId="0" fontId="143" fillId="27" borderId="64" xfId="0" applyFont="1" applyFill="1" applyBorder="1">
      <alignment vertical="center"/>
    </xf>
    <xf numFmtId="40" fontId="34" fillId="27" borderId="26" xfId="0" applyNumberFormat="1" applyFont="1" applyFill="1" applyBorder="1" applyAlignment="1">
      <alignment horizontal="center" vertical="center"/>
    </xf>
    <xf numFmtId="208" fontId="34" fillId="27" borderId="26" xfId="0" applyNumberFormat="1" applyFont="1" applyFill="1" applyBorder="1" applyAlignment="1">
      <alignment horizontal="center" vertical="center"/>
    </xf>
    <xf numFmtId="0" fontId="116" fillId="27" borderId="56" xfId="29" applyFont="1" applyFill="1" applyBorder="1" applyAlignment="1" applyProtection="1">
      <alignment horizontal="center" vertical="center"/>
    </xf>
    <xf numFmtId="0" fontId="111" fillId="27" borderId="118" xfId="0" quotePrefix="1" applyFont="1" applyFill="1" applyBorder="1" applyAlignment="1">
      <alignment horizontal="center" vertical="center"/>
    </xf>
    <xf numFmtId="0" fontId="157" fillId="27" borderId="10" xfId="0" applyFont="1" applyFill="1" applyBorder="1" applyAlignment="1">
      <alignment horizontal="center" vertical="center"/>
    </xf>
    <xf numFmtId="40" fontId="111" fillId="27" borderId="27" xfId="35" applyNumberFormat="1" applyFont="1" applyFill="1" applyBorder="1" applyAlignment="1" applyProtection="1">
      <alignment horizontal="center" vertical="center"/>
    </xf>
    <xf numFmtId="40" fontId="111" fillId="27" borderId="26" xfId="0" applyNumberFormat="1" applyFont="1" applyFill="1" applyBorder="1" applyAlignment="1">
      <alignment horizontal="center" vertical="center"/>
    </xf>
    <xf numFmtId="208" fontId="111" fillId="27" borderId="26" xfId="0" applyNumberFormat="1" applyFont="1" applyFill="1" applyBorder="1" applyAlignment="1">
      <alignment horizontal="center" vertical="center"/>
    </xf>
    <xf numFmtId="0" fontId="111" fillId="27" borderId="109" xfId="0" applyFont="1" applyFill="1" applyBorder="1" applyAlignment="1">
      <alignment horizontal="left" vertical="center"/>
    </xf>
    <xf numFmtId="0" fontId="11" fillId="31" borderId="129" xfId="0" applyFont="1" applyFill="1" applyBorder="1">
      <alignment vertical="center"/>
    </xf>
    <xf numFmtId="0" fontId="28" fillId="31" borderId="129" xfId="0" applyFont="1" applyFill="1" applyBorder="1" applyAlignment="1">
      <alignment horizontal="left"/>
    </xf>
    <xf numFmtId="40" fontId="34" fillId="41" borderId="10" xfId="35" applyNumberFormat="1" applyFont="1" applyFill="1" applyBorder="1" applyAlignment="1" applyProtection="1">
      <alignment horizontal="center" vertical="center"/>
    </xf>
    <xf numFmtId="40" fontId="34" fillId="41" borderId="27" xfId="35" applyNumberFormat="1" applyFont="1" applyFill="1" applyBorder="1" applyAlignment="1" applyProtection="1">
      <alignment horizontal="center" vertical="center"/>
    </xf>
    <xf numFmtId="40" fontId="34" fillId="41" borderId="26" xfId="35" applyNumberFormat="1" applyFont="1" applyFill="1" applyBorder="1" applyAlignment="1" applyProtection="1">
      <alignment horizontal="center" vertical="center"/>
    </xf>
    <xf numFmtId="0" fontId="34" fillId="41" borderId="10" xfId="0" applyFont="1" applyFill="1" applyBorder="1" applyAlignment="1">
      <alignment horizontal="left" vertical="center" shrinkToFit="1"/>
    </xf>
    <xf numFmtId="0" fontId="34" fillId="41" borderId="10" xfId="0" applyFont="1" applyFill="1" applyBorder="1" applyAlignment="1">
      <alignment horizontal="left" vertical="center"/>
    </xf>
    <xf numFmtId="208" fontId="34" fillId="41" borderId="10" xfId="35" applyNumberFormat="1" applyFont="1" applyFill="1" applyBorder="1" applyAlignment="1" applyProtection="1">
      <alignment horizontal="center" vertical="center"/>
    </xf>
    <xf numFmtId="208" fontId="34" fillId="41" borderId="26" xfId="35" applyNumberFormat="1" applyFont="1" applyFill="1" applyBorder="1" applyAlignment="1" applyProtection="1">
      <alignment horizontal="center" vertical="center"/>
    </xf>
    <xf numFmtId="209" fontId="34" fillId="41" borderId="10" xfId="35" applyNumberFormat="1" applyFont="1" applyFill="1" applyBorder="1" applyAlignment="1" applyProtection="1">
      <alignment horizontal="center" vertical="center"/>
    </xf>
    <xf numFmtId="0" fontId="121" fillId="0" borderId="50" xfId="0" applyFont="1" applyBorder="1">
      <alignment vertical="center"/>
    </xf>
    <xf numFmtId="0" fontId="121" fillId="0" borderId="10" xfId="0" applyFont="1" applyBorder="1" applyAlignment="1">
      <alignment horizontal="center" vertical="center"/>
    </xf>
    <xf numFmtId="0" fontId="116" fillId="0" borderId="56" xfId="29" applyFont="1" applyFill="1" applyBorder="1" applyAlignment="1" applyProtection="1">
      <alignment horizontal="center" vertical="center"/>
    </xf>
    <xf numFmtId="0" fontId="111" fillId="0" borderId="62" xfId="0" quotePrefix="1" applyFont="1" applyBorder="1" applyAlignment="1">
      <alignment horizontal="center" vertical="center"/>
    </xf>
    <xf numFmtId="188" fontId="34" fillId="41" borderId="10" xfId="35" applyNumberFormat="1" applyFont="1" applyFill="1" applyBorder="1" applyAlignment="1" applyProtection="1"/>
    <xf numFmtId="187" fontId="34" fillId="41" borderId="10" xfId="0" applyNumberFormat="1" applyFont="1" applyFill="1" applyBorder="1">
      <alignment vertical="center"/>
    </xf>
    <xf numFmtId="209" fontId="34" fillId="27" borderId="27" xfId="35" applyNumberFormat="1" applyFont="1" applyFill="1" applyBorder="1" applyAlignment="1" applyProtection="1">
      <alignment horizontal="center" vertical="center"/>
    </xf>
    <xf numFmtId="0" fontId="0" fillId="0" borderId="71" xfId="0" applyBorder="1">
      <alignment vertical="center"/>
    </xf>
    <xf numFmtId="183" fontId="36" fillId="27" borderId="144" xfId="0" applyNumberFormat="1" applyFont="1" applyFill="1" applyBorder="1" applyAlignment="1">
      <alignment horizontal="center" vertical="center"/>
    </xf>
    <xf numFmtId="183" fontId="36" fillId="27" borderId="223" xfId="0" applyNumberFormat="1" applyFont="1" applyFill="1" applyBorder="1" applyAlignment="1">
      <alignment horizontal="center" vertical="center"/>
    </xf>
    <xf numFmtId="183" fontId="36" fillId="27" borderId="68" xfId="0" applyNumberFormat="1" applyFont="1" applyFill="1" applyBorder="1" applyAlignment="1">
      <alignment horizontal="center" vertical="center"/>
    </xf>
    <xf numFmtId="0" fontId="116" fillId="0" borderId="56" xfId="29" applyNumberFormat="1" applyFont="1" applyFill="1" applyBorder="1" applyAlignment="1" applyProtection="1">
      <alignment horizontal="center" vertical="center"/>
    </xf>
    <xf numFmtId="0" fontId="111" fillId="0" borderId="62" xfId="0" applyFont="1" applyBorder="1" applyAlignment="1">
      <alignment horizontal="center"/>
    </xf>
    <xf numFmtId="0" fontId="116" fillId="0" borderId="64" xfId="29" applyNumberFormat="1" applyFont="1" applyFill="1" applyBorder="1" applyAlignment="1" applyProtection="1">
      <alignment horizontal="center" vertical="center"/>
    </xf>
    <xf numFmtId="0" fontId="111" fillId="27" borderId="77" xfId="0" applyFont="1" applyFill="1" applyBorder="1" applyAlignment="1">
      <alignment horizontal="center" vertical="center"/>
    </xf>
    <xf numFmtId="0" fontId="111" fillId="0" borderId="62" xfId="0" applyFont="1" applyBorder="1" applyAlignment="1">
      <alignment horizontal="center" vertical="center"/>
    </xf>
    <xf numFmtId="0" fontId="116" fillId="0" borderId="64" xfId="29" applyFont="1" applyFill="1" applyBorder="1" applyAlignment="1" applyProtection="1">
      <alignment horizontal="center" vertical="center"/>
    </xf>
    <xf numFmtId="183" fontId="36" fillId="27" borderId="112" xfId="0" applyNumberFormat="1" applyFont="1" applyFill="1" applyBorder="1" applyAlignment="1">
      <alignment horizontal="center" vertical="center"/>
    </xf>
    <xf numFmtId="183" fontId="36" fillId="27" borderId="150" xfId="0" applyNumberFormat="1" applyFont="1" applyFill="1" applyBorder="1" applyAlignment="1">
      <alignment horizontal="center" vertical="center"/>
    </xf>
    <xf numFmtId="183" fontId="36" fillId="27" borderId="89" xfId="0" applyNumberFormat="1" applyFont="1" applyFill="1" applyBorder="1" applyAlignment="1">
      <alignment horizontal="center" vertical="center"/>
    </xf>
    <xf numFmtId="183" fontId="48" fillId="0" borderId="100" xfId="0" applyNumberFormat="1" applyFont="1" applyBorder="1" applyAlignment="1">
      <alignment horizontal="center" vertical="center"/>
    </xf>
    <xf numFmtId="183" fontId="48" fillId="0" borderId="119" xfId="0" applyNumberFormat="1" applyFont="1" applyBorder="1" applyAlignment="1">
      <alignment horizontal="center" vertical="center"/>
    </xf>
    <xf numFmtId="183" fontId="48" fillId="0" borderId="62" xfId="0" applyNumberFormat="1" applyFont="1" applyBorder="1" applyAlignment="1">
      <alignment horizontal="center" vertical="center"/>
    </xf>
    <xf numFmtId="0" fontId="0" fillId="37" borderId="100" xfId="0" applyFill="1" applyBorder="1">
      <alignment vertical="center"/>
    </xf>
    <xf numFmtId="0" fontId="118" fillId="27" borderId="56" xfId="29" applyFont="1" applyFill="1" applyBorder="1" applyAlignment="1" applyProtection="1">
      <alignment horizontal="center" vertical="center"/>
    </xf>
    <xf numFmtId="0" fontId="117" fillId="27" borderId="120" xfId="0" applyFont="1" applyFill="1" applyBorder="1" applyAlignment="1">
      <alignment horizontal="center" vertical="center"/>
    </xf>
    <xf numFmtId="183" fontId="48" fillId="0" borderId="115" xfId="0" applyNumberFormat="1" applyFont="1" applyBorder="1" applyAlignment="1">
      <alignment horizontal="center" vertical="center"/>
    </xf>
    <xf numFmtId="183" fontId="48" fillId="0" borderId="117" xfId="0" applyNumberFormat="1" applyFont="1" applyBorder="1" applyAlignment="1">
      <alignment horizontal="center" vertical="center"/>
    </xf>
    <xf numFmtId="183" fontId="48" fillId="0" borderId="65" xfId="0" applyNumberFormat="1" applyFont="1" applyBorder="1" applyAlignment="1">
      <alignment horizontal="center" vertical="center"/>
    </xf>
    <xf numFmtId="0" fontId="118" fillId="27" borderId="64" xfId="29" applyFont="1" applyFill="1" applyBorder="1" applyAlignment="1" applyProtection="1">
      <alignment horizontal="center" vertical="center"/>
    </xf>
    <xf numFmtId="183" fontId="48" fillId="0" borderId="92" xfId="0" applyNumberFormat="1" applyFont="1" applyBorder="1" applyAlignment="1">
      <alignment horizontal="center" vertical="center"/>
    </xf>
    <xf numFmtId="183" fontId="48" fillId="0" borderId="114" xfId="0" applyNumberFormat="1" applyFont="1" applyBorder="1" applyAlignment="1">
      <alignment horizontal="center" vertical="center"/>
    </xf>
    <xf numFmtId="183" fontId="48" fillId="0" borderId="59" xfId="0" applyNumberFormat="1" applyFont="1" applyBorder="1" applyAlignment="1">
      <alignment horizontal="center" vertical="center"/>
    </xf>
    <xf numFmtId="0" fontId="143" fillId="27" borderId="52" xfId="0" applyFont="1" applyFill="1" applyBorder="1">
      <alignment vertical="center"/>
    </xf>
    <xf numFmtId="208" fontId="34" fillId="27" borderId="10" xfId="0" applyNumberFormat="1" applyFont="1" applyFill="1" applyBorder="1" applyAlignment="1">
      <alignment horizontal="center"/>
    </xf>
    <xf numFmtId="209" fontId="34" fillId="27" borderId="10" xfId="0" applyNumberFormat="1" applyFont="1" applyFill="1" applyBorder="1" applyAlignment="1">
      <alignment horizontal="center"/>
    </xf>
    <xf numFmtId="0" fontId="111" fillId="27" borderId="120" xfId="0" applyFont="1" applyFill="1" applyBorder="1" applyAlignment="1">
      <alignment horizontal="center"/>
    </xf>
    <xf numFmtId="0" fontId="34" fillId="58" borderId="57" xfId="0" applyFont="1" applyFill="1" applyBorder="1">
      <alignment vertical="center"/>
    </xf>
    <xf numFmtId="0" fontId="121" fillId="58" borderId="57" xfId="0" applyFont="1" applyFill="1" applyBorder="1">
      <alignment vertical="center"/>
    </xf>
    <xf numFmtId="0" fontId="121" fillId="58" borderId="10" xfId="0" applyFont="1" applyFill="1" applyBorder="1" applyAlignment="1">
      <alignment horizontal="center" vertical="center"/>
    </xf>
    <xf numFmtId="0" fontId="116" fillId="58" borderId="64" xfId="29" applyFont="1" applyFill="1" applyBorder="1" applyAlignment="1" applyProtection="1">
      <alignment horizontal="center" vertical="center"/>
    </xf>
    <xf numFmtId="0" fontId="111" fillId="58" borderId="62" xfId="0" applyFont="1" applyFill="1" applyBorder="1" applyAlignment="1">
      <alignment horizontal="center"/>
    </xf>
    <xf numFmtId="187" fontId="111" fillId="27" borderId="10" xfId="0" applyNumberFormat="1" applyFont="1" applyFill="1" applyBorder="1">
      <alignment vertical="center"/>
    </xf>
    <xf numFmtId="180" fontId="164" fillId="31" borderId="108" xfId="0" applyNumberFormat="1" applyFont="1" applyFill="1" applyBorder="1" applyAlignment="1">
      <alignment horizontal="center" vertical="center"/>
    </xf>
    <xf numFmtId="180" fontId="37" fillId="31" borderId="214" xfId="0" applyNumberFormat="1" applyFont="1" applyFill="1" applyBorder="1" applyAlignment="1">
      <alignment horizontal="left"/>
    </xf>
    <xf numFmtId="180" fontId="37" fillId="31" borderId="104" xfId="0" applyNumberFormat="1" applyFont="1" applyFill="1" applyBorder="1" applyAlignment="1">
      <alignment horizontal="left"/>
    </xf>
    <xf numFmtId="0" fontId="34" fillId="31" borderId="102" xfId="0" applyFont="1" applyFill="1" applyBorder="1" applyAlignment="1">
      <alignment horizontal="left" vertical="center"/>
    </xf>
    <xf numFmtId="0" fontId="28" fillId="31" borderId="101" xfId="0" applyFont="1" applyFill="1" applyBorder="1">
      <alignment vertical="center"/>
    </xf>
    <xf numFmtId="40" fontId="34" fillId="34" borderId="10" xfId="35" applyNumberFormat="1" applyFont="1" applyFill="1" applyBorder="1" applyAlignment="1" applyProtection="1">
      <alignment horizontal="center" vertical="top"/>
    </xf>
    <xf numFmtId="40" fontId="34" fillId="34" borderId="10" xfId="0" applyNumberFormat="1" applyFont="1" applyFill="1" applyBorder="1" applyAlignment="1">
      <alignment horizontal="center" vertical="top"/>
    </xf>
    <xf numFmtId="40" fontId="34" fillId="34" borderId="27" xfId="0" applyNumberFormat="1" applyFont="1" applyFill="1" applyBorder="1" applyAlignment="1">
      <alignment horizontal="center" vertical="top"/>
    </xf>
    <xf numFmtId="0" fontId="11" fillId="34" borderId="10" xfId="0" applyFont="1" applyFill="1" applyBorder="1" applyAlignment="1">
      <alignment horizontal="center" vertical="center" shrinkToFit="1"/>
    </xf>
    <xf numFmtId="208" fontId="34" fillId="34" borderId="10" xfId="35" applyNumberFormat="1" applyFont="1" applyFill="1" applyBorder="1" applyAlignment="1" applyProtection="1">
      <alignment horizontal="center" vertical="top"/>
    </xf>
    <xf numFmtId="208" fontId="34" fillId="34" borderId="26" xfId="35" applyNumberFormat="1" applyFont="1" applyFill="1" applyBorder="1" applyAlignment="1" applyProtection="1">
      <alignment horizontal="center" vertical="top"/>
    </xf>
    <xf numFmtId="209" fontId="111" fillId="34" borderId="10" xfId="35" applyNumberFormat="1" applyFont="1" applyFill="1" applyBorder="1" applyAlignment="1" applyProtection="1">
      <alignment horizontal="center"/>
    </xf>
    <xf numFmtId="209" fontId="111" fillId="34" borderId="27" xfId="35" applyNumberFormat="1" applyFont="1" applyFill="1" applyBorder="1" applyAlignment="1" applyProtection="1"/>
    <xf numFmtId="180" fontId="37" fillId="32" borderId="92" xfId="0" applyNumberFormat="1" applyFont="1" applyFill="1" applyBorder="1" applyAlignment="1">
      <alignment horizontal="left"/>
    </xf>
    <xf numFmtId="180" fontId="37" fillId="32" borderId="119" xfId="0" applyNumberFormat="1" applyFont="1" applyFill="1" applyBorder="1" applyAlignment="1">
      <alignment horizontal="left"/>
    </xf>
    <xf numFmtId="180" fontId="37" fillId="32" borderId="62" xfId="0" applyNumberFormat="1" applyFont="1" applyFill="1" applyBorder="1" applyAlignment="1">
      <alignment horizontal="left"/>
    </xf>
    <xf numFmtId="182" fontId="58" fillId="32" borderId="129" xfId="0" applyNumberFormat="1" applyFont="1" applyFill="1" applyBorder="1" applyAlignment="1">
      <alignment horizontal="center" vertical="center"/>
    </xf>
    <xf numFmtId="182" fontId="109" fillId="32" borderId="129" xfId="0" applyNumberFormat="1" applyFont="1" applyFill="1" applyBorder="1" applyAlignment="1">
      <alignment horizontal="center" vertical="center"/>
    </xf>
    <xf numFmtId="0" fontId="110" fillId="32" borderId="129" xfId="0" applyFont="1" applyFill="1" applyBorder="1" applyAlignment="1">
      <alignment horizontal="left" vertical="center"/>
    </xf>
    <xf numFmtId="0" fontId="58" fillId="32" borderId="128" xfId="0" applyFont="1" applyFill="1" applyBorder="1">
      <alignment vertical="center"/>
    </xf>
    <xf numFmtId="0" fontId="11" fillId="34" borderId="10" xfId="0" applyFont="1" applyFill="1" applyBorder="1" applyAlignment="1">
      <alignment horizontal="center" vertical="center"/>
    </xf>
    <xf numFmtId="178" fontId="34" fillId="34" borderId="10" xfId="35" applyNumberFormat="1" applyFont="1" applyFill="1" applyBorder="1" applyAlignment="1" applyProtection="1">
      <alignment horizontal="center"/>
    </xf>
    <xf numFmtId="187" fontId="34" fillId="34" borderId="27" xfId="35" applyNumberFormat="1" applyFont="1" applyFill="1" applyBorder="1" applyAlignment="1" applyProtection="1"/>
    <xf numFmtId="184" fontId="29" fillId="27" borderId="117" xfId="0" applyNumberFormat="1" applyFont="1" applyFill="1" applyBorder="1" applyAlignment="1">
      <alignment horizontal="center" vertical="center" wrapText="1"/>
    </xf>
    <xf numFmtId="184" fontId="29" fillId="27" borderId="147" xfId="0" applyNumberFormat="1" applyFont="1" applyFill="1" applyBorder="1" applyAlignment="1">
      <alignment horizontal="center" vertical="center" wrapText="1"/>
    </xf>
    <xf numFmtId="184" fontId="29" fillId="27" borderId="226" xfId="0" applyNumberFormat="1" applyFont="1" applyFill="1" applyBorder="1" applyAlignment="1">
      <alignment horizontal="center" vertical="center" wrapText="1"/>
    </xf>
    <xf numFmtId="183" fontId="29" fillId="27" borderId="221" xfId="0" applyNumberFormat="1" applyFont="1" applyFill="1" applyBorder="1" applyAlignment="1">
      <alignment horizontal="center" vertical="center" wrapText="1"/>
    </xf>
    <xf numFmtId="183" fontId="29" fillId="27" borderId="77" xfId="0" applyNumberFormat="1" applyFont="1" applyFill="1" applyBorder="1" applyAlignment="1">
      <alignment horizontal="center" vertical="center" wrapText="1"/>
    </xf>
    <xf numFmtId="0" fontId="105" fillId="27" borderId="0" xfId="0" applyFont="1" applyFill="1" applyAlignment="1">
      <alignment vertical="top"/>
    </xf>
    <xf numFmtId="0" fontId="104" fillId="27" borderId="0" xfId="0" applyFont="1" applyFill="1" applyAlignment="1">
      <alignment vertical="top"/>
    </xf>
    <xf numFmtId="0" fontId="77" fillId="27" borderId="0" xfId="0" applyFont="1" applyFill="1" applyAlignment="1">
      <alignment horizontal="left" vertical="top"/>
    </xf>
    <xf numFmtId="0" fontId="28" fillId="27" borderId="62" xfId="0" applyFont="1" applyFill="1" applyBorder="1" applyAlignment="1">
      <alignment vertical="top"/>
    </xf>
    <xf numFmtId="0" fontId="34" fillId="34" borderId="58" xfId="0" applyFont="1" applyFill="1" applyBorder="1" applyAlignment="1">
      <alignment horizontal="center" vertical="center" shrinkToFit="1"/>
    </xf>
    <xf numFmtId="0" fontId="11" fillId="34" borderId="56" xfId="0" applyFont="1" applyFill="1" applyBorder="1" applyAlignment="1">
      <alignment horizontal="center" vertical="center"/>
    </xf>
    <xf numFmtId="2" fontId="34" fillId="34" borderId="10" xfId="0" applyNumberFormat="1" applyFont="1" applyFill="1" applyBorder="1" applyAlignment="1" applyProtection="1">
      <alignment horizontal="center" vertical="center" shrinkToFit="1"/>
      <protection hidden="1"/>
    </xf>
    <xf numFmtId="2" fontId="34" fillId="34" borderId="27" xfId="0" applyNumberFormat="1" applyFont="1" applyFill="1" applyBorder="1" applyAlignment="1" applyProtection="1">
      <alignment horizontal="center" vertical="center" shrinkToFit="1"/>
      <protection hidden="1"/>
    </xf>
    <xf numFmtId="2" fontId="34" fillId="34" borderId="10" xfId="0" applyNumberFormat="1" applyFont="1" applyFill="1" applyBorder="1" applyAlignment="1" applyProtection="1">
      <alignment horizontal="center" vertical="center"/>
      <protection hidden="1"/>
    </xf>
    <xf numFmtId="2" fontId="34" fillId="34" borderId="26" xfId="0" applyNumberFormat="1" applyFont="1" applyFill="1" applyBorder="1" applyAlignment="1" applyProtection="1">
      <alignment horizontal="center" vertical="center" shrinkToFit="1"/>
      <protection hidden="1"/>
    </xf>
    <xf numFmtId="2" fontId="34" fillId="34" borderId="10" xfId="0" applyNumberFormat="1" applyFont="1" applyFill="1" applyBorder="1" applyAlignment="1">
      <alignment horizontal="center" vertical="center" shrinkToFit="1"/>
    </xf>
    <xf numFmtId="2" fontId="34" fillId="34" borderId="27" xfId="0" applyNumberFormat="1" applyFont="1" applyFill="1" applyBorder="1" applyAlignment="1">
      <alignment horizontal="center" vertical="center" shrinkToFit="1"/>
    </xf>
    <xf numFmtId="2" fontId="34" fillId="34" borderId="10" xfId="0" applyNumberFormat="1" applyFont="1" applyFill="1" applyBorder="1" applyAlignment="1">
      <alignment horizontal="center" vertical="center"/>
    </xf>
    <xf numFmtId="2" fontId="34" fillId="34" borderId="26" xfId="0" applyNumberFormat="1" applyFont="1" applyFill="1" applyBorder="1" applyAlignment="1">
      <alignment horizontal="center" vertical="center" shrinkToFit="1"/>
    </xf>
    <xf numFmtId="178" fontId="34" fillId="34" borderId="10" xfId="35" applyNumberFormat="1" applyFont="1" applyFill="1" applyBorder="1" applyAlignment="1" applyProtection="1">
      <alignment horizontal="center" shrinkToFit="1"/>
    </xf>
    <xf numFmtId="2" fontId="31" fillId="27" borderId="148" xfId="0" applyNumberFormat="1" applyFont="1" applyFill="1" applyBorder="1" applyAlignment="1">
      <alignment horizontal="centerContinuous" vertical="center"/>
    </xf>
    <xf numFmtId="2" fontId="31" fillId="27" borderId="26" xfId="0" applyNumberFormat="1" applyFont="1" applyFill="1" applyBorder="1" applyAlignment="1">
      <alignment horizontal="centerContinuous" vertical="center"/>
    </xf>
    <xf numFmtId="2" fontId="31" fillId="27" borderId="80" xfId="0" applyNumberFormat="1" applyFont="1" applyFill="1" applyBorder="1" applyAlignment="1">
      <alignment horizontal="centerContinuous" vertical="center"/>
    </xf>
    <xf numFmtId="0" fontId="31" fillId="27" borderId="148" xfId="0" applyFont="1" applyFill="1" applyBorder="1" applyAlignment="1">
      <alignment horizontal="centerContinuous" vertical="center" wrapText="1"/>
    </xf>
    <xf numFmtId="0" fontId="31" fillId="27" borderId="80" xfId="0" applyFont="1" applyFill="1" applyBorder="1" applyAlignment="1">
      <alignment horizontal="centerContinuous" vertical="center" wrapText="1"/>
    </xf>
    <xf numFmtId="0" fontId="105" fillId="27" borderId="60" xfId="0" applyFont="1" applyFill="1" applyBorder="1">
      <alignment vertical="center"/>
    </xf>
    <xf numFmtId="0" fontId="104" fillId="27" borderId="60" xfId="0" applyFont="1" applyFill="1" applyBorder="1">
      <alignment vertical="center"/>
    </xf>
    <xf numFmtId="0" fontId="77" fillId="27" borderId="60" xfId="0" applyFont="1" applyFill="1" applyBorder="1" applyAlignment="1">
      <alignment horizontal="left" vertical="center"/>
    </xf>
    <xf numFmtId="0" fontId="28" fillId="27" borderId="59" xfId="0" applyFont="1" applyFill="1" applyBorder="1">
      <alignment vertical="center"/>
    </xf>
    <xf numFmtId="0" fontId="11" fillId="34" borderId="58" xfId="0" applyFont="1" applyFill="1" applyBorder="1" applyAlignment="1">
      <alignment horizontal="center" vertical="center" shrinkToFit="1"/>
    </xf>
    <xf numFmtId="0" fontId="11" fillId="34" borderId="56" xfId="0" applyFont="1" applyFill="1" applyBorder="1" applyAlignment="1">
      <alignment horizontal="center" vertical="center" shrinkToFit="1"/>
    </xf>
    <xf numFmtId="2" fontId="34" fillId="34" borderId="10" xfId="0" applyNumberFormat="1" applyFont="1" applyFill="1" applyBorder="1" applyAlignment="1" applyProtection="1">
      <alignment horizontal="centerContinuous" vertical="center"/>
      <protection hidden="1"/>
    </xf>
    <xf numFmtId="2" fontId="34" fillId="34" borderId="51" xfId="0" applyNumberFormat="1" applyFont="1" applyFill="1" applyBorder="1" applyAlignment="1" applyProtection="1">
      <alignment horizontal="centerContinuous" vertical="center"/>
      <protection hidden="1"/>
    </xf>
    <xf numFmtId="2" fontId="34" fillId="34" borderId="10" xfId="0" applyNumberFormat="1" applyFont="1" applyFill="1" applyBorder="1" applyAlignment="1">
      <alignment horizontal="centerContinuous" vertical="center"/>
    </xf>
    <xf numFmtId="2" fontId="34" fillId="34" borderId="51" xfId="0" applyNumberFormat="1" applyFont="1" applyFill="1" applyBorder="1" applyAlignment="1">
      <alignment horizontal="centerContinuous" vertical="center"/>
    </xf>
    <xf numFmtId="178" fontId="34" fillId="34" borderId="10" xfId="35" applyNumberFormat="1" applyFont="1" applyFill="1" applyBorder="1" applyAlignment="1" applyProtection="1">
      <alignment horizontal="centerContinuous" vertical="center"/>
    </xf>
    <xf numFmtId="0" fontId="11" fillId="34" borderId="26" xfId="0" applyFont="1" applyFill="1" applyBorder="1" applyAlignment="1">
      <alignment horizontal="centerContinuous" vertical="center"/>
    </xf>
    <xf numFmtId="2" fontId="31" fillId="27" borderId="224" xfId="0" applyNumberFormat="1" applyFont="1" applyFill="1" applyBorder="1" applyAlignment="1">
      <alignment horizontal="centerContinuous" vertical="center"/>
    </xf>
    <xf numFmtId="2" fontId="31" fillId="27" borderId="211" xfId="0" applyNumberFormat="1" applyFont="1" applyFill="1" applyBorder="1" applyAlignment="1">
      <alignment horizontal="centerContinuous" vertical="center"/>
    </xf>
    <xf numFmtId="2" fontId="31" fillId="27" borderId="72" xfId="0" applyNumberFormat="1" applyFont="1" applyFill="1" applyBorder="1" applyAlignment="1">
      <alignment horizontal="centerContinuous" vertical="center"/>
    </xf>
    <xf numFmtId="180" fontId="37" fillId="36" borderId="61" xfId="0" applyNumberFormat="1" applyFont="1" applyFill="1" applyBorder="1" applyAlignment="1">
      <alignment horizontal="left" vertical="center"/>
    </xf>
    <xf numFmtId="180" fontId="37" fillId="36" borderId="59" xfId="0" applyNumberFormat="1" applyFont="1" applyFill="1" applyBorder="1" applyAlignment="1">
      <alignment horizontal="left" vertical="center"/>
    </xf>
    <xf numFmtId="0" fontId="109" fillId="36" borderId="69" xfId="0" applyFont="1" applyFill="1" applyBorder="1">
      <alignment vertical="center"/>
    </xf>
    <xf numFmtId="0" fontId="77" fillId="36" borderId="69" xfId="0" applyFont="1" applyFill="1" applyBorder="1" applyAlignment="1">
      <alignment horizontal="left" vertical="center"/>
    </xf>
    <xf numFmtId="0" fontId="58" fillId="36" borderId="68" xfId="0" applyFont="1" applyFill="1" applyBorder="1" applyAlignment="1">
      <alignment horizontal="left" vertical="center"/>
    </xf>
    <xf numFmtId="0" fontId="34" fillId="34" borderId="27" xfId="0" applyFont="1" applyFill="1" applyBorder="1" applyAlignment="1">
      <alignment horizontal="centerContinuous" vertical="center"/>
    </xf>
    <xf numFmtId="0" fontId="34" fillId="34" borderId="26" xfId="0" applyFont="1" applyFill="1" applyBorder="1" applyAlignment="1">
      <alignment horizontal="centerContinuous" vertical="center"/>
    </xf>
    <xf numFmtId="0" fontId="34" fillId="34" borderId="50" xfId="0" applyFont="1" applyFill="1" applyBorder="1" applyAlignment="1">
      <alignment horizontal="centerContinuous" vertical="center"/>
    </xf>
    <xf numFmtId="0" fontId="11" fillId="34" borderId="27" xfId="0" applyFont="1" applyFill="1" applyBorder="1" applyAlignment="1">
      <alignment horizontal="centerContinuous" vertical="center"/>
    </xf>
    <xf numFmtId="0" fontId="11" fillId="34" borderId="54" xfId="0" applyFont="1" applyFill="1" applyBorder="1" applyAlignment="1">
      <alignment horizontal="center" vertical="center" shrinkToFit="1"/>
    </xf>
    <xf numFmtId="0" fontId="11" fillId="34" borderId="52" xfId="0" applyFont="1" applyFill="1" applyBorder="1" applyAlignment="1">
      <alignment horizontal="center" vertical="center"/>
    </xf>
    <xf numFmtId="2" fontId="131" fillId="0" borderId="0" xfId="0" applyNumberFormat="1" applyFont="1" applyAlignment="1">
      <alignment horizontal="center"/>
    </xf>
    <xf numFmtId="0" fontId="108" fillId="0" borderId="0" xfId="0" applyFont="1">
      <alignment vertical="center"/>
    </xf>
    <xf numFmtId="0" fontId="107" fillId="0" borderId="0" xfId="0" applyFont="1" applyAlignment="1">
      <alignment horizontal="left"/>
    </xf>
    <xf numFmtId="0" fontId="106" fillId="0" borderId="0" xfId="0" applyFont="1">
      <alignment vertical="center"/>
    </xf>
    <xf numFmtId="178" fontId="131" fillId="0" borderId="0" xfId="35" applyNumberFormat="1" applyFont="1" applyFill="1" applyBorder="1" applyAlignment="1" applyProtection="1"/>
    <xf numFmtId="0" fontId="131" fillId="0" borderId="0" xfId="0" applyFont="1" applyAlignment="1">
      <alignment horizontal="left" vertical="center"/>
    </xf>
    <xf numFmtId="178" fontId="130" fillId="0" borderId="0" xfId="35" applyNumberFormat="1" applyFont="1" applyFill="1" applyBorder="1" applyAlignment="1" applyProtection="1"/>
    <xf numFmtId="1" fontId="130" fillId="0" borderId="0" xfId="0" applyNumberFormat="1" applyFont="1" applyAlignment="1">
      <alignment horizontal="center"/>
    </xf>
    <xf numFmtId="0" fontId="101" fillId="36" borderId="71" xfId="0" applyFont="1" applyFill="1" applyBorder="1">
      <alignment vertical="center"/>
    </xf>
    <xf numFmtId="0" fontId="101" fillId="36" borderId="69" xfId="0" applyFont="1" applyFill="1" applyBorder="1">
      <alignment vertical="center"/>
    </xf>
    <xf numFmtId="0" fontId="101" fillId="36" borderId="68" xfId="0" applyFont="1" applyFill="1" applyBorder="1">
      <alignment vertical="center"/>
    </xf>
    <xf numFmtId="180" fontId="37" fillId="0" borderId="0" xfId="0" applyNumberFormat="1" applyFont="1" applyAlignment="1">
      <alignment horizontal="left"/>
    </xf>
    <xf numFmtId="0" fontId="0" fillId="0" borderId="62" xfId="0" applyBorder="1">
      <alignment vertical="center"/>
    </xf>
    <xf numFmtId="49" fontId="130" fillId="0" borderId="0" xfId="0" applyNumberFormat="1" applyFont="1">
      <alignment vertical="center"/>
    </xf>
    <xf numFmtId="2" fontId="130" fillId="0" borderId="0" xfId="0" applyNumberFormat="1" applyFont="1" applyAlignment="1">
      <alignment horizontal="left"/>
    </xf>
    <xf numFmtId="2" fontId="165" fillId="0" borderId="0" xfId="0" applyNumberFormat="1" applyFont="1" applyAlignment="1">
      <alignment horizontal="left"/>
    </xf>
    <xf numFmtId="0" fontId="160" fillId="0" borderId="0" xfId="0" applyFont="1">
      <alignment vertical="center"/>
    </xf>
    <xf numFmtId="0" fontId="101" fillId="36" borderId="60" xfId="0" applyFont="1" applyFill="1" applyBorder="1">
      <alignment vertical="center"/>
    </xf>
    <xf numFmtId="0" fontId="101" fillId="36" borderId="59" xfId="0" applyFont="1" applyFill="1" applyBorder="1">
      <alignment vertical="center"/>
    </xf>
    <xf numFmtId="0" fontId="62" fillId="0" borderId="0" xfId="0" applyFont="1" applyAlignment="1">
      <alignment horizontal="left" vertical="top" wrapText="1"/>
    </xf>
    <xf numFmtId="40" fontId="44" fillId="0" borderId="10" xfId="35" applyNumberFormat="1" applyFont="1" applyFill="1" applyBorder="1" applyAlignment="1" applyProtection="1">
      <alignment horizontal="right" vertical="center"/>
      <protection locked="0"/>
    </xf>
    <xf numFmtId="0" fontId="32" fillId="27" borderId="0" xfId="0" applyFont="1" applyFill="1" applyAlignment="1" applyProtection="1">
      <alignment horizontal="left" vertical="center"/>
      <protection hidden="1"/>
    </xf>
    <xf numFmtId="179" fontId="44" fillId="27" borderId="25" xfId="0" applyNumberFormat="1" applyFont="1" applyFill="1" applyBorder="1" applyAlignment="1">
      <alignment horizontal="right" vertical="center"/>
    </xf>
    <xf numFmtId="40" fontId="44" fillId="27" borderId="10" xfId="35" applyNumberFormat="1" applyFont="1" applyFill="1" applyBorder="1" applyAlignment="1" applyProtection="1">
      <alignment horizontal="right" vertical="center"/>
    </xf>
    <xf numFmtId="0" fontId="35" fillId="0" borderId="10" xfId="0" applyFont="1" applyBorder="1" applyAlignment="1" applyProtection="1">
      <alignment horizontal="right" vertical="center"/>
      <protection locked="0"/>
    </xf>
    <xf numFmtId="179" fontId="44" fillId="27" borderId="0" xfId="0" applyNumberFormat="1" applyFont="1" applyFill="1" applyAlignment="1">
      <alignment horizontal="right" vertical="center"/>
    </xf>
    <xf numFmtId="0" fontId="35" fillId="27" borderId="0" xfId="0" applyFont="1" applyFill="1" applyAlignment="1" applyProtection="1">
      <protection hidden="1"/>
    </xf>
    <xf numFmtId="0" fontId="35" fillId="27" borderId="25" xfId="0" applyFont="1" applyFill="1" applyBorder="1" applyAlignment="1" applyProtection="1">
      <protection hidden="1"/>
    </xf>
    <xf numFmtId="0" fontId="78" fillId="28" borderId="19" xfId="0" applyFont="1" applyFill="1" applyBorder="1" applyProtection="1">
      <alignment vertical="center"/>
      <protection hidden="1"/>
    </xf>
    <xf numFmtId="0" fontId="78" fillId="28" borderId="20" xfId="0" applyFont="1" applyFill="1" applyBorder="1" applyProtection="1">
      <alignment vertical="center"/>
      <protection hidden="1"/>
    </xf>
    <xf numFmtId="179" fontId="32" fillId="27" borderId="25" xfId="0" applyNumberFormat="1" applyFont="1" applyFill="1" applyBorder="1" applyAlignment="1">
      <alignment horizontal="left" vertical="center"/>
    </xf>
    <xf numFmtId="31" fontId="35" fillId="0" borderId="10" xfId="0" applyNumberFormat="1" applyFont="1" applyBorder="1" applyAlignment="1" applyProtection="1">
      <alignment horizontal="right" vertical="center"/>
      <protection locked="0"/>
    </xf>
    <xf numFmtId="179" fontId="35" fillId="0" borderId="10" xfId="35" applyNumberFormat="1" applyFont="1" applyFill="1" applyBorder="1" applyAlignment="1" applyProtection="1">
      <alignment horizontal="right" vertical="center"/>
      <protection locked="0"/>
    </xf>
    <xf numFmtId="181" fontId="35" fillId="0" borderId="10" xfId="0" applyNumberFormat="1" applyFont="1" applyBorder="1" applyAlignment="1" applyProtection="1">
      <alignment horizontal="right" vertical="center"/>
      <protection locked="0"/>
    </xf>
    <xf numFmtId="0" fontId="166" fillId="27" borderId="0" xfId="0" applyFont="1" applyFill="1" applyAlignment="1" applyProtection="1">
      <alignment horizontal="left" vertical="center"/>
      <protection hidden="1"/>
    </xf>
    <xf numFmtId="0" fontId="44" fillId="0" borderId="0" xfId="0" applyFont="1">
      <alignment vertical="center"/>
    </xf>
    <xf numFmtId="0" fontId="167" fillId="0" borderId="10" xfId="0" applyFont="1" applyBorder="1" applyAlignment="1" applyProtection="1">
      <alignment horizontal="center" vertical="center"/>
      <protection locked="0" hidden="1"/>
    </xf>
    <xf numFmtId="0" fontId="35" fillId="27" borderId="19" xfId="0" applyFont="1" applyFill="1" applyBorder="1" applyAlignment="1" applyProtection="1">
      <alignment horizontal="left" vertical="top" wrapText="1"/>
      <protection hidden="1"/>
    </xf>
    <xf numFmtId="0" fontId="169" fillId="0" borderId="35" xfId="0" applyFont="1" applyBorder="1" applyProtection="1">
      <alignment vertical="center"/>
      <protection hidden="1"/>
    </xf>
    <xf numFmtId="0" fontId="169" fillId="0" borderId="36" xfId="0" applyFont="1" applyBorder="1" applyProtection="1">
      <alignment vertical="center"/>
      <protection hidden="1"/>
    </xf>
    <xf numFmtId="0" fontId="88" fillId="28" borderId="24" xfId="0" applyFont="1" applyFill="1" applyBorder="1" applyAlignment="1" applyProtection="1">
      <alignment horizontal="center" vertical="center"/>
      <protection hidden="1"/>
    </xf>
    <xf numFmtId="0" fontId="88" fillId="28" borderId="37" xfId="0" applyFont="1" applyFill="1" applyBorder="1" applyAlignment="1" applyProtection="1">
      <alignment horizontal="center" vertical="center"/>
      <protection hidden="1"/>
    </xf>
    <xf numFmtId="0" fontId="88" fillId="28" borderId="25" xfId="0" applyFont="1" applyFill="1" applyBorder="1" applyAlignment="1" applyProtection="1">
      <alignment horizontal="center" vertical="center"/>
      <protection hidden="1"/>
    </xf>
    <xf numFmtId="0" fontId="32" fillId="27" borderId="0" xfId="0" applyFont="1" applyFill="1" applyAlignment="1" applyProtection="1">
      <alignment horizontal="right" vertical="center"/>
      <protection hidden="1"/>
    </xf>
    <xf numFmtId="0" fontId="88" fillId="28" borderId="0" xfId="0" applyFont="1" applyFill="1" applyAlignment="1" applyProtection="1">
      <alignment horizontal="center" vertical="center"/>
      <protection hidden="1"/>
    </xf>
    <xf numFmtId="0" fontId="35" fillId="27" borderId="0" xfId="0" applyFont="1" applyFill="1" applyProtection="1">
      <alignment vertical="center"/>
      <protection hidden="1"/>
    </xf>
    <xf numFmtId="0" fontId="44" fillId="0" borderId="28" xfId="0" applyFont="1" applyBorder="1" applyAlignment="1" applyProtection="1">
      <alignment horizontal="center" vertical="center"/>
      <protection locked="0"/>
    </xf>
    <xf numFmtId="0" fontId="35" fillId="27" borderId="0" xfId="0" applyFont="1" applyFill="1" applyAlignment="1" applyProtection="1">
      <alignment horizontal="center" vertical="center"/>
      <protection hidden="1"/>
    </xf>
    <xf numFmtId="178" fontId="35" fillId="27" borderId="28" xfId="0" applyNumberFormat="1" applyFont="1" applyFill="1" applyBorder="1" applyProtection="1">
      <alignment vertical="center"/>
      <protection hidden="1"/>
    </xf>
    <xf numFmtId="0" fontId="35" fillId="27" borderId="32" xfId="0" applyFont="1" applyFill="1" applyBorder="1" applyProtection="1">
      <alignment vertical="center"/>
      <protection hidden="1"/>
    </xf>
    <xf numFmtId="0" fontId="35" fillId="27" borderId="33" xfId="0" applyFont="1" applyFill="1" applyBorder="1" applyProtection="1">
      <alignment vertical="center"/>
      <protection hidden="1"/>
    </xf>
    <xf numFmtId="0" fontId="170" fillId="28" borderId="0" xfId="0" applyFont="1" applyFill="1" applyAlignment="1" applyProtection="1">
      <alignment horizontal="centerContinuous" vertical="center"/>
      <protection hidden="1"/>
    </xf>
    <xf numFmtId="0" fontId="36" fillId="27" borderId="0" xfId="0" applyFont="1" applyFill="1" applyAlignment="1">
      <alignment horizontal="left" vertical="center"/>
    </xf>
    <xf numFmtId="0" fontId="44" fillId="27" borderId="0" xfId="0" applyFont="1" applyFill="1" applyProtection="1">
      <alignment vertical="center"/>
      <protection hidden="1"/>
    </xf>
    <xf numFmtId="0" fontId="169" fillId="0" borderId="18" xfId="0" applyFont="1" applyBorder="1" applyProtection="1">
      <alignment vertical="center"/>
      <protection hidden="1"/>
    </xf>
    <xf numFmtId="0" fontId="88" fillId="28" borderId="21" xfId="0" applyFont="1" applyFill="1" applyBorder="1" applyProtection="1">
      <alignment vertical="center"/>
      <protection hidden="1"/>
    </xf>
    <xf numFmtId="0" fontId="88" fillId="28" borderId="24" xfId="0" applyFont="1" applyFill="1" applyBorder="1" applyProtection="1">
      <alignment vertical="center"/>
      <protection hidden="1"/>
    </xf>
    <xf numFmtId="49" fontId="35" fillId="27" borderId="24" xfId="0" applyNumberFormat="1" applyFont="1" applyFill="1" applyBorder="1" applyAlignment="1" applyProtection="1">
      <protection hidden="1"/>
    </xf>
    <xf numFmtId="0" fontId="35" fillId="27" borderId="24" xfId="0" applyFont="1" applyFill="1" applyBorder="1" applyAlignment="1" applyProtection="1">
      <protection hidden="1"/>
    </xf>
    <xf numFmtId="0" fontId="64" fillId="27" borderId="24" xfId="0" applyFont="1" applyFill="1" applyBorder="1" applyAlignment="1" applyProtection="1">
      <protection hidden="1"/>
    </xf>
    <xf numFmtId="0" fontId="35" fillId="27" borderId="24" xfId="0" applyFont="1" applyFill="1" applyBorder="1" applyAlignment="1" applyProtection="1">
      <alignment horizontal="left"/>
      <protection hidden="1"/>
    </xf>
    <xf numFmtId="0" fontId="88" fillId="28" borderId="29" xfId="0" applyFont="1" applyFill="1" applyBorder="1" applyProtection="1">
      <alignment vertical="center"/>
      <protection hidden="1"/>
    </xf>
    <xf numFmtId="0" fontId="171" fillId="27" borderId="24" xfId="0" applyFont="1" applyFill="1" applyBorder="1" applyAlignment="1" applyProtection="1">
      <protection hidden="1"/>
    </xf>
    <xf numFmtId="0" fontId="35" fillId="27" borderId="24" xfId="0" applyFont="1" applyFill="1" applyBorder="1" applyProtection="1">
      <alignment vertical="center"/>
      <protection hidden="1"/>
    </xf>
    <xf numFmtId="0" fontId="35" fillId="27" borderId="30" xfId="0" applyFont="1" applyFill="1" applyBorder="1" applyProtection="1">
      <alignment vertical="center"/>
      <protection hidden="1"/>
    </xf>
    <xf numFmtId="0" fontId="172" fillId="28" borderId="0" xfId="0" applyFont="1" applyFill="1" applyAlignment="1" applyProtection="1">
      <alignment horizontal="centerContinuous" vertical="center"/>
      <protection hidden="1"/>
    </xf>
    <xf numFmtId="0" fontId="44" fillId="27" borderId="0" xfId="0" applyFont="1" applyFill="1">
      <alignment vertical="center"/>
    </xf>
    <xf numFmtId="0" fontId="170" fillId="28" borderId="0" xfId="0" applyFont="1" applyFill="1" applyAlignment="1" applyProtection="1">
      <alignment horizontal="centerContinuous" vertical="top"/>
      <protection hidden="1"/>
    </xf>
    <xf numFmtId="0" fontId="44" fillId="0" borderId="19" xfId="0" applyFont="1" applyBorder="1" applyProtection="1">
      <alignment vertical="center"/>
      <protection hidden="1"/>
    </xf>
    <xf numFmtId="0" fontId="44" fillId="0" borderId="20" xfId="0" applyFont="1" applyBorder="1" applyProtection="1">
      <alignment vertical="center"/>
      <protection hidden="1"/>
    </xf>
    <xf numFmtId="0" fontId="78" fillId="28" borderId="22" xfId="0" applyFont="1" applyFill="1" applyBorder="1" applyProtection="1">
      <alignment vertical="center"/>
      <protection hidden="1"/>
    </xf>
    <xf numFmtId="0" fontId="78" fillId="28" borderId="23" xfId="0" applyFont="1" applyFill="1" applyBorder="1" applyProtection="1">
      <alignment vertical="center"/>
      <protection hidden="1"/>
    </xf>
    <xf numFmtId="0" fontId="78" fillId="28" borderId="0" xfId="0" applyFont="1" applyFill="1" applyProtection="1">
      <alignment vertical="center"/>
      <protection hidden="1"/>
    </xf>
    <xf numFmtId="0" fontId="78" fillId="28" borderId="25" xfId="0" applyFont="1" applyFill="1" applyBorder="1" applyProtection="1">
      <alignment vertical="center"/>
      <protection hidden="1"/>
    </xf>
    <xf numFmtId="0" fontId="167" fillId="0" borderId="28" xfId="0" applyFont="1" applyBorder="1" applyAlignment="1" applyProtection="1">
      <alignment horizontal="center" vertical="center"/>
      <protection locked="0"/>
    </xf>
    <xf numFmtId="0" fontId="35" fillId="0" borderId="26" xfId="0" applyFont="1" applyBorder="1" applyAlignment="1" applyProtection="1">
      <alignment horizontal="left" vertical="center"/>
      <protection locked="0"/>
    </xf>
    <xf numFmtId="0" fontId="35" fillId="0" borderId="50" xfId="0" applyFont="1" applyBorder="1" applyAlignment="1" applyProtection="1">
      <alignment horizontal="left" vertical="center"/>
      <protection locked="0"/>
    </xf>
    <xf numFmtId="0" fontId="35" fillId="29" borderId="27" xfId="0" applyFont="1" applyFill="1" applyBorder="1" applyAlignment="1" applyProtection="1">
      <alignment horizontal="left" vertical="center"/>
      <protection locked="0"/>
    </xf>
    <xf numFmtId="55" fontId="35" fillId="0" borderId="10" xfId="0" applyNumberFormat="1" applyFont="1" applyBorder="1" applyAlignment="1" applyProtection="1">
      <alignment horizontal="right" vertical="center"/>
      <protection locked="0"/>
    </xf>
    <xf numFmtId="0" fontId="44" fillId="27" borderId="0" xfId="0" applyFont="1" applyFill="1" applyAlignment="1"/>
    <xf numFmtId="0" fontId="35" fillId="27" borderId="0" xfId="0" applyFont="1" applyFill="1">
      <alignment vertical="center"/>
    </xf>
    <xf numFmtId="0" fontId="169" fillId="0" borderId="34" xfId="0" applyFont="1" applyBorder="1" applyProtection="1">
      <alignment vertical="center"/>
      <protection hidden="1"/>
    </xf>
    <xf numFmtId="0" fontId="35" fillId="27" borderId="18" xfId="0" applyFont="1" applyFill="1" applyBorder="1" applyProtection="1">
      <alignment vertical="center"/>
      <protection hidden="1"/>
    </xf>
    <xf numFmtId="0" fontId="35" fillId="27" borderId="24" xfId="0" applyFont="1" applyFill="1" applyBorder="1" applyAlignment="1" applyProtection="1">
      <alignment horizontal="right" vertical="center"/>
      <protection hidden="1"/>
    </xf>
    <xf numFmtId="0" fontId="169" fillId="0" borderId="29" xfId="0" applyFont="1" applyBorder="1" applyProtection="1">
      <alignment vertical="center"/>
      <protection hidden="1"/>
    </xf>
    <xf numFmtId="0" fontId="173" fillId="0" borderId="38" xfId="0" applyFont="1" applyBorder="1" applyAlignment="1" applyProtection="1">
      <alignment horizontal="left" vertical="center" indent="1"/>
      <protection hidden="1"/>
    </xf>
    <xf numFmtId="0" fontId="173" fillId="0" borderId="38" xfId="0" applyFont="1" applyBorder="1" applyAlignment="1" applyProtection="1">
      <alignment horizontal="right" vertical="center"/>
      <protection hidden="1"/>
    </xf>
    <xf numFmtId="0" fontId="173" fillId="0" borderId="39" xfId="0" applyFont="1" applyBorder="1" applyAlignment="1" applyProtection="1">
      <alignment horizontal="right" vertical="center"/>
      <protection hidden="1"/>
    </xf>
    <xf numFmtId="0" fontId="88" fillId="28" borderId="40" xfId="0" applyFont="1" applyFill="1" applyBorder="1" applyProtection="1">
      <alignment vertical="center"/>
      <protection hidden="1"/>
    </xf>
    <xf numFmtId="0" fontId="44" fillId="27" borderId="42" xfId="0" applyFont="1" applyFill="1" applyBorder="1" applyAlignment="1" applyProtection="1">
      <alignment horizontal="left" vertical="center" indent="1"/>
      <protection hidden="1"/>
    </xf>
    <xf numFmtId="0" fontId="44" fillId="27" borderId="43" xfId="0" applyFont="1" applyFill="1" applyBorder="1" applyAlignment="1" applyProtection="1">
      <alignment horizontal="left" vertical="center" indent="1"/>
      <protection hidden="1"/>
    </xf>
    <xf numFmtId="0" fontId="44" fillId="27" borderId="49" xfId="0" applyFont="1" applyFill="1" applyBorder="1" applyAlignment="1" applyProtection="1">
      <alignment horizontal="left" vertical="center" indent="1"/>
      <protection hidden="1"/>
    </xf>
    <xf numFmtId="0" fontId="35" fillId="27" borderId="10" xfId="0" applyFont="1" applyFill="1" applyBorder="1" applyAlignment="1">
      <alignment horizontal="left" vertical="center"/>
    </xf>
    <xf numFmtId="0" fontId="35" fillId="27" borderId="26" xfId="0" applyFont="1" applyFill="1" applyBorder="1" applyAlignment="1" applyProtection="1">
      <alignment horizontal="left" vertical="center"/>
      <protection hidden="1"/>
    </xf>
    <xf numFmtId="0" fontId="35" fillId="27" borderId="50" xfId="0" applyFont="1" applyFill="1" applyBorder="1" applyAlignment="1" applyProtection="1">
      <alignment horizontal="left" vertical="center"/>
      <protection hidden="1"/>
    </xf>
    <xf numFmtId="0" fontId="78" fillId="27" borderId="50" xfId="0" applyFont="1" applyFill="1" applyBorder="1" applyAlignment="1" applyProtection="1">
      <alignment horizontal="left" vertical="top"/>
      <protection hidden="1"/>
    </xf>
    <xf numFmtId="0" fontId="35" fillId="27" borderId="27" xfId="0" applyFont="1" applyFill="1" applyBorder="1" applyAlignment="1">
      <alignment horizontal="left" vertical="top"/>
    </xf>
    <xf numFmtId="0" fontId="35" fillId="27" borderId="51" xfId="0" applyFont="1" applyFill="1" applyBorder="1" applyAlignment="1" applyProtection="1">
      <alignment horizontal="left" vertical="center"/>
      <protection hidden="1"/>
    </xf>
    <xf numFmtId="0" fontId="35" fillId="27" borderId="0" xfId="0" applyFont="1" applyFill="1" applyAlignment="1">
      <alignment horizontal="left" vertical="top"/>
    </xf>
    <xf numFmtId="0" fontId="35" fillId="27" borderId="11" xfId="0" applyFont="1" applyFill="1" applyBorder="1" applyAlignment="1" applyProtection="1">
      <alignment horizontal="left" vertical="center"/>
      <protection hidden="1"/>
    </xf>
    <xf numFmtId="0" fontId="32" fillId="27" borderId="12" xfId="0" applyFont="1" applyFill="1" applyBorder="1" applyAlignment="1" applyProtection="1">
      <alignment horizontal="left" vertical="center"/>
      <protection hidden="1"/>
    </xf>
    <xf numFmtId="0" fontId="35" fillId="27" borderId="55" xfId="0" applyFont="1" applyFill="1" applyBorder="1" applyAlignment="1" applyProtection="1">
      <alignment horizontal="left" vertical="center"/>
      <protection hidden="1"/>
    </xf>
    <xf numFmtId="0" fontId="36" fillId="0" borderId="0" xfId="0" applyFont="1" applyAlignment="1" applyProtection="1">
      <alignment horizontal="left" vertical="center"/>
      <protection hidden="1"/>
    </xf>
    <xf numFmtId="0" fontId="36" fillId="0" borderId="0" xfId="0" applyFont="1" applyProtection="1">
      <alignment vertical="center"/>
      <protection hidden="1"/>
    </xf>
    <xf numFmtId="40" fontId="32" fillId="27" borderId="0" xfId="35" applyNumberFormat="1" applyFont="1" applyFill="1" applyBorder="1" applyAlignment="1" applyProtection="1">
      <alignment horizontal="left" vertical="center"/>
      <protection hidden="1"/>
    </xf>
    <xf numFmtId="0" fontId="11" fillId="27" borderId="59" xfId="0" applyFont="1" applyFill="1" applyBorder="1" applyAlignment="1"/>
    <xf numFmtId="0" fontId="98" fillId="0" borderId="0" xfId="0" applyFont="1" applyAlignment="1">
      <alignment horizontal="right" vertical="top"/>
    </xf>
    <xf numFmtId="184" fontId="35" fillId="0" borderId="0" xfId="0" applyNumberFormat="1" applyFont="1">
      <alignment vertical="center"/>
    </xf>
    <xf numFmtId="0" fontId="31" fillId="0" borderId="0" xfId="0" applyFont="1" applyAlignment="1">
      <alignment horizontal="center" vertical="justify"/>
    </xf>
    <xf numFmtId="0" fontId="29" fillId="0" borderId="0" xfId="0" applyFont="1" applyAlignment="1">
      <alignment horizontal="center" vertical="justify"/>
    </xf>
    <xf numFmtId="0" fontId="106" fillId="0" borderId="0" xfId="0" applyFont="1" applyAlignment="1">
      <alignment horizontal="left" vertical="center"/>
    </xf>
    <xf numFmtId="180" fontId="93" fillId="0" borderId="0" xfId="0" applyNumberFormat="1" applyFont="1" applyAlignment="1">
      <alignment horizontal="left"/>
    </xf>
    <xf numFmtId="191" fontId="88" fillId="32" borderId="98" xfId="0" applyNumberFormat="1" applyFont="1" applyFill="1" applyBorder="1" applyAlignment="1">
      <alignment horizontal="center" vertical="center"/>
    </xf>
    <xf numFmtId="183" fontId="32" fillId="32" borderId="0" xfId="0" applyNumberFormat="1" applyFont="1" applyFill="1" applyAlignment="1">
      <alignment horizontal="center" vertical="center"/>
    </xf>
    <xf numFmtId="191" fontId="88" fillId="32" borderId="99" xfId="0" applyNumberFormat="1" applyFont="1" applyFill="1" applyBorder="1" applyAlignment="1">
      <alignment horizontal="center" vertical="center"/>
    </xf>
    <xf numFmtId="183" fontId="59" fillId="32" borderId="100" xfId="0" applyNumberFormat="1" applyFont="1" applyFill="1" applyBorder="1" applyAlignment="1">
      <alignment horizontal="center" vertical="center"/>
    </xf>
    <xf numFmtId="191" fontId="112" fillId="31" borderId="106" xfId="0" applyNumberFormat="1" applyFont="1" applyFill="1" applyBorder="1" applyAlignment="1">
      <alignment horizontal="center" vertical="center"/>
    </xf>
    <xf numFmtId="183" fontId="113" fillId="31" borderId="102" xfId="0" applyNumberFormat="1" applyFont="1" applyFill="1" applyBorder="1" applyAlignment="1">
      <alignment horizontal="center" vertical="center"/>
    </xf>
    <xf numFmtId="183" fontId="113" fillId="31" borderId="108" xfId="0" applyNumberFormat="1" applyFont="1" applyFill="1" applyBorder="1" applyAlignment="1">
      <alignment horizontal="center" vertical="center"/>
    </xf>
    <xf numFmtId="183" fontId="36" fillId="27" borderId="143" xfId="0" applyNumberFormat="1" applyFont="1" applyFill="1" applyBorder="1" applyAlignment="1">
      <alignment horizontal="center" vertical="center"/>
    </xf>
    <xf numFmtId="191" fontId="115" fillId="27" borderId="98" xfId="0" applyNumberFormat="1" applyFont="1" applyFill="1" applyBorder="1" applyAlignment="1">
      <alignment horizontal="center" vertical="center"/>
    </xf>
    <xf numFmtId="191" fontId="115" fillId="27" borderId="99" xfId="0" applyNumberFormat="1" applyFont="1" applyFill="1" applyBorder="1" applyAlignment="1">
      <alignment horizontal="center" vertical="center"/>
    </xf>
    <xf numFmtId="183" fontId="112" fillId="27" borderId="100" xfId="0" applyNumberFormat="1" applyFont="1" applyFill="1" applyBorder="1" applyAlignment="1">
      <alignment horizontal="center" vertical="center"/>
    </xf>
    <xf numFmtId="191" fontId="115" fillId="27" borderId="53" xfId="0" applyNumberFormat="1" applyFont="1" applyFill="1" applyBorder="1" applyAlignment="1">
      <alignment horizontal="center" vertical="center"/>
    </xf>
    <xf numFmtId="183" fontId="112" fillId="27" borderId="112" xfId="0" applyNumberFormat="1" applyFont="1" applyFill="1" applyBorder="1" applyAlignment="1">
      <alignment horizontal="center" vertical="center"/>
    </xf>
    <xf numFmtId="191" fontId="115" fillId="27" borderId="0" xfId="0" applyNumberFormat="1" applyFont="1" applyFill="1" applyAlignment="1">
      <alignment horizontal="center" vertical="center"/>
    </xf>
    <xf numFmtId="183" fontId="36" fillId="27" borderId="146" xfId="0" applyNumberFormat="1" applyFont="1" applyFill="1" applyBorder="1" applyAlignment="1">
      <alignment horizontal="center" vertical="center"/>
    </xf>
    <xf numFmtId="183" fontId="36" fillId="27" borderId="93" xfId="0" applyNumberFormat="1" applyFont="1" applyFill="1" applyBorder="1" applyAlignment="1">
      <alignment horizontal="center" vertical="center"/>
    </xf>
    <xf numFmtId="191" fontId="115" fillId="27" borderId="121" xfId="0" applyNumberFormat="1" applyFont="1" applyFill="1" applyBorder="1" applyAlignment="1">
      <alignment horizontal="center" vertical="center"/>
    </xf>
    <xf numFmtId="183" fontId="36" fillId="27" borderId="110" xfId="0" applyNumberFormat="1" applyFont="1" applyFill="1" applyBorder="1" applyAlignment="1">
      <alignment horizontal="center" vertical="center"/>
    </xf>
    <xf numFmtId="191" fontId="115" fillId="27" borderId="122" xfId="0" applyNumberFormat="1" applyFont="1" applyFill="1" applyBorder="1" applyAlignment="1">
      <alignment horizontal="center" vertical="center"/>
    </xf>
    <xf numFmtId="183" fontId="112" fillId="27" borderId="123" xfId="0" applyNumberFormat="1" applyFont="1" applyFill="1" applyBorder="1" applyAlignment="1">
      <alignment horizontal="center" vertical="center"/>
    </xf>
    <xf numFmtId="183" fontId="36" fillId="27" borderId="111" xfId="0" applyNumberFormat="1" applyFont="1" applyFill="1" applyBorder="1" applyAlignment="1">
      <alignment horizontal="center" vertical="center"/>
    </xf>
    <xf numFmtId="191" fontId="115" fillId="27" borderId="124" xfId="0" applyNumberFormat="1" applyFont="1" applyFill="1" applyBorder="1" applyAlignment="1">
      <alignment horizontal="center" vertical="center"/>
    </xf>
    <xf numFmtId="183" fontId="36" fillId="27" borderId="218" xfId="0" applyNumberFormat="1" applyFont="1" applyFill="1" applyBorder="1" applyAlignment="1">
      <alignment horizontal="center" vertical="center"/>
    </xf>
    <xf numFmtId="191" fontId="115" fillId="27" borderId="125" xfId="0" applyNumberFormat="1" applyFont="1" applyFill="1" applyBorder="1" applyAlignment="1">
      <alignment horizontal="center" vertical="center"/>
    </xf>
    <xf numFmtId="191" fontId="115" fillId="0" borderId="0" xfId="0" applyNumberFormat="1" applyFont="1" applyAlignment="1">
      <alignment horizontal="center" vertical="center"/>
    </xf>
    <xf numFmtId="183" fontId="112" fillId="0" borderId="100" xfId="0" applyNumberFormat="1" applyFont="1" applyBorder="1" applyAlignment="1">
      <alignment horizontal="center" vertical="center"/>
    </xf>
    <xf numFmtId="183" fontId="36" fillId="0" borderId="100" xfId="0" applyNumberFormat="1" applyFont="1" applyBorder="1" applyAlignment="1">
      <alignment horizontal="center" vertical="center"/>
    </xf>
    <xf numFmtId="183" fontId="36" fillId="27" borderId="194" xfId="0" applyNumberFormat="1" applyFont="1" applyFill="1" applyBorder="1" applyAlignment="1">
      <alignment horizontal="center" vertical="center"/>
    </xf>
    <xf numFmtId="183" fontId="36" fillId="27" borderId="97" xfId="0" applyNumberFormat="1" applyFont="1" applyFill="1" applyBorder="1" applyAlignment="1">
      <alignment horizontal="center" vertical="center"/>
    </xf>
    <xf numFmtId="191" fontId="112" fillId="31" borderId="132" xfId="0" applyNumberFormat="1" applyFont="1" applyFill="1" applyBorder="1" applyAlignment="1">
      <alignment horizontal="center" vertical="center"/>
    </xf>
    <xf numFmtId="183" fontId="113" fillId="31" borderId="131" xfId="0" applyNumberFormat="1" applyFont="1" applyFill="1" applyBorder="1" applyAlignment="1">
      <alignment horizontal="center" vertical="center"/>
    </xf>
    <xf numFmtId="191" fontId="112" fillId="31" borderId="133" xfId="0" applyNumberFormat="1" applyFont="1" applyFill="1" applyBorder="1" applyAlignment="1">
      <alignment horizontal="center" vertical="center"/>
    </xf>
    <xf numFmtId="183" fontId="113" fillId="31" borderId="134" xfId="0" applyNumberFormat="1" applyFont="1" applyFill="1" applyBorder="1" applyAlignment="1">
      <alignment horizontal="center" vertical="center"/>
    </xf>
    <xf numFmtId="191" fontId="115" fillId="27" borderId="94" xfId="0" applyNumberFormat="1" applyFont="1" applyFill="1" applyBorder="1" applyAlignment="1">
      <alignment horizontal="center" vertical="center"/>
    </xf>
    <xf numFmtId="191" fontId="115" fillId="27" borderId="95" xfId="0" applyNumberFormat="1" applyFont="1" applyFill="1" applyBorder="1" applyAlignment="1">
      <alignment horizontal="center" vertical="center"/>
    </xf>
    <xf numFmtId="183" fontId="112" fillId="27" borderId="96" xfId="0" applyNumberFormat="1" applyFont="1" applyFill="1" applyBorder="1" applyAlignment="1">
      <alignment horizontal="center" vertical="center"/>
    </xf>
    <xf numFmtId="183" fontId="36" fillId="27" borderId="147" xfId="0" applyNumberFormat="1" applyFont="1" applyFill="1" applyBorder="1" applyAlignment="1">
      <alignment horizontal="center" vertical="center"/>
    </xf>
    <xf numFmtId="183" fontId="36" fillId="27" borderId="219" xfId="0" applyNumberFormat="1" applyFont="1" applyFill="1" applyBorder="1" applyAlignment="1">
      <alignment horizontal="center" vertical="center"/>
    </xf>
    <xf numFmtId="183" fontId="36" fillId="50" borderId="97" xfId="0" applyNumberFormat="1" applyFont="1" applyFill="1" applyBorder="1" applyAlignment="1">
      <alignment horizontal="center" vertical="center"/>
    </xf>
    <xf numFmtId="191" fontId="115" fillId="27" borderId="17" xfId="0" applyNumberFormat="1" applyFont="1" applyFill="1" applyBorder="1" applyAlignment="1">
      <alignment horizontal="center" vertical="center"/>
    </xf>
    <xf numFmtId="183" fontId="32" fillId="50" borderId="97" xfId="0" applyNumberFormat="1" applyFont="1" applyFill="1" applyBorder="1" applyAlignment="1">
      <alignment horizontal="center" vertical="center"/>
    </xf>
    <xf numFmtId="183" fontId="32" fillId="50" borderId="93" xfId="0" applyNumberFormat="1" applyFont="1" applyFill="1" applyBorder="1" applyAlignment="1">
      <alignment horizontal="center" vertical="center"/>
    </xf>
    <xf numFmtId="191" fontId="115" fillId="27" borderId="120" xfId="0" applyNumberFormat="1" applyFont="1" applyFill="1" applyBorder="1" applyAlignment="1">
      <alignment horizontal="center" vertical="center"/>
    </xf>
    <xf numFmtId="183" fontId="32" fillId="0" borderId="97" xfId="0" applyNumberFormat="1" applyFont="1" applyBorder="1" applyAlignment="1">
      <alignment horizontal="center" vertical="center"/>
    </xf>
    <xf numFmtId="183" fontId="36" fillId="27" borderId="135" xfId="0" applyNumberFormat="1" applyFont="1" applyFill="1" applyBorder="1" applyAlignment="1">
      <alignment horizontal="center" vertical="center"/>
    </xf>
    <xf numFmtId="183" fontId="36" fillId="27" borderId="138" xfId="0" applyNumberFormat="1" applyFont="1" applyFill="1" applyBorder="1" applyAlignment="1">
      <alignment horizontal="center" vertical="center"/>
    </xf>
    <xf numFmtId="191" fontId="115" fillId="27" borderId="84" xfId="0" applyNumberFormat="1" applyFont="1" applyFill="1" applyBorder="1" applyAlignment="1">
      <alignment horizontal="center" vertical="center"/>
    </xf>
    <xf numFmtId="183" fontId="32" fillId="50" borderId="147" xfId="0" applyNumberFormat="1" applyFont="1" applyFill="1" applyBorder="1" applyAlignment="1">
      <alignment horizontal="center" vertical="center"/>
    </xf>
    <xf numFmtId="191" fontId="115" fillId="27" borderId="137" xfId="0" applyNumberFormat="1" applyFont="1" applyFill="1" applyBorder="1" applyAlignment="1">
      <alignment horizontal="center" vertical="center"/>
    </xf>
    <xf numFmtId="183" fontId="112" fillId="27" borderId="115" xfId="0" applyNumberFormat="1" applyFont="1" applyFill="1" applyBorder="1" applyAlignment="1">
      <alignment horizontal="center" vertical="center"/>
    </xf>
    <xf numFmtId="183" fontId="36" fillId="50" borderId="143" xfId="0" applyNumberFormat="1" applyFont="1" applyFill="1" applyBorder="1" applyAlignment="1">
      <alignment horizontal="center" vertical="center"/>
    </xf>
    <xf numFmtId="183" fontId="36" fillId="27" borderId="220" xfId="0" applyNumberFormat="1" applyFont="1" applyFill="1" applyBorder="1" applyAlignment="1">
      <alignment horizontal="center" vertical="center"/>
    </xf>
    <xf numFmtId="191" fontId="115" fillId="27" borderId="157" xfId="0" applyNumberFormat="1" applyFont="1" applyFill="1" applyBorder="1" applyAlignment="1">
      <alignment horizontal="center" vertical="center"/>
    </xf>
    <xf numFmtId="183" fontId="36" fillId="50" borderId="135" xfId="0" applyNumberFormat="1" applyFont="1" applyFill="1" applyBorder="1" applyAlignment="1">
      <alignment horizontal="center" vertical="center"/>
    </xf>
    <xf numFmtId="191" fontId="115" fillId="27" borderId="27" xfId="0" applyNumberFormat="1" applyFont="1" applyFill="1" applyBorder="1" applyAlignment="1">
      <alignment horizontal="center" vertical="center"/>
    </xf>
    <xf numFmtId="183" fontId="36" fillId="50" borderId="93" xfId="0" applyNumberFormat="1" applyFont="1" applyFill="1" applyBorder="1" applyAlignment="1">
      <alignment horizontal="center" vertical="center"/>
    </xf>
    <xf numFmtId="191" fontId="115" fillId="27" borderId="140" xfId="0" applyNumberFormat="1" applyFont="1" applyFill="1" applyBorder="1" applyAlignment="1">
      <alignment horizontal="center" vertical="center"/>
    </xf>
    <xf numFmtId="191" fontId="112" fillId="27" borderId="98" xfId="0" applyNumberFormat="1" applyFont="1" applyFill="1" applyBorder="1" applyAlignment="1">
      <alignment horizontal="center" vertical="center"/>
    </xf>
    <xf numFmtId="183" fontId="32" fillId="0" borderId="147" xfId="0" applyNumberFormat="1" applyFont="1" applyBorder="1" applyAlignment="1">
      <alignment horizontal="center" vertical="center"/>
    </xf>
    <xf numFmtId="191" fontId="112" fillId="27" borderId="99" xfId="0" applyNumberFormat="1" applyFont="1" applyFill="1" applyBorder="1" applyAlignment="1">
      <alignment horizontal="center" vertical="center"/>
    </xf>
    <xf numFmtId="191" fontId="115" fillId="32" borderId="141" xfId="0" applyNumberFormat="1" applyFont="1" applyFill="1" applyBorder="1" applyAlignment="1">
      <alignment horizontal="center" vertical="center"/>
    </xf>
    <xf numFmtId="183" fontId="32" fillId="32" borderId="60" xfId="0" applyNumberFormat="1" applyFont="1" applyFill="1" applyBorder="1" applyAlignment="1">
      <alignment horizontal="center" vertical="center"/>
    </xf>
    <xf numFmtId="191" fontId="115" fillId="32" borderId="142" xfId="0" applyNumberFormat="1" applyFont="1" applyFill="1" applyBorder="1" applyAlignment="1">
      <alignment horizontal="center" vertical="center"/>
    </xf>
    <xf numFmtId="183" fontId="59" fillId="32" borderId="92" xfId="0" applyNumberFormat="1" applyFont="1" applyFill="1" applyBorder="1" applyAlignment="1">
      <alignment horizontal="center" vertical="center"/>
    </xf>
    <xf numFmtId="191" fontId="112" fillId="31" borderId="107" xfId="0" applyNumberFormat="1" applyFont="1" applyFill="1" applyBorder="1" applyAlignment="1">
      <alignment horizontal="center" vertical="center"/>
    </xf>
    <xf numFmtId="183" fontId="36" fillId="0" borderId="144" xfId="0" applyNumberFormat="1" applyFont="1" applyBorder="1" applyAlignment="1">
      <alignment horizontal="center" vertical="center"/>
    </xf>
    <xf numFmtId="183" fontId="36" fillId="50" borderId="110" xfId="0" applyNumberFormat="1" applyFont="1" applyFill="1" applyBorder="1" applyAlignment="1">
      <alignment horizontal="center" vertical="center"/>
    </xf>
    <xf numFmtId="191" fontId="115" fillId="0" borderId="99" xfId="0" applyNumberFormat="1" applyFont="1" applyBorder="1" applyAlignment="1">
      <alignment horizontal="center" vertical="center"/>
    </xf>
    <xf numFmtId="191" fontId="115" fillId="0" borderId="17" xfId="0" applyNumberFormat="1" applyFont="1" applyBorder="1" applyAlignment="1">
      <alignment horizontal="center" vertical="center"/>
    </xf>
    <xf numFmtId="191" fontId="115" fillId="0" borderId="98" xfId="0" applyNumberFormat="1" applyFont="1" applyBorder="1" applyAlignment="1">
      <alignment horizontal="center" vertical="center"/>
    </xf>
    <xf numFmtId="183" fontId="36" fillId="50" borderId="64" xfId="0" applyNumberFormat="1" applyFont="1" applyFill="1" applyBorder="1" applyAlignment="1">
      <alignment horizontal="center" vertical="center"/>
    </xf>
    <xf numFmtId="183" fontId="32" fillId="50" borderId="64" xfId="0" applyNumberFormat="1" applyFont="1" applyFill="1" applyBorder="1" applyAlignment="1">
      <alignment horizontal="center" vertical="center"/>
    </xf>
    <xf numFmtId="183" fontId="113" fillId="31" borderId="212" xfId="0" applyNumberFormat="1" applyFont="1" applyFill="1" applyBorder="1" applyAlignment="1">
      <alignment horizontal="center" vertical="center"/>
    </xf>
    <xf numFmtId="191" fontId="115" fillId="27" borderId="54" xfId="0" applyNumberFormat="1" applyFont="1" applyFill="1" applyBorder="1" applyAlignment="1">
      <alignment horizontal="center" vertical="center"/>
    </xf>
    <xf numFmtId="183" fontId="36" fillId="50" borderId="52" xfId="0" applyNumberFormat="1" applyFont="1" applyFill="1" applyBorder="1" applyAlignment="1">
      <alignment horizontal="center" vertical="center"/>
    </xf>
    <xf numFmtId="183" fontId="36" fillId="50" borderId="26" xfId="0" applyNumberFormat="1" applyFont="1" applyFill="1" applyBorder="1" applyAlignment="1">
      <alignment horizontal="center" vertical="center"/>
    </xf>
    <xf numFmtId="183" fontId="32" fillId="50" borderId="83" xfId="0" applyNumberFormat="1" applyFont="1" applyFill="1" applyBorder="1" applyAlignment="1">
      <alignment horizontal="center" vertical="center"/>
    </xf>
    <xf numFmtId="191" fontId="115" fillId="27" borderId="50" xfId="0" applyNumberFormat="1" applyFont="1" applyFill="1" applyBorder="1" applyAlignment="1">
      <alignment horizontal="center" vertical="center"/>
    </xf>
    <xf numFmtId="191" fontId="115" fillId="27" borderId="64" xfId="0" applyNumberFormat="1" applyFont="1" applyFill="1" applyBorder="1" applyAlignment="1">
      <alignment horizontal="center" vertical="center"/>
    </xf>
    <xf numFmtId="191" fontId="115" fillId="27" borderId="57" xfId="0" applyNumberFormat="1" applyFont="1" applyFill="1" applyBorder="1" applyAlignment="1">
      <alignment horizontal="center" vertical="center"/>
    </xf>
    <xf numFmtId="183" fontId="32" fillId="0" borderId="61" xfId="0" applyNumberFormat="1" applyFont="1" applyBorder="1" applyAlignment="1">
      <alignment horizontal="center" vertical="center"/>
    </xf>
    <xf numFmtId="183" fontId="32" fillId="0" borderId="63" xfId="0" applyNumberFormat="1" applyFont="1" applyBorder="1" applyAlignment="1">
      <alignment horizontal="center" vertical="center"/>
    </xf>
    <xf numFmtId="183" fontId="32" fillId="0" borderId="67" xfId="0" applyNumberFormat="1" applyFont="1" applyBorder="1" applyAlignment="1">
      <alignment horizontal="center" vertical="center"/>
    </xf>
    <xf numFmtId="191" fontId="115" fillId="27" borderId="118" xfId="0" applyNumberFormat="1" applyFont="1" applyFill="1" applyBorder="1" applyAlignment="1">
      <alignment horizontal="center" vertical="center"/>
    </xf>
    <xf numFmtId="183" fontId="36" fillId="50" borderId="83" xfId="0" applyNumberFormat="1" applyFont="1" applyFill="1" applyBorder="1" applyAlignment="1">
      <alignment horizontal="center" vertical="center"/>
    </xf>
    <xf numFmtId="0" fontId="32" fillId="50" borderId="174" xfId="0" applyFont="1" applyFill="1" applyBorder="1" applyAlignment="1">
      <alignment horizontal="center" vertical="center"/>
    </xf>
    <xf numFmtId="0" fontId="32" fillId="50" borderId="224" xfId="0" applyFont="1" applyFill="1" applyBorder="1" applyAlignment="1">
      <alignment horizontal="center" vertical="center"/>
    </xf>
    <xf numFmtId="0" fontId="32" fillId="50" borderId="10" xfId="0" applyFont="1" applyFill="1" applyBorder="1">
      <alignment vertical="center"/>
    </xf>
    <xf numFmtId="0" fontId="32" fillId="50" borderId="148" xfId="0" applyFont="1" applyFill="1" applyBorder="1">
      <alignment vertical="center"/>
    </xf>
    <xf numFmtId="191" fontId="112" fillId="31" borderId="50" xfId="0" applyNumberFormat="1" applyFont="1" applyFill="1" applyBorder="1" applyAlignment="1">
      <alignment horizontal="center" vertical="center"/>
    </xf>
    <xf numFmtId="183" fontId="113" fillId="31" borderId="50" xfId="0" applyNumberFormat="1" applyFont="1" applyFill="1" applyBorder="1" applyAlignment="1">
      <alignment horizontal="center" vertical="center"/>
    </xf>
    <xf numFmtId="183" fontId="113" fillId="31" borderId="82" xfId="0" applyNumberFormat="1" applyFont="1" applyFill="1" applyBorder="1" applyAlignment="1">
      <alignment horizontal="center" vertical="center"/>
    </xf>
    <xf numFmtId="0" fontId="175" fillId="0" borderId="0" xfId="0" applyFont="1">
      <alignment vertical="center"/>
    </xf>
    <xf numFmtId="0" fontId="175" fillId="52" borderId="26" xfId="0" applyFont="1" applyFill="1" applyBorder="1">
      <alignment vertical="center"/>
    </xf>
    <xf numFmtId="0" fontId="175" fillId="52" borderId="50" xfId="0" applyFont="1" applyFill="1" applyBorder="1">
      <alignment vertical="center"/>
    </xf>
    <xf numFmtId="0" fontId="175" fillId="52" borderId="27" xfId="0" applyFont="1" applyFill="1" applyBorder="1">
      <alignment vertical="center"/>
    </xf>
    <xf numFmtId="0" fontId="182" fillId="52" borderId="26" xfId="0" applyFont="1" applyFill="1" applyBorder="1">
      <alignment vertical="center"/>
    </xf>
    <xf numFmtId="49" fontId="175" fillId="0" borderId="10" xfId="0" applyNumberFormat="1" applyFont="1" applyBorder="1" applyAlignment="1">
      <alignment horizontal="center" vertical="center" wrapText="1"/>
    </xf>
    <xf numFmtId="0" fontId="175" fillId="0" borderId="10" xfId="0" applyFont="1" applyBorder="1" applyAlignment="1">
      <alignment horizontal="left" vertical="center" wrapText="1"/>
    </xf>
    <xf numFmtId="0" fontId="175" fillId="0" borderId="51" xfId="0" applyFont="1" applyBorder="1" applyAlignment="1">
      <alignment vertical="center" wrapText="1"/>
    </xf>
    <xf numFmtId="0" fontId="175" fillId="0" borderId="10" xfId="0" applyFont="1" applyBorder="1" applyAlignment="1">
      <alignment vertical="center" wrapText="1"/>
    </xf>
    <xf numFmtId="49" fontId="175" fillId="0" borderId="10" xfId="0" applyNumberFormat="1" applyFont="1" applyBorder="1" applyAlignment="1">
      <alignment horizontal="center" vertical="center" wrapText="1" readingOrder="1"/>
    </xf>
    <xf numFmtId="0" fontId="175" fillId="0" borderId="10" xfId="0" applyFont="1" applyBorder="1" applyAlignment="1">
      <alignment horizontal="left" vertical="center" wrapText="1" readingOrder="1"/>
    </xf>
    <xf numFmtId="0" fontId="175" fillId="0" borderId="10" xfId="0" applyFont="1" applyBorder="1" applyAlignment="1">
      <alignment vertical="center" wrapText="1" readingOrder="1"/>
    </xf>
    <xf numFmtId="0" fontId="183" fillId="0" borderId="10" xfId="0" applyFont="1" applyBorder="1" applyAlignment="1">
      <alignment vertical="center" wrapText="1"/>
    </xf>
    <xf numFmtId="0" fontId="184" fillId="75" borderId="10" xfId="0" applyFont="1" applyFill="1" applyBorder="1" applyAlignment="1">
      <alignment vertical="center" wrapText="1"/>
    </xf>
    <xf numFmtId="0" fontId="185" fillId="52" borderId="10" xfId="0" applyFont="1" applyFill="1" applyBorder="1" applyAlignment="1">
      <alignment horizontal="center" vertical="center" wrapText="1"/>
    </xf>
    <xf numFmtId="0" fontId="182" fillId="0" borderId="26" xfId="49" applyFont="1" applyBorder="1" applyAlignment="1" applyProtection="1">
      <alignment horizontal="left" vertical="center" wrapText="1"/>
      <protection locked="0"/>
    </xf>
    <xf numFmtId="182" fontId="186" fillId="0" borderId="10" xfId="0" applyNumberFormat="1" applyFont="1" applyBorder="1" applyAlignment="1">
      <alignment horizontal="center" vertical="center" shrinkToFit="1"/>
    </xf>
    <xf numFmtId="0" fontId="184" fillId="0" borderId="10" xfId="0" applyFont="1" applyBorder="1" applyAlignment="1">
      <alignment vertical="center" wrapText="1"/>
    </xf>
    <xf numFmtId="0" fontId="184" fillId="76" borderId="10" xfId="0" applyFont="1" applyFill="1" applyBorder="1" applyAlignment="1">
      <alignment vertical="center" wrapText="1"/>
    </xf>
    <xf numFmtId="0" fontId="175" fillId="0" borderId="26" xfId="0" applyFont="1" applyBorder="1" applyAlignment="1" applyProtection="1">
      <alignment horizontal="left" vertical="center" wrapText="1"/>
      <protection locked="0"/>
    </xf>
    <xf numFmtId="0" fontId="175" fillId="58" borderId="10" xfId="0" applyFont="1" applyFill="1" applyBorder="1" applyAlignment="1">
      <alignment vertical="center" wrapText="1"/>
    </xf>
    <xf numFmtId="0" fontId="182" fillId="0" borderId="26" xfId="49" applyFont="1" applyBorder="1" applyAlignment="1">
      <alignment horizontal="left" vertical="center" wrapText="1"/>
    </xf>
    <xf numFmtId="0" fontId="183" fillId="0" borderId="10" xfId="0" applyFont="1" applyBorder="1" applyAlignment="1">
      <alignment vertical="center" wrapText="1" readingOrder="1"/>
    </xf>
    <xf numFmtId="0" fontId="183" fillId="0" borderId="10" xfId="0" applyFont="1" applyBorder="1" applyAlignment="1">
      <alignment horizontal="left" vertical="center" wrapText="1" readingOrder="1"/>
    </xf>
    <xf numFmtId="0" fontId="175" fillId="0" borderId="10" xfId="0" applyFont="1" applyBorder="1" applyAlignment="1">
      <alignment horizontal="center" vertical="center" wrapText="1"/>
    </xf>
    <xf numFmtId="0" fontId="175" fillId="77" borderId="10" xfId="0" applyFont="1" applyFill="1" applyBorder="1" applyAlignment="1">
      <alignment vertical="center" wrapText="1"/>
    </xf>
    <xf numFmtId="0" fontId="183" fillId="0" borderId="10" xfId="0" applyFont="1" applyBorder="1" applyAlignment="1">
      <alignment horizontal="left" vertical="center" wrapText="1"/>
    </xf>
    <xf numFmtId="0" fontId="178" fillId="84" borderId="10" xfId="0" applyFont="1" applyFill="1" applyBorder="1" applyAlignment="1">
      <alignment vertical="top" wrapText="1"/>
    </xf>
    <xf numFmtId="0" fontId="178" fillId="88" borderId="10" xfId="0" applyFont="1" applyFill="1" applyBorder="1" applyAlignment="1">
      <alignment vertical="top" wrapText="1"/>
    </xf>
    <xf numFmtId="0" fontId="178" fillId="90" borderId="10" xfId="0" applyFont="1" applyFill="1" applyBorder="1" applyAlignment="1">
      <alignment vertical="top" wrapText="1"/>
    </xf>
    <xf numFmtId="0" fontId="175" fillId="0" borderId="26" xfId="0" applyFont="1" applyBorder="1" applyAlignment="1">
      <alignment horizontal="left" vertical="center" wrapText="1"/>
    </xf>
    <xf numFmtId="49" fontId="175" fillId="0" borderId="10" xfId="0" applyNumberFormat="1" applyFont="1" applyBorder="1" applyAlignment="1">
      <alignment horizontal="center" vertical="center"/>
    </xf>
    <xf numFmtId="0" fontId="188" fillId="0" borderId="10" xfId="0" applyFont="1" applyBorder="1" applyAlignment="1">
      <alignment horizontal="left" vertical="center" wrapText="1" readingOrder="1"/>
    </xf>
    <xf numFmtId="0" fontId="182" fillId="0" borderId="0" xfId="49" applyFont="1" applyAlignment="1">
      <alignment horizontal="left" vertical="center" wrapText="1"/>
    </xf>
    <xf numFmtId="0" fontId="174" fillId="58" borderId="57" xfId="0" applyFont="1" applyFill="1" applyBorder="1" applyAlignment="1">
      <alignment horizontal="right"/>
    </xf>
    <xf numFmtId="0" fontId="175" fillId="58" borderId="57" xfId="0" applyFont="1" applyFill="1" applyBorder="1" applyAlignment="1">
      <alignment horizontal="left" wrapText="1"/>
    </xf>
    <xf numFmtId="0" fontId="175" fillId="58" borderId="57" xfId="0" applyFont="1" applyFill="1" applyBorder="1" applyAlignment="1">
      <alignment horizontal="left" vertical="center" wrapText="1"/>
    </xf>
    <xf numFmtId="0" fontId="189" fillId="58" borderId="57" xfId="0" applyFont="1" applyFill="1" applyBorder="1" applyAlignment="1">
      <alignment horizontal="center" vertical="center" wrapText="1"/>
    </xf>
    <xf numFmtId="0" fontId="176" fillId="58" borderId="0" xfId="0" applyFont="1" applyFill="1">
      <alignment vertical="center"/>
    </xf>
    <xf numFmtId="0" fontId="175" fillId="58" borderId="0" xfId="0" applyFont="1" applyFill="1">
      <alignment vertical="center"/>
    </xf>
    <xf numFmtId="0" fontId="175" fillId="58" borderId="0" xfId="0" applyFont="1" applyFill="1" applyAlignment="1">
      <alignment horizontal="right" vertical="center"/>
    </xf>
    <xf numFmtId="0" fontId="175" fillId="0" borderId="0" xfId="0" applyFont="1" applyAlignment="1">
      <alignment horizontal="center" vertical="center"/>
    </xf>
    <xf numFmtId="199" fontId="190" fillId="0" borderId="0" xfId="0" applyNumberFormat="1" applyFont="1" applyAlignment="1">
      <alignment horizontal="center" vertical="center" wrapText="1"/>
    </xf>
    <xf numFmtId="182" fontId="175" fillId="0" borderId="0" xfId="0" applyNumberFormat="1" applyFont="1" applyAlignment="1">
      <alignment horizontal="center" vertical="center" wrapText="1"/>
    </xf>
    <xf numFmtId="0" fontId="175" fillId="0" borderId="0" xfId="0" applyFont="1" applyAlignment="1">
      <alignment horizontal="center" vertical="center" wrapText="1"/>
    </xf>
    <xf numFmtId="0" fontId="175" fillId="0" borderId="17" xfId="0" applyFont="1" applyBorder="1">
      <alignment vertical="center"/>
    </xf>
    <xf numFmtId="179" fontId="177" fillId="0" borderId="0" xfId="0" applyNumberFormat="1" applyFont="1" applyAlignment="1">
      <alignment horizontal="center" vertical="center" wrapText="1"/>
    </xf>
    <xf numFmtId="0" fontId="191" fillId="71" borderId="10" xfId="0" applyFont="1" applyFill="1" applyBorder="1" applyAlignment="1">
      <alignment horizontal="center" vertical="center" wrapText="1"/>
    </xf>
    <xf numFmtId="179" fontId="177" fillId="71" borderId="51" xfId="0" applyNumberFormat="1" applyFont="1" applyFill="1" applyBorder="1" applyAlignment="1">
      <alignment horizontal="center" vertical="center" wrapText="1"/>
    </xf>
    <xf numFmtId="213" fontId="175" fillId="0" borderId="10" xfId="0" applyNumberFormat="1" applyFont="1" applyBorder="1">
      <alignment vertical="center"/>
    </xf>
    <xf numFmtId="179" fontId="177" fillId="0" borderId="64" xfId="0" applyNumberFormat="1" applyFont="1" applyBorder="1" applyAlignment="1">
      <alignment horizontal="center" vertical="center" wrapText="1"/>
    </xf>
    <xf numFmtId="0" fontId="177" fillId="52" borderId="51" xfId="0" applyFont="1" applyFill="1" applyBorder="1">
      <alignment vertical="center"/>
    </xf>
    <xf numFmtId="0" fontId="177" fillId="52" borderId="52" xfId="0" applyFont="1" applyFill="1" applyBorder="1">
      <alignment vertical="center"/>
    </xf>
    <xf numFmtId="0" fontId="177" fillId="52" borderId="53" xfId="0" applyFont="1" applyFill="1" applyBorder="1">
      <alignment vertical="center"/>
    </xf>
    <xf numFmtId="0" fontId="177" fillId="52" borderId="54" xfId="0" applyFont="1" applyFill="1" applyBorder="1">
      <alignment vertical="center"/>
    </xf>
    <xf numFmtId="0" fontId="177" fillId="0" borderId="0" xfId="0" applyFont="1" applyAlignment="1">
      <alignment horizontal="center" vertical="center" wrapText="1"/>
    </xf>
    <xf numFmtId="182" fontId="177" fillId="52" borderId="52" xfId="0" applyNumberFormat="1" applyFont="1" applyFill="1" applyBorder="1">
      <alignment vertical="center"/>
    </xf>
    <xf numFmtId="0" fontId="177" fillId="52" borderId="53" xfId="0" applyFont="1" applyFill="1" applyBorder="1" applyAlignment="1">
      <alignment horizontal="center" vertical="center"/>
    </xf>
    <xf numFmtId="0" fontId="175" fillId="75" borderId="10" xfId="0" applyFont="1" applyFill="1" applyBorder="1">
      <alignment vertical="center"/>
    </xf>
    <xf numFmtId="179" fontId="175" fillId="0" borderId="228" xfId="0" applyNumberFormat="1" applyFont="1" applyBorder="1" applyAlignment="1">
      <alignment horizontal="center" vertical="center" wrapText="1"/>
    </xf>
    <xf numFmtId="199" fontId="175" fillId="0" borderId="10" xfId="0" applyNumberFormat="1" applyFont="1" applyBorder="1">
      <alignment vertical="center"/>
    </xf>
    <xf numFmtId="179" fontId="175" fillId="0" borderId="10" xfId="0" applyNumberFormat="1" applyFont="1" applyBorder="1" applyAlignment="1">
      <alignment horizontal="center" vertical="center" wrapText="1"/>
    </xf>
    <xf numFmtId="182" fontId="175" fillId="0" borderId="10" xfId="0" applyNumberFormat="1" applyFont="1" applyBorder="1" applyAlignment="1">
      <alignment horizontal="center" vertical="center" wrapText="1"/>
    </xf>
    <xf numFmtId="179" fontId="175" fillId="0" borderId="0" xfId="0" applyNumberFormat="1" applyFont="1" applyAlignment="1">
      <alignment horizontal="center" vertical="center" wrapText="1"/>
    </xf>
    <xf numFmtId="0" fontId="175" fillId="0" borderId="50" xfId="0" applyFont="1" applyBorder="1" applyAlignment="1" applyProtection="1">
      <alignment horizontal="center" vertical="center" wrapText="1"/>
      <protection locked="0"/>
    </xf>
    <xf numFmtId="0" fontId="175" fillId="58" borderId="51" xfId="0" applyFont="1" applyFill="1" applyBorder="1" applyAlignment="1">
      <alignment horizontal="center" vertical="center" wrapText="1"/>
    </xf>
    <xf numFmtId="179" fontId="182" fillId="58" borderId="51" xfId="0" applyNumberFormat="1" applyFont="1" applyFill="1" applyBorder="1" applyAlignment="1">
      <alignment horizontal="center" vertical="center" wrapText="1"/>
    </xf>
    <xf numFmtId="179" fontId="182" fillId="58" borderId="15" xfId="0" applyNumberFormat="1" applyFont="1" applyFill="1" applyBorder="1" applyAlignment="1">
      <alignment horizontal="center" vertical="center"/>
    </xf>
    <xf numFmtId="182" fontId="175" fillId="0" borderId="51" xfId="0" applyNumberFormat="1" applyFont="1" applyBorder="1" applyAlignment="1">
      <alignment horizontal="center" vertical="center" wrapText="1"/>
    </xf>
    <xf numFmtId="0" fontId="175" fillId="58" borderId="54" xfId="0" applyFont="1" applyFill="1" applyBorder="1" applyAlignment="1" applyProtection="1">
      <alignment horizontal="center" vertical="center" wrapText="1"/>
      <protection locked="0"/>
    </xf>
    <xf numFmtId="0" fontId="175" fillId="58" borderId="55" xfId="0" applyFont="1" applyFill="1" applyBorder="1" applyAlignment="1">
      <alignment horizontal="center" vertical="center" wrapText="1"/>
    </xf>
    <xf numFmtId="0" fontId="175" fillId="58" borderId="58" xfId="0" applyFont="1" applyFill="1" applyBorder="1" applyAlignment="1" applyProtection="1">
      <alignment vertical="center" wrapText="1"/>
      <protection locked="0"/>
    </xf>
    <xf numFmtId="179" fontId="182" fillId="58" borderId="55" xfId="0" applyNumberFormat="1" applyFont="1" applyFill="1" applyBorder="1" applyAlignment="1">
      <alignment horizontal="center" vertical="center"/>
    </xf>
    <xf numFmtId="0" fontId="175" fillId="58" borderId="50" xfId="0" applyFont="1" applyFill="1" applyBorder="1" applyAlignment="1" applyProtection="1">
      <alignment horizontal="center" vertical="center" wrapText="1"/>
      <protection locked="0"/>
    </xf>
    <xf numFmtId="179" fontId="182" fillId="58" borderId="15" xfId="0" applyNumberFormat="1" applyFont="1" applyFill="1" applyBorder="1" applyAlignment="1">
      <alignment horizontal="center" vertical="center" wrapText="1"/>
    </xf>
    <xf numFmtId="199" fontId="175" fillId="0" borderId="228" xfId="0" applyNumberFormat="1" applyFont="1" applyBorder="1">
      <alignment vertical="center"/>
    </xf>
    <xf numFmtId="199" fontId="175" fillId="0" borderId="0" xfId="0" applyNumberFormat="1" applyFont="1">
      <alignment vertical="center"/>
    </xf>
    <xf numFmtId="179" fontId="182" fillId="0" borderId="55" xfId="0" applyNumberFormat="1" applyFont="1" applyBorder="1" applyAlignment="1">
      <alignment horizontal="center" vertical="center" wrapText="1"/>
    </xf>
    <xf numFmtId="0" fontId="175" fillId="58" borderId="27" xfId="0" applyFont="1" applyFill="1" applyBorder="1" applyAlignment="1" applyProtection="1">
      <alignment horizontal="center" vertical="center" wrapText="1"/>
      <protection locked="0"/>
    </xf>
    <xf numFmtId="199" fontId="175" fillId="0" borderId="10" xfId="0" applyNumberFormat="1" applyFont="1" applyBorder="1" applyProtection="1">
      <alignment vertical="center"/>
      <protection locked="0"/>
    </xf>
    <xf numFmtId="199" fontId="175" fillId="0" borderId="229" xfId="0" applyNumberFormat="1" applyFont="1" applyBorder="1">
      <alignment vertical="center"/>
    </xf>
    <xf numFmtId="179" fontId="182" fillId="0" borderId="10" xfId="0" applyNumberFormat="1" applyFont="1" applyBorder="1" applyAlignment="1">
      <alignment horizontal="center" vertical="center" wrapText="1"/>
    </xf>
    <xf numFmtId="0" fontId="175" fillId="0" borderId="51" xfId="0" applyFont="1" applyBorder="1" applyAlignment="1">
      <alignment horizontal="center" vertical="center" wrapText="1"/>
    </xf>
    <xf numFmtId="179" fontId="182" fillId="0" borderId="51" xfId="0" applyNumberFormat="1" applyFont="1" applyBorder="1" applyAlignment="1">
      <alignment horizontal="center" vertical="center" wrapText="1"/>
    </xf>
    <xf numFmtId="199" fontId="175" fillId="0" borderId="52" xfId="0" applyNumberFormat="1" applyFont="1" applyBorder="1">
      <alignment vertical="center"/>
    </xf>
    <xf numFmtId="199" fontId="175" fillId="0" borderId="51" xfId="0" applyNumberFormat="1" applyFont="1" applyBorder="1">
      <alignment vertical="center"/>
    </xf>
    <xf numFmtId="179" fontId="175" fillId="0" borderId="51" xfId="0" applyNumberFormat="1" applyFont="1" applyBorder="1" applyAlignment="1">
      <alignment horizontal="center" vertical="center" wrapText="1"/>
    </xf>
    <xf numFmtId="182" fontId="175" fillId="0" borderId="26" xfId="0" applyNumberFormat="1" applyFont="1" applyBorder="1" applyAlignment="1">
      <alignment horizontal="center" vertical="center" wrapText="1"/>
    </xf>
    <xf numFmtId="2" fontId="175" fillId="58" borderId="51" xfId="0" applyNumberFormat="1" applyFont="1" applyFill="1" applyBorder="1" applyAlignment="1">
      <alignment horizontal="center" vertical="center" wrapText="1"/>
    </xf>
    <xf numFmtId="0" fontId="175" fillId="58" borderId="51" xfId="0" applyFont="1" applyFill="1" applyBorder="1" applyAlignment="1" applyProtection="1">
      <alignment vertical="center" wrapText="1"/>
      <protection locked="0"/>
    </xf>
    <xf numFmtId="179" fontId="182" fillId="58" borderId="54" xfId="0" applyNumberFormat="1" applyFont="1" applyFill="1" applyBorder="1" applyAlignment="1">
      <alignment horizontal="center" vertical="center" wrapText="1"/>
    </xf>
    <xf numFmtId="0" fontId="175" fillId="58" borderId="15" xfId="0" applyFont="1" applyFill="1" applyBorder="1" applyAlignment="1">
      <alignment horizontal="center" vertical="center" wrapText="1"/>
    </xf>
    <xf numFmtId="0" fontId="175" fillId="58" borderId="15" xfId="0" applyFont="1" applyFill="1" applyBorder="1" applyAlignment="1" applyProtection="1">
      <alignment vertical="center" wrapText="1"/>
      <protection locked="0"/>
    </xf>
    <xf numFmtId="179" fontId="182" fillId="58" borderId="17" xfId="0" applyNumberFormat="1" applyFont="1" applyFill="1" applyBorder="1" applyAlignment="1">
      <alignment horizontal="center" vertical="center" wrapText="1"/>
    </xf>
    <xf numFmtId="0" fontId="175" fillId="58" borderId="55" xfId="0" applyFont="1" applyFill="1" applyBorder="1" applyAlignment="1" applyProtection="1">
      <alignment vertical="center" wrapText="1"/>
      <protection locked="0"/>
    </xf>
    <xf numFmtId="199" fontId="175" fillId="0" borderId="55" xfId="0" applyNumberFormat="1" applyFont="1" applyBorder="1">
      <alignment vertical="center"/>
    </xf>
    <xf numFmtId="0" fontId="175" fillId="0" borderId="55" xfId="0" applyFont="1" applyBorder="1" applyAlignment="1">
      <alignment horizontal="center" vertical="center" wrapText="1"/>
    </xf>
    <xf numFmtId="0" fontId="175" fillId="58" borderId="57" xfId="0" applyFont="1" applyFill="1" applyBorder="1" applyAlignment="1" applyProtection="1">
      <alignment horizontal="center" vertical="center" wrapText="1"/>
      <protection locked="0"/>
    </xf>
    <xf numFmtId="179" fontId="182" fillId="58" borderId="55" xfId="0" applyNumberFormat="1" applyFont="1" applyFill="1" applyBorder="1" applyAlignment="1">
      <alignment horizontal="center" vertical="center" wrapText="1"/>
    </xf>
    <xf numFmtId="179" fontId="175" fillId="58" borderId="15" xfId="0" applyNumberFormat="1" applyFont="1" applyFill="1" applyBorder="1" applyAlignment="1">
      <alignment horizontal="center" vertical="center" wrapText="1"/>
    </xf>
    <xf numFmtId="179" fontId="175" fillId="58" borderId="51" xfId="0" applyNumberFormat="1" applyFont="1" applyFill="1" applyBorder="1" applyAlignment="1">
      <alignment horizontal="center" vertical="center" wrapText="1"/>
    </xf>
    <xf numFmtId="179" fontId="175" fillId="58" borderId="55" xfId="0" applyNumberFormat="1" applyFont="1" applyFill="1" applyBorder="1" applyAlignment="1">
      <alignment horizontal="center" vertical="center" wrapText="1"/>
    </xf>
    <xf numFmtId="179" fontId="175" fillId="0" borderId="55" xfId="0" applyNumberFormat="1" applyFont="1" applyBorder="1" applyAlignment="1">
      <alignment horizontal="center" vertical="center" wrapText="1"/>
    </xf>
    <xf numFmtId="179" fontId="175" fillId="58" borderId="10" xfId="0" applyNumberFormat="1" applyFont="1" applyFill="1" applyBorder="1" applyAlignment="1">
      <alignment horizontal="center" vertical="center" wrapText="1"/>
    </xf>
    <xf numFmtId="199" fontId="175" fillId="0" borderId="10" xfId="0" applyNumberFormat="1" applyFont="1" applyBorder="1" applyAlignment="1">
      <alignment vertical="center" wrapText="1"/>
    </xf>
    <xf numFmtId="199" fontId="175" fillId="58" borderId="15" xfId="0" applyNumberFormat="1" applyFont="1" applyFill="1" applyBorder="1">
      <alignment vertical="center"/>
    </xf>
    <xf numFmtId="199" fontId="175" fillId="58" borderId="55" xfId="0" applyNumberFormat="1" applyFont="1" applyFill="1" applyBorder="1">
      <alignment vertical="center"/>
    </xf>
    <xf numFmtId="182" fontId="175" fillId="92" borderId="54" xfId="0" applyNumberFormat="1" applyFont="1" applyFill="1" applyBorder="1">
      <alignment vertical="center"/>
    </xf>
    <xf numFmtId="49" fontId="175" fillId="92" borderId="51" xfId="0" applyNumberFormat="1" applyFont="1" applyFill="1" applyBorder="1">
      <alignment vertical="center"/>
    </xf>
    <xf numFmtId="49" fontId="175" fillId="92" borderId="52" xfId="0" applyNumberFormat="1" applyFont="1" applyFill="1" applyBorder="1">
      <alignment vertical="center"/>
    </xf>
    <xf numFmtId="49" fontId="175" fillId="92" borderId="53" xfId="0" applyNumberFormat="1" applyFont="1" applyFill="1" applyBorder="1">
      <alignment vertical="center"/>
    </xf>
    <xf numFmtId="49" fontId="175" fillId="0" borderId="0" xfId="0" applyNumberFormat="1" applyFont="1" applyAlignment="1">
      <alignment horizontal="center" vertical="center" wrapText="1"/>
    </xf>
    <xf numFmtId="182" fontId="175" fillId="92" borderId="52" xfId="0" applyNumberFormat="1" applyFont="1" applyFill="1" applyBorder="1">
      <alignment vertical="center"/>
    </xf>
    <xf numFmtId="49" fontId="175" fillId="92" borderId="54" xfId="0" applyNumberFormat="1" applyFont="1" applyFill="1" applyBorder="1">
      <alignment vertical="center"/>
    </xf>
    <xf numFmtId="2" fontId="175" fillId="0" borderId="51" xfId="0" applyNumberFormat="1" applyFont="1" applyBorder="1" applyAlignment="1">
      <alignment horizontal="center" vertical="center" wrapText="1"/>
    </xf>
    <xf numFmtId="179" fontId="175" fillId="58" borderId="54" xfId="0" applyNumberFormat="1" applyFont="1" applyFill="1" applyBorder="1" applyAlignment="1">
      <alignment horizontal="center" vertical="center" wrapText="1"/>
    </xf>
    <xf numFmtId="0" fontId="175" fillId="0" borderId="15" xfId="0" applyFont="1" applyBorder="1" applyAlignment="1">
      <alignment horizontal="center" vertical="center" wrapText="1"/>
    </xf>
    <xf numFmtId="179" fontId="175" fillId="58" borderId="17" xfId="0" applyNumberFormat="1" applyFont="1" applyFill="1" applyBorder="1" applyAlignment="1">
      <alignment horizontal="center" vertical="center" wrapText="1"/>
    </xf>
    <xf numFmtId="0" fontId="175" fillId="58" borderId="58" xfId="0" applyFont="1" applyFill="1" applyBorder="1" applyAlignment="1" applyProtection="1">
      <alignment horizontal="center" vertical="center" wrapText="1"/>
      <protection locked="0"/>
    </xf>
    <xf numFmtId="0" fontId="175" fillId="58" borderId="51" xfId="0" applyFont="1" applyFill="1" applyBorder="1" applyAlignment="1" applyProtection="1">
      <alignment horizontal="center" vertical="center" wrapText="1"/>
      <protection locked="0"/>
    </xf>
    <xf numFmtId="0" fontId="175" fillId="58" borderId="15" xfId="0" applyFont="1" applyFill="1" applyBorder="1" applyAlignment="1" applyProtection="1">
      <alignment horizontal="center" vertical="center" wrapText="1"/>
      <protection locked="0"/>
    </xf>
    <xf numFmtId="0" fontId="175" fillId="58" borderId="55" xfId="0" applyFont="1" applyFill="1" applyBorder="1" applyAlignment="1" applyProtection="1">
      <alignment horizontal="center" vertical="center" wrapText="1"/>
      <protection locked="0"/>
    </xf>
    <xf numFmtId="0" fontId="175" fillId="0" borderId="57" xfId="0" applyFont="1" applyBorder="1" applyAlignment="1" applyProtection="1">
      <alignment horizontal="center" vertical="center" wrapText="1"/>
      <protection locked="0"/>
    </xf>
    <xf numFmtId="0" fontId="175" fillId="0" borderId="27" xfId="0" applyFont="1" applyBorder="1" applyAlignment="1" applyProtection="1">
      <alignment horizontal="center" vertical="center" wrapText="1"/>
      <protection locked="0"/>
    </xf>
    <xf numFmtId="0" fontId="175" fillId="0" borderId="53" xfId="0" applyFont="1" applyBorder="1" applyAlignment="1" applyProtection="1">
      <alignment horizontal="center" vertical="center" wrapText="1"/>
      <protection locked="0"/>
    </xf>
    <xf numFmtId="0" fontId="175" fillId="0" borderId="10" xfId="0" applyFont="1" applyBorder="1" applyAlignment="1" applyProtection="1">
      <alignment horizontal="center" vertical="center" wrapText="1"/>
      <protection locked="0"/>
    </xf>
    <xf numFmtId="0" fontId="175" fillId="0" borderId="10" xfId="0" applyFont="1" applyBorder="1" applyProtection="1">
      <alignment vertical="center"/>
      <protection locked="0"/>
    </xf>
    <xf numFmtId="182" fontId="175" fillId="0" borderId="55" xfId="0" applyNumberFormat="1" applyFont="1" applyBorder="1" applyAlignment="1">
      <alignment horizontal="center" vertical="center" wrapText="1"/>
    </xf>
    <xf numFmtId="0" fontId="175" fillId="58" borderId="10" xfId="0" applyFont="1" applyFill="1" applyBorder="1" applyAlignment="1">
      <alignment horizontal="center" vertical="center" wrapText="1"/>
    </xf>
    <xf numFmtId="0" fontId="175" fillId="0" borderId="54" xfId="0" applyFont="1" applyBorder="1" applyAlignment="1" applyProtection="1">
      <alignment horizontal="center" vertical="center" wrapText="1"/>
      <protection locked="0"/>
    </xf>
    <xf numFmtId="0" fontId="175" fillId="0" borderId="0" xfId="0" applyFont="1" applyAlignment="1">
      <alignment horizontal="left" vertical="center" wrapText="1"/>
    </xf>
    <xf numFmtId="0" fontId="175" fillId="0" borderId="53" xfId="0" applyFont="1" applyBorder="1">
      <alignment vertical="center"/>
    </xf>
    <xf numFmtId="182" fontId="175" fillId="0" borderId="53" xfId="0" applyNumberFormat="1" applyFont="1" applyBorder="1" applyAlignment="1">
      <alignment horizontal="center" vertical="center" wrapText="1"/>
    </xf>
    <xf numFmtId="0" fontId="175" fillId="0" borderId="53" xfId="0" applyFont="1" applyBorder="1" applyAlignment="1">
      <alignment horizontal="center" vertical="center" wrapText="1"/>
    </xf>
    <xf numFmtId="0" fontId="175" fillId="0" borderId="10" xfId="0" applyFont="1" applyBorder="1" applyAlignment="1">
      <alignment horizontal="right" vertical="center"/>
    </xf>
    <xf numFmtId="182" fontId="177" fillId="93" borderId="10" xfId="0" applyNumberFormat="1" applyFont="1" applyFill="1" applyBorder="1" applyAlignment="1">
      <alignment horizontal="center" vertical="center" wrapText="1"/>
    </xf>
    <xf numFmtId="179" fontId="177" fillId="93" borderId="10" xfId="0" applyNumberFormat="1" applyFont="1" applyFill="1" applyBorder="1" applyAlignment="1">
      <alignment horizontal="center" vertical="center" wrapText="1"/>
    </xf>
    <xf numFmtId="2" fontId="175" fillId="0" borderId="10" xfId="0" applyNumberFormat="1" applyFont="1" applyBorder="1" applyAlignment="1">
      <alignment horizontal="center" vertical="center"/>
    </xf>
    <xf numFmtId="2" fontId="175" fillId="0" borderId="10" xfId="0" applyNumberFormat="1" applyFont="1" applyBorder="1">
      <alignment vertical="center"/>
    </xf>
    <xf numFmtId="182" fontId="175" fillId="0" borderId="0" xfId="0" applyNumberFormat="1" applyFont="1">
      <alignment vertical="center"/>
    </xf>
    <xf numFmtId="179" fontId="177" fillId="0" borderId="0" xfId="0" applyNumberFormat="1" applyFont="1" applyAlignment="1">
      <alignment horizontal="center" vertical="center"/>
    </xf>
    <xf numFmtId="182" fontId="177" fillId="93" borderId="10" xfId="0" applyNumberFormat="1" applyFont="1" applyFill="1" applyBorder="1" applyAlignment="1">
      <alignment horizontal="center" vertical="center"/>
    </xf>
    <xf numFmtId="179" fontId="177" fillId="93" borderId="10" xfId="0" applyNumberFormat="1" applyFont="1" applyFill="1" applyBorder="1" applyAlignment="1">
      <alignment horizontal="center" vertical="center"/>
    </xf>
    <xf numFmtId="199" fontId="192" fillId="71" borderId="10" xfId="0" applyNumberFormat="1" applyFont="1" applyFill="1" applyBorder="1" applyAlignment="1">
      <alignment horizontal="center" vertical="center"/>
    </xf>
    <xf numFmtId="179" fontId="192" fillId="71" borderId="10" xfId="0" applyNumberFormat="1" applyFont="1" applyFill="1" applyBorder="1" applyAlignment="1">
      <alignment horizontal="center" vertical="center" wrapText="1"/>
    </xf>
    <xf numFmtId="0" fontId="175" fillId="52" borderId="50" xfId="0" applyFont="1" applyFill="1" applyBorder="1" applyAlignment="1">
      <alignment vertical="center" wrapText="1"/>
    </xf>
    <xf numFmtId="49" fontId="175" fillId="52" borderId="50" xfId="0" applyNumberFormat="1" applyFont="1" applyFill="1" applyBorder="1">
      <alignment vertical="center"/>
    </xf>
    <xf numFmtId="49" fontId="183" fillId="52" borderId="50" xfId="0" applyNumberFormat="1" applyFont="1" applyFill="1" applyBorder="1">
      <alignment vertical="center"/>
    </xf>
    <xf numFmtId="49" fontId="184" fillId="52" borderId="50" xfId="0" applyNumberFormat="1" applyFont="1" applyFill="1" applyBorder="1">
      <alignment vertical="center"/>
    </xf>
    <xf numFmtId="49" fontId="175" fillId="52" borderId="50" xfId="0" applyNumberFormat="1" applyFont="1" applyFill="1" applyBorder="1" applyAlignment="1">
      <alignment horizontal="left" vertical="center" wrapText="1"/>
    </xf>
    <xf numFmtId="182" fontId="186" fillId="52" borderId="27" xfId="0" applyNumberFormat="1" applyFont="1" applyFill="1" applyBorder="1" applyAlignment="1">
      <alignment horizontal="center" vertical="center" shrinkToFit="1"/>
    </xf>
    <xf numFmtId="0" fontId="175" fillId="52" borderId="50" xfId="0" applyFont="1" applyFill="1" applyBorder="1" applyAlignment="1">
      <alignment vertical="center" readingOrder="1"/>
    </xf>
    <xf numFmtId="0" fontId="183" fillId="52" borderId="50" xfId="0" applyFont="1" applyFill="1" applyBorder="1" applyAlignment="1">
      <alignment vertical="center" readingOrder="1"/>
    </xf>
    <xf numFmtId="0" fontId="184" fillId="52" borderId="50" xfId="0" applyFont="1" applyFill="1" applyBorder="1">
      <alignment vertical="center"/>
    </xf>
    <xf numFmtId="0" fontId="175" fillId="52" borderId="50" xfId="0" applyFont="1" applyFill="1" applyBorder="1" applyAlignment="1">
      <alignment horizontal="left" vertical="center" wrapText="1"/>
    </xf>
    <xf numFmtId="0" fontId="175" fillId="52" borderId="50" xfId="0" applyFont="1" applyFill="1" applyBorder="1" applyAlignment="1">
      <alignment horizontal="left" vertical="center"/>
    </xf>
    <xf numFmtId="49" fontId="175" fillId="52" borderId="53" xfId="0" applyNumberFormat="1" applyFont="1" applyFill="1" applyBorder="1">
      <alignment vertical="center"/>
    </xf>
    <xf numFmtId="49" fontId="175" fillId="52" borderId="54" xfId="0" applyNumberFormat="1" applyFont="1" applyFill="1" applyBorder="1">
      <alignment vertical="center"/>
    </xf>
    <xf numFmtId="182" fontId="175" fillId="52" borderId="52" xfId="0" applyNumberFormat="1" applyFont="1" applyFill="1" applyBorder="1">
      <alignment vertical="center"/>
    </xf>
    <xf numFmtId="49" fontId="175" fillId="52" borderId="26" xfId="0" applyNumberFormat="1" applyFont="1" applyFill="1" applyBorder="1">
      <alignment vertical="center"/>
    </xf>
    <xf numFmtId="49" fontId="175" fillId="52" borderId="27" xfId="0" applyNumberFormat="1" applyFont="1" applyFill="1" applyBorder="1">
      <alignment vertical="center"/>
    </xf>
    <xf numFmtId="49" fontId="175" fillId="52" borderId="10" xfId="0" applyNumberFormat="1" applyFont="1" applyFill="1" applyBorder="1">
      <alignment vertical="center"/>
    </xf>
    <xf numFmtId="0" fontId="175" fillId="52" borderId="51" xfId="0" applyFont="1" applyFill="1" applyBorder="1">
      <alignment vertical="center"/>
    </xf>
    <xf numFmtId="0" fontId="175" fillId="52" borderId="52" xfId="0" applyFont="1" applyFill="1" applyBorder="1">
      <alignment vertical="center"/>
    </xf>
    <xf numFmtId="0" fontId="175" fillId="52" borderId="53" xfId="0" applyFont="1" applyFill="1" applyBorder="1">
      <alignment vertical="center"/>
    </xf>
    <xf numFmtId="0" fontId="175" fillId="52" borderId="54" xfId="0" applyFont="1" applyFill="1" applyBorder="1">
      <alignment vertical="center"/>
    </xf>
    <xf numFmtId="0" fontId="175" fillId="52" borderId="53" xfId="0" applyFont="1" applyFill="1" applyBorder="1" applyAlignment="1">
      <alignment horizontal="center" vertical="center"/>
    </xf>
    <xf numFmtId="0" fontId="44" fillId="49" borderId="10" xfId="0" applyFont="1" applyFill="1" applyBorder="1" applyAlignment="1" applyProtection="1">
      <alignment horizontal="center" vertical="center"/>
      <protection hidden="1"/>
    </xf>
    <xf numFmtId="0" fontId="195" fillId="49" borderId="10" xfId="0" applyFont="1" applyFill="1" applyBorder="1" applyAlignment="1" applyProtection="1">
      <alignment horizontal="center" vertical="center"/>
      <protection hidden="1"/>
    </xf>
    <xf numFmtId="199" fontId="44" fillId="49" borderId="10" xfId="0" applyNumberFormat="1" applyFont="1" applyFill="1" applyBorder="1" applyAlignment="1" applyProtection="1">
      <alignment horizontal="center" vertical="center"/>
      <protection hidden="1"/>
    </xf>
    <xf numFmtId="0" fontId="51" fillId="0" borderId="193" xfId="0" applyFont="1" applyBorder="1" applyProtection="1">
      <alignment vertical="center"/>
      <protection hidden="1"/>
    </xf>
    <xf numFmtId="0" fontId="51" fillId="0" borderId="177" xfId="0" applyFont="1" applyBorder="1" applyProtection="1">
      <alignment vertical="center"/>
      <protection hidden="1"/>
    </xf>
    <xf numFmtId="0" fontId="62" fillId="0" borderId="177" xfId="0" applyFont="1" applyBorder="1" applyProtection="1">
      <alignment vertical="center"/>
      <protection hidden="1"/>
    </xf>
    <xf numFmtId="0" fontId="51" fillId="0" borderId="233" xfId="0" applyFont="1" applyBorder="1" applyProtection="1">
      <alignment vertical="center"/>
      <protection hidden="1"/>
    </xf>
    <xf numFmtId="0" fontId="62" fillId="0" borderId="65" xfId="0" applyFont="1" applyBorder="1" applyProtection="1">
      <alignment vertical="center"/>
      <protection hidden="1"/>
    </xf>
    <xf numFmtId="178" fontId="51" fillId="49" borderId="10" xfId="0" applyNumberFormat="1" applyFont="1" applyFill="1" applyBorder="1" applyAlignment="1" applyProtection="1">
      <alignment horizontal="right" vertical="center"/>
      <protection hidden="1"/>
    </xf>
    <xf numFmtId="178" fontId="51" fillId="49" borderId="10" xfId="0" applyNumberFormat="1" applyFont="1" applyFill="1" applyBorder="1" applyProtection="1">
      <alignment vertical="center"/>
      <protection hidden="1"/>
    </xf>
    <xf numFmtId="0" fontId="175" fillId="58" borderId="10" xfId="0" applyFont="1" applyFill="1" applyBorder="1" applyAlignment="1">
      <alignment horizontal="left" vertical="center" wrapText="1"/>
    </xf>
    <xf numFmtId="0" fontId="175" fillId="58" borderId="51" xfId="0" applyFont="1" applyFill="1" applyBorder="1" applyAlignment="1">
      <alignment horizontal="left" vertical="center" wrapText="1"/>
    </xf>
    <xf numFmtId="0" fontId="175" fillId="58" borderId="15" xfId="0" applyFont="1" applyFill="1" applyBorder="1" applyAlignment="1">
      <alignment horizontal="left" vertical="center" wrapText="1"/>
    </xf>
    <xf numFmtId="0" fontId="175" fillId="58" borderId="55" xfId="0" applyFont="1" applyFill="1" applyBorder="1" applyAlignment="1">
      <alignment horizontal="left" vertical="center" wrapText="1"/>
    </xf>
    <xf numFmtId="0" fontId="196" fillId="0" borderId="10" xfId="0" applyFont="1" applyBorder="1" applyAlignment="1">
      <alignment vertical="center" wrapText="1"/>
    </xf>
    <xf numFmtId="0" fontId="194" fillId="57" borderId="144" xfId="50" applyFont="1" applyFill="1" applyBorder="1" applyProtection="1">
      <alignment vertical="center"/>
      <protection locked="0"/>
    </xf>
    <xf numFmtId="40" fontId="44" fillId="27" borderId="0" xfId="35" applyNumberFormat="1" applyFont="1" applyFill="1" applyBorder="1" applyAlignment="1" applyProtection="1">
      <alignment horizontal="right" vertical="center"/>
    </xf>
    <xf numFmtId="49" fontId="175" fillId="0" borderId="51" xfId="0" applyNumberFormat="1" applyFont="1" applyBorder="1" applyAlignment="1">
      <alignment horizontal="center" vertical="center" wrapText="1" readingOrder="1"/>
    </xf>
    <xf numFmtId="0" fontId="175" fillId="0" borderId="51" xfId="0" applyFont="1" applyBorder="1" applyAlignment="1">
      <alignment vertical="center" wrapText="1" readingOrder="1"/>
    </xf>
    <xf numFmtId="0" fontId="175" fillId="58" borderId="52" xfId="0" applyFont="1" applyFill="1" applyBorder="1" applyAlignment="1">
      <alignment horizontal="center" vertical="center" wrapText="1"/>
    </xf>
    <xf numFmtId="49" fontId="175" fillId="0" borderId="26" xfId="0" applyNumberFormat="1" applyFont="1" applyBorder="1" applyAlignment="1">
      <alignment horizontal="center" vertical="center" wrapText="1"/>
    </xf>
    <xf numFmtId="0" fontId="183" fillId="0" borderId="51" xfId="0" applyFont="1" applyBorder="1" applyAlignment="1">
      <alignment vertical="center" wrapText="1"/>
    </xf>
    <xf numFmtId="0" fontId="175" fillId="0" borderId="10" xfId="0" applyFont="1" applyBorder="1">
      <alignment vertical="center"/>
    </xf>
    <xf numFmtId="0" fontId="175" fillId="0" borderId="51" xfId="0" applyFont="1" applyBorder="1" applyAlignment="1">
      <alignment horizontal="left" vertical="center" wrapText="1"/>
    </xf>
    <xf numFmtId="0" fontId="182" fillId="0" borderId="10" xfId="49" applyFont="1" applyBorder="1" applyAlignment="1">
      <alignment horizontal="left" vertical="center" wrapText="1"/>
    </xf>
    <xf numFmtId="0" fontId="175" fillId="0" borderId="51" xfId="0" applyFont="1" applyBorder="1" applyAlignment="1">
      <alignment horizontal="left" vertical="center" wrapText="1" readingOrder="1"/>
    </xf>
    <xf numFmtId="0" fontId="183" fillId="0" borderId="10" xfId="0" applyFont="1" applyBorder="1" applyAlignment="1">
      <alignment horizontal="center" vertical="center" wrapText="1"/>
    </xf>
    <xf numFmtId="0" fontId="184" fillId="94" borderId="51" xfId="0" applyFont="1" applyFill="1" applyBorder="1" applyAlignment="1">
      <alignment vertical="center" wrapText="1"/>
    </xf>
    <xf numFmtId="0" fontId="184" fillId="94" borderId="10" xfId="0" applyFont="1" applyFill="1" applyBorder="1" applyAlignment="1">
      <alignment vertical="center" wrapText="1"/>
    </xf>
    <xf numFmtId="199" fontId="175" fillId="0" borderId="228" xfId="0" applyNumberFormat="1" applyFont="1" applyBorder="1" applyProtection="1">
      <alignment vertical="center"/>
      <protection locked="0"/>
    </xf>
    <xf numFmtId="0" fontId="175" fillId="0" borderId="0" xfId="0" applyFont="1" applyAlignment="1">
      <alignment vertical="center" wrapText="1"/>
    </xf>
    <xf numFmtId="0" fontId="192" fillId="68" borderId="52" xfId="0" applyFont="1" applyFill="1" applyBorder="1">
      <alignment vertical="center"/>
    </xf>
    <xf numFmtId="0" fontId="192" fillId="68" borderId="53" xfId="0" applyFont="1" applyFill="1" applyBorder="1">
      <alignment vertical="center"/>
    </xf>
    <xf numFmtId="0" fontId="184" fillId="68" borderId="52" xfId="0" applyFont="1" applyFill="1" applyBorder="1">
      <alignment vertical="center"/>
    </xf>
    <xf numFmtId="0" fontId="184" fillId="68" borderId="53" xfId="0" applyFont="1" applyFill="1" applyBorder="1">
      <alignment vertical="center"/>
    </xf>
    <xf numFmtId="49" fontId="184" fillId="68" borderId="53" xfId="0" applyNumberFormat="1" applyFont="1" applyFill="1" applyBorder="1">
      <alignment vertical="center"/>
    </xf>
    <xf numFmtId="49" fontId="184" fillId="68" borderId="52" xfId="0" applyNumberFormat="1" applyFont="1" applyFill="1" applyBorder="1">
      <alignment vertical="center"/>
    </xf>
    <xf numFmtId="0" fontId="0" fillId="57" borderId="199" xfId="0" applyFill="1" applyBorder="1">
      <alignment vertical="center"/>
    </xf>
    <xf numFmtId="0" fontId="116" fillId="27" borderId="55" xfId="29" quotePrefix="1" applyNumberFormat="1" applyFont="1" applyFill="1" applyBorder="1" applyAlignment="1" applyProtection="1">
      <alignment horizontal="center" vertical="center"/>
    </xf>
    <xf numFmtId="0" fontId="211" fillId="0" borderId="10" xfId="0" applyFont="1" applyBorder="1" applyProtection="1">
      <alignment vertical="center"/>
      <protection hidden="1"/>
    </xf>
    <xf numFmtId="0" fontId="209" fillId="0" borderId="0" xfId="0" applyFont="1" applyProtection="1">
      <alignment vertical="center"/>
      <protection hidden="1"/>
    </xf>
    <xf numFmtId="0" fontId="44" fillId="50" borderId="46" xfId="0" applyFont="1" applyFill="1" applyBorder="1" applyAlignment="1" applyProtection="1">
      <alignment horizontal="left" vertical="center" indent="1"/>
      <protection hidden="1"/>
    </xf>
    <xf numFmtId="9" fontId="16" fillId="0" borderId="10" xfId="28" applyFont="1" applyBorder="1" applyProtection="1">
      <alignment vertical="center"/>
      <protection hidden="1"/>
    </xf>
    <xf numFmtId="186" fontId="51" fillId="0" borderId="10" xfId="35" applyNumberFormat="1" applyFont="1" applyFill="1" applyBorder="1" applyProtection="1">
      <alignment vertical="center"/>
      <protection hidden="1"/>
    </xf>
    <xf numFmtId="186" fontId="51" fillId="0" borderId="10" xfId="0" applyNumberFormat="1" applyFont="1" applyBorder="1" applyProtection="1">
      <alignment vertical="center"/>
      <protection hidden="1"/>
    </xf>
    <xf numFmtId="186" fontId="210" fillId="0" borderId="10" xfId="0" applyNumberFormat="1" applyFont="1" applyBorder="1" applyProtection="1">
      <alignment vertical="center"/>
      <protection hidden="1"/>
    </xf>
    <xf numFmtId="186" fontId="16" fillId="0" borderId="10" xfId="0" applyNumberFormat="1" applyFont="1" applyBorder="1" applyProtection="1">
      <alignment vertical="center"/>
      <protection hidden="1"/>
    </xf>
    <xf numFmtId="199" fontId="190" fillId="0" borderId="10" xfId="0" applyNumberFormat="1" applyFont="1" applyBorder="1">
      <alignment vertical="center"/>
    </xf>
    <xf numFmtId="179" fontId="190" fillId="0" borderId="10" xfId="0" applyNumberFormat="1" applyFont="1" applyBorder="1" applyAlignment="1">
      <alignment horizontal="center" vertical="center" wrapText="1"/>
    </xf>
    <xf numFmtId="182" fontId="190" fillId="0" borderId="10" xfId="0" applyNumberFormat="1" applyFont="1" applyBorder="1" applyAlignment="1">
      <alignment horizontal="center" vertical="center" wrapText="1"/>
    </xf>
    <xf numFmtId="179" fontId="190" fillId="0" borderId="0" xfId="0" applyNumberFormat="1" applyFont="1" applyAlignment="1">
      <alignment horizontal="center" vertical="center" wrapText="1"/>
    </xf>
    <xf numFmtId="0" fontId="190" fillId="0" borderId="10" xfId="0" applyFont="1" applyBorder="1" applyAlignment="1">
      <alignment horizontal="center" vertical="center" wrapText="1"/>
    </xf>
    <xf numFmtId="0" fontId="190" fillId="58" borderId="27" xfId="0" applyFont="1" applyFill="1" applyBorder="1" applyAlignment="1" applyProtection="1">
      <alignment horizontal="center" vertical="center" wrapText="1"/>
      <protection locked="0"/>
    </xf>
    <xf numFmtId="0" fontId="190" fillId="58" borderId="51" xfId="0" applyFont="1" applyFill="1" applyBorder="1" applyAlignment="1">
      <alignment horizontal="center" vertical="center" wrapText="1"/>
    </xf>
    <xf numFmtId="179" fontId="175" fillId="0" borderId="0" xfId="0" applyNumberFormat="1" applyFont="1">
      <alignment vertical="center"/>
    </xf>
    <xf numFmtId="0" fontId="35" fillId="27" borderId="24" xfId="0" applyFont="1" applyFill="1" applyBorder="1" applyAlignment="1" applyProtection="1">
      <alignment shrinkToFit="1"/>
      <protection hidden="1"/>
    </xf>
    <xf numFmtId="179" fontId="62" fillId="27" borderId="0" xfId="0" applyNumberFormat="1" applyFont="1" applyFill="1" applyAlignment="1">
      <alignment horizontal="left" vertical="center"/>
    </xf>
    <xf numFmtId="0" fontId="0" fillId="0" borderId="0" xfId="0" quotePrefix="1">
      <alignment vertical="center"/>
    </xf>
    <xf numFmtId="0" fontId="167" fillId="0" borderId="31" xfId="0" applyFont="1" applyBorder="1" applyAlignment="1" applyProtection="1">
      <alignment horizontal="left" vertical="center"/>
      <protection locked="0"/>
    </xf>
    <xf numFmtId="216" fontId="35" fillId="0" borderId="10" xfId="0" applyNumberFormat="1" applyFont="1" applyBorder="1" applyAlignment="1" applyProtection="1">
      <alignment horizontal="right" vertical="center"/>
      <protection locked="0"/>
    </xf>
    <xf numFmtId="0" fontId="215" fillId="27" borderId="30" xfId="0" applyFont="1" applyFill="1" applyBorder="1" applyProtection="1">
      <alignment vertical="center"/>
      <protection hidden="1"/>
    </xf>
    <xf numFmtId="0" fontId="32" fillId="27" borderId="0" xfId="0" applyFont="1" applyFill="1" applyAlignment="1" applyProtection="1">
      <alignment horizontal="left" vertical="center" wrapText="1"/>
      <protection hidden="1"/>
    </xf>
    <xf numFmtId="49" fontId="35" fillId="0" borderId="72" xfId="0" applyNumberFormat="1" applyFont="1" applyBorder="1" applyAlignment="1" applyProtection="1">
      <alignment horizontal="left" vertical="center"/>
      <protection hidden="1"/>
    </xf>
    <xf numFmtId="49" fontId="35" fillId="0" borderId="80" xfId="0" applyNumberFormat="1" applyFont="1" applyBorder="1" applyAlignment="1" applyProtection="1">
      <alignment horizontal="left" vertical="center"/>
      <protection hidden="1"/>
    </xf>
    <xf numFmtId="0" fontId="35" fillId="0" borderId="89" xfId="0" applyFont="1" applyBorder="1" applyProtection="1">
      <alignment vertical="center"/>
      <protection hidden="1"/>
    </xf>
    <xf numFmtId="0" fontId="217" fillId="0" borderId="62" xfId="0" applyFont="1" applyBorder="1" applyProtection="1">
      <alignment vertical="center"/>
      <protection hidden="1"/>
    </xf>
    <xf numFmtId="0" fontId="35" fillId="0" borderId="89" xfId="0" applyFont="1" applyBorder="1" applyAlignment="1" applyProtection="1">
      <alignment horizontal="left" vertical="center"/>
      <protection hidden="1"/>
    </xf>
    <xf numFmtId="0" fontId="35" fillId="0" borderId="62" xfId="0" applyFont="1" applyBorder="1" applyAlignment="1" applyProtection="1">
      <alignment horizontal="left" vertical="center"/>
      <protection hidden="1"/>
    </xf>
    <xf numFmtId="0" fontId="35" fillId="0" borderId="77" xfId="0" applyFont="1" applyBorder="1" applyAlignment="1" applyProtection="1">
      <alignment horizontal="left" vertical="center"/>
      <protection hidden="1"/>
    </xf>
    <xf numFmtId="0" fontId="32" fillId="0" borderId="0" xfId="0" applyFont="1" applyAlignment="1" applyProtection="1">
      <alignment horizontal="right" vertical="top"/>
      <protection hidden="1"/>
    </xf>
    <xf numFmtId="0" fontId="30" fillId="0" borderId="62" xfId="0" applyFont="1" applyBorder="1" applyProtection="1">
      <alignment vertical="center"/>
      <protection hidden="1"/>
    </xf>
    <xf numFmtId="0" fontId="168" fillId="27" borderId="239" xfId="0" applyFont="1" applyFill="1" applyBorder="1" applyAlignment="1" applyProtection="1">
      <alignment horizontal="left" vertical="center"/>
      <protection hidden="1"/>
    </xf>
    <xf numFmtId="0" fontId="168" fillId="27" borderId="32" xfId="0" applyFont="1" applyFill="1" applyBorder="1" applyAlignment="1" applyProtection="1">
      <alignment horizontal="left" vertical="center"/>
      <protection hidden="1"/>
    </xf>
    <xf numFmtId="0" fontId="168" fillId="27" borderId="33" xfId="0" applyFont="1" applyFill="1" applyBorder="1" applyAlignment="1" applyProtection="1">
      <alignment horizontal="left" vertical="center"/>
      <protection hidden="1"/>
    </xf>
    <xf numFmtId="0" fontId="43" fillId="0" borderId="0" xfId="0" applyFont="1">
      <alignment vertical="center"/>
    </xf>
    <xf numFmtId="0" fontId="62" fillId="0" borderId="0" xfId="0" applyFont="1" applyAlignment="1">
      <alignment horizontal="right" vertical="center"/>
    </xf>
    <xf numFmtId="0" fontId="44" fillId="27" borderId="120" xfId="0" applyFont="1" applyFill="1" applyBorder="1" applyAlignment="1">
      <alignment horizontal="center" vertical="center"/>
    </xf>
    <xf numFmtId="0" fontId="44" fillId="27" borderId="157" xfId="0" applyFont="1" applyFill="1" applyBorder="1" applyAlignment="1">
      <alignment horizontal="center" vertical="center" wrapText="1"/>
    </xf>
    <xf numFmtId="0" fontId="44" fillId="27" borderId="158" xfId="0" applyFont="1" applyFill="1" applyBorder="1" applyAlignment="1">
      <alignment horizontal="center" vertical="center" wrapText="1"/>
    </xf>
    <xf numFmtId="0" fontId="44" fillId="27" borderId="116" xfId="0" applyFont="1" applyFill="1" applyBorder="1" applyAlignment="1">
      <alignment horizontal="center" vertical="center" wrapText="1"/>
    </xf>
    <xf numFmtId="0" fontId="220" fillId="28" borderId="24" xfId="0" applyFont="1" applyFill="1" applyBorder="1" applyProtection="1">
      <alignment vertical="center"/>
      <protection hidden="1"/>
    </xf>
    <xf numFmtId="0" fontId="215" fillId="27" borderId="24" xfId="0" applyFont="1" applyFill="1" applyBorder="1" applyProtection="1">
      <alignment vertical="center"/>
      <protection hidden="1"/>
    </xf>
    <xf numFmtId="0" fontId="35" fillId="27" borderId="50" xfId="0" applyFont="1" applyFill="1" applyBorder="1" applyProtection="1">
      <alignment vertical="center"/>
      <protection hidden="1"/>
    </xf>
    <xf numFmtId="0" fontId="35" fillId="41" borderId="50" xfId="0" applyFont="1" applyFill="1" applyBorder="1" applyProtection="1">
      <alignment vertical="center"/>
      <protection hidden="1"/>
    </xf>
    <xf numFmtId="2" fontId="35" fillId="34" borderId="10" xfId="0" applyNumberFormat="1" applyFont="1" applyFill="1" applyBorder="1" applyAlignment="1" applyProtection="1">
      <alignment horizontal="center"/>
      <protection hidden="1"/>
    </xf>
    <xf numFmtId="2" fontId="65" fillId="0" borderId="0" xfId="0" applyNumberFormat="1" applyFont="1" applyAlignment="1" applyProtection="1">
      <alignment horizontal="left"/>
      <protection hidden="1"/>
    </xf>
    <xf numFmtId="0" fontId="32" fillId="34" borderId="26" xfId="0" applyFont="1" applyFill="1" applyBorder="1" applyAlignment="1" applyProtection="1">
      <alignment horizontal="centerContinuous" vertical="center"/>
      <protection hidden="1"/>
    </xf>
    <xf numFmtId="0" fontId="32" fillId="34" borderId="27" xfId="0" applyFont="1" applyFill="1" applyBorder="1" applyAlignment="1" applyProtection="1">
      <alignment horizontal="centerContinuous" vertical="center"/>
      <protection hidden="1"/>
    </xf>
    <xf numFmtId="0" fontId="32" fillId="0" borderId="0" xfId="0" applyFont="1">
      <alignment vertical="center"/>
    </xf>
    <xf numFmtId="2" fontId="32" fillId="34" borderId="10" xfId="0" applyNumberFormat="1" applyFont="1" applyFill="1" applyBorder="1" applyAlignment="1" applyProtection="1">
      <alignment horizontal="center" vertical="top" wrapText="1"/>
      <protection hidden="1"/>
    </xf>
    <xf numFmtId="0" fontId="35" fillId="0" borderId="0" xfId="0" applyFont="1" applyAlignment="1">
      <alignment horizontal="left"/>
    </xf>
    <xf numFmtId="0" fontId="35" fillId="0" borderId="0" xfId="0" applyFont="1" applyAlignment="1">
      <alignment shrinkToFit="1"/>
    </xf>
    <xf numFmtId="187" fontId="35" fillId="0" borderId="0" xfId="35" applyNumberFormat="1" applyFont="1" applyFill="1" applyBorder="1" applyAlignment="1"/>
    <xf numFmtId="178" fontId="35" fillId="0" borderId="0" xfId="35" applyNumberFormat="1" applyFont="1" applyFill="1" applyBorder="1" applyAlignment="1"/>
    <xf numFmtId="49" fontId="35" fillId="0" borderId="0" xfId="35" applyNumberFormat="1" applyFont="1" applyFill="1" applyBorder="1" applyAlignment="1">
      <alignment horizontal="center"/>
    </xf>
    <xf numFmtId="2" fontId="35" fillId="0" borderId="0" xfId="0" applyNumberFormat="1" applyFont="1" applyAlignment="1">
      <alignment horizontal="left" shrinkToFit="1"/>
    </xf>
    <xf numFmtId="2" fontId="35" fillId="0" borderId="0" xfId="0" applyNumberFormat="1" applyFont="1" applyAlignment="1">
      <alignment horizontal="center"/>
    </xf>
    <xf numFmtId="0" fontId="44" fillId="0" borderId="0" xfId="0" applyFont="1" applyAlignment="1">
      <alignment horizontal="left" vertical="center" shrinkToFit="1"/>
    </xf>
    <xf numFmtId="0" fontId="35" fillId="0" borderId="0" xfId="0" applyFont="1" applyAlignment="1" applyProtection="1">
      <alignment shrinkToFit="1"/>
      <protection hidden="1"/>
    </xf>
    <xf numFmtId="0" fontId="221" fillId="0" borderId="0" xfId="0" applyFont="1" applyAlignment="1" applyProtection="1">
      <alignment horizontal="left" vertical="center"/>
      <protection hidden="1"/>
    </xf>
    <xf numFmtId="178" fontId="221" fillId="0" borderId="0" xfId="35" applyNumberFormat="1" applyFont="1" applyFill="1" applyBorder="1" applyAlignment="1" applyProtection="1">
      <protection hidden="1"/>
    </xf>
    <xf numFmtId="178" fontId="35" fillId="0" borderId="0" xfId="35" applyNumberFormat="1" applyFont="1" applyFill="1" applyBorder="1" applyAlignment="1" applyProtection="1">
      <protection hidden="1"/>
    </xf>
    <xf numFmtId="49" fontId="65" fillId="0" borderId="0" xfId="0" applyNumberFormat="1" applyFont="1" applyProtection="1">
      <alignment vertical="center"/>
      <protection hidden="1"/>
    </xf>
    <xf numFmtId="0" fontId="221" fillId="0" borderId="0" xfId="0" applyFont="1" applyAlignment="1">
      <alignment vertical="center" shrinkToFit="1"/>
    </xf>
    <xf numFmtId="0" fontId="221" fillId="0" borderId="0" xfId="0" applyFont="1">
      <alignment vertical="center"/>
    </xf>
    <xf numFmtId="2" fontId="221" fillId="0" borderId="0" xfId="0" applyNumberFormat="1" applyFont="1" applyAlignment="1" applyProtection="1">
      <alignment horizontal="center"/>
      <protection hidden="1"/>
    </xf>
    <xf numFmtId="0" fontId="221" fillId="0" borderId="0" xfId="0" applyFont="1" applyAlignment="1">
      <alignment horizontal="left" vertical="center" shrinkToFit="1"/>
    </xf>
    <xf numFmtId="178" fontId="65" fillId="0" borderId="0" xfId="35" applyNumberFormat="1" applyFont="1" applyFill="1" applyBorder="1" applyAlignment="1" applyProtection="1">
      <protection hidden="1"/>
    </xf>
    <xf numFmtId="1" fontId="65" fillId="0" borderId="0" xfId="0" applyNumberFormat="1" applyFont="1" applyAlignment="1" applyProtection="1">
      <alignment horizontal="center"/>
      <protection hidden="1"/>
    </xf>
    <xf numFmtId="0" fontId="65" fillId="0" borderId="0" xfId="0" applyFont="1" applyProtection="1">
      <alignment vertical="center"/>
      <protection hidden="1"/>
    </xf>
    <xf numFmtId="2" fontId="221" fillId="0" borderId="0" xfId="0" applyNumberFormat="1" applyFont="1" applyAlignment="1" applyProtection="1">
      <alignment horizontal="left" shrinkToFit="1"/>
      <protection hidden="1"/>
    </xf>
    <xf numFmtId="0" fontId="44" fillId="34" borderId="52" xfId="0" applyFont="1" applyFill="1" applyBorder="1" applyAlignment="1" applyProtection="1">
      <alignment horizontal="center" vertical="center"/>
      <protection hidden="1"/>
    </xf>
    <xf numFmtId="0" fontId="44" fillId="34" borderId="54" xfId="0" applyFont="1" applyFill="1" applyBorder="1" applyAlignment="1" applyProtection="1">
      <alignment horizontal="center" vertical="center" shrinkToFit="1"/>
      <protection hidden="1"/>
    </xf>
    <xf numFmtId="0" fontId="44" fillId="34" borderId="10" xfId="0" applyFont="1" applyFill="1" applyBorder="1" applyAlignment="1" applyProtection="1">
      <alignment horizontal="center" vertical="center"/>
      <protection hidden="1"/>
    </xf>
    <xf numFmtId="0" fontId="44" fillId="34" borderId="10" xfId="0" applyFont="1" applyFill="1" applyBorder="1" applyAlignment="1" applyProtection="1">
      <alignment horizontal="center" vertical="center" shrinkToFit="1"/>
      <protection hidden="1"/>
    </xf>
    <xf numFmtId="0" fontId="44" fillId="34" borderId="10" xfId="0" applyFont="1" applyFill="1" applyBorder="1" applyAlignment="1" applyProtection="1">
      <alignment horizontal="left" vertical="center" shrinkToFit="1"/>
      <protection hidden="1"/>
    </xf>
    <xf numFmtId="2" fontId="35" fillId="0" borderId="0" xfId="0" applyNumberFormat="1" applyFont="1" applyAlignment="1" applyProtection="1">
      <alignment horizontal="center"/>
      <protection hidden="1"/>
    </xf>
    <xf numFmtId="0" fontId="44" fillId="34" borderId="56" xfId="0" applyFont="1" applyFill="1" applyBorder="1" applyAlignment="1" applyProtection="1">
      <alignment horizontal="center" vertical="center" shrinkToFit="1"/>
      <protection hidden="1"/>
    </xf>
    <xf numFmtId="0" fontId="44" fillId="34" borderId="58" xfId="0" applyFont="1" applyFill="1" applyBorder="1" applyAlignment="1" applyProtection="1">
      <alignment horizontal="center" vertical="center" shrinkToFit="1"/>
      <protection hidden="1"/>
    </xf>
    <xf numFmtId="178" fontId="100" fillId="34" borderId="10" xfId="35" applyNumberFormat="1" applyFont="1" applyFill="1" applyBorder="1" applyAlignment="1" applyProtection="1">
      <alignment horizontal="center" vertical="top" wrapText="1" shrinkToFit="1"/>
      <protection hidden="1"/>
    </xf>
    <xf numFmtId="2" fontId="35" fillId="34" borderId="10" xfId="0" applyNumberFormat="1" applyFont="1" applyFill="1" applyBorder="1" applyAlignment="1" applyProtection="1">
      <alignment horizontal="center" vertical="top" shrinkToFit="1"/>
      <protection hidden="1"/>
    </xf>
    <xf numFmtId="2" fontId="35" fillId="34" borderId="26" xfId="0" applyNumberFormat="1" applyFont="1" applyFill="1" applyBorder="1" applyAlignment="1" applyProtection="1">
      <alignment horizontal="center" vertical="top" shrinkToFit="1"/>
      <protection hidden="1"/>
    </xf>
    <xf numFmtId="2" fontId="35" fillId="34" borderId="27" xfId="0" applyNumberFormat="1" applyFont="1" applyFill="1" applyBorder="1" applyAlignment="1" applyProtection="1">
      <alignment horizontal="center" vertical="top" shrinkToFit="1"/>
      <protection hidden="1"/>
    </xf>
    <xf numFmtId="2" fontId="35" fillId="0" borderId="0" xfId="0" applyNumberFormat="1" applyFont="1" applyAlignment="1" applyProtection="1">
      <alignment horizontal="center" vertical="top" shrinkToFit="1"/>
      <protection hidden="1"/>
    </xf>
    <xf numFmtId="0" fontId="44" fillId="34" borderId="56" xfId="0" applyFont="1" applyFill="1" applyBorder="1" applyAlignment="1" applyProtection="1">
      <alignment horizontal="center" vertical="center"/>
      <protection hidden="1"/>
    </xf>
    <xf numFmtId="0" fontId="35" fillId="34" borderId="58" xfId="0" applyFont="1" applyFill="1" applyBorder="1" applyAlignment="1" applyProtection="1">
      <alignment horizontal="center" vertical="center" shrinkToFit="1"/>
      <protection hidden="1"/>
    </xf>
    <xf numFmtId="187" fontId="35" fillId="34" borderId="27" xfId="35" applyNumberFormat="1" applyFont="1" applyFill="1" applyBorder="1" applyAlignment="1" applyProtection="1">
      <protection hidden="1"/>
    </xf>
    <xf numFmtId="178" fontId="35" fillId="34" borderId="10" xfId="35" applyNumberFormat="1" applyFont="1" applyFill="1" applyBorder="1" applyAlignment="1" applyProtection="1">
      <alignment horizontal="center"/>
      <protection hidden="1"/>
    </xf>
    <xf numFmtId="40" fontId="35" fillId="34" borderId="10" xfId="35" applyNumberFormat="1" applyFont="1" applyFill="1" applyBorder="1" applyAlignment="1" applyProtection="1">
      <alignment horizontal="center" vertical="top"/>
      <protection hidden="1"/>
    </xf>
    <xf numFmtId="40" fontId="35" fillId="34" borderId="26" xfId="35" applyNumberFormat="1" applyFont="1" applyFill="1" applyBorder="1" applyAlignment="1" applyProtection="1">
      <alignment horizontal="center" vertical="top"/>
      <protection hidden="1"/>
    </xf>
    <xf numFmtId="40" fontId="35" fillId="0" borderId="0" xfId="35" applyNumberFormat="1" applyFont="1" applyFill="1" applyBorder="1" applyAlignment="1" applyProtection="1">
      <alignment horizontal="center" vertical="top"/>
      <protection hidden="1"/>
    </xf>
    <xf numFmtId="0" fontId="61" fillId="34" borderId="10" xfId="0" applyFont="1" applyFill="1" applyBorder="1" applyAlignment="1" applyProtection="1">
      <alignment horizontal="center" vertical="center"/>
      <protection hidden="1"/>
    </xf>
    <xf numFmtId="0" fontId="43" fillId="34" borderId="58" xfId="0" applyFont="1" applyFill="1" applyBorder="1" applyAlignment="1" applyProtection="1">
      <alignment horizontal="left" vertical="center" shrinkToFit="1"/>
      <protection hidden="1"/>
    </xf>
    <xf numFmtId="187" fontId="30" fillId="34" borderId="27" xfId="35" applyNumberFormat="1" applyFont="1" applyFill="1" applyBorder="1" applyAlignment="1" applyProtection="1">
      <protection hidden="1"/>
    </xf>
    <xf numFmtId="178" fontId="30" fillId="34" borderId="10" xfId="35" applyNumberFormat="1" applyFont="1" applyFill="1" applyBorder="1" applyAlignment="1" applyProtection="1">
      <alignment horizontal="center"/>
      <protection hidden="1"/>
    </xf>
    <xf numFmtId="40" fontId="35" fillId="34" borderId="27" xfId="0" applyNumberFormat="1" applyFont="1" applyFill="1" applyBorder="1" applyAlignment="1" applyProtection="1">
      <alignment horizontal="center" vertical="top"/>
      <protection hidden="1"/>
    </xf>
    <xf numFmtId="40" fontId="35" fillId="34" borderId="10" xfId="0" applyNumberFormat="1" applyFont="1" applyFill="1" applyBorder="1" applyAlignment="1" applyProtection="1">
      <alignment horizontal="center" vertical="top"/>
      <protection hidden="1"/>
    </xf>
    <xf numFmtId="0" fontId="61" fillId="34" borderId="10" xfId="0" applyFont="1" applyFill="1" applyBorder="1" applyAlignment="1" applyProtection="1">
      <alignment horizontal="left" vertical="center" shrinkToFit="1"/>
      <protection hidden="1"/>
    </xf>
    <xf numFmtId="40" fontId="30" fillId="34" borderId="10" xfId="35" applyNumberFormat="1" applyFont="1" applyFill="1" applyBorder="1" applyAlignment="1" applyProtection="1">
      <alignment horizontal="center" vertical="top"/>
      <protection hidden="1"/>
    </xf>
    <xf numFmtId="40" fontId="30" fillId="34" borderId="26" xfId="35" applyNumberFormat="1" applyFont="1" applyFill="1" applyBorder="1" applyAlignment="1" applyProtection="1">
      <alignment horizontal="center" vertical="top"/>
      <protection hidden="1"/>
    </xf>
    <xf numFmtId="2" fontId="30" fillId="34" borderId="27" xfId="0" applyNumberFormat="1" applyFont="1" applyFill="1" applyBorder="1" applyAlignment="1" applyProtection="1">
      <alignment horizontal="center" vertical="top"/>
      <protection hidden="1"/>
    </xf>
    <xf numFmtId="2" fontId="30" fillId="34" borderId="10" xfId="0" applyNumberFormat="1" applyFont="1" applyFill="1" applyBorder="1" applyAlignment="1" applyProtection="1">
      <alignment horizontal="center" vertical="top"/>
      <protection hidden="1"/>
    </xf>
    <xf numFmtId="2" fontId="30" fillId="0" borderId="0" xfId="0" applyNumberFormat="1" applyFont="1" applyAlignment="1" applyProtection="1">
      <alignment horizontal="center" vertical="top"/>
      <protection hidden="1"/>
    </xf>
    <xf numFmtId="0" fontId="30" fillId="31" borderId="10" xfId="0" applyFont="1" applyFill="1" applyBorder="1" applyAlignment="1" applyProtection="1">
      <alignment horizontal="left" vertical="center"/>
      <protection hidden="1"/>
    </xf>
    <xf numFmtId="0" fontId="30" fillId="31" borderId="10" xfId="0" applyFont="1" applyFill="1" applyBorder="1" applyAlignment="1" applyProtection="1">
      <alignment horizontal="left" vertical="center" shrinkToFit="1"/>
      <protection hidden="1"/>
    </xf>
    <xf numFmtId="187" fontId="30" fillId="31" borderId="10" xfId="35" applyNumberFormat="1" applyFont="1" applyFill="1" applyBorder="1" applyAlignment="1" applyProtection="1">
      <alignment horizontal="right"/>
      <protection hidden="1"/>
    </xf>
    <xf numFmtId="188" fontId="30" fillId="31" borderId="10" xfId="35" applyNumberFormat="1" applyFont="1" applyFill="1" applyBorder="1" applyAlignment="1" applyProtection="1">
      <protection hidden="1"/>
    </xf>
    <xf numFmtId="40" fontId="30" fillId="31" borderId="10" xfId="35" applyNumberFormat="1" applyFont="1" applyFill="1" applyBorder="1" applyAlignment="1" applyProtection="1">
      <alignment horizontal="center" vertical="center"/>
      <protection hidden="1"/>
    </xf>
    <xf numFmtId="40" fontId="30" fillId="51" borderId="10" xfId="35" applyNumberFormat="1" applyFont="1" applyFill="1" applyBorder="1" applyAlignment="1" applyProtection="1">
      <alignment horizontal="center" vertical="center"/>
      <protection hidden="1"/>
    </xf>
    <xf numFmtId="49" fontId="30" fillId="31" borderId="10" xfId="0" applyNumberFormat="1" applyFont="1" applyFill="1" applyBorder="1" applyAlignment="1" applyProtection="1">
      <alignment horizontal="left" vertical="center"/>
      <protection hidden="1"/>
    </xf>
    <xf numFmtId="38" fontId="30" fillId="31" borderId="10" xfId="35" applyFont="1" applyFill="1" applyBorder="1" applyAlignment="1" applyProtection="1">
      <alignment horizontal="center" vertical="center"/>
      <protection hidden="1"/>
    </xf>
    <xf numFmtId="2" fontId="30" fillId="31" borderId="10" xfId="35" applyNumberFormat="1" applyFont="1" applyFill="1" applyBorder="1" applyAlignment="1" applyProtection="1">
      <alignment horizontal="center" vertical="center"/>
      <protection hidden="1"/>
    </xf>
    <xf numFmtId="2" fontId="30" fillId="31" borderId="27" xfId="35" applyNumberFormat="1" applyFont="1" applyFill="1" applyBorder="1" applyAlignment="1" applyProtection="1">
      <alignment horizontal="center" vertical="center"/>
      <protection hidden="1"/>
    </xf>
    <xf numFmtId="2" fontId="30" fillId="0" borderId="0" xfId="35" applyNumberFormat="1" applyFont="1" applyFill="1" applyBorder="1" applyAlignment="1" applyProtection="1">
      <alignment horizontal="center" vertical="center"/>
      <protection hidden="1"/>
    </xf>
    <xf numFmtId="191" fontId="30" fillId="31" borderId="10" xfId="35" applyNumberFormat="1" applyFont="1" applyFill="1" applyBorder="1" applyAlignment="1" applyProtection="1">
      <alignment horizontal="center" vertical="center"/>
      <protection hidden="1"/>
    </xf>
    <xf numFmtId="191" fontId="222" fillId="31" borderId="27" xfId="35" applyNumberFormat="1" applyFont="1" applyFill="1" applyBorder="1" applyAlignment="1" applyProtection="1">
      <alignment horizontal="center" vertical="center"/>
      <protection hidden="1"/>
    </xf>
    <xf numFmtId="191" fontId="222" fillId="31" borderId="10" xfId="35" applyNumberFormat="1" applyFont="1" applyFill="1" applyBorder="1" applyAlignment="1" applyProtection="1">
      <alignment horizontal="center" vertical="center"/>
      <protection hidden="1"/>
    </xf>
    <xf numFmtId="191" fontId="223" fillId="31" borderId="10" xfId="35" applyNumberFormat="1" applyFont="1" applyFill="1" applyBorder="1" applyAlignment="1" applyProtection="1">
      <alignment horizontal="center" vertical="center"/>
      <protection hidden="1"/>
    </xf>
    <xf numFmtId="191" fontId="30" fillId="31" borderId="27" xfId="35" applyNumberFormat="1" applyFont="1" applyFill="1" applyBorder="1" applyAlignment="1" applyProtection="1">
      <alignment horizontal="center" vertical="center"/>
      <protection hidden="1"/>
    </xf>
    <xf numFmtId="0" fontId="30" fillId="27" borderId="10" xfId="0" applyFont="1" applyFill="1" applyBorder="1" applyAlignment="1" applyProtection="1">
      <alignment horizontal="left" vertical="center" shrinkToFit="1"/>
      <protection hidden="1"/>
    </xf>
    <xf numFmtId="187" fontId="30" fillId="27" borderId="10" xfId="35" applyNumberFormat="1" applyFont="1" applyFill="1" applyBorder="1" applyAlignment="1" applyProtection="1">
      <alignment horizontal="right"/>
      <protection hidden="1"/>
    </xf>
    <xf numFmtId="188" fontId="30" fillId="27" borderId="10" xfId="35" applyNumberFormat="1" applyFont="1" applyFill="1" applyBorder="1" applyAlignment="1" applyProtection="1">
      <protection hidden="1"/>
    </xf>
    <xf numFmtId="187" fontId="35" fillId="27" borderId="10" xfId="0" applyNumberFormat="1" applyFont="1" applyFill="1" applyBorder="1" applyProtection="1">
      <alignment vertical="center"/>
      <protection hidden="1"/>
    </xf>
    <xf numFmtId="0" fontId="30" fillId="27" borderId="10" xfId="0" applyFont="1" applyFill="1" applyBorder="1" applyAlignment="1" applyProtection="1">
      <alignment horizontal="left" vertical="center"/>
      <protection hidden="1"/>
    </xf>
    <xf numFmtId="40" fontId="30" fillId="27" borderId="10" xfId="35" applyNumberFormat="1" applyFont="1" applyFill="1" applyBorder="1" applyAlignment="1" applyProtection="1">
      <alignment horizontal="center"/>
      <protection hidden="1"/>
    </xf>
    <xf numFmtId="40" fontId="30" fillId="27" borderId="26" xfId="35" applyNumberFormat="1" applyFont="1" applyFill="1" applyBorder="1" applyAlignment="1" applyProtection="1">
      <alignment horizontal="center" vertical="center"/>
      <protection hidden="1"/>
    </xf>
    <xf numFmtId="40" fontId="30" fillId="27" borderId="27" xfId="35" applyNumberFormat="1" applyFont="1" applyFill="1" applyBorder="1" applyAlignment="1" applyProtection="1">
      <alignment horizontal="center"/>
      <protection hidden="1"/>
    </xf>
    <xf numFmtId="49" fontId="30" fillId="27" borderId="10" xfId="0" applyNumberFormat="1" applyFont="1" applyFill="1" applyBorder="1" applyAlignment="1" applyProtection="1">
      <alignment horizontal="left" vertical="center"/>
      <protection hidden="1"/>
    </xf>
    <xf numFmtId="38" fontId="30" fillId="27" borderId="10" xfId="35" applyFont="1" applyFill="1" applyBorder="1" applyAlignment="1" applyProtection="1">
      <alignment horizontal="center"/>
      <protection hidden="1"/>
    </xf>
    <xf numFmtId="38" fontId="30" fillId="27" borderId="26" xfId="35" applyFont="1" applyFill="1" applyBorder="1" applyAlignment="1" applyProtection="1">
      <alignment horizontal="center" vertical="center"/>
      <protection hidden="1"/>
    </xf>
    <xf numFmtId="2" fontId="30" fillId="27" borderId="10" xfId="35" applyNumberFormat="1" applyFont="1" applyFill="1" applyBorder="1" applyAlignment="1" applyProtection="1">
      <alignment horizontal="center"/>
      <protection hidden="1"/>
    </xf>
    <xf numFmtId="2" fontId="30" fillId="27" borderId="27" xfId="35" applyNumberFormat="1" applyFont="1" applyFill="1" applyBorder="1" applyAlignment="1" applyProtection="1">
      <alignment horizontal="center"/>
      <protection hidden="1"/>
    </xf>
    <xf numFmtId="2" fontId="30" fillId="27" borderId="26" xfId="35" applyNumberFormat="1" applyFont="1" applyFill="1" applyBorder="1" applyAlignment="1" applyProtection="1">
      <alignment horizontal="center" vertical="center"/>
      <protection hidden="1"/>
    </xf>
    <xf numFmtId="2" fontId="30" fillId="53" borderId="26" xfId="35" applyNumberFormat="1" applyFont="1" applyFill="1" applyBorder="1" applyAlignment="1" applyProtection="1">
      <alignment horizontal="center" vertical="center"/>
      <protection hidden="1"/>
    </xf>
    <xf numFmtId="2" fontId="30" fillId="0" borderId="0" xfId="35" applyNumberFormat="1" applyFont="1" applyFill="1" applyBorder="1" applyAlignment="1" applyProtection="1">
      <alignment horizontal="center"/>
      <protection hidden="1"/>
    </xf>
    <xf numFmtId="191" fontId="222" fillId="27" borderId="10" xfId="35" applyNumberFormat="1" applyFont="1" applyFill="1" applyBorder="1" applyAlignment="1" applyProtection="1">
      <alignment horizontal="center"/>
      <protection hidden="1"/>
    </xf>
    <xf numFmtId="191" fontId="222" fillId="53" borderId="26" xfId="35" applyNumberFormat="1" applyFont="1" applyFill="1" applyBorder="1" applyAlignment="1" applyProtection="1">
      <alignment horizontal="center" vertical="center"/>
      <protection hidden="1"/>
    </xf>
    <xf numFmtId="191" fontId="222" fillId="27" borderId="27" xfId="35" applyNumberFormat="1" applyFont="1" applyFill="1" applyBorder="1" applyAlignment="1" applyProtection="1">
      <alignment horizontal="center"/>
      <protection hidden="1"/>
    </xf>
    <xf numFmtId="191" fontId="30" fillId="27" borderId="10" xfId="35" applyNumberFormat="1" applyFont="1" applyFill="1" applyBorder="1" applyAlignment="1" applyProtection="1">
      <alignment horizontal="center"/>
      <protection hidden="1"/>
    </xf>
    <xf numFmtId="191" fontId="30" fillId="53" borderId="26" xfId="35" applyNumberFormat="1" applyFont="1" applyFill="1" applyBorder="1" applyAlignment="1" applyProtection="1">
      <alignment horizontal="center" vertical="center"/>
      <protection hidden="1"/>
    </xf>
    <xf numFmtId="191" fontId="30" fillId="27" borderId="27" xfId="35" applyNumberFormat="1" applyFont="1" applyFill="1" applyBorder="1" applyAlignment="1" applyProtection="1">
      <alignment horizontal="center"/>
      <protection hidden="1"/>
    </xf>
    <xf numFmtId="0" fontId="35" fillId="27" borderId="10" xfId="0" applyFont="1" applyFill="1" applyBorder="1" applyAlignment="1" applyProtection="1">
      <alignment horizontal="left" vertical="center" shrinkToFit="1"/>
      <protection hidden="1"/>
    </xf>
    <xf numFmtId="187" fontId="35" fillId="27" borderId="10" xfId="35" applyNumberFormat="1" applyFont="1" applyFill="1" applyBorder="1" applyAlignment="1" applyProtection="1">
      <alignment horizontal="right"/>
      <protection hidden="1"/>
    </xf>
    <xf numFmtId="188" fontId="35" fillId="27" borderId="10" xfId="35" applyNumberFormat="1" applyFont="1" applyFill="1" applyBorder="1" applyAlignment="1" applyProtection="1">
      <protection hidden="1"/>
    </xf>
    <xf numFmtId="0" fontId="35" fillId="27" borderId="10" xfId="0" applyFont="1" applyFill="1" applyBorder="1" applyAlignment="1" applyProtection="1">
      <alignment horizontal="left" vertical="center"/>
      <protection hidden="1"/>
    </xf>
    <xf numFmtId="40" fontId="35" fillId="27" borderId="10" xfId="35" applyNumberFormat="1" applyFont="1" applyFill="1" applyBorder="1" applyAlignment="1" applyProtection="1">
      <alignment horizontal="center" vertical="center"/>
      <protection hidden="1"/>
    </xf>
    <xf numFmtId="40" fontId="35" fillId="27" borderId="27" xfId="35" applyNumberFormat="1" applyFont="1" applyFill="1" applyBorder="1" applyAlignment="1" applyProtection="1">
      <alignment horizontal="center" vertical="center"/>
      <protection hidden="1"/>
    </xf>
    <xf numFmtId="49" fontId="35" fillId="27" borderId="10" xfId="0" applyNumberFormat="1" applyFont="1" applyFill="1" applyBorder="1" applyAlignment="1" applyProtection="1">
      <alignment horizontal="left" vertical="center"/>
      <protection hidden="1"/>
    </xf>
    <xf numFmtId="38" fontId="35" fillId="44" borderId="10" xfId="35" applyFont="1" applyFill="1" applyBorder="1" applyAlignment="1" applyProtection="1">
      <alignment horizontal="center" vertical="center"/>
      <protection hidden="1"/>
    </xf>
    <xf numFmtId="38" fontId="35" fillId="27" borderId="10" xfId="35" applyFont="1" applyFill="1" applyBorder="1" applyAlignment="1" applyProtection="1">
      <alignment horizontal="center" vertical="center"/>
      <protection hidden="1"/>
    </xf>
    <xf numFmtId="2" fontId="35" fillId="27" borderId="10" xfId="35" applyNumberFormat="1" applyFont="1" applyFill="1" applyBorder="1" applyAlignment="1" applyProtection="1">
      <alignment horizontal="center" vertical="center"/>
      <protection hidden="1"/>
    </xf>
    <xf numFmtId="2" fontId="35" fillId="27" borderId="27" xfId="35" applyNumberFormat="1" applyFont="1" applyFill="1" applyBorder="1" applyAlignment="1" applyProtection="1">
      <alignment horizontal="center" vertical="center"/>
      <protection hidden="1"/>
    </xf>
    <xf numFmtId="178" fontId="35" fillId="27" borderId="26" xfId="0" applyNumberFormat="1" applyFont="1" applyFill="1" applyBorder="1" applyAlignment="1" applyProtection="1">
      <alignment horizontal="center" vertical="center"/>
      <protection hidden="1"/>
    </xf>
    <xf numFmtId="2" fontId="35" fillId="53" borderId="10" xfId="35" applyNumberFormat="1" applyFont="1" applyFill="1" applyBorder="1" applyAlignment="1" applyProtection="1">
      <alignment horizontal="center" vertical="center"/>
      <protection hidden="1"/>
    </xf>
    <xf numFmtId="2" fontId="35" fillId="0" borderId="0" xfId="35" applyNumberFormat="1" applyFont="1" applyFill="1" applyBorder="1" applyAlignment="1" applyProtection="1">
      <alignment horizontal="center" vertical="center"/>
      <protection hidden="1"/>
    </xf>
    <xf numFmtId="191" fontId="224" fillId="27" borderId="10" xfId="35" applyNumberFormat="1" applyFont="1" applyFill="1" applyBorder="1" applyAlignment="1" applyProtection="1">
      <alignment horizontal="center" vertical="center"/>
      <protection hidden="1"/>
    </xf>
    <xf numFmtId="191" fontId="225" fillId="27" borderId="10" xfId="35" applyNumberFormat="1" applyFont="1" applyFill="1" applyBorder="1" applyAlignment="1" applyProtection="1">
      <alignment horizontal="center" vertical="center"/>
      <protection hidden="1"/>
    </xf>
    <xf numFmtId="191" fontId="35" fillId="27" borderId="10" xfId="35" applyNumberFormat="1" applyFont="1" applyFill="1" applyBorder="1" applyAlignment="1" applyProtection="1">
      <alignment horizontal="center" vertical="center"/>
      <protection hidden="1"/>
    </xf>
    <xf numFmtId="191" fontId="224" fillId="53" borderId="10" xfId="35" applyNumberFormat="1" applyFont="1" applyFill="1" applyBorder="1" applyAlignment="1" applyProtection="1">
      <alignment horizontal="center" vertical="center"/>
      <protection hidden="1"/>
    </xf>
    <xf numFmtId="191" fontId="224" fillId="27" borderId="27" xfId="35" applyNumberFormat="1" applyFont="1" applyFill="1" applyBorder="1" applyAlignment="1" applyProtection="1">
      <alignment horizontal="center" vertical="center"/>
      <protection hidden="1"/>
    </xf>
    <xf numFmtId="191" fontId="35" fillId="53" borderId="10" xfId="35" applyNumberFormat="1" applyFont="1" applyFill="1" applyBorder="1" applyAlignment="1" applyProtection="1">
      <alignment horizontal="center" vertical="center"/>
      <protection hidden="1"/>
    </xf>
    <xf numFmtId="191" fontId="35" fillId="27" borderId="27" xfId="35" applyNumberFormat="1" applyFont="1" applyFill="1" applyBorder="1" applyAlignment="1" applyProtection="1">
      <alignment horizontal="center" vertical="center"/>
      <protection hidden="1"/>
    </xf>
    <xf numFmtId="0" fontId="35" fillId="27" borderId="10" xfId="0" applyFont="1" applyFill="1" applyBorder="1" applyAlignment="1">
      <alignment horizontal="left" vertical="center" shrinkToFit="1"/>
    </xf>
    <xf numFmtId="2" fontId="35" fillId="44" borderId="10" xfId="35" applyNumberFormat="1" applyFont="1" applyFill="1" applyBorder="1" applyAlignment="1" applyProtection="1">
      <alignment horizontal="center" vertical="center"/>
      <protection hidden="1"/>
    </xf>
    <xf numFmtId="40" fontId="35" fillId="27" borderId="26" xfId="35" applyNumberFormat="1" applyFont="1" applyFill="1" applyBorder="1" applyAlignment="1" applyProtection="1">
      <alignment horizontal="center" vertical="center"/>
      <protection hidden="1"/>
    </xf>
    <xf numFmtId="38" fontId="35" fillId="41" borderId="10" xfId="35" applyFont="1" applyFill="1" applyBorder="1" applyAlignment="1" applyProtection="1">
      <alignment horizontal="center" vertical="center"/>
      <protection hidden="1"/>
    </xf>
    <xf numFmtId="2" fontId="35" fillId="54" borderId="10" xfId="35" applyNumberFormat="1" applyFont="1" applyFill="1" applyBorder="1" applyAlignment="1" applyProtection="1">
      <alignment horizontal="center" vertical="center"/>
      <protection hidden="1"/>
    </xf>
    <xf numFmtId="2" fontId="35" fillId="45" borderId="10" xfId="35" applyNumberFormat="1" applyFont="1" applyFill="1" applyBorder="1" applyAlignment="1" applyProtection="1">
      <alignment horizontal="center" vertical="center"/>
      <protection hidden="1"/>
    </xf>
    <xf numFmtId="2" fontId="35" fillId="27" borderId="26" xfId="35" applyNumberFormat="1" applyFont="1" applyFill="1" applyBorder="1" applyAlignment="1" applyProtection="1">
      <alignment horizontal="center" vertical="center"/>
      <protection hidden="1"/>
    </xf>
    <xf numFmtId="2" fontId="35" fillId="53" borderId="26" xfId="35" applyNumberFormat="1" applyFont="1" applyFill="1" applyBorder="1" applyAlignment="1" applyProtection="1">
      <alignment horizontal="center" vertical="center"/>
      <protection hidden="1"/>
    </xf>
    <xf numFmtId="40" fontId="30" fillId="27" borderId="26" xfId="0" applyNumberFormat="1" applyFont="1" applyFill="1" applyBorder="1" applyAlignment="1" applyProtection="1">
      <alignment horizontal="center" vertical="center"/>
      <protection hidden="1"/>
    </xf>
    <xf numFmtId="178" fontId="30" fillId="27" borderId="26" xfId="0" applyNumberFormat="1" applyFont="1" applyFill="1" applyBorder="1" applyAlignment="1" applyProtection="1">
      <alignment horizontal="center" vertical="center"/>
      <protection hidden="1"/>
    </xf>
    <xf numFmtId="178" fontId="30" fillId="53" borderId="26" xfId="0" applyNumberFormat="1" applyFont="1" applyFill="1" applyBorder="1" applyAlignment="1" applyProtection="1">
      <alignment horizontal="center" vertical="center"/>
      <protection hidden="1"/>
    </xf>
    <xf numFmtId="191" fontId="222" fillId="53" borderId="26" xfId="0" applyNumberFormat="1" applyFont="1" applyFill="1" applyBorder="1" applyAlignment="1" applyProtection="1">
      <alignment horizontal="center" vertical="center"/>
      <protection hidden="1"/>
    </xf>
    <xf numFmtId="191" fontId="30" fillId="53" borderId="26" xfId="0" applyNumberFormat="1" applyFont="1" applyFill="1" applyBorder="1" applyAlignment="1" applyProtection="1">
      <alignment horizontal="center" vertical="center"/>
      <protection hidden="1"/>
    </xf>
    <xf numFmtId="40" fontId="35" fillId="27" borderId="26" xfId="0" applyNumberFormat="1" applyFont="1" applyFill="1" applyBorder="1" applyAlignment="1" applyProtection="1">
      <alignment horizontal="center" vertical="center"/>
      <protection hidden="1"/>
    </xf>
    <xf numFmtId="178" fontId="35" fillId="53" borderId="26" xfId="0" applyNumberFormat="1" applyFont="1" applyFill="1" applyBorder="1" applyAlignment="1" applyProtection="1">
      <alignment horizontal="center" vertical="center"/>
      <protection hidden="1"/>
    </xf>
    <xf numFmtId="191" fontId="224" fillId="53" borderId="26" xfId="0" applyNumberFormat="1" applyFont="1" applyFill="1" applyBorder="1" applyAlignment="1" applyProtection="1">
      <alignment horizontal="center" vertical="center"/>
      <protection hidden="1"/>
    </xf>
    <xf numFmtId="191" fontId="35" fillId="53" borderId="26" xfId="0" applyNumberFormat="1" applyFont="1" applyFill="1" applyBorder="1" applyAlignment="1" applyProtection="1">
      <alignment horizontal="center" vertical="center"/>
      <protection hidden="1"/>
    </xf>
    <xf numFmtId="0" fontId="35" fillId="27" borderId="26" xfId="0" applyFont="1" applyFill="1" applyBorder="1" applyAlignment="1" applyProtection="1">
      <alignment horizontal="center" vertical="center"/>
      <protection hidden="1"/>
    </xf>
    <xf numFmtId="2" fontId="35" fillId="62" borderId="10" xfId="35" applyNumberFormat="1" applyFont="1" applyFill="1" applyBorder="1" applyAlignment="1" applyProtection="1">
      <alignment horizontal="center" vertical="center"/>
      <protection hidden="1"/>
    </xf>
    <xf numFmtId="40" fontId="35" fillId="27" borderId="10" xfId="0" applyNumberFormat="1" applyFont="1" applyFill="1" applyBorder="1" applyAlignment="1" applyProtection="1">
      <alignment horizontal="center"/>
      <protection hidden="1"/>
    </xf>
    <xf numFmtId="0" fontId="35" fillId="41" borderId="26" xfId="0" applyFont="1" applyFill="1" applyBorder="1" applyAlignment="1" applyProtection="1">
      <alignment horizontal="center" vertical="center"/>
      <protection hidden="1"/>
    </xf>
    <xf numFmtId="2" fontId="35" fillId="27" borderId="10" xfId="0" applyNumberFormat="1" applyFont="1" applyFill="1" applyBorder="1" applyAlignment="1" applyProtection="1">
      <alignment horizontal="center"/>
      <protection hidden="1"/>
    </xf>
    <xf numFmtId="191" fontId="224" fillId="27" borderId="10" xfId="0" applyNumberFormat="1" applyFont="1" applyFill="1" applyBorder="1" applyAlignment="1" applyProtection="1">
      <alignment horizontal="center"/>
      <protection hidden="1"/>
    </xf>
    <xf numFmtId="191" fontId="35" fillId="27" borderId="10" xfId="0" applyNumberFormat="1" applyFont="1" applyFill="1" applyBorder="1" applyAlignment="1" applyProtection="1">
      <alignment horizontal="center"/>
      <protection hidden="1"/>
    </xf>
    <xf numFmtId="2" fontId="35" fillId="25" borderId="10" xfId="35" applyNumberFormat="1" applyFont="1" applyFill="1" applyBorder="1" applyAlignment="1" applyProtection="1">
      <alignment horizontal="center" vertical="center"/>
      <protection hidden="1"/>
    </xf>
    <xf numFmtId="0" fontId="44" fillId="37" borderId="0" xfId="0" applyFont="1" applyFill="1">
      <alignment vertical="center"/>
    </xf>
    <xf numFmtId="178" fontId="35" fillId="27" borderId="10" xfId="35" applyNumberFormat="1" applyFont="1" applyFill="1" applyBorder="1" applyAlignment="1" applyProtection="1">
      <alignment horizontal="center" vertical="center"/>
      <protection hidden="1"/>
    </xf>
    <xf numFmtId="178" fontId="35" fillId="53" borderId="26" xfId="35" applyNumberFormat="1" applyFont="1" applyFill="1" applyBorder="1" applyAlignment="1" applyProtection="1">
      <alignment horizontal="center" vertical="center"/>
      <protection hidden="1"/>
    </xf>
    <xf numFmtId="178" fontId="35" fillId="27" borderId="27" xfId="35" applyNumberFormat="1" applyFont="1" applyFill="1" applyBorder="1" applyAlignment="1" applyProtection="1">
      <alignment horizontal="center" vertical="center"/>
      <protection hidden="1"/>
    </xf>
    <xf numFmtId="178" fontId="35" fillId="37" borderId="0" xfId="35" applyNumberFormat="1" applyFont="1" applyFill="1" applyBorder="1" applyAlignment="1" applyProtection="1">
      <alignment horizontal="center" vertical="center"/>
      <protection hidden="1"/>
    </xf>
    <xf numFmtId="191" fontId="224" fillId="53" borderId="26" xfId="35" applyNumberFormat="1" applyFont="1" applyFill="1" applyBorder="1" applyAlignment="1" applyProtection="1">
      <alignment horizontal="center" vertical="center"/>
      <protection hidden="1"/>
    </xf>
    <xf numFmtId="191" fontId="35" fillId="53" borderId="26" xfId="35" applyNumberFormat="1" applyFont="1" applyFill="1" applyBorder="1" applyAlignment="1" applyProtection="1">
      <alignment horizontal="center" vertical="center"/>
      <protection hidden="1"/>
    </xf>
    <xf numFmtId="0" fontId="30" fillId="27" borderId="26" xfId="0" applyFont="1" applyFill="1" applyBorder="1" applyAlignment="1" applyProtection="1">
      <alignment horizontal="center" vertical="center"/>
      <protection hidden="1"/>
    </xf>
    <xf numFmtId="178" fontId="35" fillId="54" borderId="26" xfId="0" applyNumberFormat="1" applyFont="1" applyFill="1" applyBorder="1" applyAlignment="1" applyProtection="1">
      <alignment horizontal="center" vertical="center"/>
      <protection hidden="1"/>
    </xf>
    <xf numFmtId="178" fontId="153" fillId="53" borderId="26" xfId="0" applyNumberFormat="1" applyFont="1" applyFill="1" applyBorder="1" applyAlignment="1" applyProtection="1">
      <alignment horizontal="center" vertical="center"/>
      <protection hidden="1"/>
    </xf>
    <xf numFmtId="178" fontId="35" fillId="63" borderId="26" xfId="0" applyNumberFormat="1" applyFont="1" applyFill="1" applyBorder="1" applyAlignment="1" applyProtection="1">
      <alignment horizontal="center" vertical="center"/>
      <protection hidden="1"/>
    </xf>
    <xf numFmtId="0" fontId="35" fillId="41" borderId="10" xfId="0" applyFont="1" applyFill="1" applyBorder="1" applyAlignment="1" applyProtection="1">
      <alignment horizontal="left" vertical="center" shrinkToFit="1"/>
      <protection hidden="1"/>
    </xf>
    <xf numFmtId="187" fontId="35" fillId="41" borderId="10" xfId="0" applyNumberFormat="1" applyFont="1" applyFill="1" applyBorder="1" applyProtection="1">
      <alignment vertical="center"/>
      <protection hidden="1"/>
    </xf>
    <xf numFmtId="188" fontId="35" fillId="41" borderId="10" xfId="35" applyNumberFormat="1" applyFont="1" applyFill="1" applyBorder="1" applyAlignment="1" applyProtection="1">
      <protection hidden="1"/>
    </xf>
    <xf numFmtId="0" fontId="35" fillId="41" borderId="10" xfId="0" applyFont="1" applyFill="1" applyBorder="1" applyAlignment="1" applyProtection="1">
      <alignment horizontal="left" vertical="center"/>
      <protection hidden="1"/>
    </xf>
    <xf numFmtId="40" fontId="35" fillId="41" borderId="10" xfId="35" applyNumberFormat="1" applyFont="1" applyFill="1" applyBorder="1" applyAlignment="1" applyProtection="1">
      <alignment horizontal="center" vertical="center"/>
      <protection hidden="1"/>
    </xf>
    <xf numFmtId="40" fontId="35" fillId="41" borderId="26" xfId="35" applyNumberFormat="1" applyFont="1" applyFill="1" applyBorder="1" applyAlignment="1" applyProtection="1">
      <alignment horizontal="center" vertical="center"/>
      <protection hidden="1"/>
    </xf>
    <xf numFmtId="40" fontId="35" fillId="41" borderId="27" xfId="35" applyNumberFormat="1" applyFont="1" applyFill="1" applyBorder="1" applyAlignment="1" applyProtection="1">
      <alignment horizontal="center" vertical="center"/>
      <protection hidden="1"/>
    </xf>
    <xf numFmtId="49" fontId="35" fillId="41" borderId="10" xfId="0" applyNumberFormat="1" applyFont="1" applyFill="1" applyBorder="1" applyAlignment="1" applyProtection="1">
      <alignment horizontal="left" vertical="center"/>
      <protection hidden="1"/>
    </xf>
    <xf numFmtId="2" fontId="35" fillId="41" borderId="10" xfId="35" applyNumberFormat="1" applyFont="1" applyFill="1" applyBorder="1" applyAlignment="1" applyProtection="1">
      <alignment horizontal="center" vertical="center"/>
      <protection hidden="1"/>
    </xf>
    <xf numFmtId="2" fontId="35" fillId="41" borderId="26" xfId="35" applyNumberFormat="1" applyFont="1" applyFill="1" applyBorder="1" applyAlignment="1" applyProtection="1">
      <alignment horizontal="center" vertical="center"/>
      <protection hidden="1"/>
    </xf>
    <xf numFmtId="2" fontId="35" fillId="41" borderId="27" xfId="35" applyNumberFormat="1" applyFont="1" applyFill="1" applyBorder="1" applyAlignment="1" applyProtection="1">
      <alignment horizontal="center" vertical="center"/>
      <protection hidden="1"/>
    </xf>
    <xf numFmtId="178" fontId="35" fillId="41" borderId="10" xfId="35" applyNumberFormat="1" applyFont="1" applyFill="1" applyBorder="1" applyAlignment="1" applyProtection="1">
      <alignment horizontal="center" vertical="center"/>
      <protection hidden="1"/>
    </xf>
    <xf numFmtId="178" fontId="35" fillId="55" borderId="26" xfId="35" applyNumberFormat="1" applyFont="1" applyFill="1" applyBorder="1" applyAlignment="1" applyProtection="1">
      <alignment horizontal="center" vertical="center"/>
      <protection hidden="1"/>
    </xf>
    <xf numFmtId="178" fontId="35" fillId="41" borderId="27" xfId="35" applyNumberFormat="1" applyFont="1" applyFill="1" applyBorder="1" applyAlignment="1" applyProtection="1">
      <alignment horizontal="center" vertical="center"/>
      <protection hidden="1"/>
    </xf>
    <xf numFmtId="178" fontId="35" fillId="0" borderId="0" xfId="35" applyNumberFormat="1" applyFont="1" applyFill="1" applyBorder="1" applyAlignment="1" applyProtection="1">
      <alignment horizontal="center" vertical="center"/>
      <protection hidden="1"/>
    </xf>
    <xf numFmtId="191" fontId="224" fillId="41" borderId="10" xfId="35" applyNumberFormat="1" applyFont="1" applyFill="1" applyBorder="1" applyAlignment="1" applyProtection="1">
      <alignment horizontal="center" vertical="center"/>
      <protection hidden="1"/>
    </xf>
    <xf numFmtId="191" fontId="224" fillId="55" borderId="26" xfId="35" applyNumberFormat="1" applyFont="1" applyFill="1" applyBorder="1" applyAlignment="1" applyProtection="1">
      <alignment horizontal="center" vertical="center"/>
      <protection hidden="1"/>
    </xf>
    <xf numFmtId="191" fontId="224" fillId="41" borderId="27" xfId="35" applyNumberFormat="1" applyFont="1" applyFill="1" applyBorder="1" applyAlignment="1" applyProtection="1">
      <alignment horizontal="center" vertical="center"/>
      <protection hidden="1"/>
    </xf>
    <xf numFmtId="191" fontId="35" fillId="41" borderId="10" xfId="35" applyNumberFormat="1" applyFont="1" applyFill="1" applyBorder="1" applyAlignment="1" applyProtection="1">
      <alignment horizontal="center" vertical="center"/>
      <protection hidden="1"/>
    </xf>
    <xf numFmtId="191" fontId="35" fillId="55" borderId="26" xfId="35" applyNumberFormat="1" applyFont="1" applyFill="1" applyBorder="1" applyAlignment="1" applyProtection="1">
      <alignment horizontal="center" vertical="center"/>
      <protection hidden="1"/>
    </xf>
    <xf numFmtId="191" fontId="35" fillId="41" borderId="27" xfId="35" applyNumberFormat="1" applyFont="1" applyFill="1" applyBorder="1" applyAlignment="1" applyProtection="1">
      <alignment horizontal="center" vertical="center"/>
      <protection hidden="1"/>
    </xf>
    <xf numFmtId="178" fontId="35" fillId="56" borderId="26" xfId="35" applyNumberFormat="1" applyFont="1" applyFill="1" applyBorder="1" applyAlignment="1" applyProtection="1">
      <alignment horizontal="center" vertical="center"/>
      <protection hidden="1"/>
    </xf>
    <xf numFmtId="178" fontId="30" fillId="27" borderId="10" xfId="35" applyNumberFormat="1" applyFont="1" applyFill="1" applyBorder="1" applyAlignment="1" applyProtection="1">
      <alignment horizontal="center"/>
      <protection hidden="1"/>
    </xf>
    <xf numFmtId="178" fontId="30" fillId="27" borderId="27" xfId="35" applyNumberFormat="1" applyFont="1" applyFill="1" applyBorder="1" applyAlignment="1" applyProtection="1">
      <alignment horizontal="center"/>
      <protection hidden="1"/>
    </xf>
    <xf numFmtId="178" fontId="30" fillId="0" borderId="0" xfId="35" applyNumberFormat="1" applyFont="1" applyFill="1" applyBorder="1" applyAlignment="1" applyProtection="1">
      <alignment horizontal="center"/>
      <protection hidden="1"/>
    </xf>
    <xf numFmtId="178" fontId="35" fillId="27" borderId="26" xfId="35" applyNumberFormat="1" applyFont="1" applyFill="1" applyBorder="1" applyAlignment="1" applyProtection="1">
      <alignment horizontal="center" vertical="center"/>
      <protection hidden="1"/>
    </xf>
    <xf numFmtId="178" fontId="226" fillId="27" borderId="10" xfId="35" applyNumberFormat="1" applyFont="1" applyFill="1" applyBorder="1" applyAlignment="1" applyProtection="1">
      <alignment horizontal="center" vertical="center"/>
      <protection hidden="1"/>
    </xf>
    <xf numFmtId="178" fontId="35" fillId="62" borderId="10" xfId="35" applyNumberFormat="1" applyFont="1" applyFill="1" applyBorder="1" applyAlignment="1" applyProtection="1">
      <alignment horizontal="center" vertical="center"/>
      <protection hidden="1"/>
    </xf>
    <xf numFmtId="178" fontId="226" fillId="41" borderId="10" xfId="35" applyNumberFormat="1" applyFont="1" applyFill="1" applyBorder="1" applyAlignment="1" applyProtection="1">
      <alignment horizontal="center" vertical="center"/>
      <protection hidden="1"/>
    </xf>
    <xf numFmtId="178" fontId="35" fillId="41" borderId="26" xfId="35" applyNumberFormat="1" applyFont="1" applyFill="1" applyBorder="1" applyAlignment="1" applyProtection="1">
      <alignment horizontal="center" vertical="center"/>
      <protection hidden="1"/>
    </xf>
    <xf numFmtId="178" fontId="35" fillId="53" borderId="10" xfId="35" applyNumberFormat="1" applyFont="1" applyFill="1" applyBorder="1" applyAlignment="1" applyProtection="1">
      <alignment horizontal="center" vertical="center"/>
      <protection hidden="1"/>
    </xf>
    <xf numFmtId="40" fontId="30" fillId="31" borderId="27" xfId="35" applyNumberFormat="1" applyFont="1" applyFill="1" applyBorder="1" applyAlignment="1" applyProtection="1">
      <alignment horizontal="center" vertical="center"/>
      <protection hidden="1"/>
    </xf>
    <xf numFmtId="40" fontId="30" fillId="27" borderId="10" xfId="35" applyNumberFormat="1" applyFont="1" applyFill="1" applyBorder="1" applyAlignment="1" applyProtection="1">
      <alignment horizontal="center" vertical="center"/>
      <protection hidden="1"/>
    </xf>
    <xf numFmtId="40" fontId="30" fillId="27" borderId="27" xfId="35" applyNumberFormat="1" applyFont="1" applyFill="1" applyBorder="1" applyAlignment="1" applyProtection="1">
      <alignment horizontal="center" vertical="center"/>
      <protection hidden="1"/>
    </xf>
    <xf numFmtId="38" fontId="30" fillId="27" borderId="10" xfId="35" applyFont="1" applyFill="1" applyBorder="1" applyAlignment="1" applyProtection="1">
      <alignment horizontal="center" vertical="center"/>
      <protection hidden="1"/>
    </xf>
    <xf numFmtId="2" fontId="30" fillId="27" borderId="10" xfId="35" applyNumberFormat="1" applyFont="1" applyFill="1" applyBorder="1" applyAlignment="1" applyProtection="1">
      <alignment horizontal="center" vertical="center"/>
      <protection hidden="1"/>
    </xf>
    <xf numFmtId="2" fontId="30" fillId="27" borderId="27" xfId="35" applyNumberFormat="1" applyFont="1" applyFill="1" applyBorder="1" applyAlignment="1" applyProtection="1">
      <alignment horizontal="center" vertical="center"/>
      <protection hidden="1"/>
    </xf>
    <xf numFmtId="179" fontId="30" fillId="27" borderId="26" xfId="0" applyNumberFormat="1" applyFont="1" applyFill="1" applyBorder="1" applyAlignment="1" applyProtection="1">
      <alignment horizontal="center" vertical="center"/>
      <protection hidden="1"/>
    </xf>
    <xf numFmtId="191" fontId="30" fillId="27" borderId="10" xfId="35" applyNumberFormat="1" applyFont="1" applyFill="1" applyBorder="1" applyAlignment="1" applyProtection="1">
      <alignment horizontal="center" vertical="center"/>
      <protection hidden="1"/>
    </xf>
    <xf numFmtId="191" fontId="30" fillId="27" borderId="27" xfId="35" applyNumberFormat="1" applyFont="1" applyFill="1" applyBorder="1" applyAlignment="1" applyProtection="1">
      <alignment horizontal="center" vertical="center"/>
      <protection hidden="1"/>
    </xf>
    <xf numFmtId="191" fontId="223" fillId="27" borderId="10" xfId="35" applyNumberFormat="1" applyFont="1" applyFill="1" applyBorder="1" applyAlignment="1" applyProtection="1">
      <alignment horizontal="center" vertical="center"/>
      <protection hidden="1"/>
    </xf>
    <xf numFmtId="191" fontId="224" fillId="27" borderId="26" xfId="35" applyNumberFormat="1" applyFont="1" applyFill="1" applyBorder="1" applyAlignment="1" applyProtection="1">
      <alignment horizontal="center" vertical="center"/>
      <protection hidden="1"/>
    </xf>
    <xf numFmtId="191" fontId="35" fillId="27" borderId="26" xfId="35" applyNumberFormat="1" applyFont="1" applyFill="1" applyBorder="1" applyAlignment="1" applyProtection="1">
      <alignment horizontal="center" vertical="center"/>
      <protection hidden="1"/>
    </xf>
    <xf numFmtId="2" fontId="225" fillId="27" borderId="10" xfId="35" applyNumberFormat="1" applyFont="1" applyFill="1" applyBorder="1" applyAlignment="1" applyProtection="1">
      <alignment horizontal="center" vertical="center"/>
      <protection hidden="1"/>
    </xf>
    <xf numFmtId="0" fontId="225" fillId="27" borderId="10" xfId="0" applyFont="1" applyFill="1" applyBorder="1" applyAlignment="1" applyProtection="1">
      <alignment horizontal="left" vertical="center" shrinkToFit="1"/>
      <protection hidden="1"/>
    </xf>
    <xf numFmtId="49" fontId="225" fillId="27" borderId="10" xfId="0" applyNumberFormat="1" applyFont="1" applyFill="1" applyBorder="1" applyAlignment="1" applyProtection="1">
      <alignment horizontal="left" vertical="center"/>
      <protection hidden="1"/>
    </xf>
    <xf numFmtId="179" fontId="35" fillId="27" borderId="26" xfId="0" applyNumberFormat="1" applyFont="1" applyFill="1" applyBorder="1" applyAlignment="1" applyProtection="1">
      <alignment horizontal="center" vertical="center"/>
      <protection hidden="1"/>
    </xf>
    <xf numFmtId="191" fontId="224" fillId="27" borderId="26" xfId="0" applyNumberFormat="1" applyFont="1" applyFill="1" applyBorder="1" applyAlignment="1" applyProtection="1">
      <alignment horizontal="center" vertical="center"/>
      <protection hidden="1"/>
    </xf>
    <xf numFmtId="191" fontId="35" fillId="27" borderId="26" xfId="0" applyNumberFormat="1" applyFont="1" applyFill="1" applyBorder="1" applyAlignment="1" applyProtection="1">
      <alignment horizontal="center" vertical="center"/>
      <protection hidden="1"/>
    </xf>
    <xf numFmtId="40" fontId="30" fillId="27" borderId="26" xfId="35" applyNumberFormat="1" applyFont="1" applyFill="1" applyBorder="1" applyAlignment="1" applyProtection="1">
      <alignment horizontal="center"/>
      <protection hidden="1"/>
    </xf>
    <xf numFmtId="38" fontId="30" fillId="27" borderId="26" xfId="35" applyFont="1" applyFill="1" applyBorder="1" applyAlignment="1" applyProtection="1">
      <alignment horizontal="center"/>
      <protection hidden="1"/>
    </xf>
    <xf numFmtId="2" fontId="30" fillId="27" borderId="26" xfId="35" applyNumberFormat="1" applyFont="1" applyFill="1" applyBorder="1" applyAlignment="1" applyProtection="1">
      <alignment horizontal="center"/>
      <protection hidden="1"/>
    </xf>
    <xf numFmtId="191" fontId="223" fillId="27" borderId="10" xfId="35" applyNumberFormat="1" applyFont="1" applyFill="1" applyBorder="1" applyAlignment="1" applyProtection="1">
      <alignment horizontal="center"/>
      <protection hidden="1"/>
    </xf>
    <xf numFmtId="38" fontId="35" fillId="27" borderId="26" xfId="35" applyFont="1" applyFill="1" applyBorder="1" applyAlignment="1" applyProtection="1">
      <alignment horizontal="center" vertical="center"/>
      <protection hidden="1"/>
    </xf>
    <xf numFmtId="38" fontId="35" fillId="27" borderId="27" xfId="35" applyFont="1" applyFill="1" applyBorder="1" applyAlignment="1" applyProtection="1">
      <alignment horizontal="center" vertical="center"/>
      <protection hidden="1"/>
    </xf>
    <xf numFmtId="0" fontId="35" fillId="27" borderId="53" xfId="0" applyFont="1" applyFill="1" applyBorder="1" applyAlignment="1" applyProtection="1">
      <alignment horizontal="left" vertical="center" shrinkToFit="1"/>
      <protection hidden="1"/>
    </xf>
    <xf numFmtId="0" fontId="35" fillId="41" borderId="53" xfId="0" applyFont="1" applyFill="1" applyBorder="1" applyAlignment="1" applyProtection="1">
      <alignment horizontal="left" vertical="center"/>
      <protection hidden="1"/>
    </xf>
    <xf numFmtId="38" fontId="35" fillId="41" borderId="26" xfId="35" applyFont="1" applyFill="1" applyBorder="1" applyAlignment="1" applyProtection="1">
      <alignment horizontal="center" vertical="center"/>
      <protection hidden="1"/>
    </xf>
    <xf numFmtId="191" fontId="222" fillId="27" borderId="26" xfId="35" applyNumberFormat="1" applyFont="1" applyFill="1" applyBorder="1" applyAlignment="1" applyProtection="1">
      <alignment horizontal="center"/>
      <protection hidden="1"/>
    </xf>
    <xf numFmtId="191" fontId="30" fillId="27" borderId="26" xfId="35" applyNumberFormat="1" applyFont="1" applyFill="1" applyBorder="1" applyAlignment="1" applyProtection="1">
      <alignment horizontal="center"/>
      <protection hidden="1"/>
    </xf>
    <xf numFmtId="188" fontId="30" fillId="27" borderId="10" xfId="0" applyNumberFormat="1" applyFont="1" applyFill="1" applyBorder="1">
      <alignment vertical="center"/>
    </xf>
    <xf numFmtId="0" fontId="223" fillId="27" borderId="10" xfId="0" applyFont="1" applyFill="1" applyBorder="1" applyAlignment="1" applyProtection="1">
      <alignment horizontal="left" vertical="center" shrinkToFit="1"/>
      <protection hidden="1"/>
    </xf>
    <xf numFmtId="0" fontId="35" fillId="27" borderId="10" xfId="0" applyFont="1" applyFill="1" applyBorder="1">
      <alignment vertical="center"/>
    </xf>
    <xf numFmtId="2" fontId="225" fillId="27" borderId="10" xfId="0" applyNumberFormat="1" applyFont="1" applyFill="1" applyBorder="1" applyAlignment="1" applyProtection="1">
      <alignment horizontal="left" vertical="center" shrinkToFit="1"/>
      <protection hidden="1"/>
    </xf>
    <xf numFmtId="40" fontId="35" fillId="27" borderId="10" xfId="35" applyNumberFormat="1" applyFont="1" applyFill="1" applyBorder="1" applyAlignment="1" applyProtection="1">
      <alignment horizontal="center"/>
      <protection hidden="1"/>
    </xf>
    <xf numFmtId="40" fontId="35" fillId="27" borderId="27" xfId="35" applyNumberFormat="1" applyFont="1" applyFill="1" applyBorder="1" applyAlignment="1" applyProtection="1">
      <alignment horizontal="center"/>
      <protection hidden="1"/>
    </xf>
    <xf numFmtId="2" fontId="35" fillId="27" borderId="10" xfId="0" applyNumberFormat="1" applyFont="1" applyFill="1" applyBorder="1" applyAlignment="1" applyProtection="1">
      <alignment horizontal="left" vertical="center" shrinkToFit="1"/>
      <protection hidden="1"/>
    </xf>
    <xf numFmtId="38" fontId="35" fillId="27" borderId="10" xfId="35" applyFont="1" applyFill="1" applyBorder="1" applyAlignment="1" applyProtection="1">
      <alignment horizontal="center"/>
      <protection hidden="1"/>
    </xf>
    <xf numFmtId="2" fontId="35" fillId="27" borderId="10" xfId="35" applyNumberFormat="1" applyFont="1" applyFill="1" applyBorder="1" applyAlignment="1" applyProtection="1">
      <alignment horizontal="center"/>
      <protection hidden="1"/>
    </xf>
    <xf numFmtId="2" fontId="35" fillId="27" borderId="27" xfId="35" applyNumberFormat="1" applyFont="1" applyFill="1" applyBorder="1" applyAlignment="1" applyProtection="1">
      <alignment horizontal="center"/>
      <protection hidden="1"/>
    </xf>
    <xf numFmtId="2" fontId="35" fillId="0" borderId="0" xfId="35" applyNumberFormat="1" applyFont="1" applyFill="1" applyBorder="1" applyAlignment="1" applyProtection="1">
      <alignment horizontal="center"/>
      <protection hidden="1"/>
    </xf>
    <xf numFmtId="191" fontId="224" fillId="27" borderId="10" xfId="35" applyNumberFormat="1" applyFont="1" applyFill="1" applyBorder="1" applyAlignment="1" applyProtection="1">
      <alignment horizontal="center"/>
      <protection hidden="1"/>
    </xf>
    <xf numFmtId="191" fontId="224" fillId="27" borderId="27" xfId="35" applyNumberFormat="1" applyFont="1" applyFill="1" applyBorder="1" applyAlignment="1" applyProtection="1">
      <alignment horizontal="center"/>
      <protection hidden="1"/>
    </xf>
    <xf numFmtId="191" fontId="225" fillId="27" borderId="10" xfId="35" applyNumberFormat="1" applyFont="1" applyFill="1" applyBorder="1" applyAlignment="1" applyProtection="1">
      <alignment horizontal="center"/>
      <protection hidden="1"/>
    </xf>
    <xf numFmtId="191" fontId="35" fillId="27" borderId="10" xfId="35" applyNumberFormat="1" applyFont="1" applyFill="1" applyBorder="1" applyAlignment="1" applyProtection="1">
      <alignment horizontal="center"/>
      <protection hidden="1"/>
    </xf>
    <xf numFmtId="191" fontId="35" fillId="27" borderId="27" xfId="35" applyNumberFormat="1" applyFont="1" applyFill="1" applyBorder="1" applyAlignment="1" applyProtection="1">
      <alignment horizontal="center"/>
      <protection hidden="1"/>
    </xf>
    <xf numFmtId="0" fontId="61" fillId="31" borderId="10" xfId="0" applyFont="1" applyFill="1" applyBorder="1" applyAlignment="1" applyProtection="1">
      <alignment horizontal="center" vertical="center"/>
      <protection hidden="1"/>
    </xf>
    <xf numFmtId="0" fontId="61" fillId="34" borderId="10" xfId="0" applyFont="1" applyFill="1" applyBorder="1" applyAlignment="1" applyProtection="1">
      <alignment horizontal="center" vertical="center" shrinkToFit="1"/>
      <protection hidden="1"/>
    </xf>
    <xf numFmtId="40" fontId="30" fillId="34" borderId="27" xfId="0" applyNumberFormat="1" applyFont="1" applyFill="1" applyBorder="1" applyAlignment="1" applyProtection="1">
      <alignment horizontal="center" vertical="top"/>
      <protection hidden="1"/>
    </xf>
    <xf numFmtId="40" fontId="30" fillId="34" borderId="10" xfId="0" applyNumberFormat="1" applyFont="1" applyFill="1" applyBorder="1" applyAlignment="1" applyProtection="1">
      <alignment horizontal="center" vertical="top"/>
      <protection hidden="1"/>
    </xf>
    <xf numFmtId="191" fontId="222" fillId="34" borderId="10" xfId="35" applyNumberFormat="1" applyFont="1" applyFill="1" applyBorder="1" applyAlignment="1" applyProtection="1">
      <alignment horizontal="center" vertical="top"/>
      <protection hidden="1"/>
    </xf>
    <xf numFmtId="191" fontId="222" fillId="34" borderId="26" xfId="35" applyNumberFormat="1" applyFont="1" applyFill="1" applyBorder="1" applyAlignment="1" applyProtection="1">
      <alignment horizontal="center" vertical="top"/>
      <protection hidden="1"/>
    </xf>
    <xf numFmtId="191" fontId="222" fillId="34" borderId="27" xfId="0" applyNumberFormat="1" applyFont="1" applyFill="1" applyBorder="1" applyAlignment="1" applyProtection="1">
      <alignment horizontal="center" vertical="top"/>
      <protection hidden="1"/>
    </xf>
    <xf numFmtId="191" fontId="222" fillId="34" borderId="10" xfId="0" applyNumberFormat="1" applyFont="1" applyFill="1" applyBorder="1" applyAlignment="1" applyProtection="1">
      <alignment horizontal="center" vertical="top"/>
      <protection hidden="1"/>
    </xf>
    <xf numFmtId="191" fontId="30" fillId="34" borderId="10" xfId="35" applyNumberFormat="1" applyFont="1" applyFill="1" applyBorder="1" applyAlignment="1" applyProtection="1">
      <alignment horizontal="center" vertical="top"/>
      <protection hidden="1"/>
    </xf>
    <xf numFmtId="191" fontId="30" fillId="34" borderId="26" xfId="35" applyNumberFormat="1" applyFont="1" applyFill="1" applyBorder="1" applyAlignment="1" applyProtection="1">
      <alignment horizontal="center" vertical="top"/>
      <protection hidden="1"/>
    </xf>
    <xf numFmtId="191" fontId="30" fillId="34" borderId="27" xfId="0" applyNumberFormat="1" applyFont="1" applyFill="1" applyBorder="1" applyAlignment="1" applyProtection="1">
      <alignment horizontal="center" vertical="top"/>
      <protection hidden="1"/>
    </xf>
    <xf numFmtId="191" fontId="30" fillId="34" borderId="10" xfId="0" applyNumberFormat="1" applyFont="1" applyFill="1" applyBorder="1" applyAlignment="1" applyProtection="1">
      <alignment horizontal="center" vertical="top"/>
      <protection hidden="1"/>
    </xf>
    <xf numFmtId="187" fontId="30" fillId="31" borderId="10" xfId="35" applyNumberFormat="1" applyFont="1" applyFill="1" applyBorder="1" applyAlignment="1" applyProtection="1">
      <alignment horizontal="right" vertical="center"/>
      <protection hidden="1"/>
    </xf>
    <xf numFmtId="2" fontId="30" fillId="49" borderId="10" xfId="35" applyNumberFormat="1" applyFont="1" applyFill="1" applyBorder="1" applyAlignment="1" applyProtection="1">
      <alignment horizontal="center" vertical="center"/>
      <protection hidden="1"/>
    </xf>
    <xf numFmtId="0" fontId="30" fillId="27" borderId="10" xfId="0" quotePrefix="1" applyFont="1" applyFill="1" applyBorder="1" applyAlignment="1" applyProtection="1">
      <alignment horizontal="left" vertical="center"/>
      <protection hidden="1"/>
    </xf>
    <xf numFmtId="191" fontId="222" fillId="27" borderId="10" xfId="35" applyNumberFormat="1" applyFont="1" applyFill="1" applyBorder="1" applyAlignment="1" applyProtection="1">
      <alignment horizontal="center" vertical="center"/>
      <protection hidden="1"/>
    </xf>
    <xf numFmtId="188" fontId="35" fillId="27" borderId="10" xfId="0" applyNumberFormat="1" applyFont="1" applyFill="1" applyBorder="1">
      <alignment vertical="center"/>
    </xf>
    <xf numFmtId="203" fontId="30" fillId="27" borderId="10" xfId="35" applyNumberFormat="1" applyFont="1" applyFill="1" applyBorder="1" applyAlignment="1" applyProtection="1">
      <alignment horizontal="center" vertical="center"/>
      <protection hidden="1"/>
    </xf>
    <xf numFmtId="2" fontId="35" fillId="49" borderId="10" xfId="35" applyNumberFormat="1" applyFont="1" applyFill="1" applyBorder="1" applyAlignment="1" applyProtection="1">
      <alignment horizontal="center" vertical="center"/>
      <protection hidden="1"/>
    </xf>
    <xf numFmtId="38" fontId="227" fillId="27" borderId="10" xfId="35" applyFont="1" applyFill="1" applyBorder="1" applyAlignment="1" applyProtection="1">
      <alignment horizontal="center" vertical="center"/>
      <protection hidden="1"/>
    </xf>
    <xf numFmtId="2" fontId="227" fillId="27" borderId="27" xfId="35" applyNumberFormat="1" applyFont="1" applyFill="1" applyBorder="1" applyAlignment="1" applyProtection="1">
      <alignment horizontal="center" vertical="center"/>
      <protection hidden="1"/>
    </xf>
    <xf numFmtId="2" fontId="227" fillId="49" borderId="27" xfId="35" applyNumberFormat="1" applyFont="1" applyFill="1" applyBorder="1" applyAlignment="1" applyProtection="1">
      <alignment horizontal="center" vertical="center"/>
      <protection hidden="1"/>
    </xf>
    <xf numFmtId="191" fontId="222" fillId="27" borderId="27" xfId="35" applyNumberFormat="1" applyFont="1" applyFill="1" applyBorder="1" applyAlignment="1" applyProtection="1">
      <alignment horizontal="center" vertical="center"/>
      <protection hidden="1"/>
    </xf>
    <xf numFmtId="2" fontId="227" fillId="27" borderId="10" xfId="35" applyNumberFormat="1" applyFont="1" applyFill="1" applyBorder="1" applyAlignment="1" applyProtection="1">
      <alignment horizontal="center" vertical="center"/>
      <protection hidden="1"/>
    </xf>
    <xf numFmtId="2" fontId="227" fillId="49" borderId="10" xfId="35" applyNumberFormat="1" applyFont="1" applyFill="1" applyBorder="1" applyAlignment="1" applyProtection="1">
      <alignment horizontal="center" vertical="center"/>
      <protection hidden="1"/>
    </xf>
    <xf numFmtId="2" fontId="35" fillId="46" borderId="10" xfId="35" applyNumberFormat="1" applyFont="1" applyFill="1" applyBorder="1" applyAlignment="1" applyProtection="1">
      <alignment horizontal="center" vertical="center"/>
      <protection hidden="1"/>
    </xf>
    <xf numFmtId="0" fontId="35" fillId="27" borderId="10" xfId="0" quotePrefix="1" applyFont="1" applyFill="1" applyBorder="1" applyAlignment="1" applyProtection="1">
      <alignment horizontal="left" vertical="center"/>
      <protection hidden="1"/>
    </xf>
    <xf numFmtId="49" fontId="35" fillId="27" borderId="10" xfId="0" quotePrefix="1" applyNumberFormat="1" applyFont="1" applyFill="1" applyBorder="1" applyAlignment="1" applyProtection="1">
      <alignment horizontal="left" vertical="center"/>
      <protection hidden="1"/>
    </xf>
    <xf numFmtId="2" fontId="228" fillId="27" borderId="10" xfId="35" applyNumberFormat="1" applyFont="1" applyFill="1" applyBorder="1" applyAlignment="1" applyProtection="1">
      <alignment horizontal="center" vertical="center"/>
      <protection hidden="1"/>
    </xf>
    <xf numFmtId="49" fontId="228" fillId="27" borderId="10" xfId="0" applyNumberFormat="1" applyFont="1" applyFill="1" applyBorder="1" applyAlignment="1" applyProtection="1">
      <alignment horizontal="left" vertical="center"/>
      <protection hidden="1"/>
    </xf>
    <xf numFmtId="0" fontId="228" fillId="27" borderId="10" xfId="0" applyFont="1" applyFill="1" applyBorder="1" applyAlignment="1" applyProtection="1">
      <alignment horizontal="left" vertical="center" shrinkToFit="1"/>
      <protection hidden="1"/>
    </xf>
    <xf numFmtId="0" fontId="30" fillId="31" borderId="10" xfId="0" applyFont="1" applyFill="1" applyBorder="1" applyProtection="1">
      <alignment vertical="center"/>
      <protection hidden="1"/>
    </xf>
    <xf numFmtId="40" fontId="30" fillId="31" borderId="26" xfId="35" applyNumberFormat="1" applyFont="1" applyFill="1" applyBorder="1" applyAlignment="1" applyProtection="1">
      <alignment horizontal="center" vertical="center"/>
      <protection hidden="1"/>
    </xf>
    <xf numFmtId="40" fontId="30" fillId="31" borderId="27" xfId="0" applyNumberFormat="1" applyFont="1" applyFill="1" applyBorder="1" applyAlignment="1" applyProtection="1">
      <alignment horizontal="center"/>
      <protection hidden="1"/>
    </xf>
    <xf numFmtId="40" fontId="30" fillId="31" borderId="10" xfId="0" applyNumberFormat="1" applyFont="1" applyFill="1" applyBorder="1" applyAlignment="1" applyProtection="1">
      <alignment horizontal="center"/>
      <protection hidden="1"/>
    </xf>
    <xf numFmtId="49" fontId="30" fillId="31" borderId="10" xfId="0" applyNumberFormat="1" applyFont="1" applyFill="1" applyBorder="1" applyProtection="1">
      <alignment vertical="center"/>
      <protection hidden="1"/>
    </xf>
    <xf numFmtId="2" fontId="30" fillId="31" borderId="26" xfId="35" applyNumberFormat="1" applyFont="1" applyFill="1" applyBorder="1" applyAlignment="1" applyProtection="1">
      <alignment horizontal="center" vertical="center"/>
      <protection hidden="1"/>
    </xf>
    <xf numFmtId="2" fontId="30" fillId="31" borderId="27" xfId="0" applyNumberFormat="1" applyFont="1" applyFill="1" applyBorder="1" applyAlignment="1" applyProtection="1">
      <alignment horizontal="center"/>
      <protection hidden="1"/>
    </xf>
    <xf numFmtId="2" fontId="30" fillId="31" borderId="10" xfId="0" applyNumberFormat="1" applyFont="1" applyFill="1" applyBorder="1" applyAlignment="1" applyProtection="1">
      <alignment horizontal="center"/>
      <protection hidden="1"/>
    </xf>
    <xf numFmtId="2" fontId="30" fillId="0" borderId="0" xfId="0" applyNumberFormat="1" applyFont="1" applyAlignment="1" applyProtection="1">
      <alignment horizontal="center"/>
      <protection hidden="1"/>
    </xf>
    <xf numFmtId="191" fontId="30" fillId="31" borderId="27" xfId="0" applyNumberFormat="1" applyFont="1" applyFill="1" applyBorder="1" applyAlignment="1" applyProtection="1">
      <alignment horizontal="center"/>
      <protection hidden="1"/>
    </xf>
    <xf numFmtId="191" fontId="30" fillId="31" borderId="10" xfId="0" applyNumberFormat="1" applyFont="1" applyFill="1" applyBorder="1" applyAlignment="1" applyProtection="1">
      <alignment horizontal="center"/>
      <protection hidden="1"/>
    </xf>
    <xf numFmtId="40" fontId="30" fillId="27" borderId="27" xfId="0" applyNumberFormat="1" applyFont="1" applyFill="1" applyBorder="1" applyAlignment="1" applyProtection="1">
      <alignment horizontal="center"/>
      <protection hidden="1"/>
    </xf>
    <xf numFmtId="40" fontId="30" fillId="27" borderId="10" xfId="0" applyNumberFormat="1" applyFont="1" applyFill="1" applyBorder="1" applyAlignment="1" applyProtection="1">
      <alignment horizontal="center"/>
      <protection hidden="1"/>
    </xf>
    <xf numFmtId="2" fontId="30" fillId="27" borderId="27" xfId="0" applyNumberFormat="1" applyFont="1" applyFill="1" applyBorder="1" applyAlignment="1" applyProtection="1">
      <alignment horizontal="center"/>
      <protection hidden="1"/>
    </xf>
    <xf numFmtId="2" fontId="30" fillId="27" borderId="10" xfId="0" applyNumberFormat="1" applyFont="1" applyFill="1" applyBorder="1" applyAlignment="1" applyProtection="1">
      <alignment horizontal="center"/>
      <protection hidden="1"/>
    </xf>
    <xf numFmtId="191" fontId="222" fillId="27" borderId="27" xfId="0" applyNumberFormat="1" applyFont="1" applyFill="1" applyBorder="1" applyAlignment="1" applyProtection="1">
      <alignment horizontal="center"/>
      <protection hidden="1"/>
    </xf>
    <xf numFmtId="191" fontId="222" fillId="27" borderId="10" xfId="0" applyNumberFormat="1" applyFont="1" applyFill="1" applyBorder="1" applyAlignment="1" applyProtection="1">
      <alignment horizontal="center"/>
      <protection hidden="1"/>
    </xf>
    <xf numFmtId="191" fontId="30" fillId="27" borderId="27" xfId="0" applyNumberFormat="1" applyFont="1" applyFill="1" applyBorder="1" applyAlignment="1" applyProtection="1">
      <alignment horizontal="center"/>
      <protection hidden="1"/>
    </xf>
    <xf numFmtId="191" fontId="30" fillId="27" borderId="10" xfId="0" applyNumberFormat="1" applyFont="1" applyFill="1" applyBorder="1" applyAlignment="1" applyProtection="1">
      <alignment horizontal="center"/>
      <protection hidden="1"/>
    </xf>
    <xf numFmtId="40" fontId="35" fillId="27" borderId="27" xfId="0" applyNumberFormat="1" applyFont="1" applyFill="1" applyBorder="1" applyAlignment="1" applyProtection="1">
      <alignment horizontal="center"/>
      <protection hidden="1"/>
    </xf>
    <xf numFmtId="2" fontId="35" fillId="27" borderId="27" xfId="0" applyNumberFormat="1" applyFont="1" applyFill="1" applyBorder="1" applyAlignment="1" applyProtection="1">
      <alignment horizontal="center"/>
      <protection hidden="1"/>
    </xf>
    <xf numFmtId="191" fontId="224" fillId="27" borderId="27" xfId="0" applyNumberFormat="1" applyFont="1" applyFill="1" applyBorder="1" applyAlignment="1" applyProtection="1">
      <alignment horizontal="center"/>
      <protection hidden="1"/>
    </xf>
    <xf numFmtId="191" fontId="35" fillId="27" borderId="27" xfId="0" applyNumberFormat="1" applyFont="1" applyFill="1" applyBorder="1" applyAlignment="1" applyProtection="1">
      <alignment horizontal="center"/>
      <protection hidden="1"/>
    </xf>
    <xf numFmtId="196" fontId="30" fillId="27" borderId="27" xfId="0" applyNumberFormat="1" applyFont="1" applyFill="1" applyBorder="1" applyAlignment="1" applyProtection="1">
      <alignment horizontal="center"/>
      <protection hidden="1"/>
    </xf>
    <xf numFmtId="191" fontId="222" fillId="31" borderId="27" xfId="0" applyNumberFormat="1" applyFont="1" applyFill="1" applyBorder="1" applyAlignment="1" applyProtection="1">
      <alignment horizontal="center"/>
      <protection hidden="1"/>
    </xf>
    <xf numFmtId="191" fontId="222" fillId="31" borderId="10" xfId="0" applyNumberFormat="1" applyFont="1" applyFill="1" applyBorder="1" applyAlignment="1" applyProtection="1">
      <alignment horizontal="center"/>
      <protection hidden="1"/>
    </xf>
    <xf numFmtId="49" fontId="30" fillId="27" borderId="10" xfId="0" applyNumberFormat="1" applyFont="1" applyFill="1" applyBorder="1" applyProtection="1">
      <alignment vertical="center"/>
      <protection hidden="1"/>
    </xf>
    <xf numFmtId="49" fontId="35" fillId="27" borderId="10" xfId="0" applyNumberFormat="1" applyFont="1" applyFill="1" applyBorder="1" applyProtection="1">
      <alignment vertical="center"/>
      <protection hidden="1"/>
    </xf>
    <xf numFmtId="0" fontId="35" fillId="27" borderId="10" xfId="0" applyFont="1" applyFill="1" applyBorder="1" applyProtection="1">
      <alignment vertical="center"/>
      <protection hidden="1"/>
    </xf>
    <xf numFmtId="0" fontId="35" fillId="27" borderId="50" xfId="0" applyFont="1" applyFill="1" applyBorder="1" applyAlignment="1" applyProtection="1">
      <alignment horizontal="left" vertical="center" shrinkToFit="1"/>
      <protection hidden="1"/>
    </xf>
    <xf numFmtId="0" fontId="35" fillId="27" borderId="26" xfId="0" applyFont="1" applyFill="1" applyBorder="1" applyAlignment="1" applyProtection="1">
      <alignment horizontal="left" vertical="center" shrinkToFit="1"/>
      <protection hidden="1"/>
    </xf>
    <xf numFmtId="0" fontId="225" fillId="27" borderId="26" xfId="0" applyFont="1" applyFill="1" applyBorder="1" applyAlignment="1" applyProtection="1">
      <alignment horizontal="left" vertical="center" shrinkToFit="1"/>
      <protection hidden="1"/>
    </xf>
    <xf numFmtId="0" fontId="153" fillId="27" borderId="10" xfId="0" applyFont="1" applyFill="1" applyBorder="1" applyAlignment="1" applyProtection="1">
      <alignment horizontal="left" vertical="center" shrinkToFit="1"/>
      <protection hidden="1"/>
    </xf>
    <xf numFmtId="0" fontId="150" fillId="27" borderId="10" xfId="0" applyFont="1" applyFill="1" applyBorder="1" applyAlignment="1" applyProtection="1">
      <alignment horizontal="left" vertical="center" shrinkToFit="1"/>
      <protection hidden="1"/>
    </xf>
    <xf numFmtId="17" fontId="35" fillId="0" borderId="10" xfId="0" applyNumberFormat="1" applyFont="1" applyBorder="1" applyAlignment="1" applyProtection="1">
      <alignment horizontal="right" vertical="center"/>
      <protection locked="0"/>
    </xf>
    <xf numFmtId="0" fontId="229" fillId="31" borderId="51" xfId="0" applyFont="1" applyFill="1" applyBorder="1" applyAlignment="1">
      <alignment horizontal="center" vertical="center" wrapText="1"/>
    </xf>
    <xf numFmtId="0" fontId="226" fillId="31" borderId="51" xfId="0" applyFont="1" applyFill="1" applyBorder="1" applyAlignment="1">
      <alignment horizontal="center" vertical="center" wrapText="1"/>
    </xf>
    <xf numFmtId="0" fontId="215" fillId="27" borderId="24" xfId="0" applyFont="1" applyFill="1" applyBorder="1" applyAlignment="1" applyProtection="1">
      <protection hidden="1"/>
    </xf>
    <xf numFmtId="0" fontId="62" fillId="0" borderId="77" xfId="0" applyFont="1" applyBorder="1" applyProtection="1">
      <alignment vertical="center"/>
      <protection hidden="1"/>
    </xf>
    <xf numFmtId="0" fontId="231" fillId="0" borderId="0" xfId="44" applyFont="1"/>
    <xf numFmtId="0" fontId="61" fillId="0" borderId="0" xfId="44" applyFont="1" applyAlignment="1">
      <alignment vertical="center"/>
    </xf>
    <xf numFmtId="0" fontId="35" fillId="40" borderId="26" xfId="44" applyFont="1" applyFill="1" applyBorder="1" applyAlignment="1">
      <alignment horizontal="left"/>
    </xf>
    <xf numFmtId="0" fontId="35" fillId="40" borderId="50" xfId="44" applyFont="1" applyFill="1" applyBorder="1" applyAlignment="1">
      <alignment horizontal="center"/>
    </xf>
    <xf numFmtId="0" fontId="35" fillId="40" borderId="50" xfId="44" applyFont="1" applyFill="1" applyBorder="1" applyAlignment="1">
      <alignment horizontal="left"/>
    </xf>
    <xf numFmtId="0" fontId="35" fillId="40" borderId="26" xfId="44" applyFont="1" applyFill="1" applyBorder="1" applyAlignment="1" applyProtection="1">
      <alignment horizontal="left" vertical="center"/>
      <protection hidden="1"/>
    </xf>
    <xf numFmtId="0" fontId="35" fillId="40" borderId="27" xfId="44" applyFont="1" applyFill="1" applyBorder="1" applyAlignment="1">
      <alignment horizontal="left"/>
    </xf>
    <xf numFmtId="0" fontId="35" fillId="27" borderId="26" xfId="44" applyFont="1" applyFill="1" applyBorder="1"/>
    <xf numFmtId="0" fontId="35" fillId="27" borderId="50" xfId="44" applyFont="1" applyFill="1" applyBorder="1" applyAlignment="1">
      <alignment horizontal="left"/>
    </xf>
    <xf numFmtId="0" fontId="35" fillId="27" borderId="50" xfId="44" applyFont="1" applyFill="1" applyBorder="1"/>
    <xf numFmtId="0" fontId="35" fillId="27" borderId="27" xfId="44" applyFont="1" applyFill="1" applyBorder="1"/>
    <xf numFmtId="0" fontId="35" fillId="31" borderId="10" xfId="44" applyFont="1" applyFill="1" applyBorder="1" applyAlignment="1">
      <alignment horizontal="center"/>
    </xf>
    <xf numFmtId="0" fontId="35" fillId="40" borderId="10" xfId="44" applyFont="1" applyFill="1" applyBorder="1" applyAlignment="1">
      <alignment horizontal="center"/>
    </xf>
    <xf numFmtId="0" fontId="35" fillId="27" borderId="52" xfId="44" applyFont="1" applyFill="1" applyBorder="1"/>
    <xf numFmtId="0" fontId="35" fillId="27" borderId="64" xfId="44" applyFont="1" applyFill="1" applyBorder="1"/>
    <xf numFmtId="0" fontId="35" fillId="31" borderId="64" xfId="44" applyFont="1" applyFill="1" applyBorder="1"/>
    <xf numFmtId="0" fontId="35" fillId="31" borderId="56" xfId="44" applyFont="1" applyFill="1" applyBorder="1"/>
    <xf numFmtId="9" fontId="35" fillId="27" borderId="27" xfId="44" applyNumberFormat="1" applyFont="1" applyFill="1" applyBorder="1"/>
    <xf numFmtId="0" fontId="35" fillId="27" borderId="56" xfId="44" applyFont="1" applyFill="1" applyBorder="1"/>
    <xf numFmtId="0" fontId="35" fillId="0" borderId="0" xfId="44" applyFont="1" applyAlignment="1">
      <alignment vertical="center"/>
    </xf>
    <xf numFmtId="0" fontId="35" fillId="0" borderId="0" xfId="44" applyFont="1"/>
    <xf numFmtId="0" fontId="35" fillId="0" borderId="51" xfId="0" applyFont="1" applyBorder="1" applyAlignment="1">
      <alignment vertical="top"/>
    </xf>
    <xf numFmtId="0" fontId="35" fillId="0" borderId="26" xfId="0" applyFont="1" applyBorder="1" applyAlignment="1">
      <alignment vertical="top"/>
    </xf>
    <xf numFmtId="0" fontId="35" fillId="0" borderId="27" xfId="0" applyFont="1" applyBorder="1" applyAlignment="1">
      <alignment vertical="top"/>
    </xf>
    <xf numFmtId="0" fontId="35" fillId="0" borderId="55" xfId="0" applyFont="1" applyBorder="1" applyAlignment="1">
      <alignment vertical="top"/>
    </xf>
    <xf numFmtId="0" fontId="35" fillId="0" borderId="15" xfId="0" applyFont="1" applyBorder="1" applyAlignment="1">
      <alignment vertical="top"/>
    </xf>
    <xf numFmtId="0" fontId="35" fillId="0" borderId="52" xfId="0" applyFont="1" applyBorder="1" applyAlignment="1">
      <alignment vertical="top"/>
    </xf>
    <xf numFmtId="0" fontId="35" fillId="0" borderId="10" xfId="0" applyFont="1" applyBorder="1" applyAlignment="1">
      <alignment vertical="top"/>
    </xf>
    <xf numFmtId="0" fontId="35" fillId="0" borderId="56" xfId="0" applyFont="1" applyBorder="1" applyAlignment="1">
      <alignment vertical="top"/>
    </xf>
    <xf numFmtId="0" fontId="35" fillId="0" borderId="50" xfId="0" applyFont="1" applyBorder="1" applyAlignment="1">
      <alignment vertical="top"/>
    </xf>
    <xf numFmtId="0" fontId="35" fillId="0" borderId="54" xfId="0" applyFont="1" applyBorder="1" applyAlignment="1">
      <alignment vertical="top"/>
    </xf>
    <xf numFmtId="0" fontId="35" fillId="0" borderId="64" xfId="0" applyFont="1" applyBorder="1" applyAlignment="1">
      <alignment vertical="top"/>
    </xf>
    <xf numFmtId="0" fontId="35" fillId="0" borderId="57" xfId="0" applyFont="1" applyBorder="1" applyAlignment="1">
      <alignment vertical="top"/>
    </xf>
    <xf numFmtId="0" fontId="35" fillId="0" borderId="58" xfId="0" applyFont="1" applyBorder="1" applyAlignment="1">
      <alignment vertical="top"/>
    </xf>
    <xf numFmtId="0" fontId="35" fillId="0" borderId="15" xfId="0" applyFont="1" applyBorder="1">
      <alignment vertical="center"/>
    </xf>
    <xf numFmtId="0" fontId="35" fillId="0" borderId="55" xfId="0" applyFont="1" applyBorder="1">
      <alignment vertical="center"/>
    </xf>
    <xf numFmtId="0" fontId="35" fillId="0" borderId="10" xfId="0" applyFont="1" applyBorder="1" applyAlignment="1">
      <alignment vertical="top" wrapText="1"/>
    </xf>
    <xf numFmtId="0" fontId="35" fillId="0" borderId="26" xfId="0" applyFont="1" applyBorder="1">
      <alignment vertical="center"/>
    </xf>
    <xf numFmtId="0" fontId="35" fillId="0" borderId="50" xfId="0" applyFont="1" applyBorder="1">
      <alignment vertical="center"/>
    </xf>
    <xf numFmtId="0" fontId="35" fillId="0" borderId="10" xfId="0" applyFont="1" applyBorder="1">
      <alignment vertical="center"/>
    </xf>
    <xf numFmtId="0" fontId="32" fillId="0" borderId="0" xfId="44" applyFont="1" applyAlignment="1">
      <alignment horizontal="left"/>
    </xf>
    <xf numFmtId="0" fontId="35" fillId="0" borderId="0" xfId="44" applyFont="1" applyAlignment="1">
      <alignment horizontal="left"/>
    </xf>
    <xf numFmtId="0" fontId="62" fillId="0" borderId="0" xfId="44" applyFont="1"/>
    <xf numFmtId="0" fontId="35" fillId="58" borderId="0" xfId="0" applyFont="1" applyFill="1" applyAlignment="1" applyProtection="1">
      <alignment vertical="center" wrapText="1"/>
      <protection locked="0"/>
    </xf>
    <xf numFmtId="0" fontId="35" fillId="31" borderId="0" xfId="44" applyFont="1" applyFill="1" applyAlignment="1">
      <alignment horizontal="left"/>
    </xf>
    <xf numFmtId="38" fontId="35" fillId="27" borderId="10" xfId="35" applyFont="1" applyFill="1" applyBorder="1" applyAlignment="1">
      <alignment vertical="center" wrapText="1"/>
    </xf>
    <xf numFmtId="0" fontId="35" fillId="27" borderId="10" xfId="0" applyFont="1" applyFill="1" applyBorder="1" applyAlignment="1">
      <alignment vertical="center" wrapText="1"/>
    </xf>
    <xf numFmtId="38" fontId="35" fillId="0" borderId="0" xfId="35" applyFont="1" applyBorder="1" applyAlignment="1"/>
    <xf numFmtId="0" fontId="232" fillId="30" borderId="59" xfId="0" applyFont="1" applyFill="1" applyBorder="1">
      <alignment vertical="center"/>
    </xf>
    <xf numFmtId="0" fontId="78" fillId="30" borderId="60" xfId="45" applyFont="1" applyFill="1" applyBorder="1" applyAlignment="1" applyProtection="1">
      <alignment vertical="center"/>
      <protection hidden="1"/>
    </xf>
    <xf numFmtId="0" fontId="78" fillId="30" borderId="60" xfId="45" applyFont="1" applyFill="1" applyBorder="1" applyAlignment="1" applyProtection="1">
      <alignment horizontal="left" vertical="center"/>
      <protection hidden="1"/>
    </xf>
    <xf numFmtId="0" fontId="78" fillId="30" borderId="61" xfId="45" applyFont="1" applyFill="1" applyBorder="1" applyAlignment="1" applyProtection="1">
      <alignment vertical="center"/>
      <protection hidden="1"/>
    </xf>
    <xf numFmtId="0" fontId="44" fillId="27" borderId="62" xfId="45" applyFont="1" applyFill="1" applyBorder="1"/>
    <xf numFmtId="0" fontId="44" fillId="27" borderId="0" xfId="45" applyFont="1" applyFill="1" applyAlignment="1" applyProtection="1">
      <alignment vertical="center"/>
      <protection hidden="1"/>
    </xf>
    <xf numFmtId="0" fontId="44" fillId="27" borderId="0" xfId="45" applyFont="1" applyFill="1" applyAlignment="1" applyProtection="1">
      <alignment horizontal="left" vertical="center"/>
      <protection hidden="1"/>
    </xf>
    <xf numFmtId="0" fontId="233" fillId="27" borderId="63" xfId="0" applyFont="1" applyFill="1" applyBorder="1" applyAlignment="1">
      <alignment horizontal="right" vertical="top"/>
    </xf>
    <xf numFmtId="0" fontId="44" fillId="27" borderId="64" xfId="0" applyFont="1" applyFill="1" applyBorder="1">
      <alignment vertical="center"/>
    </xf>
    <xf numFmtId="0" fontId="44" fillId="27" borderId="17" xfId="0" applyFont="1" applyFill="1" applyBorder="1">
      <alignment vertical="center"/>
    </xf>
    <xf numFmtId="0" fontId="44" fillId="0" borderId="10" xfId="0" applyFont="1" applyBorder="1" applyProtection="1">
      <alignment vertical="center"/>
      <protection locked="0"/>
    </xf>
    <xf numFmtId="0" fontId="44" fillId="27" borderId="62" xfId="45" applyFont="1" applyFill="1" applyBorder="1" applyAlignment="1">
      <alignment vertical="center"/>
    </xf>
    <xf numFmtId="0" fontId="44" fillId="27" borderId="63" xfId="0" applyFont="1" applyFill="1" applyBorder="1">
      <alignment vertical="center"/>
    </xf>
    <xf numFmtId="201" fontId="44" fillId="27" borderId="26" xfId="45" applyNumberFormat="1" applyFont="1" applyFill="1" applyBorder="1" applyAlignment="1" applyProtection="1">
      <alignment vertical="center" shrinkToFit="1"/>
      <protection hidden="1"/>
    </xf>
    <xf numFmtId="215" fontId="44" fillId="27" borderId="10" xfId="35" applyNumberFormat="1" applyFont="1" applyFill="1" applyBorder="1" applyAlignment="1" applyProtection="1">
      <alignment horizontal="right" vertical="center" shrinkToFit="1"/>
    </xf>
    <xf numFmtId="0" fontId="44" fillId="27" borderId="10" xfId="45" applyFont="1" applyFill="1" applyBorder="1" applyAlignment="1" applyProtection="1">
      <alignment vertical="center"/>
      <protection hidden="1"/>
    </xf>
    <xf numFmtId="200" fontId="44" fillId="27" borderId="10" xfId="45" applyNumberFormat="1" applyFont="1" applyFill="1" applyBorder="1" applyAlignment="1" applyProtection="1">
      <alignment vertical="center"/>
      <protection hidden="1"/>
    </xf>
    <xf numFmtId="0" fontId="233" fillId="27" borderId="0" xfId="0" applyFont="1" applyFill="1" applyAlignment="1">
      <alignment vertical="top"/>
    </xf>
    <xf numFmtId="0" fontId="44" fillId="27" borderId="26" xfId="45" applyFont="1" applyFill="1" applyBorder="1" applyAlignment="1" applyProtection="1">
      <alignment vertical="center"/>
      <protection locked="0"/>
    </xf>
    <xf numFmtId="0" fontId="44" fillId="27" borderId="62" xfId="45" applyFont="1" applyFill="1" applyBorder="1" applyAlignment="1">
      <alignment horizontal="right" vertical="top"/>
    </xf>
    <xf numFmtId="0" fontId="44" fillId="27" borderId="0" xfId="0" applyFont="1" applyFill="1" applyAlignment="1">
      <alignment vertical="top" wrapText="1"/>
    </xf>
    <xf numFmtId="0" fontId="44" fillId="27" borderId="0" xfId="0" applyFont="1" applyFill="1" applyAlignment="1">
      <alignment vertical="top"/>
    </xf>
    <xf numFmtId="0" fontId="44" fillId="27" borderId="0" xfId="0" applyFont="1" applyFill="1" applyAlignment="1">
      <alignment horizontal="left" vertical="top" wrapText="1"/>
    </xf>
    <xf numFmtId="0" fontId="44" fillId="27" borderId="10" xfId="45" applyFont="1" applyFill="1" applyBorder="1" applyAlignment="1" applyProtection="1">
      <alignment vertical="center"/>
      <protection locked="0"/>
    </xf>
    <xf numFmtId="0" fontId="44" fillId="57" borderId="237" xfId="45" applyFont="1" applyFill="1" applyBorder="1" applyAlignment="1" applyProtection="1">
      <alignment vertical="center"/>
      <protection locked="0"/>
    </xf>
    <xf numFmtId="200" fontId="44" fillId="57" borderId="144" xfId="45" applyNumberFormat="1" applyFont="1" applyFill="1" applyBorder="1" applyAlignment="1" applyProtection="1">
      <alignment vertical="center"/>
      <protection locked="0"/>
    </xf>
    <xf numFmtId="0" fontId="229" fillId="27" borderId="10" xfId="0" applyFont="1" applyFill="1" applyBorder="1" applyAlignment="1">
      <alignment horizontal="center" vertical="center" wrapText="1"/>
    </xf>
    <xf numFmtId="215" fontId="44" fillId="27" borderId="10" xfId="45" applyNumberFormat="1" applyFont="1" applyFill="1" applyBorder="1" applyAlignment="1">
      <alignment vertical="center"/>
    </xf>
    <xf numFmtId="0" fontId="44" fillId="27" borderId="65" xfId="0" applyFont="1" applyFill="1" applyBorder="1">
      <alignment vertical="center"/>
    </xf>
    <xf numFmtId="0" fontId="44" fillId="27" borderId="66" xfId="0" applyFont="1" applyFill="1" applyBorder="1">
      <alignment vertical="center"/>
    </xf>
    <xf numFmtId="0" fontId="44" fillId="27" borderId="67" xfId="0" applyFont="1" applyFill="1" applyBorder="1">
      <alignment vertical="center"/>
    </xf>
    <xf numFmtId="0" fontId="44" fillId="27" borderId="56" xfId="0" applyFont="1" applyFill="1" applyBorder="1">
      <alignment vertical="center"/>
    </xf>
    <xf numFmtId="0" fontId="44" fillId="27" borderId="57" xfId="0" applyFont="1" applyFill="1" applyBorder="1">
      <alignment vertical="center"/>
    </xf>
    <xf numFmtId="0" fontId="44" fillId="27" borderId="58" xfId="0" applyFont="1" applyFill="1" applyBorder="1">
      <alignment vertical="center"/>
    </xf>
    <xf numFmtId="0" fontId="235" fillId="27" borderId="0" xfId="0" applyFont="1" applyFill="1">
      <alignment vertical="center"/>
    </xf>
    <xf numFmtId="0" fontId="236" fillId="27" borderId="64" xfId="0" applyFont="1" applyFill="1" applyBorder="1" applyAlignment="1"/>
    <xf numFmtId="0" fontId="230" fillId="27" borderId="0" xfId="0" applyFont="1" applyFill="1">
      <alignment vertical="center"/>
    </xf>
    <xf numFmtId="0" fontId="30" fillId="0" borderId="0" xfId="44" applyFont="1" applyAlignment="1">
      <alignment vertical="center"/>
    </xf>
    <xf numFmtId="0" fontId="35" fillId="40" borderId="27" xfId="44" applyFont="1" applyFill="1" applyBorder="1"/>
    <xf numFmtId="0" fontId="35" fillId="31" borderId="0" xfId="44" applyFont="1" applyFill="1" applyAlignment="1">
      <alignment vertical="center"/>
    </xf>
    <xf numFmtId="0" fontId="35" fillId="31" borderId="26" xfId="44" applyFont="1" applyFill="1" applyBorder="1" applyAlignment="1">
      <alignment horizontal="center"/>
    </xf>
    <xf numFmtId="0" fontId="35" fillId="27" borderId="53" xfId="44" applyFont="1" applyFill="1" applyBorder="1" applyAlignment="1">
      <alignment horizontal="left"/>
    </xf>
    <xf numFmtId="178" fontId="239" fillId="0" borderId="10" xfId="44" applyNumberFormat="1" applyFont="1" applyBorder="1"/>
    <xf numFmtId="178" fontId="35" fillId="0" borderId="10" xfId="44" applyNumberFormat="1" applyFont="1" applyBorder="1"/>
    <xf numFmtId="0" fontId="35" fillId="31" borderId="52" xfId="44" applyFont="1" applyFill="1" applyBorder="1" applyAlignment="1">
      <alignment horizontal="center"/>
    </xf>
    <xf numFmtId="0" fontId="35" fillId="31" borderId="26" xfId="0" applyFont="1" applyFill="1" applyBorder="1">
      <alignment vertical="center"/>
    </xf>
    <xf numFmtId="9" fontId="35" fillId="31" borderId="27" xfId="44" applyNumberFormat="1" applyFont="1" applyFill="1" applyBorder="1"/>
    <xf numFmtId="0" fontId="35" fillId="31" borderId="15" xfId="44" applyFont="1" applyFill="1" applyBorder="1" applyAlignment="1">
      <alignment horizontal="center"/>
    </xf>
    <xf numFmtId="0" fontId="35" fillId="31" borderId="55" xfId="44" applyFont="1" applyFill="1" applyBorder="1" applyAlignment="1">
      <alignment horizontal="center"/>
    </xf>
    <xf numFmtId="0" fontId="35" fillId="31" borderId="0" xfId="44" applyFont="1" applyFill="1" applyAlignment="1">
      <alignment horizontal="center"/>
    </xf>
    <xf numFmtId="178" fontId="35" fillId="0" borderId="0" xfId="44" applyNumberFormat="1" applyFont="1"/>
    <xf numFmtId="178" fontId="239" fillId="0" borderId="0" xfId="44" applyNumberFormat="1" applyFont="1"/>
    <xf numFmtId="0" fontId="35" fillId="31" borderId="17" xfId="44" applyFont="1" applyFill="1" applyBorder="1" applyAlignment="1">
      <alignment horizontal="left"/>
    </xf>
    <xf numFmtId="0" fontId="35" fillId="31" borderId="57" xfId="44" applyFont="1" applyFill="1" applyBorder="1" applyAlignment="1">
      <alignment horizontal="left"/>
    </xf>
    <xf numFmtId="0" fontId="35" fillId="0" borderId="53" xfId="44" applyFont="1" applyBorder="1"/>
    <xf numFmtId="0" fontId="35" fillId="27" borderId="10" xfId="44" applyFont="1" applyFill="1" applyBorder="1" applyAlignment="1">
      <alignment horizontal="center"/>
    </xf>
    <xf numFmtId="0" fontId="35" fillId="27" borderId="53" xfId="44" applyFont="1" applyFill="1" applyBorder="1"/>
    <xf numFmtId="189" fontId="35" fillId="27" borderId="54" xfId="44" applyNumberFormat="1" applyFont="1" applyFill="1" applyBorder="1" applyAlignment="1">
      <alignment horizontal="left"/>
    </xf>
    <xf numFmtId="0" fontId="35" fillId="27" borderId="0" xfId="44" applyFont="1" applyFill="1" applyAlignment="1">
      <alignment horizontal="center"/>
    </xf>
    <xf numFmtId="40" fontId="35" fillId="0" borderId="10" xfId="35" applyNumberFormat="1" applyFont="1" applyFill="1" applyBorder="1" applyAlignment="1"/>
    <xf numFmtId="0" fontId="35" fillId="27" borderId="26" xfId="0" applyFont="1" applyFill="1" applyBorder="1">
      <alignment vertical="center"/>
    </xf>
    <xf numFmtId="9" fontId="35" fillId="31" borderId="50" xfId="0" applyNumberFormat="1" applyFont="1" applyFill="1" applyBorder="1">
      <alignment vertical="center"/>
    </xf>
    <xf numFmtId="9" fontId="35" fillId="31" borderId="15" xfId="44" applyNumberFormat="1" applyFont="1" applyFill="1" applyBorder="1" applyAlignment="1">
      <alignment horizontal="center"/>
    </xf>
    <xf numFmtId="40" fontId="228" fillId="0" borderId="10" xfId="35" applyNumberFormat="1" applyFont="1" applyFill="1" applyBorder="1" applyAlignment="1"/>
    <xf numFmtId="40" fontId="35" fillId="0" borderId="51" xfId="35" applyNumberFormat="1" applyFont="1" applyFill="1" applyBorder="1" applyAlignment="1"/>
    <xf numFmtId="40" fontId="35" fillId="0" borderId="0" xfId="35" applyNumberFormat="1" applyFont="1" applyFill="1" applyBorder="1" applyAlignment="1"/>
    <xf numFmtId="0" fontId="35" fillId="27" borderId="50" xfId="44" applyFont="1" applyFill="1" applyBorder="1" applyAlignment="1">
      <alignment horizontal="center"/>
    </xf>
    <xf numFmtId="9" fontId="35" fillId="31" borderId="53" xfId="0" applyNumberFormat="1" applyFont="1" applyFill="1" applyBorder="1">
      <alignment vertical="center"/>
    </xf>
    <xf numFmtId="40" fontId="35" fillId="25" borderId="51" xfId="35" applyNumberFormat="1" applyFont="1" applyFill="1" applyBorder="1" applyAlignment="1"/>
    <xf numFmtId="40" fontId="35" fillId="25" borderId="0" xfId="35" applyNumberFormat="1" applyFont="1" applyFill="1" applyBorder="1" applyAlignment="1"/>
    <xf numFmtId="0" fontId="35" fillId="0" borderId="53" xfId="44" applyFont="1" applyBorder="1" applyAlignment="1">
      <alignment horizontal="left"/>
    </xf>
    <xf numFmtId="0" fontId="35" fillId="0" borderId="0" xfId="44" applyFont="1" applyAlignment="1">
      <alignment horizontal="right"/>
    </xf>
    <xf numFmtId="198" fontId="35" fillId="0" borderId="26" xfId="44" applyNumberFormat="1" applyFont="1" applyBorder="1"/>
    <xf numFmtId="0" fontId="35" fillId="0" borderId="52" xfId="44" applyFont="1" applyBorder="1"/>
    <xf numFmtId="0" fontId="35" fillId="0" borderId="53" xfId="44" applyFont="1" applyBorder="1" applyAlignment="1">
      <alignment horizontal="right"/>
    </xf>
    <xf numFmtId="0" fontId="35" fillId="0" borderId="54" xfId="44" applyFont="1" applyBorder="1"/>
    <xf numFmtId="0" fontId="35" fillId="0" borderId="64" xfId="44" applyFont="1" applyBorder="1"/>
    <xf numFmtId="0" fontId="32" fillId="0" borderId="0" xfId="44" applyFont="1"/>
    <xf numFmtId="0" fontId="35" fillId="0" borderId="17" xfId="44" applyFont="1" applyBorder="1"/>
    <xf numFmtId="0" fontId="32" fillId="0" borderId="64" xfId="44" applyFont="1" applyBorder="1"/>
    <xf numFmtId="0" fontId="153" fillId="0" borderId="0" xfId="0" applyFont="1">
      <alignment vertical="center"/>
    </xf>
    <xf numFmtId="196" fontId="35" fillId="0" borderId="0" xfId="44" applyNumberFormat="1" applyFont="1"/>
    <xf numFmtId="0" fontId="32" fillId="0" borderId="56" xfId="44" applyFont="1" applyBorder="1"/>
    <xf numFmtId="0" fontId="35" fillId="0" borderId="57" xfId="44" applyFont="1" applyBorder="1"/>
    <xf numFmtId="0" fontId="35" fillId="0" borderId="58" xfId="44" applyFont="1" applyBorder="1"/>
    <xf numFmtId="198" fontId="32" fillId="0" borderId="0" xfId="44" applyNumberFormat="1" applyFont="1" applyAlignment="1">
      <alignment horizontal="right" vertical="top"/>
    </xf>
    <xf numFmtId="0" fontId="35" fillId="0" borderId="0" xfId="0" applyFont="1">
      <alignment vertical="center"/>
    </xf>
    <xf numFmtId="198" fontId="35" fillId="0" borderId="0" xfId="44" applyNumberFormat="1" applyFont="1"/>
    <xf numFmtId="0" fontId="35" fillId="0" borderId="0" xfId="0" applyFont="1" applyAlignment="1"/>
    <xf numFmtId="207" fontId="35" fillId="0" borderId="10" xfId="44" applyNumberFormat="1" applyFont="1" applyBorder="1"/>
    <xf numFmtId="207" fontId="35" fillId="0" borderId="0" xfId="44" applyNumberFormat="1" applyFont="1"/>
    <xf numFmtId="0" fontId="35" fillId="0" borderId="53" xfId="0" applyFont="1" applyBorder="1" applyAlignment="1">
      <alignment vertical="top"/>
    </xf>
    <xf numFmtId="0" fontId="35" fillId="0" borderId="50" xfId="0" applyFont="1" applyBorder="1" applyAlignment="1">
      <alignment vertical="top" wrapText="1"/>
    </xf>
    <xf numFmtId="0" fontId="35" fillId="0" borderId="27" xfId="0" applyFont="1" applyBorder="1" applyAlignment="1">
      <alignment vertical="top" wrapText="1"/>
    </xf>
    <xf numFmtId="0" fontId="35" fillId="0" borderId="27" xfId="0" applyFont="1" applyBorder="1">
      <alignment vertical="center"/>
    </xf>
    <xf numFmtId="0" fontId="32" fillId="0" borderId="10" xfId="44" applyFont="1" applyBorder="1" applyAlignment="1">
      <alignment horizontal="center" vertical="center" wrapText="1"/>
    </xf>
    <xf numFmtId="0" fontId="35" fillId="0" borderId="17" xfId="0" applyFont="1" applyBorder="1" applyAlignment="1">
      <alignment vertical="top"/>
    </xf>
    <xf numFmtId="0" fontId="35" fillId="0" borderId="26" xfId="0" applyFont="1" applyBorder="1" applyAlignment="1">
      <alignment vertical="top" wrapText="1"/>
    </xf>
    <xf numFmtId="198" fontId="35" fillId="0" borderId="26" xfId="0" applyNumberFormat="1" applyFont="1" applyBorder="1" applyAlignment="1">
      <alignment vertical="top"/>
    </xf>
    <xf numFmtId="198" fontId="35" fillId="0" borderId="50" xfId="0" applyNumberFormat="1" applyFont="1" applyBorder="1" applyAlignment="1">
      <alignment vertical="top"/>
    </xf>
    <xf numFmtId="0" fontId="35" fillId="0" borderId="10" xfId="44" applyFont="1" applyBorder="1" applyAlignment="1">
      <alignment horizontal="left" vertical="top"/>
    </xf>
    <xf numFmtId="38" fontId="35" fillId="0" borderId="10" xfId="35" applyFont="1" applyBorder="1" applyAlignment="1">
      <alignment vertical="top"/>
    </xf>
    <xf numFmtId="206" fontId="35" fillId="0" borderId="10" xfId="0" applyNumberFormat="1" applyFont="1" applyBorder="1" applyAlignment="1">
      <alignment vertical="top"/>
    </xf>
    <xf numFmtId="206" fontId="35" fillId="0" borderId="10" xfId="0" applyNumberFormat="1" applyFont="1" applyBorder="1" applyAlignment="1">
      <alignment horizontal="center"/>
    </xf>
    <xf numFmtId="198" fontId="35" fillId="0" borderId="10" xfId="0" applyNumberFormat="1" applyFont="1" applyBorder="1">
      <alignment vertical="center"/>
    </xf>
    <xf numFmtId="206" fontId="35" fillId="0" borderId="26" xfId="0" applyNumberFormat="1" applyFont="1" applyBorder="1" applyAlignment="1">
      <alignment vertical="top"/>
    </xf>
    <xf numFmtId="206" fontId="35" fillId="0" borderId="50" xfId="0" applyNumberFormat="1" applyFont="1" applyBorder="1" applyAlignment="1">
      <alignment vertical="top"/>
    </xf>
    <xf numFmtId="206" fontId="35" fillId="0" borderId="27" xfId="0" applyNumberFormat="1" applyFont="1" applyBorder="1">
      <alignment vertical="center"/>
    </xf>
    <xf numFmtId="38" fontId="35" fillId="0" borderId="10" xfId="35" applyFont="1" applyFill="1" applyBorder="1" applyAlignment="1">
      <alignment horizontal="center"/>
    </xf>
    <xf numFmtId="38" fontId="35" fillId="0" borderId="26" xfId="35" applyFont="1" applyFill="1" applyBorder="1" applyAlignment="1">
      <alignment horizontal="left" vertical="center"/>
    </xf>
    <xf numFmtId="38" fontId="35" fillId="0" borderId="50" xfId="35" applyFont="1" applyFill="1" applyBorder="1" applyAlignment="1">
      <alignment horizontal="center" vertical="center"/>
    </xf>
    <xf numFmtId="38" fontId="35" fillId="0" borderId="27" xfId="35" applyFont="1" applyFill="1" applyBorder="1" applyAlignment="1">
      <alignment horizontal="center" vertical="center"/>
    </xf>
    <xf numFmtId="9" fontId="35" fillId="0" borderId="10" xfId="0" applyNumberFormat="1" applyFont="1" applyBorder="1" applyAlignment="1">
      <alignment vertical="top"/>
    </xf>
    <xf numFmtId="0" fontId="35" fillId="0" borderId="10" xfId="0" applyFont="1" applyBorder="1" applyAlignment="1">
      <alignment horizontal="center"/>
    </xf>
    <xf numFmtId="0" fontId="35" fillId="0" borderId="0" xfId="0" applyFont="1" applyAlignment="1">
      <alignment horizontal="right" vertical="center"/>
    </xf>
    <xf numFmtId="3" fontId="240" fillId="50" borderId="0" xfId="0" applyNumberFormat="1" applyFont="1" applyFill="1">
      <alignment vertical="center"/>
    </xf>
    <xf numFmtId="0" fontId="44" fillId="0" borderId="0" xfId="0" applyFont="1" applyAlignment="1">
      <alignment horizontal="right" vertical="center"/>
    </xf>
    <xf numFmtId="178" fontId="44" fillId="50" borderId="0" xfId="0" applyNumberFormat="1" applyFont="1" applyFill="1" applyAlignment="1">
      <alignment horizontal="center" vertical="center"/>
    </xf>
    <xf numFmtId="0" fontId="35" fillId="0" borderId="51" xfId="0" applyFont="1" applyBorder="1">
      <alignment vertical="center"/>
    </xf>
    <xf numFmtId="0" fontId="35" fillId="0" borderId="50" xfId="0" applyFont="1" applyBorder="1" applyAlignment="1">
      <alignment horizontal="center" vertical="center"/>
    </xf>
    <xf numFmtId="0" fontId="44" fillId="0" borderId="51" xfId="0" applyFont="1" applyBorder="1">
      <alignment vertical="center"/>
    </xf>
    <xf numFmtId="0" fontId="44" fillId="49" borderId="10" xfId="0" applyFont="1" applyFill="1" applyBorder="1">
      <alignment vertical="center"/>
    </xf>
    <xf numFmtId="0" fontId="35" fillId="49" borderId="10" xfId="0" applyFont="1" applyFill="1" applyBorder="1">
      <alignment vertical="center"/>
    </xf>
    <xf numFmtId="0" fontId="44" fillId="0" borderId="15" xfId="0" applyFont="1" applyBorder="1">
      <alignment vertical="center"/>
    </xf>
    <xf numFmtId="38" fontId="35" fillId="0" borderId="10" xfId="52" applyFont="1" applyBorder="1">
      <alignment vertical="center"/>
    </xf>
    <xf numFmtId="38" fontId="35" fillId="0" borderId="10" xfId="52" applyFont="1" applyFill="1" applyBorder="1">
      <alignment vertical="center"/>
    </xf>
    <xf numFmtId="38" fontId="241" fillId="0" borderId="0" xfId="52" applyFont="1" applyFill="1" applyBorder="1">
      <alignment vertical="center"/>
    </xf>
    <xf numFmtId="0" fontId="242" fillId="0" borderId="0" xfId="0" applyFont="1">
      <alignment vertical="center"/>
    </xf>
    <xf numFmtId="204" fontId="35" fillId="49" borderId="10" xfId="0" applyNumberFormat="1" applyFont="1" applyFill="1" applyBorder="1">
      <alignment vertical="center"/>
    </xf>
    <xf numFmtId="181" fontId="44" fillId="0" borderId="51" xfId="0" applyNumberFormat="1" applyFont="1" applyBorder="1">
      <alignment vertical="center"/>
    </xf>
    <xf numFmtId="0" fontId="44" fillId="49" borderId="26" xfId="0" applyFont="1" applyFill="1" applyBorder="1">
      <alignment vertical="center"/>
    </xf>
    <xf numFmtId="204" fontId="35" fillId="49" borderId="10" xfId="52" applyNumberFormat="1" applyFont="1" applyFill="1" applyBorder="1">
      <alignment vertical="center"/>
    </xf>
    <xf numFmtId="181" fontId="44" fillId="0" borderId="15" xfId="0" applyNumberFormat="1" applyFont="1" applyBorder="1">
      <alignment vertical="center"/>
    </xf>
    <xf numFmtId="181" fontId="44" fillId="50" borderId="15" xfId="0" applyNumberFormat="1" applyFont="1" applyFill="1" applyBorder="1">
      <alignment vertical="center"/>
    </xf>
    <xf numFmtId="0" fontId="35" fillId="0" borderId="64" xfId="0" applyFont="1" applyBorder="1">
      <alignment vertical="center"/>
    </xf>
    <xf numFmtId="0" fontId="35" fillId="0" borderId="15" xfId="0" applyFont="1" applyBorder="1" applyAlignment="1">
      <alignment vertical="center" shrinkToFit="1"/>
    </xf>
    <xf numFmtId="181" fontId="44" fillId="0" borderId="55" xfId="0" applyNumberFormat="1" applyFont="1" applyBorder="1">
      <alignment vertical="center"/>
    </xf>
    <xf numFmtId="0" fontId="35" fillId="0" borderId="52" xfId="0" applyFont="1" applyBorder="1">
      <alignment vertical="center"/>
    </xf>
    <xf numFmtId="0" fontId="44" fillId="0" borderId="0" xfId="51" applyFont="1"/>
    <xf numFmtId="0" fontId="153" fillId="0" borderId="10" xfId="0" applyFont="1" applyBorder="1">
      <alignment vertical="center"/>
    </xf>
    <xf numFmtId="0" fontId="240" fillId="76" borderId="10" xfId="0" applyFont="1" applyFill="1" applyBorder="1">
      <alignment vertical="center"/>
    </xf>
    <xf numFmtId="0" fontId="44" fillId="0" borderId="10" xfId="0" applyFont="1" applyBorder="1">
      <alignment vertical="center"/>
    </xf>
    <xf numFmtId="0" fontId="241" fillId="0" borderId="10" xfId="0" applyFont="1" applyBorder="1">
      <alignment vertical="center"/>
    </xf>
    <xf numFmtId="0" fontId="35" fillId="0" borderId="56" xfId="0" applyFont="1" applyBorder="1">
      <alignment vertical="center"/>
    </xf>
    <xf numFmtId="0" fontId="35" fillId="0" borderId="55" xfId="0" applyFont="1" applyBorder="1" applyAlignment="1">
      <alignment vertical="center" shrinkToFit="1"/>
    </xf>
    <xf numFmtId="0" fontId="35" fillId="0" borderId="54" xfId="0" applyFont="1" applyBorder="1">
      <alignment vertical="center"/>
    </xf>
    <xf numFmtId="0" fontId="35" fillId="0" borderId="17" xfId="0" applyFont="1" applyBorder="1">
      <alignment vertical="center"/>
    </xf>
    <xf numFmtId="0" fontId="35" fillId="0" borderId="0" xfId="51" applyFont="1"/>
    <xf numFmtId="0" fontId="35" fillId="0" borderId="0" xfId="51" applyFont="1" applyAlignment="1">
      <alignment horizontal="right"/>
    </xf>
    <xf numFmtId="38" fontId="30" fillId="0" borderId="10" xfId="52" applyFont="1" applyFill="1" applyBorder="1">
      <alignment vertical="center"/>
    </xf>
    <xf numFmtId="38" fontId="35" fillId="0" borderId="10" xfId="0" applyNumberFormat="1" applyFont="1" applyBorder="1">
      <alignment vertical="center"/>
    </xf>
    <xf numFmtId="0" fontId="35" fillId="0" borderId="10" xfId="0" applyFont="1" applyBorder="1" applyAlignment="1">
      <alignment vertical="center" shrinkToFit="1"/>
    </xf>
    <xf numFmtId="0" fontId="32" fillId="0" borderId="0" xfId="51" applyFont="1"/>
    <xf numFmtId="0" fontId="61" fillId="0" borderId="0" xfId="44" applyFont="1"/>
    <xf numFmtId="0" fontId="35" fillId="27" borderId="54" xfId="44" applyFont="1" applyFill="1" applyBorder="1" applyAlignment="1">
      <alignment horizontal="center"/>
    </xf>
    <xf numFmtId="0" fontId="35" fillId="40" borderId="27" xfId="44" applyFont="1" applyFill="1" applyBorder="1" applyAlignment="1">
      <alignment horizontal="center"/>
    </xf>
    <xf numFmtId="0" fontId="35" fillId="27" borderId="57" xfId="44" applyFont="1" applyFill="1" applyBorder="1" applyAlignment="1">
      <alignment horizontal="left"/>
    </xf>
    <xf numFmtId="0" fontId="35" fillId="27" borderId="57" xfId="44" applyFont="1" applyFill="1" applyBorder="1"/>
    <xf numFmtId="0" fontId="35" fillId="27" borderId="58" xfId="44" applyFont="1" applyFill="1" applyBorder="1" applyAlignment="1">
      <alignment horizontal="center"/>
    </xf>
    <xf numFmtId="217" fontId="35" fillId="95" borderId="10" xfId="0" applyNumberFormat="1" applyFont="1" applyFill="1" applyBorder="1" applyAlignment="1">
      <alignment horizontal="center" vertical="center"/>
    </xf>
    <xf numFmtId="0" fontId="35" fillId="0" borderId="0" xfId="44" applyFont="1" applyAlignment="1" applyProtection="1">
      <alignment horizontal="left" vertical="center"/>
      <protection hidden="1"/>
    </xf>
    <xf numFmtId="189" fontId="35" fillId="27" borderId="27" xfId="44" applyNumberFormat="1" applyFont="1" applyFill="1" applyBorder="1" applyAlignment="1">
      <alignment horizontal="left"/>
    </xf>
    <xf numFmtId="38" fontId="35" fillId="0" borderId="10" xfId="35" applyFont="1" applyBorder="1" applyAlignment="1"/>
    <xf numFmtId="188" fontId="35" fillId="0" borderId="0" xfId="44" applyNumberFormat="1" applyFont="1"/>
    <xf numFmtId="188" fontId="35" fillId="0" borderId="10" xfId="44" applyNumberFormat="1" applyFont="1" applyBorder="1"/>
    <xf numFmtId="0" fontId="35" fillId="0" borderId="10" xfId="44" applyFont="1" applyBorder="1"/>
    <xf numFmtId="9" fontId="35" fillId="0" borderId="10" xfId="28" applyFont="1" applyFill="1" applyBorder="1" applyAlignment="1"/>
    <xf numFmtId="0" fontId="231" fillId="0" borderId="57" xfId="0" applyFont="1" applyBorder="1">
      <alignment vertical="center"/>
    </xf>
    <xf numFmtId="0" fontId="44" fillId="0" borderId="57" xfId="0" applyFont="1" applyBorder="1" applyAlignment="1">
      <alignment horizontal="right" vertical="center"/>
    </xf>
    <xf numFmtId="0" fontId="35" fillId="27" borderId="10" xfId="0" applyFont="1" applyFill="1" applyBorder="1" applyAlignment="1">
      <alignment horizontal="center" vertical="center" wrapText="1"/>
    </xf>
    <xf numFmtId="0" fontId="35" fillId="27" borderId="10" xfId="0" applyFont="1" applyFill="1" applyBorder="1" applyAlignment="1">
      <alignment horizontal="center" vertical="center"/>
    </xf>
    <xf numFmtId="0" fontId="35" fillId="27" borderId="51" xfId="0" applyFont="1" applyFill="1" applyBorder="1" applyAlignment="1">
      <alignment horizontal="center" vertical="center" wrapText="1"/>
    </xf>
    <xf numFmtId="0" fontId="35" fillId="27" borderId="27" xfId="0" applyFont="1" applyFill="1" applyBorder="1" applyAlignment="1">
      <alignment horizontal="center" vertical="center" wrapText="1"/>
    </xf>
    <xf numFmtId="0" fontId="35" fillId="27" borderId="26" xfId="0" applyFont="1" applyFill="1" applyBorder="1" applyAlignment="1">
      <alignment horizontal="left" vertical="center"/>
    </xf>
    <xf numFmtId="0" fontId="35" fillId="27" borderId="163" xfId="0" applyFont="1" applyFill="1" applyBorder="1" applyAlignment="1">
      <alignment horizontal="center" vertical="center" wrapText="1"/>
    </xf>
    <xf numFmtId="0" fontId="35" fillId="27" borderId="11" xfId="0" applyFont="1" applyFill="1" applyBorder="1" applyAlignment="1">
      <alignment horizontal="center" vertical="center" wrapText="1"/>
    </xf>
    <xf numFmtId="0" fontId="35" fillId="27" borderId="164" xfId="0" applyFont="1" applyFill="1" applyBorder="1" applyAlignment="1">
      <alignment horizontal="center" vertical="center" wrapText="1"/>
    </xf>
    <xf numFmtId="0" fontId="35" fillId="27" borderId="52" xfId="0" applyFont="1" applyFill="1" applyBorder="1" applyAlignment="1">
      <alignment horizontal="center" vertical="center" wrapText="1"/>
    </xf>
    <xf numFmtId="0" fontId="35" fillId="27" borderId="16" xfId="0" applyFont="1" applyFill="1" applyBorder="1" applyAlignment="1">
      <alignment horizontal="center" vertical="center" wrapText="1"/>
    </xf>
    <xf numFmtId="0" fontId="35" fillId="27" borderId="17" xfId="0" applyFont="1" applyFill="1" applyBorder="1" applyAlignment="1">
      <alignment horizontal="center" vertical="center" wrapText="1"/>
    </xf>
    <xf numFmtId="0" fontId="35" fillId="27" borderId="10" xfId="0" applyFont="1" applyFill="1" applyBorder="1" applyAlignment="1">
      <alignment horizontal="left" vertical="center" wrapText="1"/>
    </xf>
    <xf numFmtId="0" fontId="35" fillId="27" borderId="173" xfId="0" applyFont="1" applyFill="1" applyBorder="1" applyAlignment="1">
      <alignment horizontal="center" vertical="center" wrapText="1"/>
    </xf>
    <xf numFmtId="0" fontId="35" fillId="27" borderId="15" xfId="0" applyFont="1" applyFill="1" applyBorder="1" applyAlignment="1">
      <alignment horizontal="center" vertical="center" wrapText="1"/>
    </xf>
    <xf numFmtId="0" fontId="35" fillId="27" borderId="55" xfId="0" applyFont="1" applyFill="1" applyBorder="1" applyAlignment="1">
      <alignment horizontal="center" vertical="center" wrapText="1"/>
    </xf>
    <xf numFmtId="0" fontId="35" fillId="27" borderId="11" xfId="0" applyFont="1" applyFill="1" applyBorder="1" applyAlignment="1">
      <alignment horizontal="left" vertical="center" wrapText="1"/>
    </xf>
    <xf numFmtId="0" fontId="35" fillId="27" borderId="54" xfId="0" applyFont="1" applyFill="1" applyBorder="1" applyAlignment="1">
      <alignment horizontal="center" vertical="center" wrapText="1"/>
    </xf>
    <xf numFmtId="0" fontId="35" fillId="27" borderId="187" xfId="0" applyFont="1" applyFill="1" applyBorder="1" applyAlignment="1">
      <alignment horizontal="center" vertical="center" wrapText="1" shrinkToFit="1"/>
    </xf>
    <xf numFmtId="0" fontId="35" fillId="27" borderId="14" xfId="0" applyFont="1" applyFill="1" applyBorder="1" applyAlignment="1">
      <alignment horizontal="center" vertical="center"/>
    </xf>
    <xf numFmtId="0" fontId="35" fillId="27" borderId="166" xfId="0" applyFont="1" applyFill="1" applyBorder="1" applyAlignment="1">
      <alignment horizontal="center" vertical="center" wrapText="1"/>
    </xf>
    <xf numFmtId="0" fontId="35" fillId="27" borderId="0" xfId="0" applyFont="1" applyFill="1" applyAlignment="1">
      <alignment horizontal="center" vertical="center" wrapText="1"/>
    </xf>
    <xf numFmtId="0" fontId="35" fillId="27" borderId="238" xfId="0" applyFont="1" applyFill="1" applyBorder="1" applyAlignment="1">
      <alignment vertical="center" wrapText="1"/>
    </xf>
    <xf numFmtId="0" fontId="35" fillId="27" borderId="16" xfId="0" applyFont="1" applyFill="1" applyBorder="1" applyAlignment="1">
      <alignment vertical="center" wrapText="1"/>
    </xf>
    <xf numFmtId="0" fontId="35" fillId="27" borderId="164" xfId="0" applyFont="1" applyFill="1" applyBorder="1" applyAlignment="1">
      <alignment vertical="center" wrapText="1"/>
    </xf>
    <xf numFmtId="0" fontId="35" fillId="27" borderId="11" xfId="0" applyFont="1" applyFill="1" applyBorder="1" applyAlignment="1">
      <alignment vertical="center" wrapText="1"/>
    </xf>
    <xf numFmtId="0" fontId="36" fillId="0" borderId="0" xfId="0" applyFont="1" applyAlignment="1">
      <alignment horizontal="right" vertical="center"/>
    </xf>
    <xf numFmtId="190" fontId="35" fillId="27" borderId="10" xfId="0" applyNumberFormat="1" applyFont="1" applyFill="1" applyBorder="1" applyAlignment="1">
      <alignment horizontal="center" vertical="center"/>
    </xf>
    <xf numFmtId="197" fontId="35" fillId="27" borderId="10" xfId="0" applyNumberFormat="1" applyFont="1" applyFill="1" applyBorder="1" applyAlignment="1">
      <alignment horizontal="center" vertical="center" wrapText="1"/>
    </xf>
    <xf numFmtId="179" fontId="35" fillId="27" borderId="16" xfId="0" applyNumberFormat="1" applyFont="1" applyFill="1" applyBorder="1" applyAlignment="1">
      <alignment horizontal="center" vertical="center"/>
    </xf>
    <xf numFmtId="0" fontId="62" fillId="27" borderId="55" xfId="0" applyFont="1" applyFill="1" applyBorder="1" applyAlignment="1">
      <alignment horizontal="center" vertical="center" wrapText="1"/>
    </xf>
    <xf numFmtId="179" fontId="35" fillId="27" borderId="164" xfId="0" applyNumberFormat="1" applyFont="1" applyFill="1" applyBorder="1" applyAlignment="1">
      <alignment horizontal="center" vertical="center"/>
    </xf>
    <xf numFmtId="0" fontId="35" fillId="27" borderId="10" xfId="0" applyFont="1" applyFill="1" applyBorder="1" applyAlignment="1">
      <alignment horizontal="center" vertical="center" wrapText="1" shrinkToFit="1"/>
    </xf>
    <xf numFmtId="0" fontId="35" fillId="27" borderId="51" xfId="0" applyFont="1" applyFill="1" applyBorder="1" applyAlignment="1">
      <alignment horizontal="left" vertical="center" wrapText="1"/>
    </xf>
    <xf numFmtId="0" fontId="35" fillId="27" borderId="51" xfId="0" applyFont="1" applyFill="1" applyBorder="1" applyAlignment="1">
      <alignment horizontal="center" vertical="center" wrapText="1" shrinkToFit="1"/>
    </xf>
    <xf numFmtId="0" fontId="35" fillId="27" borderId="51" xfId="0" applyFont="1" applyFill="1" applyBorder="1" applyAlignment="1">
      <alignment vertical="center" wrapText="1"/>
    </xf>
    <xf numFmtId="0" fontId="35" fillId="27" borderId="64" xfId="0" applyFont="1" applyFill="1" applyBorder="1" applyAlignment="1">
      <alignment horizontal="center" vertical="center" wrapText="1"/>
    </xf>
    <xf numFmtId="0" fontId="35" fillId="27" borderId="50" xfId="0" applyFont="1" applyFill="1" applyBorder="1" applyAlignment="1">
      <alignment horizontal="left" vertical="center" wrapText="1"/>
    </xf>
    <xf numFmtId="0" fontId="35" fillId="27" borderId="50" xfId="0" applyFont="1" applyFill="1" applyBorder="1" applyAlignment="1">
      <alignment horizontal="left" vertical="center" wrapText="1" shrinkToFit="1"/>
    </xf>
    <xf numFmtId="0" fontId="35" fillId="27" borderId="27" xfId="0" applyFont="1" applyFill="1" applyBorder="1" applyAlignment="1">
      <alignment vertical="center" wrapText="1"/>
    </xf>
    <xf numFmtId="40" fontId="35" fillId="27" borderId="163" xfId="0" applyNumberFormat="1" applyFont="1" applyFill="1" applyBorder="1" applyAlignment="1">
      <alignment horizontal="center" vertical="center" wrapText="1"/>
    </xf>
    <xf numFmtId="178" fontId="35" fillId="27" borderId="163" xfId="0" applyNumberFormat="1" applyFont="1" applyFill="1" applyBorder="1" applyAlignment="1">
      <alignment horizontal="center" vertical="center" wrapText="1" shrinkToFit="1"/>
    </xf>
    <xf numFmtId="40" fontId="35" fillId="27" borderId="11" xfId="0" applyNumberFormat="1" applyFont="1" applyFill="1" applyBorder="1" applyAlignment="1">
      <alignment horizontal="center" vertical="center" wrapText="1"/>
    </xf>
    <xf numFmtId="178" fontId="35" fillId="27" borderId="11" xfId="0" applyNumberFormat="1" applyFont="1" applyFill="1" applyBorder="1" applyAlignment="1">
      <alignment horizontal="center" vertical="center" wrapText="1" shrinkToFit="1"/>
    </xf>
    <xf numFmtId="0" fontId="35" fillId="27" borderId="163" xfId="0" applyFont="1" applyFill="1" applyBorder="1" applyAlignment="1">
      <alignment vertical="center" wrapText="1"/>
    </xf>
    <xf numFmtId="0" fontId="35" fillId="27" borderId="173" xfId="0" applyFont="1" applyFill="1" applyBorder="1" applyAlignment="1">
      <alignment horizontal="center" vertical="center" wrapText="1" shrinkToFit="1"/>
    </xf>
    <xf numFmtId="0" fontId="35" fillId="27" borderId="173" xfId="0" applyFont="1" applyFill="1" applyBorder="1" applyAlignment="1">
      <alignment vertical="center" wrapText="1"/>
    </xf>
    <xf numFmtId="0" fontId="35" fillId="27" borderId="11" xfId="0" applyFont="1" applyFill="1" applyBorder="1" applyAlignment="1">
      <alignment horizontal="center" vertical="center" shrinkToFit="1"/>
    </xf>
    <xf numFmtId="0" fontId="35" fillId="27" borderId="53" xfId="0" applyFont="1" applyFill="1" applyBorder="1" applyAlignment="1">
      <alignment horizontal="left" vertical="center" wrapText="1" shrinkToFit="1"/>
    </xf>
    <xf numFmtId="0" fontId="35" fillId="27" borderId="54" xfId="0" applyFont="1" applyFill="1" applyBorder="1">
      <alignment vertical="center"/>
    </xf>
    <xf numFmtId="9" fontId="35" fillId="27" borderId="171" xfId="0" applyNumberFormat="1" applyFont="1" applyFill="1" applyBorder="1" applyAlignment="1">
      <alignment horizontal="center" vertical="center" wrapText="1"/>
    </xf>
    <xf numFmtId="9" fontId="35" fillId="40" borderId="191" xfId="0" applyNumberFormat="1" applyFont="1" applyFill="1" applyBorder="1" applyAlignment="1" applyProtection="1">
      <alignment horizontal="center" vertical="center" wrapText="1"/>
      <protection locked="0"/>
    </xf>
    <xf numFmtId="0" fontId="35" fillId="40" borderId="192" xfId="0" applyFont="1" applyFill="1" applyBorder="1" applyProtection="1">
      <alignment vertical="center"/>
      <protection locked="0"/>
    </xf>
    <xf numFmtId="9" fontId="35" fillId="40" borderId="116" xfId="0" applyNumberFormat="1" applyFont="1" applyFill="1" applyBorder="1" applyAlignment="1" applyProtection="1">
      <alignment horizontal="center" vertical="center" wrapText="1"/>
      <protection locked="0"/>
    </xf>
    <xf numFmtId="0" fontId="35" fillId="40" borderId="117" xfId="0" applyFont="1" applyFill="1" applyBorder="1" applyProtection="1">
      <alignment vertical="center"/>
      <protection locked="0"/>
    </xf>
    <xf numFmtId="9" fontId="35" fillId="27" borderId="165" xfId="0" applyNumberFormat="1" applyFont="1" applyFill="1" applyBorder="1" applyAlignment="1">
      <alignment horizontal="center" vertical="center" wrapText="1" shrinkToFit="1"/>
    </xf>
    <xf numFmtId="0" fontId="35" fillId="27" borderId="15" xfId="0" applyFont="1" applyFill="1" applyBorder="1" applyAlignment="1">
      <alignment vertical="center" wrapText="1"/>
    </xf>
    <xf numFmtId="0" fontId="35" fillId="27" borderId="64" xfId="0" applyFont="1" applyFill="1" applyBorder="1" applyAlignment="1">
      <alignment horizontal="center" wrapText="1"/>
    </xf>
    <xf numFmtId="0" fontId="35" fillId="27" borderId="50" xfId="0" applyFont="1" applyFill="1" applyBorder="1" applyAlignment="1">
      <alignment horizontal="center" vertical="center"/>
    </xf>
    <xf numFmtId="217" fontId="35" fillId="27" borderId="15" xfId="0" applyNumberFormat="1" applyFont="1" applyFill="1" applyBorder="1" applyAlignment="1">
      <alignment horizontal="center" vertical="center"/>
    </xf>
    <xf numFmtId="217" fontId="35" fillId="27" borderId="11" xfId="0" applyNumberFormat="1" applyFont="1" applyFill="1" applyBorder="1" applyAlignment="1">
      <alignment horizontal="center" vertical="center"/>
    </xf>
    <xf numFmtId="9" fontId="35" fillId="27" borderId="15" xfId="0" applyNumberFormat="1" applyFont="1" applyFill="1" applyBorder="1" applyAlignment="1">
      <alignment horizontal="center" vertical="center"/>
    </xf>
    <xf numFmtId="0" fontId="35" fillId="27" borderId="15" xfId="0" applyFont="1" applyFill="1" applyBorder="1">
      <alignment vertical="center"/>
    </xf>
    <xf numFmtId="9" fontId="35" fillId="27" borderId="11" xfId="0" applyNumberFormat="1" applyFont="1" applyFill="1" applyBorder="1" applyAlignment="1">
      <alignment horizontal="center" vertical="center"/>
    </xf>
    <xf numFmtId="0" fontId="35" fillId="27" borderId="11" xfId="0" applyFont="1" applyFill="1" applyBorder="1">
      <alignment vertical="center"/>
    </xf>
    <xf numFmtId="9" fontId="35" fillId="27" borderId="55" xfId="0" applyNumberFormat="1" applyFont="1" applyFill="1" applyBorder="1" applyAlignment="1">
      <alignment horizontal="center" vertical="center"/>
    </xf>
    <xf numFmtId="0" fontId="35" fillId="27" borderId="55" xfId="0" applyFont="1" applyFill="1" applyBorder="1">
      <alignment vertical="center"/>
    </xf>
    <xf numFmtId="0" fontId="35" fillId="27" borderId="26" xfId="0" applyFont="1" applyFill="1" applyBorder="1" applyAlignment="1">
      <alignment horizontal="center" vertical="center" wrapText="1"/>
    </xf>
    <xf numFmtId="0" fontId="35" fillId="27" borderId="50" xfId="0" applyFont="1" applyFill="1" applyBorder="1" applyAlignment="1">
      <alignment horizontal="center" vertical="center" wrapText="1"/>
    </xf>
    <xf numFmtId="0" fontId="35" fillId="27" borderId="27" xfId="0" applyFont="1" applyFill="1" applyBorder="1">
      <alignment vertical="center"/>
    </xf>
    <xf numFmtId="179" fontId="35" fillId="27" borderId="10" xfId="0" applyNumberFormat="1" applyFont="1" applyFill="1" applyBorder="1" applyAlignment="1">
      <alignment horizontal="center" vertical="center"/>
    </xf>
    <xf numFmtId="179" fontId="35" fillId="27" borderId="163" xfId="0" quotePrefix="1" applyNumberFormat="1" applyFont="1" applyFill="1" applyBorder="1" applyAlignment="1">
      <alignment horizontal="center" vertical="center"/>
    </xf>
    <xf numFmtId="178" fontId="35" fillId="27" borderId="163" xfId="0" applyNumberFormat="1" applyFont="1" applyFill="1" applyBorder="1" applyAlignment="1">
      <alignment horizontal="center" vertical="center"/>
    </xf>
    <xf numFmtId="179" fontId="35" fillId="27" borderId="11" xfId="0" applyNumberFormat="1" applyFont="1" applyFill="1" applyBorder="1" applyAlignment="1">
      <alignment horizontal="center" vertical="center" wrapText="1"/>
    </xf>
    <xf numFmtId="179" fontId="35" fillId="27" borderId="11" xfId="0" applyNumberFormat="1" applyFont="1" applyFill="1" applyBorder="1" applyAlignment="1">
      <alignment horizontal="center" vertical="center"/>
    </xf>
    <xf numFmtId="179" fontId="35" fillId="27" borderId="15" xfId="0" applyNumberFormat="1" applyFont="1" applyFill="1" applyBorder="1" applyAlignment="1">
      <alignment horizontal="right" vertical="center" wrapText="1"/>
    </xf>
    <xf numFmtId="179" fontId="35" fillId="27" borderId="163" xfId="0" applyNumberFormat="1" applyFont="1" applyFill="1" applyBorder="1" applyAlignment="1">
      <alignment horizontal="center" vertical="center"/>
    </xf>
    <xf numFmtId="179" fontId="35" fillId="27" borderId="163" xfId="0" applyNumberFormat="1" applyFont="1" applyFill="1" applyBorder="1" applyAlignment="1">
      <alignment horizontal="right" vertical="center" wrapText="1"/>
    </xf>
    <xf numFmtId="179" fontId="35" fillId="27" borderId="55" xfId="0" applyNumberFormat="1" applyFont="1" applyFill="1" applyBorder="1" applyAlignment="1">
      <alignment horizontal="center" vertical="center"/>
    </xf>
    <xf numFmtId="179" fontId="35" fillId="27" borderId="55" xfId="0" quotePrefix="1" applyNumberFormat="1" applyFont="1" applyFill="1" applyBorder="1" applyAlignment="1">
      <alignment horizontal="center" vertical="center"/>
    </xf>
    <xf numFmtId="0" fontId="35" fillId="27" borderId="64" xfId="0" applyFont="1" applyFill="1" applyBorder="1" applyAlignment="1">
      <alignment vertical="center" wrapText="1"/>
    </xf>
    <xf numFmtId="179" fontId="35" fillId="27" borderId="16" xfId="0" quotePrefix="1" applyNumberFormat="1" applyFont="1" applyFill="1" applyBorder="1" applyAlignment="1">
      <alignment horizontal="center" vertical="center"/>
    </xf>
    <xf numFmtId="179" fontId="35" fillId="27" borderId="11" xfId="0" quotePrefix="1" applyNumberFormat="1" applyFont="1" applyFill="1" applyBorder="1" applyAlignment="1">
      <alignment horizontal="center" vertical="center"/>
    </xf>
    <xf numFmtId="179" fontId="35" fillId="27" borderId="55" xfId="0" applyNumberFormat="1" applyFont="1" applyFill="1" applyBorder="1" applyAlignment="1">
      <alignment horizontal="left" vertical="center" wrapText="1"/>
    </xf>
    <xf numFmtId="0" fontId="35" fillId="27" borderId="55" xfId="0" applyFont="1" applyFill="1" applyBorder="1" applyAlignment="1">
      <alignment vertical="center" wrapText="1"/>
    </xf>
    <xf numFmtId="179" fontId="35" fillId="27" borderId="55" xfId="0" applyNumberFormat="1" applyFont="1" applyFill="1" applyBorder="1" applyAlignment="1">
      <alignment horizontal="center" vertical="center" wrapText="1"/>
    </xf>
    <xf numFmtId="38" fontId="35" fillId="27" borderId="51" xfId="35" applyFont="1" applyFill="1" applyBorder="1" applyAlignment="1">
      <alignment horizontal="center" vertical="center" wrapText="1"/>
    </xf>
    <xf numFmtId="0" fontId="35" fillId="27" borderId="51" xfId="0" applyFont="1" applyFill="1" applyBorder="1">
      <alignment vertical="center"/>
    </xf>
    <xf numFmtId="198" fontId="35" fillId="27" borderId="163" xfId="0" applyNumberFormat="1" applyFont="1" applyFill="1" applyBorder="1" applyAlignment="1">
      <alignment horizontal="center" vertical="center"/>
    </xf>
    <xf numFmtId="0" fontId="35" fillId="27" borderId="11" xfId="0" applyFont="1" applyFill="1" applyBorder="1" applyAlignment="1">
      <alignment horizontal="center" vertical="center"/>
    </xf>
    <xf numFmtId="0" fontId="35" fillId="27" borderId="163" xfId="0" applyFont="1" applyFill="1" applyBorder="1" applyAlignment="1" applyProtection="1">
      <alignment vertical="center" wrapText="1"/>
      <protection locked="0"/>
    </xf>
    <xf numFmtId="0" fontId="35" fillId="27" borderId="11" xfId="0" applyFont="1" applyFill="1" applyBorder="1" applyAlignment="1" applyProtection="1">
      <alignment vertical="center" wrapText="1"/>
      <protection locked="0"/>
    </xf>
    <xf numFmtId="0" fontId="35" fillId="27" borderId="164" xfId="0" applyFont="1" applyFill="1" applyBorder="1" applyAlignment="1">
      <alignment horizontal="center" vertical="center"/>
    </xf>
    <xf numFmtId="0" fontId="35" fillId="27" borderId="164" xfId="0" applyFont="1" applyFill="1" applyBorder="1" applyAlignment="1" applyProtection="1">
      <alignment vertical="center" wrapText="1"/>
      <protection locked="0"/>
    </xf>
    <xf numFmtId="0" fontId="35" fillId="40" borderId="55" xfId="0" applyFont="1" applyFill="1" applyBorder="1" applyAlignment="1" applyProtection="1">
      <alignment horizontal="center" vertical="center"/>
      <protection locked="0"/>
    </xf>
    <xf numFmtId="0" fontId="35" fillId="40" borderId="55" xfId="0" applyFont="1" applyFill="1" applyBorder="1" applyProtection="1">
      <alignment vertical="center"/>
      <protection locked="0"/>
    </xf>
    <xf numFmtId="0" fontId="35" fillId="27" borderId="58" xfId="0" applyFont="1" applyFill="1" applyBorder="1" applyAlignment="1">
      <alignment horizontal="center" vertical="center" wrapText="1"/>
    </xf>
    <xf numFmtId="0" fontId="35" fillId="27" borderId="55" xfId="0" quotePrefix="1" applyFont="1" applyFill="1" applyBorder="1" applyAlignment="1">
      <alignment horizontal="center" vertical="center"/>
    </xf>
    <xf numFmtId="0" fontId="62" fillId="27" borderId="55" xfId="0" applyFont="1" applyFill="1" applyBorder="1">
      <alignment vertical="center"/>
    </xf>
    <xf numFmtId="40" fontId="35" fillId="27" borderId="173" xfId="0" applyNumberFormat="1" applyFont="1" applyFill="1" applyBorder="1" applyAlignment="1">
      <alignment horizontal="center" vertical="center" wrapText="1"/>
    </xf>
    <xf numFmtId="40" fontId="35" fillId="27" borderId="164" xfId="0" applyNumberFormat="1" applyFont="1" applyFill="1" applyBorder="1" applyAlignment="1">
      <alignment horizontal="center" vertical="center" wrapText="1"/>
    </xf>
    <xf numFmtId="0" fontId="35" fillId="40" borderId="10" xfId="0" applyFont="1" applyFill="1" applyBorder="1" applyAlignment="1" applyProtection="1">
      <alignment horizontal="center" vertical="center"/>
      <protection locked="0"/>
    </xf>
    <xf numFmtId="0" fontId="35" fillId="40" borderId="10" xfId="0" applyFont="1" applyFill="1" applyBorder="1" applyProtection="1">
      <alignment vertical="center"/>
      <protection locked="0"/>
    </xf>
    <xf numFmtId="197" fontId="35" fillId="40" borderId="10" xfId="0" applyNumberFormat="1" applyFont="1" applyFill="1" applyBorder="1" applyAlignment="1" applyProtection="1">
      <alignment horizontal="center" vertical="center"/>
      <protection locked="0"/>
    </xf>
    <xf numFmtId="0" fontId="35" fillId="40" borderId="10" xfId="0" applyFont="1" applyFill="1" applyBorder="1" applyAlignment="1" applyProtection="1">
      <alignment vertical="center" wrapText="1"/>
      <protection locked="0"/>
    </xf>
    <xf numFmtId="179" fontId="35" fillId="40" borderId="238" xfId="0" applyNumberFormat="1" applyFont="1" applyFill="1" applyBorder="1" applyAlignment="1" applyProtection="1">
      <alignment horizontal="center" vertical="center"/>
      <protection locked="0"/>
    </xf>
    <xf numFmtId="179" fontId="35" fillId="40" borderId="55" xfId="0" applyNumberFormat="1" applyFont="1" applyFill="1" applyBorder="1" applyAlignment="1" applyProtection="1">
      <alignment horizontal="center" vertical="center"/>
      <protection locked="0"/>
    </xf>
    <xf numFmtId="0" fontId="35" fillId="40" borderId="10" xfId="0" applyFont="1" applyFill="1" applyBorder="1" applyAlignment="1" applyProtection="1">
      <alignment horizontal="left" vertical="center" wrapText="1"/>
      <protection locked="0"/>
    </xf>
    <xf numFmtId="0" fontId="35" fillId="40" borderId="10" xfId="0" applyFont="1" applyFill="1" applyBorder="1" applyAlignment="1" applyProtection="1">
      <alignment horizontal="left" vertical="center" wrapText="1" shrinkToFit="1"/>
      <protection locked="0"/>
    </xf>
    <xf numFmtId="0" fontId="35" fillId="40" borderId="16" xfId="0" applyFont="1" applyFill="1" applyBorder="1" applyAlignment="1" applyProtection="1">
      <alignment horizontal="center" vertical="center" wrapText="1"/>
      <protection locked="0"/>
    </xf>
    <xf numFmtId="0" fontId="35" fillId="40" borderId="16" xfId="0" applyFont="1" applyFill="1" applyBorder="1" applyAlignment="1" applyProtection="1">
      <alignment horizontal="center" vertical="center" wrapText="1" shrinkToFit="1"/>
      <protection locked="0"/>
    </xf>
    <xf numFmtId="0" fontId="35" fillId="40" borderId="11" xfId="0" applyFont="1" applyFill="1" applyBorder="1" applyAlignment="1" applyProtection="1">
      <alignment horizontal="center" vertical="center" wrapText="1"/>
      <protection locked="0"/>
    </xf>
    <xf numFmtId="0" fontId="35" fillId="40" borderId="11" xfId="0" applyFont="1" applyFill="1" applyBorder="1" applyAlignment="1" applyProtection="1">
      <alignment horizontal="center" vertical="center" wrapText="1" shrinkToFit="1"/>
      <protection locked="0"/>
    </xf>
    <xf numFmtId="0" fontId="35" fillId="40" borderId="11" xfId="0" applyFont="1" applyFill="1" applyBorder="1" applyProtection="1">
      <alignment vertical="center"/>
      <protection locked="0"/>
    </xf>
    <xf numFmtId="0" fontId="35" fillId="40" borderId="173" xfId="0" applyFont="1" applyFill="1" applyBorder="1" applyAlignment="1" applyProtection="1">
      <alignment horizontal="center" vertical="center" wrapText="1"/>
      <protection locked="0"/>
    </xf>
    <xf numFmtId="0" fontId="35" fillId="40" borderId="173" xfId="0" applyFont="1" applyFill="1" applyBorder="1" applyAlignment="1" applyProtection="1">
      <alignment horizontal="center" vertical="center" wrapText="1" shrinkToFit="1"/>
      <protection locked="0"/>
    </xf>
    <xf numFmtId="0" fontId="35" fillId="40" borderId="164" xfId="0" applyFont="1" applyFill="1" applyBorder="1" applyProtection="1">
      <alignment vertical="center"/>
      <protection locked="0"/>
    </xf>
    <xf numFmtId="0" fontId="35" fillId="40" borderId="163" xfId="0" applyFont="1" applyFill="1" applyBorder="1" applyAlignment="1" applyProtection="1">
      <alignment horizontal="center" vertical="center" wrapText="1"/>
      <protection locked="0"/>
    </xf>
    <xf numFmtId="0" fontId="35" fillId="40" borderId="163" xfId="0" applyFont="1" applyFill="1" applyBorder="1" applyAlignment="1" applyProtection="1">
      <alignment horizontal="center" vertical="center" wrapText="1" shrinkToFit="1"/>
      <protection locked="0"/>
    </xf>
    <xf numFmtId="0" fontId="35" fillId="27" borderId="11" xfId="0" applyFont="1" applyFill="1" applyBorder="1" applyAlignment="1" applyProtection="1">
      <alignment horizontal="center" vertical="center" wrapText="1"/>
      <protection locked="0"/>
    </xf>
    <xf numFmtId="9" fontId="35" fillId="40" borderId="163" xfId="0" applyNumberFormat="1" applyFont="1" applyFill="1" applyBorder="1" applyAlignment="1" applyProtection="1">
      <alignment horizontal="center" vertical="center" wrapText="1"/>
      <protection locked="0"/>
    </xf>
    <xf numFmtId="0" fontId="35" fillId="40" borderId="163" xfId="0" applyFont="1" applyFill="1" applyBorder="1" applyProtection="1">
      <alignment vertical="center"/>
      <protection locked="0"/>
    </xf>
    <xf numFmtId="9" fontId="35" fillId="40" borderId="164" xfId="0" applyNumberFormat="1" applyFont="1" applyFill="1" applyBorder="1" applyAlignment="1" applyProtection="1">
      <alignment horizontal="center" vertical="center" wrapText="1" shrinkToFit="1"/>
      <protection locked="0"/>
    </xf>
    <xf numFmtId="217" fontId="35" fillId="40" borderId="16" xfId="0" applyNumberFormat="1" applyFont="1" applyFill="1" applyBorder="1" applyAlignment="1" applyProtection="1">
      <alignment horizontal="center" vertical="center"/>
      <protection locked="0"/>
    </xf>
    <xf numFmtId="0" fontId="35" fillId="40" borderId="16" xfId="0" applyFont="1" applyFill="1" applyBorder="1" applyAlignment="1" applyProtection="1">
      <alignment vertical="center" wrapText="1"/>
      <protection locked="0"/>
    </xf>
    <xf numFmtId="217" fontId="35" fillId="40" borderId="11" xfId="0" applyNumberFormat="1" applyFont="1" applyFill="1" applyBorder="1" applyAlignment="1" applyProtection="1">
      <alignment horizontal="center" vertical="center"/>
      <protection locked="0"/>
    </xf>
    <xf numFmtId="0" fontId="35" fillId="40" borderId="11" xfId="0" applyFont="1" applyFill="1" applyBorder="1" applyAlignment="1" applyProtection="1">
      <alignment vertical="center" wrapText="1"/>
      <protection locked="0"/>
    </xf>
    <xf numFmtId="217" fontId="35" fillId="40" borderId="164" xfId="0" applyNumberFormat="1" applyFont="1" applyFill="1" applyBorder="1" applyAlignment="1" applyProtection="1">
      <alignment horizontal="center" vertical="center"/>
      <protection locked="0"/>
    </xf>
    <xf numFmtId="0" fontId="35" fillId="40" borderId="164" xfId="0" applyFont="1" applyFill="1" applyBorder="1" applyAlignment="1" applyProtection="1">
      <alignment vertical="center" wrapText="1"/>
      <protection locked="0"/>
    </xf>
    <xf numFmtId="9" fontId="35" fillId="40" borderId="16" xfId="0" applyNumberFormat="1" applyFont="1" applyFill="1" applyBorder="1" applyAlignment="1" applyProtection="1">
      <alignment horizontal="center" vertical="center"/>
      <protection locked="0"/>
    </xf>
    <xf numFmtId="0" fontId="35" fillId="40" borderId="16" xfId="0" applyFont="1" applyFill="1" applyBorder="1" applyProtection="1">
      <alignment vertical="center"/>
      <protection locked="0"/>
    </xf>
    <xf numFmtId="9" fontId="35" fillId="40" borderId="11" xfId="0" applyNumberFormat="1" applyFont="1" applyFill="1" applyBorder="1" applyAlignment="1" applyProtection="1">
      <alignment horizontal="center" vertical="center"/>
      <protection locked="0"/>
    </xf>
    <xf numFmtId="9" fontId="35" fillId="40" borderId="164" xfId="0" applyNumberFormat="1" applyFont="1" applyFill="1" applyBorder="1" applyAlignment="1" applyProtection="1">
      <alignment horizontal="center" vertical="center"/>
      <protection locked="0"/>
    </xf>
    <xf numFmtId="179" fontId="35" fillId="40" borderId="10" xfId="0" applyNumberFormat="1" applyFont="1" applyFill="1" applyBorder="1" applyAlignment="1" applyProtection="1">
      <alignment horizontal="center" vertical="center"/>
      <protection locked="0"/>
    </xf>
    <xf numFmtId="178" fontId="35" fillId="40" borderId="163" xfId="0" applyNumberFormat="1" applyFont="1" applyFill="1" applyBorder="1" applyAlignment="1" applyProtection="1">
      <alignment horizontal="center" vertical="center"/>
      <protection locked="0"/>
    </xf>
    <xf numFmtId="178" fontId="35" fillId="40" borderId="11" xfId="0" applyNumberFormat="1" applyFont="1" applyFill="1" applyBorder="1" applyAlignment="1" applyProtection="1">
      <alignment horizontal="center" vertical="center"/>
      <protection locked="0"/>
    </xf>
    <xf numFmtId="0" fontId="35" fillId="57" borderId="11" xfId="0" applyFont="1" applyFill="1" applyBorder="1" applyAlignment="1">
      <alignment vertical="center" wrapText="1"/>
    </xf>
    <xf numFmtId="178" fontId="35" fillId="40" borderId="15" xfId="0" applyNumberFormat="1" applyFont="1" applyFill="1" applyBorder="1" applyAlignment="1" applyProtection="1">
      <alignment horizontal="center" vertical="center"/>
      <protection locked="0"/>
    </xf>
    <xf numFmtId="0" fontId="35" fillId="57" borderId="163" xfId="0" applyFont="1" applyFill="1" applyBorder="1" applyAlignment="1">
      <alignment vertical="center" wrapText="1"/>
    </xf>
    <xf numFmtId="179" fontId="35" fillId="27" borderId="15" xfId="0" quotePrefix="1" applyNumberFormat="1" applyFont="1" applyFill="1" applyBorder="1" applyAlignment="1">
      <alignment horizontal="center" vertical="center"/>
    </xf>
    <xf numFmtId="0" fontId="35" fillId="40" borderId="164" xfId="0" applyFont="1" applyFill="1" applyBorder="1" applyAlignment="1" applyProtection="1">
      <alignment horizontal="center" vertical="center"/>
      <protection locked="0"/>
    </xf>
    <xf numFmtId="178" fontId="35" fillId="40" borderId="173" xfId="0" applyNumberFormat="1" applyFont="1" applyFill="1" applyBorder="1" applyAlignment="1" applyProtection="1">
      <alignment horizontal="center" vertical="center"/>
      <protection locked="0"/>
    </xf>
    <xf numFmtId="0" fontId="35" fillId="40" borderId="173" xfId="0" applyFont="1" applyFill="1" applyBorder="1" applyAlignment="1" applyProtection="1">
      <alignment vertical="center" wrapText="1"/>
      <protection locked="0"/>
    </xf>
    <xf numFmtId="178" fontId="35" fillId="50" borderId="10" xfId="0" applyNumberFormat="1" applyFont="1" applyFill="1" applyBorder="1" applyAlignment="1" applyProtection="1">
      <alignment horizontal="center" vertical="center"/>
      <protection locked="0"/>
    </xf>
    <xf numFmtId="38" fontId="35" fillId="40" borderId="51" xfId="35" applyFont="1" applyFill="1" applyBorder="1" applyAlignment="1" applyProtection="1">
      <alignment horizontal="center" vertical="center" wrapText="1"/>
      <protection locked="0"/>
    </xf>
    <xf numFmtId="0" fontId="35" fillId="27" borderId="14" xfId="0" applyFont="1" applyFill="1" applyBorder="1" applyAlignment="1">
      <alignment horizontal="center" vertical="center" wrapText="1"/>
    </xf>
    <xf numFmtId="0" fontId="35" fillId="40" borderId="163" xfId="0" applyFont="1" applyFill="1" applyBorder="1" applyAlignment="1" applyProtection="1">
      <alignment horizontal="center" vertical="center"/>
      <protection locked="0"/>
    </xf>
    <xf numFmtId="0" fontId="35" fillId="57" borderId="163" xfId="0" applyFont="1" applyFill="1" applyBorder="1" applyAlignment="1" applyProtection="1">
      <alignment vertical="center" wrapText="1"/>
      <protection locked="0"/>
    </xf>
    <xf numFmtId="0" fontId="35" fillId="40" borderId="11" xfId="0" applyFont="1" applyFill="1" applyBorder="1" applyAlignment="1" applyProtection="1">
      <alignment horizontal="center" vertical="center"/>
      <protection locked="0"/>
    </xf>
    <xf numFmtId="0" fontId="35" fillId="57" borderId="11" xfId="0" applyFont="1" applyFill="1" applyBorder="1" applyAlignment="1" applyProtection="1">
      <alignment vertical="center" wrapText="1"/>
      <protection locked="0"/>
    </xf>
    <xf numFmtId="0" fontId="35" fillId="40" borderId="166" xfId="0" applyFont="1" applyFill="1" applyBorder="1" applyAlignment="1" applyProtection="1">
      <alignment horizontal="center" vertical="center" wrapText="1"/>
      <protection locked="0"/>
    </xf>
    <xf numFmtId="0" fontId="35" fillId="57" borderId="164" xfId="0" applyFont="1" applyFill="1" applyBorder="1" applyAlignment="1" applyProtection="1">
      <alignment vertical="center" wrapText="1"/>
      <protection locked="0"/>
    </xf>
    <xf numFmtId="38" fontId="35" fillId="27" borderId="11" xfId="35" applyFont="1" applyFill="1" applyBorder="1" applyAlignment="1">
      <alignment horizontal="center" vertical="center" wrapText="1" shrinkToFit="1"/>
    </xf>
    <xf numFmtId="0" fontId="35" fillId="27" borderId="173" xfId="0" applyFont="1" applyFill="1" applyBorder="1" applyAlignment="1" applyProtection="1">
      <alignment vertical="center" wrapText="1"/>
      <protection locked="0"/>
    </xf>
    <xf numFmtId="187" fontId="35" fillId="27" borderId="11" xfId="0" applyNumberFormat="1" applyFont="1" applyFill="1" applyBorder="1" applyAlignment="1">
      <alignment horizontal="center" vertical="center" wrapText="1" shrinkToFit="1"/>
    </xf>
    <xf numFmtId="0" fontId="35" fillId="27" borderId="163" xfId="0" applyFont="1" applyFill="1" applyBorder="1" applyAlignment="1">
      <alignment horizontal="left" vertical="center"/>
    </xf>
    <xf numFmtId="38" fontId="35" fillId="27" borderId="15" xfId="35" applyFont="1" applyFill="1" applyBorder="1" applyAlignment="1">
      <alignment horizontal="center" vertical="center" wrapText="1" shrinkToFit="1"/>
    </xf>
    <xf numFmtId="40" fontId="35" fillId="27" borderId="12" xfId="0" applyNumberFormat="1" applyFont="1" applyFill="1" applyBorder="1" applyAlignment="1">
      <alignment horizontal="center" vertical="center" wrapText="1"/>
    </xf>
    <xf numFmtId="187" fontId="35" fillId="27" borderId="173" xfId="0" applyNumberFormat="1" applyFont="1" applyFill="1" applyBorder="1" applyAlignment="1">
      <alignment horizontal="center" vertical="center" wrapText="1" shrinkToFit="1"/>
    </xf>
    <xf numFmtId="0" fontId="35" fillId="27" borderId="178" xfId="0" applyFont="1" applyFill="1" applyBorder="1" applyAlignment="1" applyProtection="1">
      <alignment vertical="center" wrapText="1"/>
      <protection locked="0"/>
    </xf>
    <xf numFmtId="187" fontId="35" fillId="57" borderId="10" xfId="0" applyNumberFormat="1" applyFont="1" applyFill="1" applyBorder="1" applyAlignment="1" applyProtection="1">
      <alignment horizontal="center" vertical="center" wrapText="1" shrinkToFit="1"/>
      <protection locked="0"/>
    </xf>
    <xf numFmtId="178" fontId="35" fillId="27" borderId="164" xfId="0" applyNumberFormat="1" applyFont="1" applyFill="1" applyBorder="1" applyAlignment="1">
      <alignment horizontal="center" vertical="center" wrapText="1" shrinkToFit="1"/>
    </xf>
    <xf numFmtId="0" fontId="61" fillId="27" borderId="62" xfId="44" applyFont="1" applyFill="1" applyBorder="1" applyAlignment="1">
      <alignment vertical="center"/>
    </xf>
    <xf numFmtId="0" fontId="30" fillId="27" borderId="0" xfId="44" applyFont="1" applyFill="1" applyAlignment="1">
      <alignment vertical="center"/>
    </xf>
    <xf numFmtId="0" fontId="30" fillId="27" borderId="0" xfId="44" applyFont="1" applyFill="1" applyAlignment="1">
      <alignment horizontal="right" vertical="center"/>
    </xf>
    <xf numFmtId="0" fontId="35" fillId="27" borderId="0" xfId="0" applyFont="1" applyFill="1" applyAlignment="1">
      <alignment horizontal="right" vertical="center"/>
    </xf>
    <xf numFmtId="0" fontId="32" fillId="27" borderId="0" xfId="0" applyFont="1" applyFill="1" applyAlignment="1">
      <alignment horizontal="center" vertical="center"/>
    </xf>
    <xf numFmtId="0" fontId="35" fillId="31" borderId="10" xfId="44" applyFont="1" applyFill="1" applyBorder="1" applyAlignment="1">
      <alignment horizontal="center" vertical="center"/>
    </xf>
    <xf numFmtId="180" fontId="35" fillId="31" borderId="10" xfId="44" applyNumberFormat="1" applyFont="1" applyFill="1" applyBorder="1" applyAlignment="1">
      <alignment horizontal="center" vertical="center"/>
    </xf>
    <xf numFmtId="0" fontId="62" fillId="27" borderId="0" xfId="44" applyFont="1" applyFill="1" applyAlignment="1">
      <alignment horizontal="right" vertical="center" wrapText="1"/>
    </xf>
    <xf numFmtId="0" fontId="88" fillId="36" borderId="59" xfId="0" applyFont="1" applyFill="1" applyBorder="1">
      <alignment vertical="center"/>
    </xf>
    <xf numFmtId="0" fontId="244" fillId="36" borderId="60" xfId="0" applyFont="1" applyFill="1" applyBorder="1" applyAlignment="1">
      <alignment horizontal="left" vertical="center"/>
    </xf>
    <xf numFmtId="0" fontId="244" fillId="36" borderId="60" xfId="0" applyFont="1" applyFill="1" applyBorder="1">
      <alignment vertical="center"/>
    </xf>
    <xf numFmtId="0" fontId="92" fillId="36" borderId="61" xfId="0" applyFont="1" applyFill="1" applyBorder="1">
      <alignment vertical="center"/>
    </xf>
    <xf numFmtId="0" fontId="245" fillId="0" borderId="65" xfId="0" applyFont="1" applyBorder="1">
      <alignment vertical="center"/>
    </xf>
    <xf numFmtId="0" fontId="246" fillId="0" borderId="66" xfId="0" applyFont="1" applyBorder="1" applyAlignment="1">
      <alignment horizontal="left" vertical="center"/>
    </xf>
    <xf numFmtId="0" fontId="47" fillId="0" borderId="66" xfId="0" applyFont="1" applyBorder="1">
      <alignment vertical="center"/>
    </xf>
    <xf numFmtId="0" fontId="55" fillId="0" borderId="67" xfId="0" applyFont="1" applyBorder="1">
      <alignment vertical="center"/>
    </xf>
    <xf numFmtId="0" fontId="59" fillId="30" borderId="59" xfId="0" applyFont="1" applyFill="1" applyBorder="1">
      <alignment vertical="center"/>
    </xf>
    <xf numFmtId="0" fontId="78" fillId="30" borderId="60" xfId="44" applyFont="1" applyFill="1" applyBorder="1" applyAlignment="1">
      <alignment vertical="center"/>
    </xf>
    <xf numFmtId="0" fontId="78" fillId="30" borderId="60" xfId="44" applyFont="1" applyFill="1" applyBorder="1" applyAlignment="1">
      <alignment horizontal="left" vertical="center"/>
    </xf>
    <xf numFmtId="0" fontId="75" fillId="30" borderId="60" xfId="44" applyFont="1" applyFill="1" applyBorder="1" applyAlignment="1">
      <alignment vertical="center"/>
    </xf>
    <xf numFmtId="0" fontId="75" fillId="30" borderId="60" xfId="0" applyFont="1" applyFill="1" applyBorder="1" applyAlignment="1">
      <alignment horizontal="center" vertical="center"/>
    </xf>
    <xf numFmtId="0" fontId="75" fillId="30" borderId="60" xfId="0" applyFont="1" applyFill="1" applyBorder="1">
      <alignment vertical="center"/>
    </xf>
    <xf numFmtId="0" fontId="244" fillId="30" borderId="60" xfId="0" applyFont="1" applyFill="1" applyBorder="1">
      <alignment vertical="center"/>
    </xf>
    <xf numFmtId="0" fontId="78" fillId="30" borderId="61" xfId="44" applyFont="1" applyFill="1" applyBorder="1" applyAlignment="1">
      <alignment vertical="center"/>
    </xf>
    <xf numFmtId="0" fontId="59" fillId="27" borderId="62" xfId="0" applyFont="1" applyFill="1" applyBorder="1">
      <alignment vertical="center"/>
    </xf>
    <xf numFmtId="0" fontId="78" fillId="27" borderId="0" xfId="44" applyFont="1" applyFill="1" applyAlignment="1">
      <alignment vertical="center"/>
    </xf>
    <xf numFmtId="0" fontId="78" fillId="27" borderId="0" xfId="44" applyFont="1" applyFill="1" applyAlignment="1">
      <alignment horizontal="left" vertical="center"/>
    </xf>
    <xf numFmtId="0" fontId="75" fillId="27" borderId="0" xfId="44" applyFont="1" applyFill="1" applyAlignment="1">
      <alignment vertical="center"/>
    </xf>
    <xf numFmtId="0" fontId="30" fillId="27" borderId="0" xfId="0" applyFont="1" applyFill="1" applyAlignment="1">
      <alignment horizontal="center" vertical="center"/>
    </xf>
    <xf numFmtId="0" fontId="75" fillId="27" borderId="0" xfId="0" applyFont="1" applyFill="1">
      <alignment vertical="center"/>
    </xf>
    <xf numFmtId="0" fontId="244" fillId="27" borderId="0" xfId="0" applyFont="1" applyFill="1">
      <alignment vertical="center"/>
    </xf>
    <xf numFmtId="0" fontId="30" fillId="27" borderId="63" xfId="44" applyFont="1" applyFill="1" applyBorder="1" applyAlignment="1">
      <alignment horizontal="right" vertical="center"/>
    </xf>
    <xf numFmtId="0" fontId="35" fillId="27" borderId="0" xfId="44" applyFont="1" applyFill="1" applyAlignment="1">
      <alignment horizontal="right" vertical="center"/>
    </xf>
    <xf numFmtId="0" fontId="35" fillId="27" borderId="63" xfId="44" applyFont="1" applyFill="1" applyBorder="1" applyAlignment="1">
      <alignment horizontal="right" vertical="center"/>
    </xf>
    <xf numFmtId="205" fontId="44" fillId="0" borderId="10" xfId="0" applyNumberFormat="1" applyFont="1" applyBorder="1">
      <alignment vertical="center"/>
    </xf>
    <xf numFmtId="0" fontId="35" fillId="27" borderId="62" xfId="0" applyFont="1" applyFill="1" applyBorder="1">
      <alignment vertical="center"/>
    </xf>
    <xf numFmtId="0" fontId="247" fillId="27" borderId="0" xfId="44" applyFont="1" applyFill="1" applyAlignment="1">
      <alignment horizontal="left" vertical="center"/>
    </xf>
    <xf numFmtId="0" fontId="44" fillId="27" borderId="0" xfId="44" applyFont="1" applyFill="1" applyAlignment="1">
      <alignment vertical="center"/>
    </xf>
    <xf numFmtId="40" fontId="44" fillId="0" borderId="10" xfId="0" applyNumberFormat="1" applyFont="1" applyBorder="1">
      <alignment vertical="center"/>
    </xf>
    <xf numFmtId="0" fontId="35" fillId="27" borderId="0" xfId="44" applyFont="1" applyFill="1" applyAlignment="1">
      <alignment horizontal="left" vertical="center"/>
    </xf>
    <xf numFmtId="0" fontId="35" fillId="27" borderId="0" xfId="44" applyFont="1" applyFill="1" applyAlignment="1">
      <alignment vertical="center"/>
    </xf>
    <xf numFmtId="0" fontId="35" fillId="27" borderId="62" xfId="44" applyFont="1" applyFill="1" applyBorder="1" applyAlignment="1">
      <alignment vertical="center"/>
    </xf>
    <xf numFmtId="178" fontId="35" fillId="27" borderId="10" xfId="44" applyNumberFormat="1" applyFont="1" applyFill="1" applyBorder="1" applyAlignment="1">
      <alignment vertical="center"/>
    </xf>
    <xf numFmtId="178" fontId="35" fillId="27" borderId="26" xfId="44" applyNumberFormat="1" applyFont="1" applyFill="1" applyBorder="1" applyAlignment="1">
      <alignment vertical="center"/>
    </xf>
    <xf numFmtId="177" fontId="35" fillId="27" borderId="10" xfId="44" applyNumberFormat="1" applyFont="1" applyFill="1" applyBorder="1" applyAlignment="1">
      <alignment horizontal="center" vertical="center"/>
    </xf>
    <xf numFmtId="178" fontId="35" fillId="27" borderId="10" xfId="28" applyNumberFormat="1" applyFont="1" applyFill="1" applyBorder="1" applyAlignment="1" applyProtection="1">
      <alignment horizontal="center" vertical="center"/>
    </xf>
    <xf numFmtId="178" fontId="35" fillId="27" borderId="148" xfId="44" applyNumberFormat="1" applyFont="1" applyFill="1" applyBorder="1" applyAlignment="1">
      <alignment vertical="center"/>
    </xf>
    <xf numFmtId="178" fontId="35" fillId="27" borderId="0" xfId="44" applyNumberFormat="1" applyFont="1" applyFill="1" applyAlignment="1">
      <alignment vertical="center"/>
    </xf>
    <xf numFmtId="177" fontId="35" fillId="27" borderId="0" xfId="44" applyNumberFormat="1" applyFont="1" applyFill="1" applyAlignment="1">
      <alignment horizontal="center" vertical="center"/>
    </xf>
    <xf numFmtId="178" fontId="35" fillId="27" borderId="0" xfId="28" applyNumberFormat="1" applyFont="1" applyFill="1" applyBorder="1" applyAlignment="1" applyProtection="1">
      <alignment horizontal="center" vertical="center"/>
    </xf>
    <xf numFmtId="178" fontId="35" fillId="27" borderId="63" xfId="44" applyNumberFormat="1" applyFont="1" applyFill="1" applyBorder="1" applyAlignment="1">
      <alignment vertical="center"/>
    </xf>
    <xf numFmtId="0" fontId="35" fillId="27" borderId="10" xfId="44" applyFont="1" applyFill="1" applyBorder="1" applyAlignment="1">
      <alignment vertical="center"/>
    </xf>
    <xf numFmtId="0" fontId="35" fillId="27" borderId="0" xfId="44" applyFont="1" applyFill="1" applyAlignment="1">
      <alignment horizontal="center" vertical="center"/>
    </xf>
    <xf numFmtId="180" fontId="35" fillId="27" borderId="0" xfId="44" applyNumberFormat="1" applyFont="1" applyFill="1" applyAlignment="1">
      <alignment horizontal="center" vertical="center"/>
    </xf>
    <xf numFmtId="0" fontId="35" fillId="27" borderId="63" xfId="44" applyFont="1" applyFill="1" applyBorder="1" applyAlignment="1">
      <alignment vertical="center"/>
    </xf>
    <xf numFmtId="0" fontId="30" fillId="27" borderId="62" xfId="0" applyFont="1" applyFill="1" applyBorder="1">
      <alignment vertical="center"/>
    </xf>
    <xf numFmtId="9" fontId="35" fillId="27" borderId="10" xfId="0" applyNumberFormat="1" applyFont="1" applyFill="1" applyBorder="1">
      <alignment vertical="center"/>
    </xf>
    <xf numFmtId="9" fontId="35" fillId="27" borderId="10" xfId="28" applyFont="1" applyFill="1" applyBorder="1" applyProtection="1">
      <alignment vertical="center"/>
    </xf>
    <xf numFmtId="0" fontId="35" fillId="27" borderId="63" xfId="0" applyFont="1" applyFill="1" applyBorder="1">
      <alignment vertical="center"/>
    </xf>
    <xf numFmtId="0" fontId="35" fillId="27" borderId="0" xfId="0" applyFont="1" applyFill="1" applyAlignment="1">
      <alignment horizontal="left" vertical="center"/>
    </xf>
    <xf numFmtId="179" fontId="35" fillId="27" borderId="0" xfId="44" applyNumberFormat="1" applyFont="1" applyFill="1" applyAlignment="1">
      <alignment horizontal="right" vertical="center"/>
    </xf>
    <xf numFmtId="179" fontId="35" fillId="27" borderId="63" xfId="44" applyNumberFormat="1" applyFont="1" applyFill="1" applyBorder="1" applyAlignment="1">
      <alignment horizontal="right" vertical="center"/>
    </xf>
    <xf numFmtId="177" fontId="35" fillId="27" borderId="27" xfId="44" applyNumberFormat="1" applyFont="1" applyFill="1" applyBorder="1" applyAlignment="1">
      <alignment horizontal="center" vertical="center"/>
    </xf>
    <xf numFmtId="197" fontId="35" fillId="27" borderId="10" xfId="0" applyNumberFormat="1" applyFont="1" applyFill="1" applyBorder="1">
      <alignment vertical="center"/>
    </xf>
    <xf numFmtId="0" fontId="35" fillId="27" borderId="148" xfId="0" applyFont="1" applyFill="1" applyBorder="1">
      <alignment vertical="center"/>
    </xf>
    <xf numFmtId="197" fontId="35" fillId="27" borderId="0" xfId="0" applyNumberFormat="1" applyFont="1" applyFill="1" applyAlignment="1">
      <alignment horizontal="left" vertical="center"/>
    </xf>
    <xf numFmtId="0" fontId="35" fillId="27" borderId="144" xfId="0" applyFont="1" applyFill="1" applyBorder="1" applyAlignment="1">
      <alignment horizontal="left" vertical="center"/>
    </xf>
    <xf numFmtId="0" fontId="35" fillId="27" borderId="63" xfId="0" applyFont="1" applyFill="1" applyBorder="1" applyAlignment="1">
      <alignment horizontal="left" vertical="center"/>
    </xf>
    <xf numFmtId="0" fontId="35" fillId="27" borderId="62" xfId="44" applyFont="1" applyFill="1" applyBorder="1"/>
    <xf numFmtId="0" fontId="35" fillId="27" borderId="0" xfId="44" applyFont="1" applyFill="1" applyAlignment="1">
      <alignment horizontal="left"/>
    </xf>
    <xf numFmtId="0" fontId="35" fillId="27" borderId="0" xfId="44" applyFont="1" applyFill="1"/>
    <xf numFmtId="38" fontId="35" fillId="27" borderId="10" xfId="35" applyFont="1" applyFill="1" applyBorder="1" applyAlignment="1" applyProtection="1"/>
    <xf numFmtId="38" fontId="35" fillId="27" borderId="0" xfId="35" applyFont="1" applyFill="1" applyBorder="1" applyAlignment="1" applyProtection="1"/>
    <xf numFmtId="38" fontId="35" fillId="27" borderId="63" xfId="35" applyFont="1" applyFill="1" applyBorder="1" applyAlignment="1" applyProtection="1"/>
    <xf numFmtId="0" fontId="35" fillId="27" borderId="10" xfId="35" applyNumberFormat="1" applyFont="1" applyFill="1" applyBorder="1" applyAlignment="1" applyProtection="1"/>
    <xf numFmtId="178" fontId="35" fillId="27" borderId="148" xfId="44" applyNumberFormat="1" applyFont="1" applyFill="1" applyBorder="1"/>
    <xf numFmtId="0" fontId="35" fillId="27" borderId="148" xfId="44" applyFont="1" applyFill="1" applyBorder="1"/>
    <xf numFmtId="0" fontId="35" fillId="27" borderId="149" xfId="35" applyNumberFormat="1" applyFont="1" applyFill="1" applyBorder="1" applyAlignment="1" applyProtection="1"/>
    <xf numFmtId="38" fontId="35" fillId="27" borderId="26" xfId="35" applyFont="1" applyFill="1" applyBorder="1" applyAlignment="1" applyProtection="1"/>
    <xf numFmtId="0" fontId="35" fillId="27" borderId="123" xfId="35" applyNumberFormat="1" applyFont="1" applyFill="1" applyBorder="1" applyAlignment="1" applyProtection="1"/>
    <xf numFmtId="0" fontId="35" fillId="27" borderId="139" xfId="35" applyNumberFormat="1" applyFont="1" applyFill="1" applyBorder="1" applyAlignment="1" applyProtection="1"/>
    <xf numFmtId="0" fontId="32" fillId="27" borderId="0" xfId="0" applyFont="1" applyFill="1">
      <alignment vertical="center"/>
    </xf>
    <xf numFmtId="217" fontId="35" fillId="27" borderId="10" xfId="0" applyNumberFormat="1" applyFont="1" applyFill="1" applyBorder="1">
      <alignment vertical="center"/>
    </xf>
    <xf numFmtId="179" fontId="35" fillId="27" borderId="144" xfId="44" applyNumberFormat="1" applyFont="1" applyFill="1" applyBorder="1" applyAlignment="1">
      <alignment horizontal="right" vertical="center"/>
    </xf>
    <xf numFmtId="179" fontId="35" fillId="27" borderId="144" xfId="0" applyNumberFormat="1" applyFont="1" applyFill="1" applyBorder="1">
      <alignment vertical="center"/>
    </xf>
    <xf numFmtId="0" fontId="44" fillId="27" borderId="63" xfId="44" applyFont="1" applyFill="1" applyBorder="1" applyAlignment="1">
      <alignment vertical="center"/>
    </xf>
    <xf numFmtId="178" fontId="35" fillId="27" borderId="144" xfId="44" applyNumberFormat="1" applyFont="1" applyFill="1" applyBorder="1" applyAlignment="1">
      <alignment horizontal="right" vertical="center"/>
    </xf>
    <xf numFmtId="0" fontId="35" fillId="27" borderId="0" xfId="0" applyFont="1" applyFill="1" applyAlignment="1">
      <alignment horizontal="right"/>
    </xf>
    <xf numFmtId="178" fontId="35" fillId="27" borderId="0" xfId="44" applyNumberFormat="1" applyFont="1" applyFill="1" applyAlignment="1">
      <alignment horizontal="right" vertical="center"/>
    </xf>
    <xf numFmtId="178" fontId="35" fillId="27" borderId="63" xfId="0" applyNumberFormat="1" applyFont="1" applyFill="1" applyBorder="1" applyAlignment="1">
      <alignment horizontal="right" vertical="center"/>
    </xf>
    <xf numFmtId="38" fontId="35" fillId="27" borderId="10" xfId="35" applyFont="1" applyFill="1" applyBorder="1" applyAlignment="1" applyProtection="1">
      <alignment vertical="center"/>
    </xf>
    <xf numFmtId="178" fontId="35" fillId="27" borderId="10" xfId="44" applyNumberFormat="1" applyFont="1" applyFill="1" applyBorder="1" applyAlignment="1">
      <alignment horizontal="right" vertical="center"/>
    </xf>
    <xf numFmtId="40" fontId="35" fillId="27" borderId="148" xfId="35" applyNumberFormat="1" applyFont="1" applyFill="1" applyBorder="1" applyAlignment="1" applyProtection="1">
      <alignment vertical="center"/>
    </xf>
    <xf numFmtId="0" fontId="35" fillId="50" borderId="0" xfId="0" applyFont="1" applyFill="1">
      <alignment vertical="center"/>
    </xf>
    <xf numFmtId="0" fontId="44" fillId="50" borderId="0" xfId="0" applyFont="1" applyFill="1">
      <alignment vertical="center"/>
    </xf>
    <xf numFmtId="0" fontId="62" fillId="27" borderId="0" xfId="0" applyFont="1" applyFill="1" applyAlignment="1">
      <alignment horizontal="left" vertical="center"/>
    </xf>
    <xf numFmtId="40" fontId="35" fillId="27" borderId="10" xfId="35" applyNumberFormat="1" applyFont="1" applyFill="1" applyBorder="1" applyAlignment="1" applyProtection="1">
      <alignment horizontal="right" vertical="center"/>
    </xf>
    <xf numFmtId="38" fontId="35" fillId="27" borderId="0" xfId="35" applyFont="1" applyFill="1" applyBorder="1" applyAlignment="1" applyProtection="1">
      <alignment vertical="center"/>
    </xf>
    <xf numFmtId="40" fontId="35" fillId="27" borderId="0" xfId="35" applyNumberFormat="1" applyFont="1" applyFill="1" applyBorder="1" applyAlignment="1" applyProtection="1">
      <alignment horizontal="right" vertical="center"/>
    </xf>
    <xf numFmtId="0" fontId="35" fillId="27" borderId="0" xfId="0" applyFont="1" applyFill="1" applyAlignment="1">
      <alignment horizontal="center" vertical="center"/>
    </xf>
    <xf numFmtId="180" fontId="35" fillId="27" borderId="0" xfId="44" applyNumberFormat="1" applyFont="1" applyFill="1" applyAlignment="1">
      <alignment horizontal="left" vertical="center"/>
    </xf>
    <xf numFmtId="180" fontId="35" fillId="27" borderId="17" xfId="44" applyNumberFormat="1" applyFont="1" applyFill="1" applyBorder="1" applyAlignment="1">
      <alignment horizontal="center" vertical="center"/>
    </xf>
    <xf numFmtId="0" fontId="44" fillId="27" borderId="26" xfId="44" applyFont="1" applyFill="1" applyBorder="1" applyAlignment="1">
      <alignment horizontal="left" vertical="center"/>
    </xf>
    <xf numFmtId="0" fontId="35" fillId="27" borderId="50" xfId="44" applyFont="1" applyFill="1" applyBorder="1" applyAlignment="1">
      <alignment vertical="center"/>
    </xf>
    <xf numFmtId="0" fontId="44" fillId="27" borderId="27" xfId="44" applyFont="1" applyFill="1" applyBorder="1" applyAlignment="1">
      <alignment vertical="center"/>
    </xf>
    <xf numFmtId="179" fontId="44" fillId="27" borderId="10" xfId="44" applyNumberFormat="1" applyFont="1" applyFill="1" applyBorder="1" applyAlignment="1">
      <alignment vertical="center"/>
    </xf>
    <xf numFmtId="179" fontId="44" fillId="27" borderId="148" xfId="44" applyNumberFormat="1" applyFont="1" applyFill="1" applyBorder="1" applyAlignment="1">
      <alignment vertical="center"/>
    </xf>
    <xf numFmtId="179" fontId="44" fillId="27" borderId="51" xfId="44" applyNumberFormat="1" applyFont="1" applyFill="1" applyBorder="1" applyAlignment="1">
      <alignment vertical="center"/>
    </xf>
    <xf numFmtId="179" fontId="44" fillId="27" borderId="150" xfId="44" applyNumberFormat="1" applyFont="1" applyFill="1" applyBorder="1" applyAlignment="1">
      <alignment horizontal="right" vertical="center"/>
    </xf>
    <xf numFmtId="0" fontId="35" fillId="27" borderId="65" xfId="0" applyFont="1" applyFill="1" applyBorder="1">
      <alignment vertical="center"/>
    </xf>
    <xf numFmtId="0" fontId="89" fillId="32" borderId="151" xfId="44" applyFont="1" applyFill="1" applyBorder="1" applyAlignment="1">
      <alignment vertical="center"/>
    </xf>
    <xf numFmtId="0" fontId="78" fillId="32" borderId="126" xfId="44" applyFont="1" applyFill="1" applyBorder="1" applyAlignment="1">
      <alignment horizontal="left" vertical="center"/>
    </xf>
    <xf numFmtId="0" fontId="78" fillId="32" borderId="126" xfId="44" applyFont="1" applyFill="1" applyBorder="1" applyAlignment="1">
      <alignment vertical="center"/>
    </xf>
    <xf numFmtId="0" fontId="75" fillId="32" borderId="152" xfId="44" applyFont="1" applyFill="1" applyBorder="1" applyAlignment="1">
      <alignment vertical="center"/>
    </xf>
    <xf numFmtId="0" fontId="35" fillId="27" borderId="66" xfId="0" applyFont="1" applyFill="1" applyBorder="1">
      <alignment vertical="center"/>
    </xf>
    <xf numFmtId="179" fontId="89" fillId="32" borderId="136" xfId="44" applyNumberFormat="1" applyFont="1" applyFill="1" applyBorder="1" applyAlignment="1">
      <alignment horizontal="right" vertical="center"/>
    </xf>
    <xf numFmtId="0" fontId="35" fillId="27" borderId="66" xfId="44" applyFont="1" applyFill="1" applyBorder="1" applyAlignment="1">
      <alignment vertical="center"/>
    </xf>
    <xf numFmtId="179" fontId="89" fillId="32" borderId="153" xfId="44" applyNumberFormat="1" applyFont="1" applyFill="1" applyBorder="1" applyAlignment="1">
      <alignment horizontal="right" vertical="center"/>
    </xf>
    <xf numFmtId="0" fontId="32" fillId="0" borderId="0" xfId="0" applyFont="1" applyAlignment="1">
      <alignment horizontal="right" vertical="center"/>
    </xf>
    <xf numFmtId="0" fontId="32" fillId="0" borderId="0" xfId="0" applyFont="1" applyAlignment="1" applyProtection="1">
      <alignment horizontal="left" vertical="top"/>
      <protection hidden="1"/>
    </xf>
    <xf numFmtId="0" fontId="200" fillId="0" borderId="0" xfId="0" applyFont="1" applyAlignment="1">
      <alignment horizontal="right" vertical="center"/>
    </xf>
    <xf numFmtId="0" fontId="32" fillId="29" borderId="0" xfId="0" applyFont="1" applyFill="1">
      <alignment vertical="center"/>
    </xf>
    <xf numFmtId="0" fontId="200" fillId="27" borderId="0" xfId="0" applyFont="1" applyFill="1">
      <alignment vertical="center"/>
    </xf>
    <xf numFmtId="197" fontId="35" fillId="27" borderId="0" xfId="44" applyNumberFormat="1" applyFont="1" applyFill="1" applyAlignment="1">
      <alignment horizontal="left" vertical="center"/>
    </xf>
    <xf numFmtId="0" fontId="44" fillId="27" borderId="10" xfId="45" applyFont="1" applyFill="1" applyBorder="1" applyAlignment="1" applyProtection="1">
      <alignment vertical="center" shrinkToFit="1"/>
      <protection hidden="1"/>
    </xf>
    <xf numFmtId="0" fontId="44" fillId="27" borderId="10" xfId="45" applyFont="1" applyFill="1" applyBorder="1" applyAlignment="1" applyProtection="1">
      <alignment vertical="center" shrinkToFit="1"/>
      <protection locked="0"/>
    </xf>
    <xf numFmtId="0" fontId="62" fillId="27" borderId="0" xfId="0" applyFont="1" applyFill="1" applyAlignment="1" applyProtection="1">
      <alignment horizontal="left" vertical="center" wrapText="1"/>
      <protection hidden="1"/>
    </xf>
    <xf numFmtId="0" fontId="32" fillId="27" borderId="53" xfId="0" applyFont="1" applyFill="1" applyBorder="1" applyAlignment="1" applyProtection="1">
      <alignment horizontal="left" vertical="center"/>
      <protection hidden="1"/>
    </xf>
    <xf numFmtId="0" fontId="32" fillId="27" borderId="53" xfId="0" applyFont="1" applyFill="1" applyBorder="1" applyAlignment="1" applyProtection="1">
      <alignment horizontal="left" vertical="top"/>
      <protection hidden="1"/>
    </xf>
    <xf numFmtId="0" fontId="32" fillId="27" borderId="54" xfId="0" applyFont="1" applyFill="1" applyBorder="1" applyAlignment="1">
      <alignment horizontal="left" vertical="top"/>
    </xf>
    <xf numFmtId="0" fontId="32" fillId="27" borderId="13" xfId="0" applyFont="1" applyFill="1" applyBorder="1" applyAlignment="1" applyProtection="1">
      <alignment horizontal="left" vertical="center"/>
      <protection hidden="1"/>
    </xf>
    <xf numFmtId="0" fontId="32" fillId="27" borderId="13" xfId="0" applyFont="1" applyFill="1" applyBorder="1" applyAlignment="1" applyProtection="1">
      <alignment horizontal="left" vertical="top"/>
      <protection hidden="1"/>
    </xf>
    <xf numFmtId="0" fontId="32" fillId="27" borderId="14" xfId="0" applyFont="1" applyFill="1" applyBorder="1" applyAlignment="1">
      <alignment horizontal="left" vertical="top"/>
    </xf>
    <xf numFmtId="0" fontId="32" fillId="27" borderId="56" xfId="0" applyFont="1" applyFill="1" applyBorder="1" applyAlignment="1" applyProtection="1">
      <alignment horizontal="left" vertical="top"/>
      <protection hidden="1"/>
    </xf>
    <xf numFmtId="0" fontId="32" fillId="27" borderId="57" xfId="0" applyFont="1" applyFill="1" applyBorder="1" applyAlignment="1" applyProtection="1">
      <alignment horizontal="left" vertical="center"/>
      <protection hidden="1"/>
    </xf>
    <xf numFmtId="0" fontId="252" fillId="27" borderId="57" xfId="0" applyFont="1" applyFill="1" applyBorder="1" applyAlignment="1" applyProtection="1">
      <alignment horizontal="left" vertical="top"/>
      <protection hidden="1"/>
    </xf>
    <xf numFmtId="0" fontId="32" fillId="27" borderId="58" xfId="0" applyFont="1" applyFill="1" applyBorder="1" applyAlignment="1">
      <alignment horizontal="left" vertical="top"/>
    </xf>
    <xf numFmtId="0" fontId="92" fillId="28" borderId="40" xfId="0" applyFont="1" applyFill="1" applyBorder="1" applyProtection="1">
      <alignment vertical="center"/>
      <protection hidden="1"/>
    </xf>
    <xf numFmtId="0" fontId="253" fillId="28" borderId="44" xfId="0" applyFont="1" applyFill="1" applyBorder="1" applyProtection="1">
      <alignment vertical="center"/>
      <protection hidden="1"/>
    </xf>
    <xf numFmtId="0" fontId="12" fillId="27" borderId="42" xfId="29" applyFill="1" applyBorder="1" applyAlignment="1" applyProtection="1">
      <alignment horizontal="left" vertical="center" indent="1"/>
      <protection hidden="1"/>
    </xf>
    <xf numFmtId="0" fontId="12" fillId="50" borderId="0" xfId="29" applyFill="1" applyAlignment="1" applyProtection="1">
      <alignment horizontal="left" vertical="center"/>
    </xf>
    <xf numFmtId="0" fontId="12" fillId="27" borderId="48" xfId="29" applyFill="1" applyBorder="1" applyAlignment="1" applyProtection="1">
      <alignment horizontal="left" vertical="center" indent="1"/>
      <protection hidden="1"/>
    </xf>
    <xf numFmtId="0" fontId="32" fillId="27" borderId="52" xfId="0" applyFont="1" applyFill="1" applyBorder="1" applyAlignment="1" applyProtection="1">
      <alignment horizontal="left" vertical="center"/>
      <protection hidden="1"/>
    </xf>
    <xf numFmtId="3" fontId="35" fillId="0" borderId="74" xfId="0" applyNumberFormat="1" applyFont="1" applyBorder="1" applyProtection="1">
      <alignment vertical="center"/>
      <protection hidden="1"/>
    </xf>
    <xf numFmtId="0" fontId="35" fillId="0" borderId="76" xfId="0" quotePrefix="1" applyFont="1" applyBorder="1" applyAlignment="1" applyProtection="1">
      <alignment horizontal="left" vertical="center"/>
      <protection hidden="1"/>
    </xf>
    <xf numFmtId="3" fontId="35" fillId="0" borderId="76" xfId="0" applyNumberFormat="1" applyFont="1" applyBorder="1" applyProtection="1">
      <alignment vertical="center"/>
      <protection hidden="1"/>
    </xf>
    <xf numFmtId="0" fontId="35" fillId="0" borderId="78" xfId="0" applyFont="1" applyBorder="1" applyAlignment="1" applyProtection="1">
      <alignment horizontal="left" vertical="center"/>
      <protection hidden="1"/>
    </xf>
    <xf numFmtId="181" fontId="35" fillId="0" borderId="76" xfId="0" applyNumberFormat="1" applyFont="1" applyBorder="1" applyAlignment="1" applyProtection="1">
      <alignment horizontal="right" vertical="center"/>
      <protection hidden="1"/>
    </xf>
    <xf numFmtId="3" fontId="35" fillId="0" borderId="57" xfId="0" applyNumberFormat="1" applyFont="1" applyBorder="1" applyAlignment="1" applyProtection="1">
      <alignment horizontal="left" vertical="center"/>
      <protection hidden="1"/>
    </xf>
    <xf numFmtId="181" fontId="35" fillId="0" borderId="78" xfId="0" applyNumberFormat="1" applyFont="1" applyBorder="1" applyAlignment="1" applyProtection="1">
      <alignment horizontal="right" vertical="center"/>
      <protection hidden="1"/>
    </xf>
    <xf numFmtId="37" fontId="32" fillId="0" borderId="79" xfId="0" applyNumberFormat="1" applyFont="1" applyBorder="1" applyAlignment="1" applyProtection="1">
      <alignment horizontal="left" vertical="center" shrinkToFit="1"/>
      <protection hidden="1"/>
    </xf>
    <xf numFmtId="3" fontId="35" fillId="0" borderId="81" xfId="0" applyNumberFormat="1" applyFont="1" applyBorder="1" applyProtection="1">
      <alignment vertical="center"/>
      <protection hidden="1"/>
    </xf>
    <xf numFmtId="3" fontId="247" fillId="0" borderId="0" xfId="0" applyNumberFormat="1" applyFont="1" applyAlignment="1" applyProtection="1">
      <alignment horizontal="left" vertical="center"/>
      <protection locked="0"/>
    </xf>
    <xf numFmtId="182" fontId="35" fillId="0" borderId="53" xfId="0" applyNumberFormat="1" applyFont="1" applyBorder="1" applyAlignment="1" applyProtection="1">
      <alignment horizontal="left" vertical="center"/>
      <protection hidden="1"/>
    </xf>
    <xf numFmtId="14" fontId="35" fillId="0" borderId="76" xfId="0" applyNumberFormat="1" applyFont="1" applyBorder="1" applyAlignment="1" applyProtection="1">
      <alignment horizontal="left" vertical="center" shrinkToFit="1"/>
      <protection hidden="1"/>
    </xf>
    <xf numFmtId="3" fontId="254" fillId="0" borderId="0" xfId="0" applyNumberFormat="1" applyFont="1" applyAlignment="1" applyProtection="1">
      <alignment horizontal="left" vertical="center"/>
      <protection locked="0"/>
    </xf>
    <xf numFmtId="31" fontId="35" fillId="0" borderId="76" xfId="0" applyNumberFormat="1" applyFont="1" applyBorder="1" applyAlignment="1" applyProtection="1">
      <alignment horizontal="left" vertical="center" shrinkToFit="1"/>
      <protection hidden="1"/>
    </xf>
    <xf numFmtId="3" fontId="35" fillId="0" borderId="53" xfId="0" applyNumberFormat="1" applyFont="1" applyBorder="1" applyAlignment="1" applyProtection="1">
      <alignment horizontal="right" vertical="center"/>
      <protection hidden="1"/>
    </xf>
    <xf numFmtId="14" fontId="35" fillId="0" borderId="76" xfId="0" applyNumberFormat="1" applyFont="1" applyBorder="1" applyAlignment="1" applyProtection="1">
      <alignment horizontal="left" vertical="center"/>
      <protection hidden="1"/>
    </xf>
    <xf numFmtId="3" fontId="35" fillId="0" borderId="0" xfId="0" applyNumberFormat="1" applyFont="1" applyAlignment="1" applyProtection="1">
      <alignment horizontal="right" vertical="center"/>
      <protection hidden="1"/>
    </xf>
    <xf numFmtId="182" fontId="35" fillId="0" borderId="0" xfId="0" applyNumberFormat="1" applyFont="1" applyAlignment="1" applyProtection="1">
      <alignment horizontal="left" vertical="center"/>
      <protection hidden="1"/>
    </xf>
    <xf numFmtId="37" fontId="35" fillId="0" borderId="0" xfId="0" applyNumberFormat="1" applyFont="1" applyAlignment="1" applyProtection="1">
      <alignment horizontal="right" vertical="center"/>
      <protection hidden="1"/>
    </xf>
    <xf numFmtId="0" fontId="87" fillId="30" borderId="69" xfId="0" applyFont="1" applyFill="1" applyBorder="1" applyAlignment="1" applyProtection="1">
      <alignment horizontal="right" vertical="top"/>
      <protection hidden="1"/>
    </xf>
    <xf numFmtId="0" fontId="87" fillId="30" borderId="71" xfId="0" applyFont="1" applyFill="1" applyBorder="1" applyAlignment="1" applyProtection="1">
      <alignment horizontal="right" vertical="center"/>
      <protection hidden="1"/>
    </xf>
    <xf numFmtId="0" fontId="255" fillId="32" borderId="0" xfId="0" applyFont="1" applyFill="1" applyAlignment="1" applyProtection="1">
      <alignment horizontal="right" vertical="center"/>
      <protection hidden="1"/>
    </xf>
    <xf numFmtId="0" fontId="256" fillId="32" borderId="0" xfId="0" applyFont="1" applyFill="1" applyAlignment="1" applyProtection="1">
      <alignment horizontal="right" vertical="center"/>
      <protection hidden="1"/>
    </xf>
    <xf numFmtId="0" fontId="87" fillId="32" borderId="63" xfId="0" applyFont="1" applyFill="1" applyBorder="1" applyAlignment="1" applyProtection="1">
      <alignment horizontal="right" vertical="center"/>
      <protection hidden="1"/>
    </xf>
    <xf numFmtId="0" fontId="245" fillId="0" borderId="0" xfId="0" applyFont="1" applyAlignment="1" applyProtection="1">
      <alignment horizontal="right" vertical="center"/>
      <protection hidden="1"/>
    </xf>
    <xf numFmtId="0" fontId="89" fillId="34" borderId="53" xfId="0" applyFont="1" applyFill="1" applyBorder="1" applyProtection="1">
      <alignment vertical="center"/>
      <protection hidden="1"/>
    </xf>
    <xf numFmtId="0" fontId="59" fillId="35" borderId="68" xfId="0" applyFont="1" applyFill="1" applyBorder="1" applyProtection="1">
      <alignment vertical="center"/>
      <protection hidden="1"/>
    </xf>
    <xf numFmtId="0" fontId="87" fillId="35" borderId="69" xfId="0" applyFont="1" applyFill="1" applyBorder="1" applyAlignment="1" applyProtection="1">
      <alignment vertical="top"/>
      <protection hidden="1"/>
    </xf>
    <xf numFmtId="0" fontId="87" fillId="35" borderId="71" xfId="0" applyFont="1" applyFill="1" applyBorder="1" applyAlignment="1" applyProtection="1">
      <alignment horizontal="right" vertical="center"/>
      <protection hidden="1"/>
    </xf>
    <xf numFmtId="0" fontId="59" fillId="36" borderId="59" xfId="0" applyFont="1" applyFill="1" applyBorder="1" applyProtection="1">
      <alignment vertical="center"/>
      <protection hidden="1"/>
    </xf>
    <xf numFmtId="0" fontId="75" fillId="36" borderId="60" xfId="0" applyFont="1" applyFill="1" applyBorder="1" applyProtection="1">
      <alignment vertical="center"/>
      <protection hidden="1"/>
    </xf>
    <xf numFmtId="0" fontId="75" fillId="36" borderId="61" xfId="0" applyFont="1" applyFill="1" applyBorder="1" applyAlignment="1" applyProtection="1">
      <alignment horizontal="right" vertical="center"/>
      <protection hidden="1"/>
    </xf>
    <xf numFmtId="49" fontId="35" fillId="37" borderId="0" xfId="0" applyNumberFormat="1" applyFont="1" applyFill="1" applyAlignment="1" applyProtection="1">
      <alignment horizontal="left" vertical="center"/>
      <protection hidden="1"/>
    </xf>
    <xf numFmtId="0" fontId="35" fillId="37" borderId="0" xfId="0" applyFont="1" applyFill="1" applyProtection="1">
      <alignment vertical="center"/>
      <protection hidden="1"/>
    </xf>
    <xf numFmtId="0" fontId="59" fillId="36" borderId="68" xfId="0" applyFont="1" applyFill="1" applyBorder="1" applyAlignment="1" applyProtection="1">
      <alignment horizontal="left" vertical="center"/>
      <protection hidden="1"/>
    </xf>
    <xf numFmtId="0" fontId="89" fillId="32" borderId="59" xfId="0" applyFont="1" applyFill="1" applyBorder="1" applyProtection="1">
      <alignment vertical="center"/>
      <protection hidden="1"/>
    </xf>
    <xf numFmtId="0" fontId="89" fillId="32" borderId="91" xfId="0" applyFont="1" applyFill="1" applyBorder="1" applyProtection="1">
      <alignment vertical="center"/>
      <protection hidden="1"/>
    </xf>
    <xf numFmtId="0" fontId="98" fillId="24" borderId="0" xfId="0" applyFont="1" applyFill="1" applyAlignment="1" applyProtection="1">
      <alignment horizontal="left" vertical="center"/>
      <protection locked="0"/>
    </xf>
    <xf numFmtId="0" fontId="98" fillId="24" borderId="64" xfId="0" applyFont="1" applyFill="1" applyBorder="1" applyAlignment="1" applyProtection="1">
      <alignment horizontal="left" vertical="center"/>
      <protection locked="0"/>
    </xf>
    <xf numFmtId="0" fontId="64" fillId="0" borderId="66" xfId="0" applyFont="1" applyBorder="1" applyAlignment="1" applyProtection="1">
      <alignment horizontal="left" vertical="top"/>
      <protection hidden="1"/>
    </xf>
    <xf numFmtId="0" fontId="64" fillId="0" borderId="67" xfId="0" applyFont="1" applyBorder="1" applyAlignment="1" applyProtection="1">
      <alignment horizontal="left" vertical="top"/>
      <protection hidden="1"/>
    </xf>
    <xf numFmtId="0" fontId="96" fillId="0" borderId="0" xfId="0" applyFont="1" applyAlignment="1" applyProtection="1">
      <alignment horizontal="left" vertical="center"/>
      <protection hidden="1"/>
    </xf>
    <xf numFmtId="0" fontId="96" fillId="0" borderId="0" xfId="0" quotePrefix="1" applyFont="1" applyAlignment="1" applyProtection="1">
      <alignment horizontal="left" vertical="center"/>
      <protection hidden="1"/>
    </xf>
    <xf numFmtId="0" fontId="96" fillId="0" borderId="57" xfId="0" applyFont="1" applyBorder="1" applyAlignment="1" applyProtection="1">
      <alignment horizontal="right" vertical="center"/>
      <protection hidden="1"/>
    </xf>
    <xf numFmtId="0" fontId="96" fillId="0" borderId="57" xfId="0" applyFont="1" applyBorder="1" applyAlignment="1" applyProtection="1">
      <alignment horizontal="left" vertical="center"/>
      <protection hidden="1"/>
    </xf>
    <xf numFmtId="0" fontId="89" fillId="30" borderId="59" xfId="0" applyFont="1" applyFill="1" applyBorder="1" applyProtection="1">
      <alignment vertical="center"/>
      <protection hidden="1"/>
    </xf>
    <xf numFmtId="56" fontId="89" fillId="30" borderId="85" xfId="0" applyNumberFormat="1" applyFont="1" applyFill="1" applyBorder="1" applyProtection="1">
      <alignment vertical="center"/>
      <protection hidden="1"/>
    </xf>
    <xf numFmtId="0" fontId="89" fillId="30" borderId="85" xfId="0" applyFont="1" applyFill="1" applyBorder="1" applyProtection="1">
      <alignment vertical="center"/>
      <protection hidden="1"/>
    </xf>
    <xf numFmtId="0" fontId="35" fillId="27" borderId="73" xfId="0" applyFont="1" applyFill="1" applyBorder="1" applyAlignment="1"/>
    <xf numFmtId="0" fontId="30" fillId="27" borderId="0" xfId="44" quotePrefix="1" applyFont="1" applyFill="1" applyAlignment="1">
      <alignment vertical="center"/>
    </xf>
    <xf numFmtId="0" fontId="30" fillId="27" borderId="0" xfId="0" applyFont="1" applyFill="1">
      <alignment vertical="center"/>
    </xf>
    <xf numFmtId="0" fontId="32" fillId="27" borderId="0" xfId="0" quotePrefix="1" applyFont="1" applyFill="1">
      <alignment vertical="center"/>
    </xf>
    <xf numFmtId="0" fontId="30" fillId="27" borderId="0" xfId="0" applyFont="1" applyFill="1" applyAlignment="1">
      <alignment horizontal="left" vertical="top"/>
    </xf>
    <xf numFmtId="0" fontId="214" fillId="27" borderId="0" xfId="0" applyFont="1" applyFill="1">
      <alignment vertical="center"/>
    </xf>
    <xf numFmtId="0" fontId="231" fillId="27" borderId="73" xfId="0" applyFont="1" applyFill="1" applyBorder="1">
      <alignment vertical="center"/>
    </xf>
    <xf numFmtId="0" fontId="44" fillId="49" borderId="0" xfId="0" applyFont="1" applyFill="1">
      <alignment vertical="center"/>
    </xf>
    <xf numFmtId="0" fontId="30" fillId="27" borderId="0" xfId="0" applyFont="1" applyFill="1" applyAlignment="1">
      <alignment horizontal="right" vertical="center"/>
    </xf>
    <xf numFmtId="178" fontId="35" fillId="38" borderId="144" xfId="0" applyNumberFormat="1" applyFont="1" applyFill="1" applyBorder="1" applyProtection="1">
      <alignment vertical="center"/>
      <protection locked="0"/>
    </xf>
    <xf numFmtId="0" fontId="32" fillId="27" borderId="0" xfId="0" applyFont="1" applyFill="1" applyAlignment="1">
      <alignment horizontal="right" vertical="top"/>
    </xf>
    <xf numFmtId="218" fontId="35" fillId="27" borderId="10" xfId="0" applyNumberFormat="1" applyFont="1" applyFill="1" applyBorder="1" applyAlignment="1">
      <alignment horizontal="center" vertical="center"/>
    </xf>
    <xf numFmtId="0" fontId="32" fillId="27" borderId="0" xfId="0" applyFont="1" applyFill="1" applyAlignment="1">
      <alignment vertical="center" wrapText="1"/>
    </xf>
    <xf numFmtId="0" fontId="32" fillId="27" borderId="63" xfId="0" applyFont="1" applyFill="1" applyBorder="1" applyAlignment="1">
      <alignment vertical="center" wrapText="1"/>
    </xf>
    <xf numFmtId="0" fontId="240" fillId="0" borderId="0" xfId="0" applyFont="1">
      <alignment vertical="center"/>
    </xf>
    <xf numFmtId="178" fontId="35" fillId="27" borderId="0" xfId="0" applyNumberFormat="1" applyFont="1" applyFill="1">
      <alignment vertical="center"/>
    </xf>
    <xf numFmtId="38" fontId="35" fillId="40" borderId="144" xfId="35" applyFont="1" applyFill="1" applyBorder="1" applyAlignment="1" applyProtection="1">
      <alignment horizontal="center" vertical="center" shrinkToFit="1"/>
      <protection locked="0"/>
    </xf>
    <xf numFmtId="0" fontId="62" fillId="27" borderId="0" xfId="0" applyFont="1" applyFill="1" applyAlignment="1">
      <alignment horizontal="right" vertical="top"/>
    </xf>
    <xf numFmtId="205" fontId="35" fillId="57" borderId="10" xfId="0" applyNumberFormat="1" applyFont="1" applyFill="1" applyBorder="1" applyProtection="1">
      <alignment vertical="center"/>
      <protection locked="0"/>
    </xf>
    <xf numFmtId="178" fontId="35" fillId="27" borderId="10" xfId="0" applyNumberFormat="1" applyFont="1" applyFill="1" applyBorder="1">
      <alignment vertical="center"/>
    </xf>
    <xf numFmtId="219" fontId="35" fillId="27" borderId="144" xfId="0" applyNumberFormat="1" applyFont="1" applyFill="1" applyBorder="1" applyAlignment="1">
      <alignment horizontal="center" vertical="center"/>
    </xf>
    <xf numFmtId="38" fontId="35" fillId="27" borderId="10" xfId="35" applyFont="1" applyFill="1" applyBorder="1" applyProtection="1">
      <alignment vertical="center"/>
    </xf>
    <xf numFmtId="0" fontId="32" fillId="27" borderId="0" xfId="0" applyFont="1" applyFill="1" applyAlignment="1">
      <alignment vertical="top" wrapText="1"/>
    </xf>
    <xf numFmtId="203" fontId="44" fillId="49" borderId="0" xfId="0" applyNumberFormat="1" applyFont="1" applyFill="1">
      <alignment vertical="center"/>
    </xf>
    <xf numFmtId="0" fontId="35" fillId="27" borderId="63" xfId="0" applyFont="1" applyFill="1" applyBorder="1" applyAlignment="1">
      <alignment horizontal="right" vertical="center"/>
    </xf>
    <xf numFmtId="178" fontId="35" fillId="57" borderId="144" xfId="0" applyNumberFormat="1" applyFont="1" applyFill="1" applyBorder="1" applyProtection="1">
      <alignment vertical="center"/>
      <protection locked="0"/>
    </xf>
    <xf numFmtId="2" fontId="44" fillId="0" borderId="10" xfId="0" applyNumberFormat="1" applyFont="1" applyBorder="1">
      <alignment vertical="center"/>
    </xf>
    <xf numFmtId="0" fontId="233" fillId="27" borderId="0" xfId="0" applyFont="1" applyFill="1" applyAlignment="1">
      <alignment horizontal="left" vertical="center" wrapText="1"/>
    </xf>
    <xf numFmtId="0" fontId="32" fillId="27" borderId="0" xfId="0" applyFont="1" applyFill="1" applyAlignment="1">
      <alignment horizontal="right" vertical="center"/>
    </xf>
    <xf numFmtId="178" fontId="35" fillId="57" borderId="144" xfId="0" applyNumberFormat="1" applyFont="1" applyFill="1" applyBorder="1" applyAlignment="1" applyProtection="1">
      <alignment horizontal="center" vertical="center"/>
      <protection locked="0"/>
    </xf>
    <xf numFmtId="2" fontId="44" fillId="0" borderId="0" xfId="0" applyNumberFormat="1" applyFont="1">
      <alignment vertical="center"/>
    </xf>
    <xf numFmtId="0" fontId="166" fillId="27" borderId="0" xfId="0" applyFont="1" applyFill="1">
      <alignment vertical="center"/>
    </xf>
    <xf numFmtId="205" fontId="32" fillId="57" borderId="26" xfId="0" applyNumberFormat="1" applyFont="1" applyFill="1" applyBorder="1" applyProtection="1">
      <alignment vertical="center"/>
      <protection locked="0"/>
    </xf>
    <xf numFmtId="205" fontId="35" fillId="50" borderId="50" xfId="0" applyNumberFormat="1" applyFont="1" applyFill="1" applyBorder="1" applyProtection="1">
      <alignment vertical="center"/>
      <protection locked="0"/>
    </xf>
    <xf numFmtId="205" fontId="35" fillId="50" borderId="27" xfId="0" applyNumberFormat="1" applyFont="1" applyFill="1" applyBorder="1" applyProtection="1">
      <alignment vertical="center"/>
      <protection locked="0"/>
    </xf>
    <xf numFmtId="205" fontId="35" fillId="57" borderId="151" xfId="0" applyNumberFormat="1" applyFont="1" applyFill="1" applyBorder="1" applyProtection="1">
      <alignment vertical="center"/>
      <protection locked="0"/>
    </xf>
    <xf numFmtId="205" fontId="35" fillId="50" borderId="126" xfId="0" applyNumberFormat="1" applyFont="1" applyFill="1" applyBorder="1" applyProtection="1">
      <alignment vertical="center"/>
      <protection locked="0"/>
    </xf>
    <xf numFmtId="205" fontId="35" fillId="50" borderId="152" xfId="0" applyNumberFormat="1" applyFont="1" applyFill="1" applyBorder="1" applyProtection="1">
      <alignment vertical="center"/>
      <protection locked="0"/>
    </xf>
    <xf numFmtId="2" fontId="35" fillId="27" borderId="10" xfId="0" applyNumberFormat="1" applyFont="1" applyFill="1" applyBorder="1">
      <alignment vertical="center"/>
    </xf>
    <xf numFmtId="0" fontId="233" fillId="27" borderId="0" xfId="0" applyFont="1" applyFill="1">
      <alignment vertical="center"/>
    </xf>
    <xf numFmtId="2" fontId="35" fillId="27" borderId="10" xfId="28" applyNumberFormat="1" applyFont="1" applyFill="1" applyBorder="1" applyProtection="1">
      <alignment vertical="center"/>
    </xf>
    <xf numFmtId="218" fontId="30" fillId="27" borderId="10" xfId="0" applyNumberFormat="1" applyFont="1" applyFill="1" applyBorder="1" applyAlignment="1">
      <alignment horizontal="center" vertical="center"/>
    </xf>
    <xf numFmtId="218" fontId="30" fillId="27" borderId="68" xfId="0" applyNumberFormat="1" applyFont="1" applyFill="1" applyBorder="1" applyAlignment="1">
      <alignment horizontal="center" vertical="center"/>
    </xf>
    <xf numFmtId="218" fontId="30" fillId="27" borderId="144" xfId="0" applyNumberFormat="1" applyFont="1" applyFill="1" applyBorder="1" applyAlignment="1">
      <alignment horizontal="center" vertical="center"/>
    </xf>
    <xf numFmtId="0" fontId="166" fillId="27" borderId="0" xfId="0" applyFont="1" applyFill="1" applyAlignment="1">
      <alignment horizontal="left" vertical="center"/>
    </xf>
    <xf numFmtId="2" fontId="35" fillId="27" borderId="27" xfId="0" applyNumberFormat="1" applyFont="1" applyFill="1" applyBorder="1">
      <alignment vertical="center"/>
    </xf>
    <xf numFmtId="205" fontId="35" fillId="57" borderId="235" xfId="0" applyNumberFormat="1" applyFont="1" applyFill="1" applyBorder="1" applyProtection="1">
      <alignment vertical="center"/>
      <protection locked="0"/>
    </xf>
    <xf numFmtId="2" fontId="35" fillId="27" borderId="235" xfId="28" applyNumberFormat="1" applyFont="1" applyFill="1" applyBorder="1" applyProtection="1">
      <alignment vertical="center"/>
    </xf>
    <xf numFmtId="2" fontId="35" fillId="27" borderId="235" xfId="0" applyNumberFormat="1" applyFont="1" applyFill="1" applyBorder="1">
      <alignment vertical="center"/>
    </xf>
    <xf numFmtId="2" fontId="35" fillId="27" borderId="236" xfId="0" applyNumberFormat="1" applyFont="1" applyFill="1" applyBorder="1">
      <alignment vertical="center"/>
    </xf>
    <xf numFmtId="205" fontId="35" fillId="27" borderId="55" xfId="0" applyNumberFormat="1" applyFont="1" applyFill="1" applyBorder="1">
      <alignment vertical="center"/>
    </xf>
    <xf numFmtId="2" fontId="35" fillId="27" borderId="55" xfId="28" applyNumberFormat="1" applyFont="1" applyFill="1" applyBorder="1" applyProtection="1">
      <alignment vertical="center"/>
    </xf>
    <xf numFmtId="2" fontId="35" fillId="27" borderId="55" xfId="0" applyNumberFormat="1" applyFont="1" applyFill="1" applyBorder="1">
      <alignment vertical="center"/>
    </xf>
    <xf numFmtId="0" fontId="36" fillId="27" borderId="0" xfId="0" applyFont="1" applyFill="1">
      <alignment vertical="center"/>
    </xf>
    <xf numFmtId="0" fontId="30" fillId="27" borderId="0" xfId="0" quotePrefix="1" applyFont="1" applyFill="1">
      <alignment vertical="center"/>
    </xf>
    <xf numFmtId="38" fontId="35" fillId="40" borderId="144" xfId="35" applyFont="1" applyFill="1" applyBorder="1" applyAlignment="1" applyProtection="1">
      <alignment horizontal="center" vertical="center"/>
      <protection locked="0"/>
    </xf>
    <xf numFmtId="0" fontId="32" fillId="27" borderId="0" xfId="44" applyFont="1" applyFill="1" applyAlignment="1">
      <alignment horizontal="left" vertical="center"/>
    </xf>
    <xf numFmtId="0" fontId="32" fillId="27" borderId="53" xfId="0" applyFont="1" applyFill="1" applyBorder="1" applyAlignment="1" applyProtection="1">
      <alignment horizontal="centerContinuous" vertical="center"/>
      <protection hidden="1"/>
    </xf>
    <xf numFmtId="0" fontId="36" fillId="27" borderId="53" xfId="0" applyFont="1" applyFill="1" applyBorder="1" applyAlignment="1" applyProtection="1">
      <alignment horizontal="centerContinuous" vertical="center"/>
      <protection hidden="1"/>
    </xf>
    <xf numFmtId="0" fontId="61" fillId="27" borderId="27" xfId="0" applyFont="1" applyFill="1" applyBorder="1" applyAlignment="1" applyProtection="1">
      <alignment horizontal="centerContinuous" vertical="center"/>
      <protection hidden="1"/>
    </xf>
    <xf numFmtId="0" fontId="36" fillId="27" borderId="10" xfId="0" applyFont="1" applyFill="1" applyBorder="1" applyAlignment="1">
      <alignment horizontal="center" vertical="center" wrapText="1"/>
    </xf>
    <xf numFmtId="0" fontId="32" fillId="27" borderId="50" xfId="0" applyFont="1" applyFill="1" applyBorder="1" applyAlignment="1">
      <alignment horizontal="center" vertical="center" wrapText="1"/>
    </xf>
    <xf numFmtId="0" fontId="32" fillId="27" borderId="51" xfId="0" applyFont="1" applyFill="1" applyBorder="1" applyAlignment="1">
      <alignment horizontal="center" vertical="center"/>
    </xf>
    <xf numFmtId="0" fontId="36" fillId="27" borderId="52" xfId="0" applyFont="1" applyFill="1" applyBorder="1" applyAlignment="1" applyProtection="1">
      <alignment horizontal="left" vertical="center"/>
      <protection hidden="1"/>
    </xf>
    <xf numFmtId="0" fontId="32" fillId="27" borderId="50" xfId="0" applyFont="1" applyFill="1" applyBorder="1" applyAlignment="1" applyProtection="1">
      <alignment horizontal="centerContinuous" vertical="center"/>
      <protection hidden="1"/>
    </xf>
    <xf numFmtId="38" fontId="258" fillId="0" borderId="149" xfId="35" applyFont="1" applyFill="1" applyBorder="1" applyAlignment="1" applyProtection="1">
      <alignment horizontal="right" vertical="center"/>
      <protection locked="0"/>
    </xf>
    <xf numFmtId="38" fontId="32" fillId="27" borderId="27" xfId="0" applyNumberFormat="1" applyFont="1" applyFill="1" applyBorder="1">
      <alignment vertical="center"/>
    </xf>
    <xf numFmtId="0" fontId="32" fillId="50" borderId="26" xfId="0" applyFont="1" applyFill="1" applyBorder="1">
      <alignment vertical="center"/>
    </xf>
    <xf numFmtId="0" fontId="35" fillId="50" borderId="50" xfId="44" applyFont="1" applyFill="1" applyBorder="1" applyAlignment="1" applyProtection="1">
      <alignment horizontal="center" vertical="center"/>
      <protection hidden="1"/>
    </xf>
    <xf numFmtId="0" fontId="35" fillId="50" borderId="82" xfId="44" applyFont="1" applyFill="1" applyBorder="1" applyAlignment="1" applyProtection="1">
      <alignment horizontal="center" vertical="center"/>
      <protection hidden="1"/>
    </xf>
    <xf numFmtId="38" fontId="258" fillId="0" borderId="96" xfId="35" applyFont="1" applyFill="1" applyBorder="1" applyAlignment="1" applyProtection="1">
      <alignment horizontal="right" vertical="center"/>
      <protection locked="0"/>
    </xf>
    <xf numFmtId="38" fontId="241" fillId="0" borderId="96" xfId="35" applyFont="1" applyFill="1" applyBorder="1" applyAlignment="1" applyProtection="1">
      <alignment horizontal="right" vertical="center"/>
      <protection locked="0"/>
    </xf>
    <xf numFmtId="38" fontId="258" fillId="0" borderId="123" xfId="35" applyFont="1" applyFill="1" applyBorder="1" applyAlignment="1" applyProtection="1">
      <alignment horizontal="right" vertical="center"/>
      <protection locked="0"/>
    </xf>
    <xf numFmtId="38" fontId="241" fillId="0" borderId="123" xfId="35" applyFont="1" applyFill="1" applyBorder="1" applyAlignment="1" applyProtection="1">
      <alignment horizontal="right" vertical="center"/>
      <protection locked="0"/>
    </xf>
    <xf numFmtId="0" fontId="62" fillId="27" borderId="0" xfId="0" applyFont="1" applyFill="1">
      <alignment vertical="center"/>
    </xf>
    <xf numFmtId="0" fontId="32" fillId="27" borderId="100" xfId="0" applyFont="1" applyFill="1" applyBorder="1">
      <alignment vertical="center"/>
    </xf>
    <xf numFmtId="0" fontId="36" fillId="50" borderId="50" xfId="44" applyFont="1" applyFill="1" applyBorder="1" applyAlignment="1" applyProtection="1">
      <alignment horizontal="left" vertical="center" wrapText="1"/>
      <protection hidden="1"/>
    </xf>
    <xf numFmtId="0" fontId="36" fillId="50" borderId="82" xfId="44" applyFont="1" applyFill="1" applyBorder="1" applyAlignment="1" applyProtection="1">
      <alignment horizontal="left" vertical="center" wrapText="1"/>
      <protection hidden="1"/>
    </xf>
    <xf numFmtId="38" fontId="241" fillId="0" borderId="139" xfId="35" applyFont="1" applyFill="1" applyBorder="1" applyAlignment="1" applyProtection="1">
      <alignment horizontal="right" vertical="center"/>
      <protection locked="0"/>
    </xf>
    <xf numFmtId="0" fontId="36" fillId="50" borderId="90" xfId="44" applyFont="1" applyFill="1" applyBorder="1" applyAlignment="1" applyProtection="1">
      <alignment horizontal="left" vertical="center" wrapText="1"/>
      <protection hidden="1"/>
    </xf>
    <xf numFmtId="38" fontId="258" fillId="0" borderId="112" xfId="35" applyFont="1" applyFill="1" applyBorder="1" applyAlignment="1" applyProtection="1">
      <alignment horizontal="right" vertical="center"/>
      <protection locked="0"/>
    </xf>
    <xf numFmtId="38" fontId="32" fillId="27" borderId="10" xfId="0" applyNumberFormat="1" applyFont="1" applyFill="1" applyBorder="1">
      <alignment vertical="center"/>
    </xf>
    <xf numFmtId="0" fontId="36" fillId="50" borderId="50" xfId="44" applyFont="1" applyFill="1" applyBorder="1" applyAlignment="1" applyProtection="1">
      <alignment horizontal="left" vertical="center"/>
      <protection hidden="1"/>
    </xf>
    <xf numFmtId="0" fontId="36" fillId="50" borderId="90" xfId="44" applyFont="1" applyFill="1" applyBorder="1" applyAlignment="1" applyProtection="1">
      <alignment horizontal="left" vertical="center"/>
      <protection hidden="1"/>
    </xf>
    <xf numFmtId="38" fontId="241" fillId="0" borderId="112" xfId="35" applyFont="1" applyFill="1" applyBorder="1" applyAlignment="1" applyProtection="1">
      <alignment horizontal="right" vertical="center"/>
      <protection locked="0"/>
    </xf>
    <xf numFmtId="0" fontId="259" fillId="50" borderId="50" xfId="44" applyFont="1" applyFill="1" applyBorder="1" applyAlignment="1" applyProtection="1">
      <alignment horizontal="left" vertical="center"/>
      <protection hidden="1"/>
    </xf>
    <xf numFmtId="0" fontId="259" fillId="50" borderId="82" xfId="44" applyFont="1" applyFill="1" applyBorder="1" applyAlignment="1" applyProtection="1">
      <alignment horizontal="left" vertical="center"/>
      <protection hidden="1"/>
    </xf>
    <xf numFmtId="38" fontId="260" fillId="0" borderId="139" xfId="35" applyFont="1" applyFill="1" applyBorder="1" applyAlignment="1" applyProtection="1">
      <alignment horizontal="right" vertical="center"/>
      <protection locked="0"/>
    </xf>
    <xf numFmtId="38" fontId="261" fillId="0" borderId="139" xfId="35" applyFont="1" applyFill="1" applyBorder="1" applyAlignment="1" applyProtection="1">
      <alignment horizontal="right" vertical="center"/>
      <protection locked="0"/>
    </xf>
    <xf numFmtId="2" fontId="35" fillId="27" borderId="0" xfId="0" applyNumberFormat="1" applyFont="1" applyFill="1">
      <alignment vertical="center"/>
    </xf>
    <xf numFmtId="0" fontId="166" fillId="27" borderId="66" xfId="0" applyFont="1" applyFill="1" applyBorder="1">
      <alignment vertical="center"/>
    </xf>
    <xf numFmtId="0" fontId="30" fillId="27" borderId="66" xfId="0" applyFont="1" applyFill="1" applyBorder="1">
      <alignment vertical="center"/>
    </xf>
    <xf numFmtId="0" fontId="35" fillId="27" borderId="67" xfId="0" applyFont="1" applyFill="1" applyBorder="1">
      <alignment vertical="center"/>
    </xf>
    <xf numFmtId="0" fontId="35" fillId="27" borderId="59" xfId="0" applyFont="1" applyFill="1" applyBorder="1">
      <alignment vertical="center"/>
    </xf>
    <xf numFmtId="0" fontId="35" fillId="27" borderId="60" xfId="0" applyFont="1" applyFill="1" applyBorder="1">
      <alignment vertical="center"/>
    </xf>
    <xf numFmtId="0" fontId="35" fillId="27" borderId="60" xfId="44" applyFont="1" applyFill="1" applyBorder="1" applyAlignment="1">
      <alignment horizontal="right"/>
    </xf>
    <xf numFmtId="0" fontId="35" fillId="27" borderId="60" xfId="44" applyFont="1" applyFill="1" applyBorder="1"/>
    <xf numFmtId="0" fontId="35" fillId="27" borderId="61" xfId="44" applyFont="1" applyFill="1" applyBorder="1" applyAlignment="1">
      <alignment horizontal="right"/>
    </xf>
    <xf numFmtId="0" fontId="32" fillId="27" borderId="0" xfId="44" applyFont="1" applyFill="1" applyAlignment="1">
      <alignment horizontal="right" vertical="center"/>
    </xf>
    <xf numFmtId="0" fontId="35" fillId="27" borderId="63" xfId="44" applyFont="1" applyFill="1" applyBorder="1" applyAlignment="1">
      <alignment horizontal="left"/>
    </xf>
    <xf numFmtId="0" fontId="35" fillId="50" borderId="0" xfId="0" applyFont="1" applyFill="1" applyAlignment="1">
      <alignment horizontal="right" vertical="center"/>
    </xf>
    <xf numFmtId="178" fontId="35" fillId="27" borderId="10" xfId="28" applyNumberFormat="1" applyFont="1" applyFill="1" applyBorder="1" applyProtection="1">
      <alignment vertical="center"/>
    </xf>
    <xf numFmtId="178" fontId="35" fillId="27" borderId="0" xfId="0" applyNumberFormat="1" applyFont="1" applyFill="1" applyAlignment="1">
      <alignment horizontal="left" vertical="center"/>
    </xf>
    <xf numFmtId="40" fontId="35" fillId="27" borderId="144" xfId="35" applyNumberFormat="1" applyFont="1" applyFill="1" applyBorder="1" applyAlignment="1" applyProtection="1">
      <alignment horizontal="right" vertical="center"/>
    </xf>
    <xf numFmtId="40" fontId="35" fillId="27" borderId="63" xfId="35" applyNumberFormat="1" applyFont="1" applyFill="1" applyBorder="1" applyAlignment="1" applyProtection="1">
      <alignment horizontal="right" vertical="center"/>
    </xf>
    <xf numFmtId="0" fontId="44" fillId="26" borderId="0" xfId="0" applyFont="1" applyFill="1">
      <alignment vertical="center"/>
    </xf>
    <xf numFmtId="0" fontId="35" fillId="27" borderId="51" xfId="0" applyFont="1" applyFill="1" applyBorder="1" applyAlignment="1">
      <alignment vertical="top"/>
    </xf>
    <xf numFmtId="0" fontId="35" fillId="27" borderId="26" xfId="0" applyFont="1" applyFill="1" applyBorder="1" applyAlignment="1">
      <alignment vertical="top"/>
    </xf>
    <xf numFmtId="0" fontId="35" fillId="27" borderId="27" xfId="0" applyFont="1" applyFill="1" applyBorder="1" applyAlignment="1">
      <alignment vertical="top"/>
    </xf>
    <xf numFmtId="202" fontId="35" fillId="27" borderId="10" xfId="0" applyNumberFormat="1" applyFont="1" applyFill="1" applyBorder="1">
      <alignment vertical="center"/>
    </xf>
    <xf numFmtId="9" fontId="44" fillId="0" borderId="0" xfId="0" applyNumberFormat="1" applyFont="1">
      <alignment vertical="center"/>
    </xf>
    <xf numFmtId="0" fontId="35" fillId="27" borderId="15" xfId="0" applyFont="1" applyFill="1" applyBorder="1" applyAlignment="1">
      <alignment vertical="top"/>
    </xf>
    <xf numFmtId="0" fontId="35" fillId="27" borderId="55" xfId="0" applyFont="1" applyFill="1" applyBorder="1" applyAlignment="1">
      <alignment vertical="top"/>
    </xf>
    <xf numFmtId="0" fontId="35" fillId="27" borderId="52" xfId="0" applyFont="1" applyFill="1" applyBorder="1" applyAlignment="1">
      <alignment vertical="top"/>
    </xf>
    <xf numFmtId="0" fontId="35" fillId="27" borderId="10" xfId="0" applyFont="1" applyFill="1" applyBorder="1" applyAlignment="1">
      <alignment vertical="top"/>
    </xf>
    <xf numFmtId="0" fontId="35" fillId="27" borderId="56" xfId="0" applyFont="1" applyFill="1" applyBorder="1" applyAlignment="1">
      <alignment vertical="top"/>
    </xf>
    <xf numFmtId="0" fontId="35" fillId="27" borderId="50" xfId="0" applyFont="1" applyFill="1" applyBorder="1" applyAlignment="1">
      <alignment vertical="top"/>
    </xf>
    <xf numFmtId="0" fontId="35" fillId="27" borderId="54" xfId="0" applyFont="1" applyFill="1" applyBorder="1" applyAlignment="1">
      <alignment vertical="top"/>
    </xf>
    <xf numFmtId="38" fontId="35" fillId="27" borderId="51" xfId="35" applyFont="1" applyFill="1" applyBorder="1" applyProtection="1">
      <alignment vertical="center"/>
    </xf>
    <xf numFmtId="202" fontId="35" fillId="27" borderId="51" xfId="0" applyNumberFormat="1" applyFont="1" applyFill="1" applyBorder="1">
      <alignment vertical="center"/>
    </xf>
    <xf numFmtId="38" fontId="35" fillId="27" borderId="144" xfId="35" applyFont="1" applyFill="1" applyBorder="1" applyProtection="1">
      <alignment vertical="center"/>
    </xf>
    <xf numFmtId="202" fontId="35" fillId="27" borderId="144" xfId="0" applyNumberFormat="1" applyFont="1" applyFill="1" applyBorder="1">
      <alignment vertical="center"/>
    </xf>
    <xf numFmtId="38" fontId="44" fillId="0" borderId="0" xfId="35" applyFont="1">
      <alignment vertical="center"/>
    </xf>
    <xf numFmtId="0" fontId="262" fillId="27" borderId="0" xfId="44" applyFont="1" applyFill="1" applyAlignment="1">
      <alignment horizontal="left" vertical="center"/>
    </xf>
    <xf numFmtId="0" fontId="262" fillId="27" borderId="0" xfId="0" applyFont="1" applyFill="1" applyAlignment="1">
      <alignment horizontal="left" vertical="center"/>
    </xf>
    <xf numFmtId="0" fontId="262" fillId="27" borderId="0" xfId="0" applyFont="1" applyFill="1">
      <alignment vertical="center"/>
    </xf>
    <xf numFmtId="0" fontId="262" fillId="27" borderId="0" xfId="44" applyFont="1" applyFill="1"/>
    <xf numFmtId="40" fontId="35" fillId="27" borderId="62" xfId="0" applyNumberFormat="1" applyFont="1" applyFill="1" applyBorder="1">
      <alignment vertical="center"/>
    </xf>
    <xf numFmtId="0" fontId="263" fillId="27" borderId="0" xfId="0" applyFont="1" applyFill="1" applyAlignment="1">
      <alignment horizontal="right" vertical="center"/>
    </xf>
    <xf numFmtId="0" fontId="262" fillId="27" borderId="0" xfId="0" applyFont="1" applyFill="1" applyAlignment="1">
      <alignment horizontal="right" vertical="center"/>
    </xf>
    <xf numFmtId="0" fontId="262" fillId="31" borderId="10" xfId="44" applyFont="1" applyFill="1" applyBorder="1" applyAlignment="1">
      <alignment horizontal="center" vertical="center"/>
    </xf>
    <xf numFmtId="180" fontId="262" fillId="31" borderId="10" xfId="44" applyNumberFormat="1" applyFont="1" applyFill="1" applyBorder="1" applyAlignment="1">
      <alignment horizontal="center" vertical="center"/>
    </xf>
    <xf numFmtId="40" fontId="262" fillId="27" borderId="0" xfId="0" applyNumberFormat="1" applyFont="1" applyFill="1">
      <alignment vertical="center"/>
    </xf>
    <xf numFmtId="178" fontId="262" fillId="27" borderId="0" xfId="0" applyNumberFormat="1" applyFont="1" applyFill="1" applyAlignment="1">
      <alignment horizontal="right" vertical="center"/>
    </xf>
    <xf numFmtId="40" fontId="262" fillId="27" borderId="10" xfId="0" applyNumberFormat="1" applyFont="1" applyFill="1" applyBorder="1">
      <alignment vertical="center"/>
    </xf>
    <xf numFmtId="177" fontId="262" fillId="27" borderId="10" xfId="44" applyNumberFormat="1" applyFont="1" applyFill="1" applyBorder="1" applyAlignment="1">
      <alignment vertical="center"/>
    </xf>
    <xf numFmtId="177" fontId="262" fillId="27" borderId="10" xfId="44" applyNumberFormat="1" applyFont="1" applyFill="1" applyBorder="1" applyAlignment="1">
      <alignment horizontal="center" vertical="center"/>
    </xf>
    <xf numFmtId="177" fontId="262" fillId="27" borderId="10" xfId="28" applyNumberFormat="1" applyFont="1" applyFill="1" applyBorder="1" applyAlignment="1" applyProtection="1">
      <alignment horizontal="center" vertical="center"/>
    </xf>
    <xf numFmtId="40" fontId="262" fillId="27" borderId="10" xfId="35" applyNumberFormat="1" applyFont="1" applyFill="1" applyBorder="1" applyProtection="1">
      <alignment vertical="center"/>
    </xf>
    <xf numFmtId="0" fontId="263" fillId="27" borderId="0" xfId="0" applyFont="1" applyFill="1">
      <alignment vertical="center"/>
    </xf>
    <xf numFmtId="0" fontId="64" fillId="27" borderId="0" xfId="44" applyFont="1" applyFill="1" applyAlignment="1">
      <alignment horizontal="left" vertical="center"/>
    </xf>
    <xf numFmtId="198" fontId="35" fillId="27" borderId="0" xfId="0" applyNumberFormat="1" applyFont="1" applyFill="1">
      <alignment vertical="center"/>
    </xf>
    <xf numFmtId="40" fontId="35" fillId="27" borderId="0" xfId="0" applyNumberFormat="1" applyFont="1" applyFill="1">
      <alignment vertical="center"/>
    </xf>
    <xf numFmtId="178" fontId="35" fillId="27" borderId="0" xfId="0" applyNumberFormat="1" applyFont="1" applyFill="1" applyAlignment="1">
      <alignment horizontal="right" vertical="center"/>
    </xf>
    <xf numFmtId="38" fontId="35" fillId="27" borderId="0" xfId="0" applyNumberFormat="1" applyFont="1" applyFill="1">
      <alignment vertical="center"/>
    </xf>
    <xf numFmtId="187" fontId="35" fillId="27" borderId="10" xfId="44" applyNumberFormat="1" applyFont="1" applyFill="1" applyBorder="1" applyAlignment="1">
      <alignment vertical="center"/>
    </xf>
    <xf numFmtId="187" fontId="35" fillId="27" borderId="10" xfId="28" applyNumberFormat="1" applyFont="1" applyFill="1" applyBorder="1" applyAlignment="1" applyProtection="1">
      <alignment horizontal="center" vertical="center"/>
    </xf>
    <xf numFmtId="0" fontId="264" fillId="27" borderId="0" xfId="0" applyFont="1" applyFill="1">
      <alignment vertical="center"/>
    </xf>
    <xf numFmtId="38" fontId="35" fillId="50" borderId="10" xfId="35" applyFont="1" applyFill="1" applyBorder="1" applyAlignment="1" applyProtection="1">
      <alignment horizontal="right" vertical="center"/>
    </xf>
    <xf numFmtId="38" fontId="35" fillId="27" borderId="10" xfId="35" applyFont="1" applyFill="1" applyBorder="1" applyAlignment="1" applyProtection="1">
      <alignment horizontal="right" vertical="center"/>
    </xf>
    <xf numFmtId="0" fontId="32" fillId="27" borderId="0" xfId="44" applyFont="1" applyFill="1" applyAlignment="1">
      <alignment horizontal="left"/>
    </xf>
    <xf numFmtId="205" fontId="30" fillId="57" borderId="10" xfId="0" applyNumberFormat="1" applyFont="1" applyFill="1" applyBorder="1" applyProtection="1">
      <alignment vertical="center"/>
      <protection locked="0"/>
    </xf>
    <xf numFmtId="0" fontId="35" fillId="27" borderId="0" xfId="44" applyFont="1" applyFill="1" applyAlignment="1">
      <alignment horizontal="right"/>
    </xf>
    <xf numFmtId="0" fontId="35" fillId="50" borderId="0" xfId="0" applyFont="1" applyFill="1" applyAlignment="1">
      <alignment horizontal="left" vertical="center"/>
    </xf>
    <xf numFmtId="178" fontId="35" fillId="50" borderId="10" xfId="28" applyNumberFormat="1" applyFont="1" applyFill="1" applyBorder="1" applyProtection="1">
      <alignment vertical="center"/>
    </xf>
    <xf numFmtId="0" fontId="35" fillId="50" borderId="0" xfId="44" applyFont="1" applyFill="1" applyAlignment="1">
      <alignment horizontal="right"/>
    </xf>
    <xf numFmtId="178" fontId="32" fillId="50" borderId="0" xfId="0" applyNumberFormat="1" applyFont="1" applyFill="1" applyAlignment="1">
      <alignment horizontal="left" vertical="center"/>
    </xf>
    <xf numFmtId="0" fontId="228" fillId="27" borderId="0" xfId="0" applyFont="1" applyFill="1" applyAlignment="1">
      <alignment horizontal="left" vertical="center"/>
    </xf>
    <xf numFmtId="178" fontId="35" fillId="50" borderId="0" xfId="28" applyNumberFormat="1" applyFont="1" applyFill="1" applyBorder="1" applyProtection="1">
      <alignment vertical="center"/>
    </xf>
    <xf numFmtId="0" fontId="200" fillId="27" borderId="0" xfId="0" applyFont="1" applyFill="1" applyAlignment="1">
      <alignment horizontal="left" vertical="center"/>
    </xf>
    <xf numFmtId="0" fontId="62" fillId="50" borderId="26" xfId="0" applyFont="1" applyFill="1" applyBorder="1">
      <alignment vertical="center"/>
    </xf>
    <xf numFmtId="0" fontId="62" fillId="27" borderId="10" xfId="0" applyFont="1" applyFill="1" applyBorder="1" applyAlignment="1">
      <alignment horizontal="center" vertical="center"/>
    </xf>
    <xf numFmtId="180" fontId="62" fillId="31" borderId="10" xfId="44" applyNumberFormat="1" applyFont="1" applyFill="1" applyBorder="1" applyAlignment="1">
      <alignment horizontal="center" vertical="center" wrapText="1"/>
    </xf>
    <xf numFmtId="0" fontId="268" fillId="27" borderId="0" xfId="0" applyFont="1" applyFill="1" applyAlignment="1">
      <alignment horizontal="right" vertical="center"/>
    </xf>
    <xf numFmtId="0" fontId="62" fillId="27" borderId="0" xfId="0" applyFont="1" applyFill="1" applyAlignment="1">
      <alignment horizontal="right" vertical="center"/>
    </xf>
    <xf numFmtId="0" fontId="61" fillId="27" borderId="60" xfId="44" applyFont="1" applyFill="1" applyBorder="1" applyAlignment="1">
      <alignment vertical="center"/>
    </xf>
    <xf numFmtId="0" fontId="62" fillId="27" borderId="10" xfId="0" applyFont="1" applyFill="1" applyBorder="1" applyAlignment="1">
      <alignment vertical="center" wrapText="1"/>
    </xf>
    <xf numFmtId="0" fontId="32" fillId="0" borderId="0" xfId="0" applyFont="1" applyAlignment="1">
      <alignment vertical="top"/>
    </xf>
    <xf numFmtId="0" fontId="269" fillId="0" borderId="0" xfId="0" applyFont="1">
      <alignment vertical="center"/>
    </xf>
    <xf numFmtId="0" fontId="31" fillId="0" borderId="64" xfId="44" applyFont="1" applyBorder="1"/>
    <xf numFmtId="0" fontId="35" fillId="0" borderId="57" xfId="0" applyFont="1" applyBorder="1">
      <alignment vertical="center"/>
    </xf>
    <xf numFmtId="0" fontId="166" fillId="27" borderId="0" xfId="0" applyFont="1" applyFill="1" applyAlignment="1">
      <alignment vertical="top"/>
    </xf>
    <xf numFmtId="0" fontId="166" fillId="27" borderId="0" xfId="0" applyFont="1" applyFill="1" applyAlignment="1">
      <alignment horizontal="right" vertical="top"/>
    </xf>
    <xf numFmtId="0" fontId="36" fillId="0" borderId="0" xfId="0" applyFont="1" applyAlignment="1" applyProtection="1">
      <alignment horizontal="right" vertical="center"/>
      <protection hidden="1"/>
    </xf>
    <xf numFmtId="0" fontId="270" fillId="0" borderId="0" xfId="0" applyFont="1" applyProtection="1">
      <alignment vertical="center"/>
      <protection hidden="1"/>
    </xf>
    <xf numFmtId="0" fontId="270" fillId="0" borderId="0" xfId="0" applyFont="1" applyAlignment="1" applyProtection="1">
      <alignment horizontal="right" vertical="center"/>
      <protection hidden="1"/>
    </xf>
    <xf numFmtId="220" fontId="32" fillId="31" borderId="56" xfId="0" applyNumberFormat="1" applyFont="1" applyFill="1" applyBorder="1" applyAlignment="1" applyProtection="1">
      <alignment horizontal="centerContinuous" vertical="center" wrapText="1"/>
      <protection hidden="1"/>
    </xf>
    <xf numFmtId="220" fontId="32" fillId="31" borderId="50" xfId="0" applyNumberFormat="1" applyFont="1" applyFill="1" applyBorder="1" applyAlignment="1" applyProtection="1">
      <alignment horizontal="centerContinuous" vertical="center"/>
      <protection hidden="1"/>
    </xf>
    <xf numFmtId="220" fontId="32" fillId="31" borderId="80" xfId="0" applyNumberFormat="1" applyFont="1" applyFill="1" applyBorder="1" applyAlignment="1" applyProtection="1">
      <alignment horizontal="centerContinuous" vertical="center"/>
      <protection hidden="1"/>
    </xf>
    <xf numFmtId="220" fontId="62" fillId="27" borderId="160" xfId="0" applyNumberFormat="1" applyFont="1" applyFill="1" applyBorder="1" applyAlignment="1" applyProtection="1">
      <alignment horizontal="left" vertical="center" wrapText="1"/>
      <protection hidden="1"/>
    </xf>
    <xf numFmtId="220" fontId="62" fillId="27" borderId="11" xfId="0" applyNumberFormat="1" applyFont="1" applyFill="1" applyBorder="1" applyAlignment="1" applyProtection="1">
      <alignment vertical="center" wrapText="1"/>
      <protection hidden="1"/>
    </xf>
    <xf numFmtId="220" fontId="62" fillId="27" borderId="14" xfId="0" applyNumberFormat="1" applyFont="1" applyFill="1" applyBorder="1" applyAlignment="1" applyProtection="1">
      <alignment vertical="center" wrapText="1"/>
      <protection hidden="1"/>
    </xf>
    <xf numFmtId="220" fontId="62" fillId="27" borderId="12" xfId="0" applyNumberFormat="1" applyFont="1" applyFill="1" applyBorder="1" applyAlignment="1" applyProtection="1">
      <alignment horizontal="left" vertical="center" wrapText="1"/>
      <protection hidden="1"/>
    </xf>
    <xf numFmtId="220" fontId="62" fillId="27" borderId="11" xfId="0" applyNumberFormat="1" applyFont="1" applyFill="1" applyBorder="1" applyAlignment="1" applyProtection="1">
      <alignment horizontal="left" vertical="center" wrapText="1"/>
      <protection hidden="1"/>
    </xf>
    <xf numFmtId="220" fontId="62" fillId="27" borderId="12" xfId="0" applyNumberFormat="1" applyFont="1" applyFill="1" applyBorder="1" applyAlignment="1" applyProtection="1">
      <alignment vertical="center" wrapText="1"/>
      <protection hidden="1"/>
    </xf>
    <xf numFmtId="220" fontId="62" fillId="27" borderId="165" xfId="0" applyNumberFormat="1" applyFont="1" applyFill="1" applyBorder="1" applyAlignment="1" applyProtection="1">
      <alignment vertical="center" wrapText="1"/>
      <protection hidden="1"/>
    </xf>
    <xf numFmtId="220" fontId="62" fillId="27" borderId="164" xfId="0" applyNumberFormat="1" applyFont="1" applyFill="1" applyBorder="1" applyAlignment="1" applyProtection="1">
      <alignment vertical="center" wrapText="1"/>
      <protection hidden="1"/>
    </xf>
    <xf numFmtId="220" fontId="62" fillId="27" borderId="166" xfId="0" applyNumberFormat="1" applyFont="1" applyFill="1" applyBorder="1" applyAlignment="1" applyProtection="1">
      <alignment vertical="center" wrapText="1"/>
      <protection hidden="1"/>
    </xf>
    <xf numFmtId="220" fontId="32" fillId="27" borderId="160" xfId="0" applyNumberFormat="1" applyFont="1" applyFill="1" applyBorder="1" applyAlignment="1" applyProtection="1">
      <alignment horizontal="left" vertical="center"/>
      <protection hidden="1"/>
    </xf>
    <xf numFmtId="220" fontId="32" fillId="27" borderId="12" xfId="0" applyNumberFormat="1" applyFont="1" applyFill="1" applyBorder="1" applyAlignment="1" applyProtection="1">
      <alignment horizontal="left" vertical="center"/>
      <protection hidden="1"/>
    </xf>
    <xf numFmtId="220" fontId="32" fillId="27" borderId="165" xfId="0" applyNumberFormat="1" applyFont="1" applyFill="1" applyBorder="1" applyAlignment="1" applyProtection="1">
      <alignment horizontal="left" vertical="center"/>
      <protection hidden="1"/>
    </xf>
    <xf numFmtId="0" fontId="36" fillId="0" borderId="0" xfId="0" applyFont="1">
      <alignment vertical="center"/>
    </xf>
    <xf numFmtId="0" fontId="32" fillId="37" borderId="0" xfId="0" applyFont="1" applyFill="1">
      <alignment vertical="center"/>
    </xf>
    <xf numFmtId="0" fontId="32" fillId="27" borderId="10" xfId="0" applyFont="1" applyFill="1" applyBorder="1">
      <alignment vertical="center"/>
    </xf>
    <xf numFmtId="0" fontId="32" fillId="27" borderId="10" xfId="0" quotePrefix="1" applyFont="1" applyFill="1" applyBorder="1" applyAlignment="1">
      <alignment horizontal="center" vertical="center"/>
    </xf>
    <xf numFmtId="0" fontId="32" fillId="27" borderId="26" xfId="0" applyFont="1" applyFill="1" applyBorder="1">
      <alignment vertical="center"/>
    </xf>
    <xf numFmtId="0" fontId="62" fillId="27" borderId="26" xfId="0" applyFont="1" applyFill="1" applyBorder="1" applyAlignment="1">
      <alignment horizontal="right" vertical="center"/>
    </xf>
    <xf numFmtId="0" fontId="62" fillId="27" borderId="50" xfId="0" applyFont="1" applyFill="1" applyBorder="1">
      <alignment vertical="center"/>
    </xf>
    <xf numFmtId="0" fontId="62" fillId="27" borderId="50" xfId="0" applyFont="1" applyFill="1" applyBorder="1" applyAlignment="1">
      <alignment horizontal="center" vertical="center"/>
    </xf>
    <xf numFmtId="0" fontId="62" fillId="27" borderId="27" xfId="0" applyFont="1" applyFill="1" applyBorder="1">
      <alignment vertical="center"/>
    </xf>
    <xf numFmtId="0" fontId="32" fillId="27" borderId="51" xfId="0" applyFont="1" applyFill="1" applyBorder="1" applyAlignment="1">
      <alignment horizontal="left" vertical="top" wrapText="1"/>
    </xf>
    <xf numFmtId="0" fontId="62" fillId="27" borderId="52" xfId="0" applyFont="1" applyFill="1" applyBorder="1">
      <alignment vertical="center"/>
    </xf>
    <xf numFmtId="0" fontId="62" fillId="27" borderId="53" xfId="0" applyFont="1" applyFill="1" applyBorder="1">
      <alignment vertical="center"/>
    </xf>
    <xf numFmtId="0" fontId="62" fillId="27" borderId="53" xfId="0" applyFont="1" applyFill="1" applyBorder="1" applyAlignment="1">
      <alignment vertical="top" wrapText="1"/>
    </xf>
    <xf numFmtId="0" fontId="62" fillId="27" borderId="53" xfId="0" applyFont="1" applyFill="1" applyBorder="1" applyAlignment="1">
      <alignment horizontal="center" vertical="top"/>
    </xf>
    <xf numFmtId="0" fontId="62" fillId="27" borderId="54" xfId="0" applyFont="1" applyFill="1" applyBorder="1" applyAlignment="1">
      <alignment horizontal="right" vertical="top" wrapText="1"/>
    </xf>
    <xf numFmtId="0" fontId="32" fillId="27" borderId="55" xfId="0" applyFont="1" applyFill="1" applyBorder="1" applyAlignment="1">
      <alignment horizontal="left" vertical="top" wrapText="1"/>
    </xf>
    <xf numFmtId="0" fontId="62" fillId="27" borderId="56" xfId="0" applyFont="1" applyFill="1" applyBorder="1">
      <alignment vertical="center"/>
    </xf>
    <xf numFmtId="0" fontId="62" fillId="27" borderId="57" xfId="0" applyFont="1" applyFill="1" applyBorder="1">
      <alignment vertical="center"/>
    </xf>
    <xf numFmtId="0" fontId="62" fillId="27" borderId="57" xfId="0" applyFont="1" applyFill="1" applyBorder="1" applyAlignment="1">
      <alignment horizontal="left" vertical="center"/>
    </xf>
    <xf numFmtId="0" fontId="62" fillId="27" borderId="57" xfId="0" applyFont="1" applyFill="1" applyBorder="1" applyAlignment="1">
      <alignment vertical="center" wrapText="1"/>
    </xf>
    <xf numFmtId="0" fontId="62" fillId="27" borderId="57" xfId="0" applyFont="1" applyFill="1" applyBorder="1" applyAlignment="1">
      <alignment horizontal="center" vertical="center"/>
    </xf>
    <xf numFmtId="0" fontId="62" fillId="27" borderId="58" xfId="0" applyFont="1" applyFill="1" applyBorder="1" applyAlignment="1">
      <alignment vertical="center" wrapText="1"/>
    </xf>
    <xf numFmtId="0" fontId="32" fillId="27" borderId="51" xfId="0" applyFont="1" applyFill="1" applyBorder="1" applyAlignment="1">
      <alignment vertical="center" wrapText="1"/>
    </xf>
    <xf numFmtId="0" fontId="62" fillId="27" borderId="54" xfId="0" applyFont="1" applyFill="1" applyBorder="1">
      <alignment vertical="center"/>
    </xf>
    <xf numFmtId="0" fontId="32" fillId="27" borderId="15" xfId="0" applyFont="1" applyFill="1" applyBorder="1" applyAlignment="1">
      <alignment vertical="center" wrapText="1"/>
    </xf>
    <xf numFmtId="0" fontId="62" fillId="27" borderId="0" xfId="0" applyFont="1" applyFill="1" applyAlignment="1">
      <alignment horizontal="center" vertical="center"/>
    </xf>
    <xf numFmtId="0" fontId="62" fillId="27" borderId="17" xfId="0" applyFont="1" applyFill="1" applyBorder="1">
      <alignment vertical="center"/>
    </xf>
    <xf numFmtId="0" fontId="62" fillId="27" borderId="17" xfId="0" applyFont="1" applyFill="1" applyBorder="1" applyAlignment="1">
      <alignment horizontal="center" vertical="center"/>
    </xf>
    <xf numFmtId="0" fontId="32" fillId="27" borderId="15" xfId="0" applyFont="1" applyFill="1" applyBorder="1" applyAlignment="1">
      <alignment horizontal="left" vertical="center" wrapText="1"/>
    </xf>
    <xf numFmtId="0" fontId="62" fillId="27" borderId="0" xfId="0" applyFont="1" applyFill="1" applyAlignment="1">
      <alignment vertical="top" wrapText="1"/>
    </xf>
    <xf numFmtId="0" fontId="62" fillId="27" borderId="17" xfId="0" applyFont="1" applyFill="1" applyBorder="1" applyAlignment="1">
      <alignment horizontal="right" vertical="center"/>
    </xf>
    <xf numFmtId="0" fontId="32" fillId="27" borderId="55" xfId="0" applyFont="1" applyFill="1" applyBorder="1" applyAlignment="1">
      <alignment horizontal="left" vertical="center" wrapText="1"/>
    </xf>
    <xf numFmtId="0" fontId="62" fillId="27" borderId="57" xfId="0" applyFont="1" applyFill="1" applyBorder="1" applyAlignment="1">
      <alignment horizontal="center" vertical="top" wrapText="1"/>
    </xf>
    <xf numFmtId="0" fontId="62" fillId="27" borderId="58" xfId="0" applyFont="1" applyFill="1" applyBorder="1">
      <alignment vertical="center"/>
    </xf>
    <xf numFmtId="0" fontId="62" fillId="37" borderId="0" xfId="0" applyFont="1" applyFill="1">
      <alignment vertical="center"/>
    </xf>
    <xf numFmtId="220" fontId="32" fillId="27" borderId="161" xfId="0" applyNumberFormat="1" applyFont="1" applyFill="1" applyBorder="1" applyAlignment="1" applyProtection="1">
      <alignment horizontal="left" vertical="center"/>
      <protection hidden="1"/>
    </xf>
    <xf numFmtId="220" fontId="32" fillId="27" borderId="13" xfId="0" applyNumberFormat="1" applyFont="1" applyFill="1" applyBorder="1" applyAlignment="1" applyProtection="1">
      <alignment horizontal="left" vertical="center"/>
      <protection hidden="1"/>
    </xf>
    <xf numFmtId="220" fontId="32" fillId="27" borderId="167" xfId="0" applyNumberFormat="1" applyFont="1" applyFill="1" applyBorder="1" applyAlignment="1" applyProtection="1">
      <alignment horizontal="left" vertical="center"/>
      <protection hidden="1"/>
    </xf>
    <xf numFmtId="220" fontId="32" fillId="27" borderId="160" xfId="0" applyNumberFormat="1" applyFont="1" applyFill="1" applyBorder="1" applyAlignment="1" applyProtection="1">
      <alignment vertical="center" wrapText="1"/>
      <protection hidden="1"/>
    </xf>
    <xf numFmtId="220" fontId="32" fillId="27" borderId="12" xfId="0" applyNumberFormat="1" applyFont="1" applyFill="1" applyBorder="1" applyAlignment="1" applyProtection="1">
      <alignment vertical="center" wrapText="1"/>
      <protection hidden="1"/>
    </xf>
    <xf numFmtId="220" fontId="32" fillId="27" borderId="165" xfId="0" applyNumberFormat="1" applyFont="1" applyFill="1" applyBorder="1" applyAlignment="1" applyProtection="1">
      <alignment vertical="center" wrapText="1"/>
      <protection hidden="1"/>
    </xf>
    <xf numFmtId="220" fontId="32" fillId="27" borderId="160" xfId="0" applyNumberFormat="1" applyFont="1" applyFill="1" applyBorder="1" applyProtection="1">
      <alignment vertical="center"/>
      <protection hidden="1"/>
    </xf>
    <xf numFmtId="220" fontId="32" fillId="27" borderId="12" xfId="0" applyNumberFormat="1" applyFont="1" applyFill="1" applyBorder="1" applyProtection="1">
      <alignment vertical="center"/>
      <protection hidden="1"/>
    </xf>
    <xf numFmtId="220" fontId="32" fillId="27" borderId="165" xfId="0" applyNumberFormat="1" applyFont="1" applyFill="1" applyBorder="1" applyProtection="1">
      <alignment vertical="center"/>
      <protection hidden="1"/>
    </xf>
    <xf numFmtId="220" fontId="32" fillId="27" borderId="160" xfId="0" applyNumberFormat="1" applyFont="1" applyFill="1" applyBorder="1" applyAlignment="1" applyProtection="1">
      <alignment horizontal="left" vertical="center" wrapText="1"/>
      <protection hidden="1"/>
    </xf>
    <xf numFmtId="220" fontId="32" fillId="27" borderId="16" xfId="0" applyNumberFormat="1" applyFont="1" applyFill="1" applyBorder="1" applyAlignment="1" applyProtection="1">
      <alignment vertical="center" wrapText="1"/>
      <protection hidden="1"/>
    </xf>
    <xf numFmtId="220" fontId="32" fillId="27" borderId="12" xfId="0" applyNumberFormat="1" applyFont="1" applyFill="1" applyBorder="1" applyAlignment="1" applyProtection="1">
      <alignment horizontal="left" vertical="center" wrapText="1"/>
      <protection hidden="1"/>
    </xf>
    <xf numFmtId="220" fontId="36" fillId="27" borderId="163" xfId="0" applyNumberFormat="1" applyFont="1" applyFill="1" applyBorder="1" applyAlignment="1" applyProtection="1">
      <alignment horizontal="center" vertical="center"/>
      <protection hidden="1"/>
    </xf>
    <xf numFmtId="220" fontId="32" fillId="27" borderId="172" xfId="0" applyNumberFormat="1" applyFont="1" applyFill="1" applyBorder="1" applyAlignment="1" applyProtection="1">
      <alignment vertical="center" wrapText="1"/>
      <protection hidden="1"/>
    </xf>
    <xf numFmtId="220" fontId="32" fillId="27" borderId="173" xfId="0" applyNumberFormat="1" applyFont="1" applyFill="1" applyBorder="1" applyAlignment="1" applyProtection="1">
      <alignment vertical="center" wrapText="1"/>
      <protection hidden="1"/>
    </xf>
    <xf numFmtId="220" fontId="32" fillId="27" borderId="11" xfId="0" applyNumberFormat="1" applyFont="1" applyFill="1" applyBorder="1" applyAlignment="1" applyProtection="1">
      <alignment horizontal="left" vertical="center" wrapText="1"/>
      <protection hidden="1"/>
    </xf>
    <xf numFmtId="220" fontId="32" fillId="27" borderId="11" xfId="0" applyNumberFormat="1" applyFont="1" applyFill="1" applyBorder="1" applyAlignment="1" applyProtection="1">
      <alignment vertical="center" wrapText="1"/>
      <protection hidden="1"/>
    </xf>
    <xf numFmtId="220" fontId="36" fillId="27" borderId="164" xfId="0" applyNumberFormat="1" applyFont="1" applyFill="1" applyBorder="1" applyAlignment="1" applyProtection="1">
      <alignment horizontal="center" vertical="center"/>
      <protection hidden="1"/>
    </xf>
    <xf numFmtId="220" fontId="32" fillId="27" borderId="13" xfId="0" applyNumberFormat="1" applyFont="1" applyFill="1" applyBorder="1" applyAlignment="1" applyProtection="1">
      <alignment horizontal="left" vertical="center" wrapText="1"/>
      <protection hidden="1"/>
    </xf>
    <xf numFmtId="220" fontId="32" fillId="27" borderId="172" xfId="0" applyNumberFormat="1" applyFont="1" applyFill="1" applyBorder="1" applyAlignment="1" applyProtection="1">
      <alignment horizontal="left" vertical="center"/>
      <protection hidden="1"/>
    </xf>
    <xf numFmtId="220" fontId="32" fillId="27" borderId="177" xfId="0" applyNumberFormat="1" applyFont="1" applyFill="1" applyBorder="1" applyAlignment="1" applyProtection="1">
      <alignment horizontal="left" vertical="center"/>
      <protection hidden="1"/>
    </xf>
    <xf numFmtId="220" fontId="32" fillId="27" borderId="178" xfId="0" applyNumberFormat="1" applyFont="1" applyFill="1" applyBorder="1" applyAlignment="1" applyProtection="1">
      <alignment horizontal="left" vertical="center"/>
      <protection hidden="1"/>
    </xf>
    <xf numFmtId="0" fontId="32" fillId="31" borderId="175" xfId="0" applyFont="1" applyFill="1" applyBorder="1" applyAlignment="1" applyProtection="1">
      <alignment horizontal="left" vertical="center"/>
      <protection hidden="1"/>
    </xf>
    <xf numFmtId="0" fontId="32" fillId="31" borderId="54" xfId="0" applyFont="1" applyFill="1" applyBorder="1" applyAlignment="1" applyProtection="1">
      <alignment horizontal="left" vertical="center"/>
      <protection hidden="1"/>
    </xf>
    <xf numFmtId="0" fontId="32" fillId="31" borderId="176" xfId="0" applyFont="1" applyFill="1" applyBorder="1" applyAlignment="1" applyProtection="1">
      <alignment horizontal="left" vertical="center"/>
      <protection hidden="1"/>
    </xf>
    <xf numFmtId="0" fontId="32" fillId="31" borderId="58" xfId="0" applyFont="1" applyFill="1" applyBorder="1" applyAlignment="1" applyProtection="1">
      <alignment horizontal="left" vertical="center"/>
      <protection hidden="1"/>
    </xf>
    <xf numFmtId="0" fontId="62" fillId="27" borderId="179" xfId="0" applyFont="1" applyFill="1" applyBorder="1" applyAlignment="1" applyProtection="1">
      <alignment horizontal="left" vertical="center"/>
      <protection hidden="1"/>
    </xf>
    <xf numFmtId="0" fontId="62" fillId="27" borderId="14" xfId="0" applyFont="1" applyFill="1" applyBorder="1" applyAlignment="1" applyProtection="1">
      <alignment horizontal="left" vertical="center"/>
      <protection hidden="1"/>
    </xf>
    <xf numFmtId="220" fontId="32" fillId="27" borderId="162" xfId="0" applyNumberFormat="1" applyFont="1" applyFill="1" applyBorder="1" applyAlignment="1" applyProtection="1">
      <alignment vertical="center" wrapText="1"/>
      <protection hidden="1"/>
    </xf>
    <xf numFmtId="220" fontId="32" fillId="27" borderId="14" xfId="0" applyNumberFormat="1" applyFont="1" applyFill="1" applyBorder="1" applyAlignment="1" applyProtection="1">
      <alignment vertical="center" wrapText="1"/>
      <protection hidden="1"/>
    </xf>
    <xf numFmtId="220" fontId="32" fillId="27" borderId="13" xfId="0" applyNumberFormat="1" applyFont="1" applyFill="1" applyBorder="1" applyAlignment="1" applyProtection="1">
      <alignment vertical="center" wrapText="1"/>
      <protection hidden="1"/>
    </xf>
    <xf numFmtId="220" fontId="32" fillId="27" borderId="166" xfId="0" applyNumberFormat="1" applyFont="1" applyFill="1" applyBorder="1" applyAlignment="1" applyProtection="1">
      <alignment vertical="center" wrapText="1"/>
      <protection hidden="1"/>
    </xf>
    <xf numFmtId="220" fontId="32" fillId="31" borderId="26" xfId="0" applyNumberFormat="1" applyFont="1" applyFill="1" applyBorder="1" applyAlignment="1" applyProtection="1">
      <alignment horizontal="centerContinuous" vertical="center"/>
      <protection hidden="1"/>
    </xf>
    <xf numFmtId="220" fontId="32" fillId="27" borderId="161" xfId="0" applyNumberFormat="1" applyFont="1" applyFill="1" applyBorder="1" applyAlignment="1" applyProtection="1">
      <alignment vertical="center" wrapText="1"/>
      <protection hidden="1"/>
    </xf>
    <xf numFmtId="220" fontId="32" fillId="27" borderId="167" xfId="0" applyNumberFormat="1" applyFont="1" applyFill="1" applyBorder="1" applyAlignment="1" applyProtection="1">
      <alignment vertical="center" wrapText="1"/>
      <protection hidden="1"/>
    </xf>
    <xf numFmtId="179" fontId="32" fillId="31" borderId="52" xfId="0" applyNumberFormat="1" applyFont="1" applyFill="1" applyBorder="1" applyAlignment="1" applyProtection="1">
      <alignment horizontal="left" vertical="center"/>
      <protection hidden="1"/>
    </xf>
    <xf numFmtId="193" fontId="36" fillId="31" borderId="144" xfId="0" applyNumberFormat="1" applyFont="1" applyFill="1" applyBorder="1" applyAlignment="1" applyProtection="1">
      <alignment horizontal="center" vertical="center"/>
      <protection locked="0" hidden="1"/>
    </xf>
    <xf numFmtId="220" fontId="36" fillId="27" borderId="159" xfId="0" applyNumberFormat="1" applyFont="1" applyFill="1" applyBorder="1" applyAlignment="1" applyProtection="1">
      <alignment horizontal="center" vertical="center"/>
      <protection hidden="1"/>
    </xf>
    <xf numFmtId="220" fontId="32" fillId="27" borderId="162" xfId="0" applyNumberFormat="1" applyFont="1" applyFill="1" applyBorder="1" applyProtection="1">
      <alignment vertical="center"/>
      <protection hidden="1"/>
    </xf>
    <xf numFmtId="0" fontId="32" fillId="27" borderId="51" xfId="0" applyFont="1" applyFill="1" applyBorder="1" applyAlignment="1" applyProtection="1">
      <alignment vertical="center" wrapText="1"/>
      <protection hidden="1"/>
    </xf>
    <xf numFmtId="0" fontId="32" fillId="27" borderId="173" xfId="0" applyFont="1" applyFill="1" applyBorder="1" applyAlignment="1" applyProtection="1">
      <alignment vertical="center" wrapText="1"/>
      <protection hidden="1"/>
    </xf>
    <xf numFmtId="220" fontId="32" fillId="27" borderId="14" xfId="0" applyNumberFormat="1" applyFont="1" applyFill="1" applyBorder="1" applyProtection="1">
      <alignment vertical="center"/>
      <protection hidden="1"/>
    </xf>
    <xf numFmtId="0" fontId="32" fillId="27" borderId="11" xfId="0" applyFont="1" applyFill="1" applyBorder="1" applyAlignment="1">
      <alignment vertical="center" wrapText="1"/>
    </xf>
    <xf numFmtId="0" fontId="32" fillId="27" borderId="164" xfId="0" applyFont="1" applyFill="1" applyBorder="1" applyAlignment="1" applyProtection="1">
      <alignment vertical="center" wrapText="1"/>
      <protection hidden="1"/>
    </xf>
    <xf numFmtId="220" fontId="32" fillId="27" borderId="16" xfId="0" applyNumberFormat="1" applyFont="1" applyFill="1" applyBorder="1" applyAlignment="1" applyProtection="1">
      <alignment horizontal="left" vertical="center" wrapText="1"/>
      <protection hidden="1"/>
    </xf>
    <xf numFmtId="220" fontId="32" fillId="27" borderId="164" xfId="0" applyNumberFormat="1" applyFont="1" applyFill="1" applyBorder="1" applyAlignment="1" applyProtection="1">
      <alignment horizontal="left" vertical="center" wrapText="1"/>
      <protection hidden="1"/>
    </xf>
    <xf numFmtId="220" fontId="32" fillId="43" borderId="26" xfId="0" applyNumberFormat="1" applyFont="1" applyFill="1" applyBorder="1" applyAlignment="1" applyProtection="1">
      <alignment horizontal="centerContinuous" vertical="center"/>
      <protection hidden="1"/>
    </xf>
    <xf numFmtId="220" fontId="32" fillId="27" borderId="161" xfId="0" applyNumberFormat="1" applyFont="1" applyFill="1" applyBorder="1" applyProtection="1">
      <alignment vertical="center"/>
      <protection hidden="1"/>
    </xf>
    <xf numFmtId="220" fontId="32" fillId="27" borderId="13" xfId="0" applyNumberFormat="1" applyFont="1" applyFill="1" applyBorder="1" applyProtection="1">
      <alignment vertical="center"/>
      <protection hidden="1"/>
    </xf>
    <xf numFmtId="220" fontId="36" fillId="0" borderId="0" xfId="0" applyNumberFormat="1" applyFont="1" applyProtection="1">
      <alignment vertical="center"/>
      <protection hidden="1"/>
    </xf>
    <xf numFmtId="220" fontId="32" fillId="27" borderId="162" xfId="0" applyNumberFormat="1" applyFont="1" applyFill="1" applyBorder="1" applyAlignment="1" applyProtection="1">
      <alignment horizontal="left" vertical="center"/>
      <protection hidden="1"/>
    </xf>
    <xf numFmtId="220" fontId="32" fillId="27" borderId="14" xfId="0" applyNumberFormat="1" applyFont="1" applyFill="1" applyBorder="1" applyAlignment="1" applyProtection="1">
      <alignment horizontal="left" vertical="center"/>
      <protection hidden="1"/>
    </xf>
    <xf numFmtId="0" fontId="271" fillId="37" borderId="0" xfId="0" applyFont="1" applyFill="1" applyProtection="1">
      <alignment vertical="center"/>
      <protection hidden="1"/>
    </xf>
    <xf numFmtId="0" fontId="43" fillId="37" borderId="0" xfId="0" applyFont="1" applyFill="1" applyProtection="1">
      <alignment vertical="center"/>
      <protection hidden="1"/>
    </xf>
    <xf numFmtId="0" fontId="61" fillId="37" borderId="0" xfId="0" applyFont="1" applyFill="1" applyAlignment="1" applyProtection="1">
      <alignment horizontal="right" vertical="center"/>
      <protection hidden="1"/>
    </xf>
    <xf numFmtId="0" fontId="32" fillId="27" borderId="12" xfId="0" applyFont="1" applyFill="1" applyBorder="1" applyAlignment="1" applyProtection="1">
      <alignment horizontal="left" vertical="center" wrapText="1"/>
      <protection hidden="1"/>
    </xf>
    <xf numFmtId="0" fontId="32" fillId="27" borderId="13" xfId="0" applyFont="1" applyFill="1" applyBorder="1" applyAlignment="1" applyProtection="1">
      <alignment horizontal="left" vertical="center" wrapText="1"/>
      <protection hidden="1"/>
    </xf>
    <xf numFmtId="0" fontId="32" fillId="27" borderId="14" xfId="0" applyFont="1" applyFill="1" applyBorder="1" applyAlignment="1" applyProtection="1">
      <alignment horizontal="left" vertical="center" wrapText="1"/>
      <protection hidden="1"/>
    </xf>
    <xf numFmtId="220" fontId="32" fillId="31" borderId="27" xfId="0" applyNumberFormat="1" applyFont="1" applyFill="1" applyBorder="1" applyAlignment="1" applyProtection="1">
      <alignment horizontal="centerContinuous" vertical="center"/>
      <protection hidden="1"/>
    </xf>
    <xf numFmtId="220" fontId="32" fillId="27" borderId="166" xfId="0" applyNumberFormat="1" applyFont="1" applyFill="1" applyBorder="1" applyAlignment="1" applyProtection="1">
      <alignment horizontal="left" vertical="center"/>
      <protection hidden="1"/>
    </xf>
    <xf numFmtId="220" fontId="32" fillId="31" borderId="56" xfId="0" applyNumberFormat="1" applyFont="1" applyFill="1" applyBorder="1" applyAlignment="1" applyProtection="1">
      <alignment horizontal="centerContinuous" vertical="center"/>
      <protection hidden="1"/>
    </xf>
    <xf numFmtId="220" fontId="32" fillId="31" borderId="82" xfId="0" applyNumberFormat="1" applyFont="1" applyFill="1" applyBorder="1" applyAlignment="1" applyProtection="1">
      <alignment horizontal="centerContinuous" vertical="center"/>
      <protection hidden="1"/>
    </xf>
    <xf numFmtId="220" fontId="32" fillId="27" borderId="162" xfId="0" applyNumberFormat="1" applyFont="1" applyFill="1" applyBorder="1" applyAlignment="1" applyProtection="1">
      <alignment horizontal="left" vertical="top"/>
      <protection hidden="1"/>
    </xf>
    <xf numFmtId="220" fontId="32" fillId="27" borderId="14" xfId="0" applyNumberFormat="1" applyFont="1" applyFill="1" applyBorder="1" applyAlignment="1" applyProtection="1">
      <alignment horizontal="left" vertical="top"/>
      <protection hidden="1"/>
    </xf>
    <xf numFmtId="220" fontId="32" fillId="27" borderId="166" xfId="0" applyNumberFormat="1" applyFont="1" applyFill="1" applyBorder="1" applyAlignment="1" applyProtection="1">
      <alignment horizontal="left" vertical="top"/>
      <protection hidden="1"/>
    </xf>
    <xf numFmtId="0" fontId="221" fillId="0" borderId="0" xfId="0" applyFont="1" applyProtection="1">
      <alignment vertical="center"/>
      <protection hidden="1"/>
    </xf>
    <xf numFmtId="0" fontId="32" fillId="40" borderId="144" xfId="0" applyFont="1" applyFill="1" applyBorder="1" applyProtection="1">
      <alignment vertical="center"/>
      <protection hidden="1"/>
    </xf>
    <xf numFmtId="0" fontId="44" fillId="0" borderId="0" xfId="0" applyFont="1" applyAlignment="1">
      <alignment horizontal="left" vertical="center"/>
    </xf>
    <xf numFmtId="179" fontId="32" fillId="31" borderId="50" xfId="0" applyNumberFormat="1" applyFont="1" applyFill="1" applyBorder="1" applyAlignment="1" applyProtection="1">
      <alignment horizontal="left" vertical="center"/>
      <protection hidden="1"/>
    </xf>
    <xf numFmtId="179" fontId="32" fillId="31" borderId="50" xfId="0" applyNumberFormat="1" applyFont="1" applyFill="1" applyBorder="1" applyAlignment="1" applyProtection="1">
      <alignment horizontal="centerContinuous" vertical="center"/>
      <protection hidden="1"/>
    </xf>
    <xf numFmtId="0" fontId="62" fillId="31" borderId="50" xfId="0" applyFont="1" applyFill="1" applyBorder="1" applyAlignment="1" applyProtection="1">
      <alignment horizontal="right" vertical="center"/>
      <protection hidden="1"/>
    </xf>
    <xf numFmtId="179" fontId="32" fillId="31" borderId="27" xfId="0" applyNumberFormat="1" applyFont="1" applyFill="1" applyBorder="1" applyAlignment="1" applyProtection="1">
      <alignment horizontal="left" vertical="center"/>
      <protection hidden="1"/>
    </xf>
    <xf numFmtId="2" fontId="32" fillId="31" borderId="27" xfId="0" applyNumberFormat="1" applyFont="1" applyFill="1" applyBorder="1" applyAlignment="1" applyProtection="1">
      <alignment horizontal="left" vertical="center"/>
      <protection hidden="1"/>
    </xf>
    <xf numFmtId="219" fontId="36" fillId="31" borderId="144" xfId="0" applyNumberFormat="1" applyFont="1" applyFill="1" applyBorder="1" applyAlignment="1" applyProtection="1">
      <alignment horizontal="center" vertical="center"/>
      <protection locked="0" hidden="1"/>
    </xf>
    <xf numFmtId="0" fontId="32" fillId="31" borderId="55" xfId="0" applyFont="1" applyFill="1" applyBorder="1" applyAlignment="1" applyProtection="1">
      <alignment horizontal="center" vertical="center" wrapText="1"/>
      <protection hidden="1"/>
    </xf>
    <xf numFmtId="0" fontId="32" fillId="31" borderId="57" xfId="0" applyFont="1" applyFill="1" applyBorder="1" applyAlignment="1" applyProtection="1">
      <alignment horizontal="center" vertical="center"/>
      <protection hidden="1"/>
    </xf>
    <xf numFmtId="0" fontId="32" fillId="31" borderId="55" xfId="0" applyFont="1" applyFill="1" applyBorder="1" applyAlignment="1" applyProtection="1">
      <alignment horizontal="center" vertical="center"/>
      <protection hidden="1"/>
    </xf>
    <xf numFmtId="0" fontId="32" fillId="31" borderId="50" xfId="0" applyFont="1" applyFill="1" applyBorder="1" applyAlignment="1" applyProtection="1">
      <alignment horizontal="centerContinuous" vertical="center"/>
      <protection hidden="1"/>
    </xf>
    <xf numFmtId="0" fontId="32" fillId="31" borderId="27" xfId="0" applyFont="1" applyFill="1" applyBorder="1" applyAlignment="1" applyProtection="1">
      <alignment horizontal="centerContinuous" vertical="center"/>
      <protection hidden="1"/>
    </xf>
    <xf numFmtId="0" fontId="36" fillId="27" borderId="159" xfId="0" applyFont="1" applyFill="1" applyBorder="1" applyAlignment="1" applyProtection="1">
      <alignment horizontal="center" vertical="center"/>
      <protection hidden="1"/>
    </xf>
    <xf numFmtId="0" fontId="32" fillId="27" borderId="161" xfId="0" applyFont="1" applyFill="1" applyBorder="1" applyAlignment="1" applyProtection="1">
      <alignment horizontal="left" vertical="center"/>
      <protection hidden="1"/>
    </xf>
    <xf numFmtId="0" fontId="32" fillId="27" borderId="162" xfId="0" applyFont="1" applyFill="1" applyBorder="1" applyAlignment="1" applyProtection="1">
      <alignment horizontal="left" vertical="center"/>
      <protection hidden="1"/>
    </xf>
    <xf numFmtId="0" fontId="36" fillId="27" borderId="163" xfId="0" applyFont="1" applyFill="1" applyBorder="1" applyAlignment="1" applyProtection="1">
      <alignment horizontal="center" vertical="center"/>
      <protection hidden="1"/>
    </xf>
    <xf numFmtId="0" fontId="32" fillId="27" borderId="14" xfId="0" applyFont="1" applyFill="1" applyBorder="1" applyAlignment="1" applyProtection="1">
      <alignment horizontal="left" vertical="center"/>
      <protection hidden="1"/>
    </xf>
    <xf numFmtId="0" fontId="36" fillId="27" borderId="164" xfId="0" applyFont="1" applyFill="1" applyBorder="1" applyAlignment="1" applyProtection="1">
      <alignment horizontal="center" vertical="center"/>
      <protection hidden="1"/>
    </xf>
    <xf numFmtId="0" fontId="32" fillId="27" borderId="167" xfId="0" applyFont="1" applyFill="1" applyBorder="1" applyAlignment="1" applyProtection="1">
      <alignment horizontal="left" vertical="center"/>
      <protection hidden="1"/>
    </xf>
    <xf numFmtId="0" fontId="32" fillId="27" borderId="166" xfId="0" applyFont="1" applyFill="1" applyBorder="1" applyAlignment="1" applyProtection="1">
      <alignment horizontal="left" vertical="center"/>
      <protection hidden="1"/>
    </xf>
    <xf numFmtId="192" fontId="32" fillId="0" borderId="10" xfId="35" applyNumberFormat="1" applyFont="1" applyFill="1" applyBorder="1" applyAlignment="1" applyProtection="1">
      <alignment horizontal="center" vertical="center"/>
      <protection hidden="1"/>
    </xf>
    <xf numFmtId="0" fontId="32" fillId="57" borderId="26" xfId="0" applyFont="1" applyFill="1" applyBorder="1" applyProtection="1">
      <alignment vertical="center"/>
      <protection locked="0"/>
    </xf>
    <xf numFmtId="0" fontId="32" fillId="0" borderId="50" xfId="0" applyFont="1" applyBorder="1">
      <alignment vertical="center"/>
    </xf>
    <xf numFmtId="0" fontId="32" fillId="0" borderId="27" xfId="0" applyFont="1" applyBorder="1">
      <alignment vertical="center"/>
    </xf>
    <xf numFmtId="0" fontId="62" fillId="0" borderId="0" xfId="0" applyFont="1" applyAlignment="1">
      <alignment horizontal="center" vertical="center"/>
    </xf>
    <xf numFmtId="192" fontId="32" fillId="0" borderId="0" xfId="35" applyNumberFormat="1" applyFont="1" applyFill="1" applyBorder="1" applyAlignment="1" applyProtection="1">
      <alignment horizontal="center" vertical="center"/>
      <protection hidden="1"/>
    </xf>
    <xf numFmtId="0" fontId="32" fillId="37" borderId="0" xfId="0" applyFont="1" applyFill="1" applyProtection="1">
      <alignment vertical="center"/>
      <protection hidden="1"/>
    </xf>
    <xf numFmtId="0" fontId="36" fillId="37" borderId="0" xfId="0" applyFont="1" applyFill="1" applyAlignment="1" applyProtection="1">
      <alignment horizontal="right" vertical="center"/>
      <protection hidden="1"/>
    </xf>
    <xf numFmtId="0" fontId="41" fillId="37" borderId="0" xfId="0" applyFont="1" applyFill="1">
      <alignment vertical="center"/>
    </xf>
    <xf numFmtId="0" fontId="36" fillId="31" borderId="144" xfId="0" applyFont="1" applyFill="1" applyBorder="1" applyAlignment="1" applyProtection="1">
      <alignment horizontal="center" vertical="center"/>
      <protection hidden="1"/>
    </xf>
    <xf numFmtId="0" fontId="32" fillId="31" borderId="50" xfId="0" applyFont="1" applyFill="1" applyBorder="1" applyAlignment="1" applyProtection="1">
      <alignment horizontal="center" vertical="center"/>
      <protection hidden="1"/>
    </xf>
    <xf numFmtId="0" fontId="32" fillId="31" borderId="26" xfId="0" applyFont="1" applyFill="1" applyBorder="1" applyProtection="1">
      <alignment vertical="center"/>
      <protection hidden="1"/>
    </xf>
    <xf numFmtId="0" fontId="32" fillId="27" borderId="160" xfId="0" applyFont="1" applyFill="1" applyBorder="1" applyAlignment="1" applyProtection="1">
      <alignment horizontal="left" vertical="center" wrapText="1"/>
      <protection hidden="1"/>
    </xf>
    <xf numFmtId="0" fontId="32" fillId="27" borderId="160" xfId="0" applyFont="1" applyFill="1" applyBorder="1" applyAlignment="1" applyProtection="1">
      <alignment vertical="center" wrapText="1"/>
      <protection hidden="1"/>
    </xf>
    <xf numFmtId="0" fontId="32" fillId="27" borderId="12" xfId="0" applyFont="1" applyFill="1" applyBorder="1" applyAlignment="1" applyProtection="1">
      <alignment vertical="center" wrapText="1"/>
      <protection hidden="1"/>
    </xf>
    <xf numFmtId="0" fontId="32" fillId="27" borderId="165" xfId="0" applyFont="1" applyFill="1" applyBorder="1" applyAlignment="1" applyProtection="1">
      <alignment vertical="center" wrapText="1"/>
      <protection hidden="1"/>
    </xf>
    <xf numFmtId="0" fontId="32" fillId="0" borderId="0" xfId="0" applyFont="1" applyAlignment="1" applyProtection="1">
      <alignment horizontal="left"/>
      <protection hidden="1"/>
    </xf>
    <xf numFmtId="0" fontId="36" fillId="0" borderId="0" xfId="0" applyFont="1" applyAlignment="1" applyProtection="1">
      <protection hidden="1"/>
    </xf>
    <xf numFmtId="0" fontId="32" fillId="37" borderId="0" xfId="0" applyFont="1" applyFill="1" applyAlignment="1" applyProtection="1">
      <protection hidden="1"/>
    </xf>
    <xf numFmtId="0" fontId="32" fillId="37" borderId="0" xfId="0" applyFont="1" applyFill="1" applyAlignment="1"/>
    <xf numFmtId="0" fontId="32" fillId="31" borderId="144" xfId="0" applyFont="1" applyFill="1" applyBorder="1" applyAlignment="1" applyProtection="1">
      <alignment horizontal="center"/>
      <protection locked="0"/>
    </xf>
    <xf numFmtId="0" fontId="32" fillId="37" borderId="0" xfId="0" applyFont="1" applyFill="1" applyAlignment="1" applyProtection="1">
      <alignment horizontal="right"/>
      <protection hidden="1"/>
    </xf>
    <xf numFmtId="0" fontId="62" fillId="31" borderId="10" xfId="0" applyFont="1" applyFill="1" applyBorder="1" applyAlignment="1">
      <alignment horizontal="center"/>
    </xf>
    <xf numFmtId="0" fontId="32" fillId="31" borderId="10" xfId="0" applyFont="1" applyFill="1" applyBorder="1" applyAlignment="1">
      <alignment horizontal="center"/>
    </xf>
    <xf numFmtId="0" fontId="32" fillId="37" borderId="0" xfId="0" applyFont="1" applyFill="1" applyAlignment="1">
      <alignment horizontal="right" vertical="center"/>
    </xf>
    <xf numFmtId="0" fontId="32" fillId="27" borderId="10" xfId="0" applyFont="1" applyFill="1" applyBorder="1" applyAlignment="1" applyProtection="1">
      <alignment horizontal="left" vertical="center"/>
      <protection locked="0"/>
    </xf>
    <xf numFmtId="0" fontId="35" fillId="31" borderId="26" xfId="0" applyFont="1" applyFill="1" applyBorder="1" applyAlignment="1" applyProtection="1">
      <alignment horizontal="centerContinuous" vertical="center"/>
      <protection hidden="1"/>
    </xf>
    <xf numFmtId="0" fontId="35" fillId="31" borderId="27" xfId="0" applyFont="1" applyFill="1" applyBorder="1" applyAlignment="1" applyProtection="1">
      <alignment horizontal="centerContinuous" vertical="center"/>
      <protection hidden="1"/>
    </xf>
    <xf numFmtId="179" fontId="32" fillId="31" borderId="26" xfId="0" applyNumberFormat="1" applyFont="1" applyFill="1" applyBorder="1" applyAlignment="1" applyProtection="1">
      <alignment horizontal="right" vertical="center"/>
      <protection hidden="1"/>
    </xf>
    <xf numFmtId="190" fontId="32" fillId="31" borderId="27" xfId="0" applyNumberFormat="1" applyFont="1" applyFill="1" applyBorder="1" applyAlignment="1" applyProtection="1">
      <alignment horizontal="right" vertical="center"/>
      <protection hidden="1"/>
    </xf>
    <xf numFmtId="0" fontId="32" fillId="31" borderId="26" xfId="0" applyFont="1" applyFill="1" applyBorder="1" applyAlignment="1">
      <alignment horizontal="center" vertical="center"/>
    </xf>
    <xf numFmtId="190" fontId="32" fillId="31" borderId="27" xfId="0" applyNumberFormat="1" applyFont="1" applyFill="1" applyBorder="1" applyProtection="1">
      <alignment vertical="center"/>
      <protection hidden="1"/>
    </xf>
    <xf numFmtId="9" fontId="32" fillId="27" borderId="168" xfId="0" applyNumberFormat="1" applyFont="1" applyFill="1" applyBorder="1" applyAlignment="1" applyProtection="1">
      <alignment horizontal="center" vertical="center"/>
      <protection locked="0" hidden="1"/>
    </xf>
    <xf numFmtId="9" fontId="32" fillId="27" borderId="169" xfId="0" applyNumberFormat="1" applyFont="1" applyFill="1" applyBorder="1" applyAlignment="1" applyProtection="1">
      <alignment horizontal="center" vertical="center"/>
      <protection locked="0" hidden="1"/>
    </xf>
    <xf numFmtId="0" fontId="62" fillId="27" borderId="80" xfId="0" applyFont="1" applyFill="1" applyBorder="1" applyAlignment="1" applyProtection="1">
      <alignment horizontal="left" vertical="center"/>
      <protection hidden="1"/>
    </xf>
    <xf numFmtId="0" fontId="44" fillId="27" borderId="27" xfId="0" applyFont="1" applyFill="1" applyBorder="1" applyAlignment="1">
      <alignment horizontal="left" vertical="center" wrapText="1"/>
    </xf>
    <xf numFmtId="0" fontId="62" fillId="27" borderId="26" xfId="0" applyFont="1" applyFill="1" applyBorder="1" applyAlignment="1" applyProtection="1">
      <alignment horizontal="left" vertical="center"/>
      <protection hidden="1"/>
    </xf>
    <xf numFmtId="179" fontId="32" fillId="31" borderId="27" xfId="0" applyNumberFormat="1" applyFont="1" applyFill="1" applyBorder="1" applyAlignment="1" applyProtection="1">
      <alignment horizontal="centerContinuous" vertical="center"/>
      <protection hidden="1"/>
    </xf>
    <xf numFmtId="0" fontId="35" fillId="31" borderId="56" xfId="0" applyFont="1" applyFill="1" applyBorder="1" applyAlignment="1" applyProtection="1">
      <alignment horizontal="centerContinuous" vertical="center"/>
      <protection hidden="1"/>
    </xf>
    <xf numFmtId="9" fontId="32" fillId="27" borderId="170" xfId="0" applyNumberFormat="1" applyFont="1" applyFill="1" applyBorder="1" applyAlignment="1" applyProtection="1">
      <alignment horizontal="center" vertical="center"/>
      <protection locked="0" hidden="1"/>
    </xf>
    <xf numFmtId="0" fontId="36" fillId="0" borderId="55" xfId="0" applyFont="1" applyBorder="1" applyAlignment="1" applyProtection="1">
      <alignment horizontal="center" vertical="center"/>
      <protection hidden="1"/>
    </xf>
    <xf numFmtId="0" fontId="36" fillId="37" borderId="55" xfId="0" applyFont="1" applyFill="1" applyBorder="1" applyAlignment="1" applyProtection="1">
      <alignment horizontal="center" vertical="center"/>
      <protection hidden="1"/>
    </xf>
    <xf numFmtId="0" fontId="44" fillId="37" borderId="0" xfId="0" applyFont="1" applyFill="1" applyAlignment="1">
      <alignment horizontal="left" vertical="center" wrapText="1"/>
    </xf>
    <xf numFmtId="0" fontId="36" fillId="37" borderId="0" xfId="0" applyFont="1" applyFill="1" applyAlignment="1" applyProtection="1">
      <protection hidden="1"/>
    </xf>
    <xf numFmtId="0" fontId="32" fillId="0" borderId="0" xfId="0" applyFont="1" applyAlignment="1"/>
    <xf numFmtId="0" fontId="32" fillId="31" borderId="50" xfId="0" applyFont="1" applyFill="1" applyBorder="1" applyAlignment="1" applyProtection="1">
      <alignment horizontal="right" vertical="center"/>
      <protection hidden="1"/>
    </xf>
    <xf numFmtId="0" fontId="32" fillId="31" borderId="26" xfId="0" applyFont="1" applyFill="1" applyBorder="1" applyAlignment="1" applyProtection="1">
      <alignment horizontal="centerContinuous" vertical="center"/>
      <protection hidden="1"/>
    </xf>
    <xf numFmtId="0" fontId="32" fillId="27" borderId="10" xfId="0" applyFont="1" applyFill="1" applyBorder="1" applyProtection="1">
      <alignment vertical="center"/>
      <protection hidden="1"/>
    </xf>
    <xf numFmtId="0" fontId="32" fillId="27" borderId="160" xfId="0" applyFont="1" applyFill="1" applyBorder="1" applyAlignment="1" applyProtection="1">
      <alignment horizontal="left" vertical="center"/>
      <protection hidden="1"/>
    </xf>
    <xf numFmtId="0" fontId="32" fillId="27" borderId="165" xfId="0" applyFont="1" applyFill="1" applyBorder="1" applyAlignment="1" applyProtection="1">
      <alignment horizontal="left" vertical="center"/>
      <protection hidden="1"/>
    </xf>
    <xf numFmtId="0" fontId="32" fillId="27" borderId="51" xfId="0" applyFont="1" applyFill="1" applyBorder="1" applyProtection="1">
      <alignment vertical="center"/>
      <protection hidden="1"/>
    </xf>
    <xf numFmtId="0" fontId="36" fillId="27" borderId="16" xfId="0" applyFont="1" applyFill="1" applyBorder="1" applyAlignment="1" applyProtection="1">
      <alignment horizontal="center" vertical="center"/>
      <protection hidden="1"/>
    </xf>
    <xf numFmtId="0" fontId="44" fillId="0" borderId="50" xfId="0" applyFont="1" applyBorder="1">
      <alignment vertical="center"/>
    </xf>
    <xf numFmtId="0" fontId="32" fillId="31" borderId="58" xfId="0" applyFont="1" applyFill="1" applyBorder="1" applyAlignment="1" applyProtection="1">
      <alignment horizontal="centerContinuous" vertical="center"/>
      <protection hidden="1"/>
    </xf>
    <xf numFmtId="0" fontId="32" fillId="27" borderId="171" xfId="0" applyFont="1" applyFill="1" applyBorder="1" applyAlignment="1" applyProtection="1">
      <alignment horizontal="left" vertical="center"/>
      <protection hidden="1"/>
    </xf>
    <xf numFmtId="0" fontId="32" fillId="27" borderId="87" xfId="0" applyFont="1" applyFill="1" applyBorder="1" applyAlignment="1" applyProtection="1">
      <alignment horizontal="left" vertical="center"/>
      <protection hidden="1"/>
    </xf>
    <xf numFmtId="0" fontId="32" fillId="0" borderId="0" xfId="0" applyFont="1" applyAlignment="1" applyProtection="1">
      <alignment horizontal="center" vertical="center"/>
      <protection hidden="1"/>
    </xf>
    <xf numFmtId="0" fontId="32" fillId="31" borderId="50" xfId="0" applyFont="1" applyFill="1" applyBorder="1">
      <alignment vertical="center"/>
    </xf>
    <xf numFmtId="179" fontId="32" fillId="31" borderId="50" xfId="0" applyNumberFormat="1" applyFont="1" applyFill="1" applyBorder="1" applyAlignment="1" applyProtection="1">
      <alignment horizontal="centerContinuous" vertical="center" wrapText="1"/>
      <protection hidden="1"/>
    </xf>
    <xf numFmtId="0" fontId="32" fillId="31" borderId="27" xfId="0" applyFont="1" applyFill="1" applyBorder="1">
      <alignment vertical="center"/>
    </xf>
    <xf numFmtId="0" fontId="32" fillId="31" borderId="26" xfId="0" applyFont="1" applyFill="1" applyBorder="1" applyAlignment="1" applyProtection="1">
      <alignment horizontal="centerContinuous" vertical="center" wrapText="1"/>
      <protection hidden="1"/>
    </xf>
    <xf numFmtId="0" fontId="32" fillId="27" borderId="160" xfId="0" applyFont="1" applyFill="1" applyBorder="1" applyAlignment="1" applyProtection="1">
      <alignment horizontal="left" vertical="center" shrinkToFit="1"/>
      <protection hidden="1"/>
    </xf>
    <xf numFmtId="0" fontId="32" fillId="27" borderId="16" xfId="0" applyFont="1" applyFill="1" applyBorder="1" applyAlignment="1" applyProtection="1">
      <alignment vertical="center" wrapText="1"/>
      <protection hidden="1"/>
    </xf>
    <xf numFmtId="0" fontId="32" fillId="27" borderId="172" xfId="0" applyFont="1" applyFill="1" applyBorder="1" applyAlignment="1" applyProtection="1">
      <alignment vertical="center" wrapText="1"/>
      <protection hidden="1"/>
    </xf>
    <xf numFmtId="0" fontId="32" fillId="27" borderId="11" xfId="0" applyFont="1" applyFill="1" applyBorder="1" applyAlignment="1" applyProtection="1">
      <alignment horizontal="left" vertical="center" wrapText="1"/>
      <protection hidden="1"/>
    </xf>
    <xf numFmtId="0" fontId="32" fillId="27" borderId="11" xfId="0" applyFont="1" applyFill="1" applyBorder="1" applyAlignment="1" applyProtection="1">
      <alignment vertical="center" wrapText="1"/>
      <protection hidden="1"/>
    </xf>
    <xf numFmtId="0" fontId="32" fillId="37" borderId="0" xfId="0" applyFont="1" applyFill="1" applyAlignment="1" applyProtection="1">
      <alignment horizontal="left" vertical="center"/>
      <protection hidden="1"/>
    </xf>
    <xf numFmtId="0" fontId="32" fillId="31" borderId="80" xfId="0" applyFont="1" applyFill="1" applyBorder="1" applyAlignment="1" applyProtection="1">
      <alignment horizontal="centerContinuous" vertical="center"/>
      <protection hidden="1"/>
    </xf>
    <xf numFmtId="0" fontId="32" fillId="27" borderId="174" xfId="0" applyFont="1" applyFill="1" applyBorder="1" applyProtection="1">
      <alignment vertical="center"/>
      <protection hidden="1"/>
    </xf>
    <xf numFmtId="0" fontId="32" fillId="27" borderId="13" xfId="0" applyFont="1" applyFill="1" applyBorder="1" applyAlignment="1" applyProtection="1">
      <alignment vertical="center" wrapText="1"/>
      <protection hidden="1"/>
    </xf>
    <xf numFmtId="0" fontId="32" fillId="27" borderId="14" xfId="0" applyFont="1" applyFill="1" applyBorder="1" applyAlignment="1" applyProtection="1">
      <alignment vertical="center" wrapText="1"/>
      <protection hidden="1"/>
    </xf>
    <xf numFmtId="179" fontId="32" fillId="31" borderId="27" xfId="0" applyNumberFormat="1" applyFont="1" applyFill="1" applyBorder="1" applyAlignment="1" applyProtection="1">
      <alignment horizontal="centerContinuous" vertical="center" wrapText="1"/>
      <protection hidden="1"/>
    </xf>
    <xf numFmtId="0" fontId="62" fillId="0" borderId="0" xfId="0" applyFont="1" applyAlignment="1">
      <alignment horizontal="left" vertical="center"/>
    </xf>
    <xf numFmtId="0" fontId="32" fillId="57" borderId="10" xfId="0" applyFont="1" applyFill="1" applyBorder="1" applyProtection="1">
      <alignment vertical="center"/>
      <protection locked="0"/>
    </xf>
    <xf numFmtId="182" fontId="32" fillId="57" borderId="10" xfId="0" applyNumberFormat="1" applyFont="1" applyFill="1" applyBorder="1" applyProtection="1">
      <alignment vertical="center"/>
      <protection locked="0"/>
    </xf>
    <xf numFmtId="0" fontId="62" fillId="0" borderId="0" xfId="0" applyFont="1" applyAlignment="1">
      <alignment horizontal="right" vertical="top"/>
    </xf>
    <xf numFmtId="0" fontId="62" fillId="0" borderId="0" xfId="0" applyFont="1" applyAlignment="1">
      <alignment vertical="top"/>
    </xf>
    <xf numFmtId="0" fontId="62" fillId="0" borderId="0" xfId="0" applyFont="1">
      <alignment vertical="center"/>
    </xf>
    <xf numFmtId="0" fontId="32" fillId="31" borderId="17" xfId="0" applyFont="1" applyFill="1" applyBorder="1" applyAlignment="1" applyProtection="1">
      <alignment horizontal="left" vertical="center"/>
      <protection hidden="1"/>
    </xf>
    <xf numFmtId="0" fontId="62" fillId="27" borderId="51" xfId="0" applyFont="1" applyFill="1" applyBorder="1" applyAlignment="1" applyProtection="1">
      <alignment vertical="center" wrapText="1"/>
      <protection hidden="1"/>
    </xf>
    <xf numFmtId="0" fontId="32" fillId="27" borderId="15" xfId="0" applyFont="1" applyFill="1" applyBorder="1" applyAlignment="1" applyProtection="1">
      <alignment vertical="center" wrapText="1"/>
      <protection hidden="1"/>
    </xf>
    <xf numFmtId="0" fontId="32" fillId="27" borderId="55" xfId="0" applyFont="1" applyFill="1" applyBorder="1" applyAlignment="1" applyProtection="1">
      <alignment vertical="center" wrapText="1"/>
      <protection hidden="1"/>
    </xf>
    <xf numFmtId="0" fontId="32" fillId="27" borderId="12" xfId="0" applyFont="1" applyFill="1" applyBorder="1" applyProtection="1">
      <alignment vertical="center"/>
      <protection hidden="1"/>
    </xf>
    <xf numFmtId="0" fontId="32" fillId="27" borderId="13" xfId="0" applyFont="1" applyFill="1" applyBorder="1" applyProtection="1">
      <alignment vertical="center"/>
      <protection hidden="1"/>
    </xf>
    <xf numFmtId="0" fontId="32" fillId="27" borderId="177" xfId="0" applyFont="1" applyFill="1" applyBorder="1" applyAlignment="1" applyProtection="1">
      <alignment horizontal="left" vertical="center"/>
      <protection hidden="1"/>
    </xf>
    <xf numFmtId="0" fontId="32" fillId="27" borderId="178" xfId="0" applyFont="1" applyFill="1" applyBorder="1" applyAlignment="1" applyProtection="1">
      <alignment horizontal="left" vertical="center"/>
      <protection hidden="1"/>
    </xf>
    <xf numFmtId="0" fontId="32" fillId="0" borderId="0" xfId="0" applyFont="1" applyAlignment="1" applyProtection="1">
      <alignment horizontal="left" vertical="center" wrapText="1"/>
      <protection hidden="1"/>
    </xf>
    <xf numFmtId="0" fontId="32" fillId="37" borderId="0" xfId="0" applyFont="1" applyFill="1" applyAlignment="1" applyProtection="1">
      <alignment horizontal="left" vertical="center" wrapText="1"/>
      <protection hidden="1"/>
    </xf>
    <xf numFmtId="0" fontId="32" fillId="37" borderId="0" xfId="0" applyFont="1" applyFill="1" applyAlignment="1" applyProtection="1">
      <alignment vertical="center" wrapText="1"/>
      <protection hidden="1"/>
    </xf>
    <xf numFmtId="0" fontId="44" fillId="37" borderId="166" xfId="0" applyFont="1" applyFill="1" applyBorder="1" applyAlignment="1">
      <alignment vertical="center" wrapText="1"/>
    </xf>
    <xf numFmtId="0" fontId="32" fillId="31" borderId="10" xfId="0" applyFont="1" applyFill="1" applyBorder="1" applyAlignment="1" applyProtection="1">
      <alignment horizontal="centerContinuous" vertical="center"/>
      <protection hidden="1"/>
    </xf>
    <xf numFmtId="0" fontId="32" fillId="27" borderId="160" xfId="0" applyFont="1" applyFill="1" applyBorder="1" applyAlignment="1" applyProtection="1">
      <alignment vertical="center" shrinkToFit="1"/>
      <protection hidden="1"/>
    </xf>
    <xf numFmtId="0" fontId="32" fillId="27" borderId="52" xfId="0" applyFont="1" applyFill="1" applyBorder="1" applyProtection="1">
      <alignment vertical="center"/>
      <protection hidden="1"/>
    </xf>
    <xf numFmtId="179" fontId="32" fillId="31" borderId="26" xfId="0" applyNumberFormat="1" applyFont="1" applyFill="1" applyBorder="1" applyAlignment="1" applyProtection="1">
      <alignment horizontal="centerContinuous" vertical="center" wrapText="1"/>
      <protection hidden="1"/>
    </xf>
    <xf numFmtId="0" fontId="36" fillId="60" borderId="16" xfId="0" applyFont="1" applyFill="1" applyBorder="1" applyAlignment="1" applyProtection="1">
      <alignment horizontal="center" vertical="center"/>
      <protection hidden="1"/>
    </xf>
    <xf numFmtId="0" fontId="32" fillId="60" borderId="12" xfId="0" applyFont="1" applyFill="1" applyBorder="1" applyAlignment="1" applyProtection="1">
      <alignment vertical="center" wrapText="1"/>
      <protection hidden="1"/>
    </xf>
    <xf numFmtId="0" fontId="32" fillId="60" borderId="13" xfId="0" applyFont="1" applyFill="1" applyBorder="1" applyAlignment="1" applyProtection="1">
      <alignment vertical="center" wrapText="1"/>
      <protection hidden="1"/>
    </xf>
    <xf numFmtId="0" fontId="32" fillId="60" borderId="14" xfId="0" applyFont="1" applyFill="1" applyBorder="1" applyAlignment="1" applyProtection="1">
      <alignment vertical="center" wrapText="1"/>
      <protection hidden="1"/>
    </xf>
    <xf numFmtId="0" fontId="36" fillId="60" borderId="163" xfId="0" applyFont="1" applyFill="1" applyBorder="1" applyAlignment="1" applyProtection="1">
      <alignment horizontal="center" vertical="center"/>
      <protection hidden="1"/>
    </xf>
    <xf numFmtId="0" fontId="36" fillId="60" borderId="164" xfId="0" applyFont="1" applyFill="1" applyBorder="1" applyAlignment="1" applyProtection="1">
      <alignment horizontal="center" vertical="center"/>
      <protection hidden="1"/>
    </xf>
    <xf numFmtId="0" fontId="32" fillId="37" borderId="0" xfId="0" applyFont="1" applyFill="1" applyAlignment="1" applyProtection="1">
      <alignment horizontal="center" vertical="center"/>
      <protection hidden="1"/>
    </xf>
    <xf numFmtId="0" fontId="32" fillId="27" borderId="161" xfId="0" applyFont="1" applyFill="1" applyBorder="1" applyAlignment="1" applyProtection="1">
      <alignment vertical="center" wrapText="1"/>
      <protection hidden="1"/>
    </xf>
    <xf numFmtId="0" fontId="32" fillId="27" borderId="162" xfId="0" applyFont="1" applyFill="1" applyBorder="1" applyAlignment="1" applyProtection="1">
      <alignment vertical="center" wrapText="1"/>
      <protection hidden="1"/>
    </xf>
    <xf numFmtId="0" fontId="32" fillId="27" borderId="167" xfId="0" applyFont="1" applyFill="1" applyBorder="1" applyAlignment="1" applyProtection="1">
      <alignment vertical="center" wrapText="1"/>
      <protection hidden="1"/>
    </xf>
    <xf numFmtId="0" fontId="32" fillId="27" borderId="166" xfId="0" applyFont="1" applyFill="1" applyBorder="1" applyAlignment="1" applyProtection="1">
      <alignment vertical="center" wrapText="1"/>
      <protection hidden="1"/>
    </xf>
    <xf numFmtId="206" fontId="32" fillId="57" borderId="10" xfId="28" applyNumberFormat="1" applyFont="1" applyFill="1" applyBorder="1" applyProtection="1">
      <alignment vertical="center"/>
      <protection locked="0"/>
    </xf>
    <xf numFmtId="0" fontId="44" fillId="42" borderId="0" xfId="0" applyFont="1" applyFill="1">
      <alignment vertical="center"/>
    </xf>
    <xf numFmtId="0" fontId="32" fillId="27" borderId="160" xfId="0" applyFont="1" applyFill="1" applyBorder="1" applyProtection="1">
      <alignment vertical="center"/>
      <protection hidden="1"/>
    </xf>
    <xf numFmtId="0" fontId="32" fillId="27" borderId="161" xfId="0" applyFont="1" applyFill="1" applyBorder="1" applyProtection="1">
      <alignment vertical="center"/>
      <protection hidden="1"/>
    </xf>
    <xf numFmtId="0" fontId="32" fillId="27" borderId="162" xfId="0" applyFont="1" applyFill="1" applyBorder="1" applyProtection="1">
      <alignment vertical="center"/>
      <protection hidden="1"/>
    </xf>
    <xf numFmtId="0" fontId="44" fillId="37" borderId="13" xfId="0" applyFont="1" applyFill="1" applyBorder="1">
      <alignment vertical="center"/>
    </xf>
    <xf numFmtId="0" fontId="44" fillId="37" borderId="14" xfId="0" applyFont="1" applyFill="1" applyBorder="1">
      <alignment vertical="center"/>
    </xf>
    <xf numFmtId="0" fontId="32" fillId="27" borderId="165" xfId="0" applyFont="1" applyFill="1" applyBorder="1" applyProtection="1">
      <alignment vertical="center"/>
      <protection hidden="1"/>
    </xf>
    <xf numFmtId="0" fontId="44" fillId="37" borderId="167" xfId="0" applyFont="1" applyFill="1" applyBorder="1">
      <alignment vertical="center"/>
    </xf>
    <xf numFmtId="0" fontId="44" fillId="37" borderId="166" xfId="0" applyFont="1" applyFill="1" applyBorder="1">
      <alignment vertical="center"/>
    </xf>
    <xf numFmtId="0" fontId="32" fillId="27" borderId="26" xfId="0" applyFont="1" applyFill="1" applyBorder="1" applyProtection="1">
      <alignment vertical="center"/>
      <protection hidden="1"/>
    </xf>
    <xf numFmtId="0" fontId="32" fillId="27" borderId="50" xfId="0" applyFont="1" applyFill="1" applyBorder="1" applyProtection="1">
      <alignment vertical="center"/>
      <protection hidden="1"/>
    </xf>
    <xf numFmtId="0" fontId="32" fillId="27" borderId="27" xfId="0" applyFont="1" applyFill="1" applyBorder="1" applyProtection="1">
      <alignment vertical="center"/>
      <protection hidden="1"/>
    </xf>
    <xf numFmtId="0" fontId="32" fillId="31" borderId="55" xfId="0" applyFont="1" applyFill="1" applyBorder="1" applyAlignment="1" applyProtection="1">
      <alignment horizontal="centerContinuous" vertical="center"/>
      <protection hidden="1"/>
    </xf>
    <xf numFmtId="0" fontId="32" fillId="31" borderId="57" xfId="0" applyFont="1" applyFill="1" applyBorder="1" applyAlignment="1" applyProtection="1">
      <alignment horizontal="centerContinuous" vertical="center"/>
      <protection hidden="1"/>
    </xf>
    <xf numFmtId="0" fontId="44" fillId="37" borderId="0" xfId="0" applyFont="1" applyFill="1" applyProtection="1">
      <alignment vertical="center"/>
      <protection hidden="1"/>
    </xf>
    <xf numFmtId="0" fontId="271" fillId="37" borderId="57" xfId="0" applyFont="1" applyFill="1" applyBorder="1" applyProtection="1">
      <alignment vertical="center"/>
      <protection hidden="1"/>
    </xf>
    <xf numFmtId="0" fontId="43" fillId="37" borderId="57" xfId="0" applyFont="1" applyFill="1" applyBorder="1" applyProtection="1">
      <alignment vertical="center"/>
      <protection hidden="1"/>
    </xf>
    <xf numFmtId="0" fontId="62" fillId="31" borderId="26" xfId="0" applyFont="1" applyFill="1" applyBorder="1" applyAlignment="1" applyProtection="1">
      <alignment horizontal="right" vertical="center"/>
      <protection hidden="1"/>
    </xf>
    <xf numFmtId="179" fontId="32" fillId="31" borderId="10" xfId="0" applyNumberFormat="1" applyFont="1" applyFill="1" applyBorder="1" applyAlignment="1" applyProtection="1">
      <alignment horizontal="centerContinuous" vertical="center"/>
      <protection hidden="1"/>
    </xf>
    <xf numFmtId="0" fontId="36" fillId="41" borderId="159" xfId="0" applyFont="1" applyFill="1" applyBorder="1" applyAlignment="1" applyProtection="1">
      <alignment horizontal="center" vertical="center"/>
      <protection hidden="1"/>
    </xf>
    <xf numFmtId="0" fontId="36" fillId="41" borderId="163" xfId="0" applyFont="1" applyFill="1" applyBorder="1" applyAlignment="1" applyProtection="1">
      <alignment horizontal="center" vertical="center"/>
      <protection hidden="1"/>
    </xf>
    <xf numFmtId="0" fontId="36" fillId="41" borderId="164" xfId="0" applyFont="1" applyFill="1" applyBorder="1" applyAlignment="1" applyProtection="1">
      <alignment horizontal="center" vertical="center"/>
      <protection hidden="1"/>
    </xf>
    <xf numFmtId="0" fontId="32" fillId="31" borderId="50" xfId="0" applyFont="1" applyFill="1" applyBorder="1" applyAlignment="1" applyProtection="1">
      <alignment horizontal="centerContinuous" vertical="center" wrapText="1"/>
      <protection hidden="1"/>
    </xf>
    <xf numFmtId="0" fontId="32" fillId="31" borderId="17" xfId="0" applyFont="1" applyFill="1" applyBorder="1" applyAlignment="1" applyProtection="1">
      <alignment horizontal="center" vertical="center"/>
      <protection hidden="1"/>
    </xf>
    <xf numFmtId="179" fontId="32" fillId="31" borderId="50" xfId="0" applyNumberFormat="1" applyFont="1" applyFill="1" applyBorder="1" applyAlignment="1" applyProtection="1">
      <alignment horizontal="center" vertical="center" wrapText="1"/>
      <protection hidden="1"/>
    </xf>
    <xf numFmtId="179" fontId="32" fillId="31" borderId="54" xfId="0" applyNumberFormat="1" applyFont="1" applyFill="1" applyBorder="1" applyAlignment="1" applyProtection="1">
      <alignment horizontal="center" vertical="center" wrapText="1"/>
      <protection hidden="1"/>
    </xf>
    <xf numFmtId="0" fontId="32" fillId="64" borderId="50" xfId="0" applyFont="1" applyFill="1" applyBorder="1" applyAlignment="1" applyProtection="1">
      <alignment horizontal="centerContinuous" vertical="center"/>
      <protection hidden="1"/>
    </xf>
    <xf numFmtId="0" fontId="32" fillId="43" borderId="26" xfId="0" applyFont="1" applyFill="1" applyBorder="1" applyAlignment="1" applyProtection="1">
      <alignment horizontal="centerContinuous" vertical="center"/>
      <protection hidden="1"/>
    </xf>
    <xf numFmtId="0" fontId="32" fillId="43" borderId="50" xfId="0" applyFont="1" applyFill="1" applyBorder="1" applyAlignment="1" applyProtection="1">
      <alignment horizontal="centerContinuous" vertical="center"/>
      <protection hidden="1"/>
    </xf>
    <xf numFmtId="0" fontId="62" fillId="31" borderId="50" xfId="0" applyFont="1" applyFill="1" applyBorder="1" applyAlignment="1" applyProtection="1">
      <alignment horizontal="right"/>
      <protection hidden="1"/>
    </xf>
    <xf numFmtId="179" fontId="32" fillId="31" borderId="52" xfId="0" applyNumberFormat="1" applyFont="1" applyFill="1" applyBorder="1" applyAlignment="1" applyProtection="1">
      <alignment horizontal="left" vertical="top"/>
      <protection hidden="1"/>
    </xf>
    <xf numFmtId="0" fontId="32" fillId="31" borderId="52" xfId="0" applyFont="1" applyFill="1" applyBorder="1" applyAlignment="1" applyProtection="1">
      <alignment horizontal="left" vertical="top"/>
      <protection hidden="1"/>
    </xf>
    <xf numFmtId="2" fontId="32" fillId="31" borderId="27" xfId="0" applyNumberFormat="1" applyFont="1" applyFill="1" applyBorder="1" applyAlignment="1" applyProtection="1">
      <alignment horizontal="left"/>
      <protection hidden="1"/>
    </xf>
    <xf numFmtId="2" fontId="32" fillId="31" borderId="50" xfId="0" applyNumberFormat="1" applyFont="1" applyFill="1" applyBorder="1" applyAlignment="1" applyProtection="1">
      <alignment horizontal="left"/>
      <protection hidden="1"/>
    </xf>
    <xf numFmtId="179" fontId="32" fillId="31" borderId="27" xfId="0" applyNumberFormat="1" applyFont="1" applyFill="1" applyBorder="1" applyAlignment="1" applyProtection="1">
      <alignment horizontal="left"/>
      <protection hidden="1"/>
    </xf>
    <xf numFmtId="179" fontId="32" fillId="31" borderId="50" xfId="0" applyNumberFormat="1" applyFont="1" applyFill="1" applyBorder="1" applyAlignment="1" applyProtection="1">
      <alignment horizontal="left"/>
      <protection hidden="1"/>
    </xf>
    <xf numFmtId="0" fontId="32" fillId="31" borderId="56" xfId="0" applyFont="1" applyFill="1" applyBorder="1" applyAlignment="1" applyProtection="1">
      <alignment horizontal="centerContinuous" vertical="center" wrapText="1"/>
      <protection hidden="1"/>
    </xf>
    <xf numFmtId="219" fontId="32" fillId="0" borderId="10" xfId="35" applyNumberFormat="1" applyFont="1" applyFill="1" applyBorder="1" applyAlignment="1" applyProtection="1">
      <alignment horizontal="center" vertical="center"/>
      <protection hidden="1"/>
    </xf>
    <xf numFmtId="0" fontId="271" fillId="0" borderId="0" xfId="0" applyFont="1" applyProtection="1">
      <alignment vertical="center"/>
      <protection hidden="1"/>
    </xf>
    <xf numFmtId="0" fontId="41" fillId="0" borderId="0" xfId="0" applyFont="1" applyAlignment="1" applyProtection="1">
      <alignment vertical="top"/>
      <protection hidden="1"/>
    </xf>
    <xf numFmtId="179" fontId="32" fillId="31" borderId="50" xfId="0" applyNumberFormat="1" applyFont="1" applyFill="1" applyBorder="1" applyAlignment="1" applyProtection="1">
      <alignment horizontal="center" vertical="center"/>
      <protection hidden="1"/>
    </xf>
    <xf numFmtId="0" fontId="32" fillId="27" borderId="14" xfId="0" applyFont="1" applyFill="1" applyBorder="1" applyProtection="1">
      <alignment vertical="center"/>
      <protection hidden="1"/>
    </xf>
    <xf numFmtId="0" fontId="62" fillId="0" borderId="0" xfId="0" applyFont="1" applyAlignment="1" applyProtection="1">
      <alignment horizontal="left" vertical="top"/>
      <protection hidden="1"/>
    </xf>
    <xf numFmtId="0" fontId="32" fillId="31" borderId="50" xfId="0" applyFont="1" applyFill="1" applyBorder="1" applyAlignment="1" applyProtection="1">
      <alignment horizontal="centerContinuous" vertical="top"/>
      <protection hidden="1"/>
    </xf>
    <xf numFmtId="0" fontId="32" fillId="27" borderId="26" xfId="0" applyFont="1" applyFill="1" applyBorder="1" applyAlignment="1" applyProtection="1">
      <alignment horizontal="centerContinuous" vertical="center"/>
      <protection hidden="1"/>
    </xf>
    <xf numFmtId="0" fontId="32" fillId="27" borderId="27" xfId="0" applyFont="1" applyFill="1" applyBorder="1" applyAlignment="1" applyProtection="1">
      <alignment horizontal="centerContinuous" vertical="center"/>
      <protection hidden="1"/>
    </xf>
    <xf numFmtId="0" fontId="32" fillId="27" borderId="178" xfId="0" applyFont="1" applyFill="1" applyBorder="1">
      <alignment vertical="center"/>
    </xf>
    <xf numFmtId="0" fontId="32" fillId="27" borderId="193" xfId="0" applyFont="1" applyFill="1" applyBorder="1" applyProtection="1">
      <alignment vertical="center"/>
      <protection hidden="1"/>
    </xf>
    <xf numFmtId="0" fontId="32" fillId="27" borderId="172" xfId="0" applyFont="1" applyFill="1" applyBorder="1" applyProtection="1">
      <alignment vertical="center"/>
      <protection hidden="1"/>
    </xf>
    <xf numFmtId="0" fontId="32" fillId="27" borderId="177" xfId="0" applyFont="1" applyFill="1" applyBorder="1" applyProtection="1">
      <alignment vertical="center"/>
      <protection hidden="1"/>
    </xf>
    <xf numFmtId="0" fontId="32" fillId="27" borderId="178" xfId="0" applyFont="1" applyFill="1" applyBorder="1" applyProtection="1">
      <alignment vertical="center"/>
      <protection hidden="1"/>
    </xf>
    <xf numFmtId="2" fontId="32" fillId="31" borderId="50" xfId="0" applyNumberFormat="1" applyFont="1" applyFill="1" applyBorder="1" applyAlignment="1" applyProtection="1">
      <alignment horizontal="center" vertical="center"/>
      <protection hidden="1"/>
    </xf>
    <xf numFmtId="219" fontId="36" fillId="31" borderId="144" xfId="0" applyNumberFormat="1" applyFont="1" applyFill="1" applyBorder="1" applyAlignment="1" applyProtection="1">
      <alignment horizontal="center" vertical="center"/>
      <protection locked="0"/>
    </xf>
    <xf numFmtId="219" fontId="36" fillId="27" borderId="51" xfId="0" applyNumberFormat="1" applyFont="1" applyFill="1" applyBorder="1" applyAlignment="1" applyProtection="1">
      <alignment horizontal="center" vertical="center" wrapText="1"/>
      <protection hidden="1"/>
    </xf>
    <xf numFmtId="0" fontId="32" fillId="27" borderId="51" xfId="0" applyFont="1" applyFill="1" applyBorder="1" applyAlignment="1" applyProtection="1">
      <alignment horizontal="center" vertical="center" wrapText="1"/>
      <protection hidden="1"/>
    </xf>
    <xf numFmtId="0" fontId="61" fillId="57" borderId="168" xfId="0" applyFont="1" applyFill="1" applyBorder="1" applyAlignment="1" applyProtection="1">
      <alignment horizontal="center" vertical="center"/>
      <protection locked="0" hidden="1"/>
    </xf>
    <xf numFmtId="0" fontId="44" fillId="27" borderId="16" xfId="0" quotePrefix="1" applyFont="1" applyFill="1" applyBorder="1" applyAlignment="1" applyProtection="1">
      <alignment horizontal="center" vertical="center" wrapText="1"/>
      <protection hidden="1"/>
    </xf>
    <xf numFmtId="0" fontId="61" fillId="57" borderId="169" xfId="0" applyFont="1" applyFill="1" applyBorder="1" applyAlignment="1" applyProtection="1">
      <alignment horizontal="center" vertical="center"/>
      <protection locked="0" hidden="1"/>
    </xf>
    <xf numFmtId="0" fontId="44" fillId="27" borderId="14" xfId="0" quotePrefix="1" applyFont="1" applyFill="1" applyBorder="1" applyAlignment="1" applyProtection="1">
      <alignment horizontal="center" vertical="center" wrapText="1"/>
      <protection hidden="1"/>
    </xf>
    <xf numFmtId="0" fontId="44" fillId="27" borderId="14" xfId="0" applyFont="1" applyFill="1" applyBorder="1" applyAlignment="1" applyProtection="1">
      <alignment horizontal="center" vertical="center" wrapText="1"/>
      <protection hidden="1"/>
    </xf>
    <xf numFmtId="0" fontId="61" fillId="57" borderId="184" xfId="0" applyFont="1" applyFill="1" applyBorder="1" applyAlignment="1" applyProtection="1">
      <alignment horizontal="center" vertical="center"/>
      <protection locked="0" hidden="1"/>
    </xf>
    <xf numFmtId="0" fontId="44" fillId="27" borderId="173" xfId="0" applyFont="1" applyFill="1" applyBorder="1" applyAlignment="1" applyProtection="1">
      <alignment horizontal="center" vertical="center" wrapText="1"/>
      <protection hidden="1"/>
    </xf>
    <xf numFmtId="0" fontId="43" fillId="27" borderId="211" xfId="0" applyFont="1" applyFill="1" applyBorder="1" applyAlignment="1" applyProtection="1">
      <alignment horizontal="center" vertical="center" wrapText="1"/>
      <protection hidden="1"/>
    </xf>
    <xf numFmtId="0" fontId="32" fillId="27" borderId="50" xfId="0" applyFont="1" applyFill="1" applyBorder="1" applyAlignment="1" applyProtection="1">
      <alignment vertical="center" wrapText="1"/>
      <protection hidden="1"/>
    </xf>
    <xf numFmtId="0" fontId="32" fillId="27" borderId="50" xfId="0" applyFont="1" applyFill="1" applyBorder="1" applyAlignment="1" applyProtection="1">
      <alignment horizontal="center" vertical="center"/>
      <protection hidden="1"/>
    </xf>
    <xf numFmtId="0" fontId="36" fillId="27" borderId="50" xfId="0" applyFont="1" applyFill="1" applyBorder="1" applyAlignment="1" applyProtection="1">
      <alignment horizontal="center" vertical="center" wrapText="1"/>
      <protection hidden="1"/>
    </xf>
    <xf numFmtId="0" fontId="44" fillId="27" borderId="10" xfId="0" applyFont="1" applyFill="1" applyBorder="1" applyAlignment="1" applyProtection="1">
      <alignment horizontal="center" vertical="center"/>
      <protection hidden="1"/>
    </xf>
    <xf numFmtId="0" fontId="272" fillId="0" borderId="0" xfId="0" applyFont="1">
      <alignment vertical="center"/>
    </xf>
    <xf numFmtId="0" fontId="273" fillId="0" borderId="0" xfId="0" applyFont="1" applyAlignment="1" applyProtection="1">
      <alignment horizontal="right"/>
      <protection hidden="1"/>
    </xf>
    <xf numFmtId="0" fontId="277" fillId="27" borderId="0" xfId="0" applyFont="1" applyFill="1" applyAlignment="1" applyProtection="1">
      <alignment horizontal="left" vertical="center" wrapText="1"/>
      <protection hidden="1"/>
    </xf>
    <xf numFmtId="0" fontId="59" fillId="36" borderId="68" xfId="0" applyFont="1" applyFill="1" applyBorder="1" applyAlignment="1">
      <alignment horizontal="left" vertical="center"/>
    </xf>
    <xf numFmtId="0" fontId="246" fillId="36" borderId="69" xfId="0" applyFont="1" applyFill="1" applyBorder="1" applyAlignment="1">
      <alignment horizontal="left" vertical="center"/>
    </xf>
    <xf numFmtId="0" fontId="253" fillId="36" borderId="69" xfId="0" applyFont="1" applyFill="1" applyBorder="1">
      <alignment vertical="center"/>
    </xf>
    <xf numFmtId="180" fontId="62" fillId="36" borderId="68" xfId="0" applyNumberFormat="1" applyFont="1" applyFill="1" applyBorder="1" applyAlignment="1">
      <alignment horizontal="left" vertical="center"/>
    </xf>
    <xf numFmtId="180" fontId="62" fillId="36" borderId="69" xfId="0" applyNumberFormat="1" applyFont="1" applyFill="1" applyBorder="1" applyAlignment="1">
      <alignment horizontal="left" vertical="center"/>
    </xf>
    <xf numFmtId="183" fontId="88" fillId="36" borderId="71" xfId="0" applyNumberFormat="1" applyFont="1" applyFill="1" applyBorder="1">
      <alignment vertical="center"/>
    </xf>
    <xf numFmtId="0" fontId="36" fillId="0" borderId="0" xfId="0" applyFont="1" applyAlignment="1">
      <alignment horizontal="center" vertical="justify"/>
    </xf>
    <xf numFmtId="0" fontId="36" fillId="0" borderId="26" xfId="0" applyFont="1" applyBorder="1" applyAlignment="1" applyProtection="1">
      <alignment horizontal="center" vertical="justify"/>
      <protection hidden="1"/>
    </xf>
    <xf numFmtId="0" fontId="61" fillId="27" borderId="62" xfId="0" applyFont="1" applyFill="1" applyBorder="1" applyAlignment="1">
      <alignment horizontal="left" vertical="center"/>
    </xf>
    <xf numFmtId="0" fontId="246" fillId="27" borderId="0" xfId="0" applyFont="1" applyFill="1" applyAlignment="1">
      <alignment horizontal="left" vertical="center"/>
    </xf>
    <xf numFmtId="0" fontId="47" fillId="27" borderId="0" xfId="0" applyFont="1" applyFill="1">
      <alignment vertical="center"/>
    </xf>
    <xf numFmtId="0" fontId="55" fillId="27" borderId="0" xfId="0" applyFont="1" applyFill="1">
      <alignment vertical="center"/>
    </xf>
    <xf numFmtId="0" fontId="55" fillId="27" borderId="63" xfId="0" applyFont="1" applyFill="1" applyBorder="1">
      <alignment vertical="center"/>
    </xf>
    <xf numFmtId="0" fontId="44" fillId="27" borderId="100" xfId="0" applyFont="1" applyFill="1" applyBorder="1" applyAlignment="1">
      <alignment horizontal="center" vertical="distributed"/>
    </xf>
    <xf numFmtId="0" fontId="32" fillId="0" borderId="26" xfId="0" applyFont="1" applyBorder="1" applyProtection="1">
      <alignment vertical="center"/>
      <protection hidden="1"/>
    </xf>
    <xf numFmtId="0" fontId="36" fillId="0" borderId="27" xfId="0" applyFont="1" applyBorder="1" applyAlignment="1" applyProtection="1">
      <alignment horizontal="center" vertical="justify"/>
      <protection hidden="1"/>
    </xf>
    <xf numFmtId="0" fontId="32" fillId="0" borderId="50" xfId="0" applyFont="1" applyBorder="1" applyProtection="1">
      <alignment vertical="center"/>
      <protection hidden="1"/>
    </xf>
    <xf numFmtId="0" fontId="61" fillId="27" borderId="62" xfId="0" applyFont="1" applyFill="1" applyBorder="1" applyAlignment="1">
      <alignment horizontal="left" vertical="top"/>
    </xf>
    <xf numFmtId="0" fontId="246" fillId="27" borderId="0" xfId="0" applyFont="1" applyFill="1" applyAlignment="1">
      <alignment horizontal="left" vertical="top"/>
    </xf>
    <xf numFmtId="0" fontId="47" fillId="27" borderId="0" xfId="0" applyFont="1" applyFill="1" applyAlignment="1">
      <alignment vertical="top"/>
    </xf>
    <xf numFmtId="0" fontId="55" fillId="27" borderId="0" xfId="0" applyFont="1" applyFill="1" applyAlignment="1">
      <alignment vertical="top"/>
    </xf>
    <xf numFmtId="0" fontId="55" fillId="27" borderId="63" xfId="0" applyFont="1" applyFill="1" applyBorder="1" applyAlignment="1">
      <alignment vertical="top"/>
    </xf>
    <xf numFmtId="183" fontId="36" fillId="27" borderId="147" xfId="0" applyNumberFormat="1" applyFont="1" applyFill="1" applyBorder="1" applyAlignment="1">
      <alignment horizontal="center" vertical="center" wrapText="1"/>
    </xf>
    <xf numFmtId="183" fontId="246" fillId="27" borderId="227" xfId="0" applyNumberFormat="1" applyFont="1" applyFill="1" applyBorder="1" applyAlignment="1">
      <alignment horizontal="center" vertical="center" wrapText="1"/>
    </xf>
    <xf numFmtId="183" fontId="36" fillId="27" borderId="66" xfId="0" applyNumberFormat="1" applyFont="1" applyFill="1" applyBorder="1" applyAlignment="1">
      <alignment horizontal="center" vertical="center" wrapText="1"/>
    </xf>
    <xf numFmtId="183" fontId="246" fillId="27" borderId="137" xfId="0" applyNumberFormat="1" applyFont="1" applyFill="1" applyBorder="1" applyAlignment="1">
      <alignment horizontal="center" vertical="center" wrapText="1"/>
    </xf>
    <xf numFmtId="183" fontId="279" fillId="27" borderId="115" xfId="0" applyNumberFormat="1" applyFont="1" applyFill="1" applyBorder="1" applyAlignment="1">
      <alignment horizontal="center" vertical="top" wrapText="1"/>
    </xf>
    <xf numFmtId="185" fontId="48" fillId="39" borderId="55" xfId="0" applyNumberFormat="1" applyFont="1" applyFill="1" applyBorder="1" applyAlignment="1" applyProtection="1">
      <alignment horizontal="left" vertical="center" wrapText="1"/>
      <protection hidden="1"/>
    </xf>
    <xf numFmtId="0" fontId="32" fillId="0" borderId="55" xfId="0" applyFont="1" applyBorder="1" applyAlignment="1" applyProtection="1">
      <alignment horizontal="center" vertical="justify"/>
      <protection hidden="1"/>
    </xf>
    <xf numFmtId="0" fontId="32" fillId="0" borderId="10" xfId="0" applyFont="1" applyBorder="1" applyAlignment="1" applyProtection="1">
      <alignment horizontal="center" vertical="justify"/>
      <protection hidden="1"/>
    </xf>
    <xf numFmtId="0" fontId="59" fillId="32" borderId="128" xfId="0" applyFont="1" applyFill="1" applyBorder="1" applyAlignment="1">
      <alignment horizontal="left" vertical="center"/>
    </xf>
    <xf numFmtId="0" fontId="280" fillId="32" borderId="129" xfId="0" applyFont="1" applyFill="1" applyBorder="1" applyAlignment="1">
      <alignment horizontal="left" vertical="center"/>
    </xf>
    <xf numFmtId="182" fontId="253" fillId="32" borderId="129" xfId="0" applyNumberFormat="1" applyFont="1" applyFill="1" applyBorder="1" applyAlignment="1">
      <alignment horizontal="center" vertical="center"/>
    </xf>
    <xf numFmtId="182" fontId="59" fillId="32" borderId="129" xfId="0" applyNumberFormat="1" applyFont="1" applyFill="1" applyBorder="1" applyAlignment="1">
      <alignment horizontal="center" vertical="center"/>
    </xf>
    <xf numFmtId="182" fontId="59" fillId="32" borderId="130" xfId="0" applyNumberFormat="1" applyFont="1" applyFill="1" applyBorder="1" applyAlignment="1">
      <alignment horizontal="center" vertical="center"/>
    </xf>
    <xf numFmtId="180" fontId="32" fillId="32" borderId="62" xfId="0" applyNumberFormat="1" applyFont="1" applyFill="1" applyBorder="1" applyAlignment="1">
      <alignment horizontal="left" vertical="center"/>
    </xf>
    <xf numFmtId="180" fontId="32" fillId="32" borderId="0" xfId="0" applyNumberFormat="1" applyFont="1" applyFill="1" applyAlignment="1">
      <alignment horizontal="left" vertical="center"/>
    </xf>
    <xf numFmtId="180" fontId="32" fillId="32" borderId="0" xfId="0" applyNumberFormat="1" applyFont="1" applyFill="1" applyAlignment="1">
      <alignment horizontal="left"/>
    </xf>
    <xf numFmtId="180" fontId="62" fillId="32" borderId="97" xfId="0" applyNumberFormat="1" applyFont="1" applyFill="1" applyBorder="1" applyAlignment="1">
      <alignment horizontal="left"/>
    </xf>
    <xf numFmtId="0" fontId="36" fillId="0" borderId="10" xfId="0" applyFont="1" applyBorder="1" applyAlignment="1" applyProtection="1">
      <alignment horizontal="center" vertical="justify"/>
      <protection hidden="1"/>
    </xf>
    <xf numFmtId="2" fontId="36" fillId="0" borderId="10" xfId="0" applyNumberFormat="1" applyFont="1" applyBorder="1" applyAlignment="1" applyProtection="1">
      <alignment horizontal="center" vertical="justify"/>
      <protection hidden="1"/>
    </xf>
    <xf numFmtId="0" fontId="61" fillId="31" borderId="101" xfId="0" applyFont="1" applyFill="1" applyBorder="1" applyAlignment="1">
      <alignment horizontal="left" vertical="center"/>
    </xf>
    <xf numFmtId="0" fontId="61" fillId="31" borderId="102" xfId="0" applyFont="1" applyFill="1" applyBorder="1" applyAlignment="1">
      <alignment horizontal="left" vertical="center"/>
    </xf>
    <xf numFmtId="0" fontId="35" fillId="31" borderId="103" xfId="0" applyFont="1" applyFill="1" applyBorder="1" applyAlignment="1">
      <alignment horizontal="left" vertical="center"/>
    </xf>
    <xf numFmtId="180" fontId="32" fillId="31" borderId="104" xfId="0" applyNumberFormat="1" applyFont="1" applyFill="1" applyBorder="1" applyAlignment="1">
      <alignment horizontal="left" vertical="center"/>
    </xf>
    <xf numFmtId="180" fontId="32" fillId="31" borderId="102" xfId="0" applyNumberFormat="1" applyFont="1" applyFill="1" applyBorder="1" applyAlignment="1">
      <alignment horizontal="left" vertical="center"/>
    </xf>
    <xf numFmtId="180" fontId="32" fillId="31" borderId="102" xfId="0" applyNumberFormat="1" applyFont="1" applyFill="1" applyBorder="1" applyAlignment="1">
      <alignment horizontal="left"/>
    </xf>
    <xf numFmtId="180" fontId="62" fillId="31" borderId="105" xfId="0" applyNumberFormat="1" applyFont="1" applyFill="1" applyBorder="1" applyAlignment="1">
      <alignment horizontal="left"/>
    </xf>
    <xf numFmtId="0" fontId="61" fillId="27" borderId="62" xfId="0" quotePrefix="1" applyFont="1" applyFill="1" applyBorder="1" applyAlignment="1">
      <alignment horizontal="left" vertical="center"/>
    </xf>
    <xf numFmtId="0" fontId="30" fillId="27" borderId="109" xfId="0" applyFont="1" applyFill="1" applyBorder="1" applyAlignment="1">
      <alignment horizontal="left" vertical="center"/>
    </xf>
    <xf numFmtId="0" fontId="281" fillId="27" borderId="63" xfId="0" applyFont="1" applyFill="1" applyBorder="1">
      <alignment vertical="center"/>
    </xf>
    <xf numFmtId="180" fontId="32" fillId="0" borderId="62" xfId="0" applyNumberFormat="1" applyFont="1" applyBorder="1" applyAlignment="1">
      <alignment horizontal="left" vertical="center" wrapText="1"/>
    </xf>
    <xf numFmtId="180" fontId="32" fillId="0" borderId="0" xfId="0" applyNumberFormat="1" applyFont="1" applyAlignment="1">
      <alignment horizontal="left" vertical="center" wrapText="1"/>
    </xf>
    <xf numFmtId="180" fontId="32" fillId="0" borderId="0" xfId="0" applyNumberFormat="1" applyFont="1" applyAlignment="1">
      <alignment horizontal="left" wrapText="1"/>
    </xf>
    <xf numFmtId="183" fontId="61" fillId="0" borderId="10" xfId="0" applyNumberFormat="1" applyFont="1" applyBorder="1" applyAlignment="1">
      <alignment horizontal="center" vertical="center"/>
    </xf>
    <xf numFmtId="0" fontId="30" fillId="27" borderId="62" xfId="0" applyFont="1" applyFill="1" applyBorder="1" applyAlignment="1">
      <alignment horizontal="left"/>
    </xf>
    <xf numFmtId="0" fontId="61" fillId="27" borderId="52" xfId="0" applyFont="1" applyFill="1" applyBorder="1">
      <alignment vertical="center"/>
    </xf>
    <xf numFmtId="0" fontId="35" fillId="27" borderId="53" xfId="0" applyFont="1" applyFill="1" applyBorder="1">
      <alignment vertical="center"/>
    </xf>
    <xf numFmtId="0" fontId="35" fillId="27" borderId="50" xfId="0" applyFont="1" applyFill="1" applyBorder="1">
      <alignment vertical="center"/>
    </xf>
    <xf numFmtId="0" fontId="35" fillId="27" borderId="82" xfId="0" applyFont="1" applyFill="1" applyBorder="1">
      <alignment vertical="center"/>
    </xf>
    <xf numFmtId="0" fontId="30" fillId="58" borderId="62" xfId="0" applyFont="1" applyFill="1" applyBorder="1" applyAlignment="1">
      <alignment horizontal="left"/>
    </xf>
    <xf numFmtId="0" fontId="282" fillId="58" borderId="10" xfId="0" applyFont="1" applyFill="1" applyBorder="1" applyAlignment="1">
      <alignment horizontal="center" vertical="center"/>
    </xf>
    <xf numFmtId="0" fontId="282" fillId="58" borderId="57" xfId="0" applyFont="1" applyFill="1" applyBorder="1">
      <alignment vertical="center"/>
    </xf>
    <xf numFmtId="0" fontId="35" fillId="58" borderId="79" xfId="0" applyFont="1" applyFill="1" applyBorder="1">
      <alignment vertical="center"/>
    </xf>
    <xf numFmtId="0" fontId="30" fillId="0" borderId="62" xfId="0" applyFont="1" applyBorder="1" applyAlignment="1">
      <alignment horizontal="left"/>
    </xf>
    <xf numFmtId="0" fontId="282" fillId="0" borderId="10" xfId="0" applyFont="1" applyBorder="1" applyAlignment="1">
      <alignment horizontal="center" vertical="center"/>
    </xf>
    <xf numFmtId="0" fontId="282" fillId="0" borderId="50" xfId="0" applyFont="1" applyBorder="1">
      <alignment vertical="center"/>
    </xf>
    <xf numFmtId="0" fontId="281" fillId="0" borderId="82" xfId="0" applyFont="1" applyBorder="1">
      <alignment vertical="center"/>
    </xf>
    <xf numFmtId="0" fontId="61" fillId="27" borderId="64" xfId="0" applyFont="1" applyFill="1" applyBorder="1">
      <alignment vertical="center"/>
    </xf>
    <xf numFmtId="0" fontId="30" fillId="27" borderId="120" xfId="0" applyFont="1" applyFill="1" applyBorder="1" applyAlignment="1">
      <alignment horizontal="left"/>
    </xf>
    <xf numFmtId="0" fontId="61" fillId="27" borderId="26" xfId="0" applyFont="1" applyFill="1" applyBorder="1">
      <alignment vertical="center"/>
    </xf>
    <xf numFmtId="0" fontId="61" fillId="27" borderId="89" xfId="0" quotePrefix="1" applyFont="1" applyFill="1" applyBorder="1" applyAlignment="1">
      <alignment horizontal="left" vertical="center"/>
    </xf>
    <xf numFmtId="0" fontId="30" fillId="27" borderId="50" xfId="0" applyFont="1" applyFill="1" applyBorder="1" applyAlignment="1">
      <alignment horizontal="left" vertical="center"/>
    </xf>
    <xf numFmtId="0" fontId="30" fillId="27" borderId="53" xfId="0" applyFont="1" applyFill="1" applyBorder="1" applyAlignment="1">
      <alignment horizontal="left" vertical="center"/>
    </xf>
    <xf numFmtId="0" fontId="281" fillId="27" borderId="53" xfId="0" applyFont="1" applyFill="1" applyBorder="1">
      <alignment vertical="center"/>
    </xf>
    <xf numFmtId="0" fontId="281" fillId="27" borderId="90" xfId="0" applyFont="1" applyFill="1" applyBorder="1">
      <alignment vertical="center"/>
    </xf>
    <xf numFmtId="180" fontId="32" fillId="0" borderId="80" xfId="0" applyNumberFormat="1" applyFont="1" applyBorder="1" applyAlignment="1">
      <alignment horizontal="left" vertical="center" wrapText="1"/>
    </xf>
    <xf numFmtId="180" fontId="32" fillId="0" borderId="50" xfId="0" applyNumberFormat="1" applyFont="1" applyBorder="1" applyAlignment="1">
      <alignment horizontal="left" vertical="center" wrapText="1"/>
    </xf>
    <xf numFmtId="180" fontId="32" fillId="0" borderId="27" xfId="0" applyNumberFormat="1" applyFont="1" applyBorder="1" applyAlignment="1">
      <alignment horizontal="left" wrapText="1"/>
    </xf>
    <xf numFmtId="0" fontId="35" fillId="27" borderId="53" xfId="0" applyFont="1" applyFill="1" applyBorder="1" applyAlignment="1">
      <alignment horizontal="left" vertical="center"/>
    </xf>
    <xf numFmtId="0" fontId="281" fillId="27" borderId="82" xfId="0" applyFont="1" applyFill="1" applyBorder="1">
      <alignment vertical="center"/>
    </xf>
    <xf numFmtId="0" fontId="281" fillId="27" borderId="50" xfId="0" applyFont="1" applyFill="1" applyBorder="1">
      <alignment vertical="center"/>
    </xf>
    <xf numFmtId="0" fontId="283" fillId="27" borderId="52" xfId="0" applyFont="1" applyFill="1" applyBorder="1">
      <alignment vertical="center"/>
    </xf>
    <xf numFmtId="0" fontId="284" fillId="27" borderId="50" xfId="0" applyFont="1" applyFill="1" applyBorder="1">
      <alignment vertical="center"/>
    </xf>
    <xf numFmtId="0" fontId="284" fillId="27" borderId="10" xfId="0" applyFont="1" applyFill="1" applyBorder="1" applyAlignment="1">
      <alignment horizontal="center" vertical="center"/>
    </xf>
    <xf numFmtId="0" fontId="144" fillId="27" borderId="82" xfId="0" applyFont="1" applyFill="1" applyBorder="1">
      <alignment vertical="center"/>
    </xf>
    <xf numFmtId="0" fontId="285" fillId="0" borderId="0" xfId="0" applyFont="1" applyAlignment="1">
      <alignment horizontal="center" vertical="justify"/>
    </xf>
    <xf numFmtId="0" fontId="118" fillId="27" borderId="120" xfId="0" applyFont="1" applyFill="1" applyBorder="1" applyAlignment="1">
      <alignment horizontal="left" vertical="center"/>
    </xf>
    <xf numFmtId="180" fontId="32" fillId="0" borderId="89" xfId="0" applyNumberFormat="1" applyFont="1" applyBorder="1" applyAlignment="1">
      <alignment horizontal="left" vertical="center" wrapText="1"/>
    </xf>
    <xf numFmtId="180" fontId="32" fillId="0" borderId="53" xfId="0" applyNumberFormat="1" applyFont="1" applyBorder="1" applyAlignment="1">
      <alignment horizontal="left" vertical="center" wrapText="1"/>
    </xf>
    <xf numFmtId="180" fontId="32" fillId="0" borderId="54" xfId="0" applyNumberFormat="1" applyFont="1" applyBorder="1" applyAlignment="1">
      <alignment horizontal="left" wrapText="1"/>
    </xf>
    <xf numFmtId="0" fontId="30" fillId="27" borderId="62" xfId="0" quotePrefix="1" applyFont="1" applyFill="1" applyBorder="1" applyAlignment="1">
      <alignment horizontal="left" vertical="center"/>
    </xf>
    <xf numFmtId="0" fontId="30" fillId="0" borderId="62" xfId="0" quotePrefix="1" applyFont="1" applyBorder="1" applyAlignment="1">
      <alignment horizontal="left" vertical="center"/>
    </xf>
    <xf numFmtId="0" fontId="30" fillId="27" borderId="62" xfId="0" applyFont="1" applyFill="1" applyBorder="1" applyAlignment="1">
      <alignment horizontal="left" vertical="center"/>
    </xf>
    <xf numFmtId="0" fontId="35" fillId="27" borderId="90" xfId="0" applyFont="1" applyFill="1" applyBorder="1" applyAlignment="1">
      <alignment horizontal="left" vertical="center"/>
    </xf>
    <xf numFmtId="0" fontId="30" fillId="0" borderId="62" xfId="0" applyFont="1" applyBorder="1" applyAlignment="1">
      <alignment horizontal="left" vertical="center"/>
    </xf>
    <xf numFmtId="0" fontId="30" fillId="27" borderId="77" xfId="0" applyFont="1" applyFill="1" applyBorder="1" applyAlignment="1">
      <alignment horizontal="left" vertical="center"/>
    </xf>
    <xf numFmtId="0" fontId="35" fillId="27" borderId="50" xfId="0" applyFont="1" applyFill="1" applyBorder="1" applyAlignment="1">
      <alignment vertical="center" shrinkToFit="1"/>
    </xf>
    <xf numFmtId="0" fontId="281" fillId="27" borderId="79" xfId="0" applyFont="1" applyFill="1" applyBorder="1">
      <alignment vertical="center"/>
    </xf>
    <xf numFmtId="0" fontId="35" fillId="27" borderId="51" xfId="0" applyFont="1" applyFill="1" applyBorder="1" applyAlignment="1">
      <alignment horizontal="center" vertical="center"/>
    </xf>
    <xf numFmtId="0" fontId="61" fillId="31" borderId="128" xfId="0" applyFont="1" applyFill="1" applyBorder="1" applyAlignment="1">
      <alignment horizontal="left" vertical="center"/>
    </xf>
    <xf numFmtId="0" fontId="61" fillId="31" borderId="129" xfId="0" applyFont="1" applyFill="1" applyBorder="1" applyAlignment="1">
      <alignment horizontal="left" vertical="center"/>
    </xf>
    <xf numFmtId="0" fontId="61" fillId="31" borderId="129" xfId="0" applyFont="1" applyFill="1" applyBorder="1" applyAlignment="1">
      <alignment horizontal="left"/>
    </xf>
    <xf numFmtId="0" fontId="44" fillId="31" borderId="130" xfId="0" applyFont="1" applyFill="1" applyBorder="1">
      <alignment vertical="center"/>
    </xf>
    <xf numFmtId="0" fontId="36" fillId="31" borderId="129" xfId="0" applyFont="1" applyFill="1" applyBorder="1" applyAlignment="1">
      <alignment horizontal="left"/>
    </xf>
    <xf numFmtId="180" fontId="62" fillId="31" borderId="131" xfId="0" applyNumberFormat="1" applyFont="1" applyFill="1" applyBorder="1" applyAlignment="1">
      <alignment horizontal="center"/>
    </xf>
    <xf numFmtId="0" fontId="281" fillId="27" borderId="0" xfId="0" applyFont="1" applyFill="1">
      <alignment vertical="center"/>
    </xf>
    <xf numFmtId="0" fontId="225" fillId="27" borderId="82" xfId="0" applyFont="1" applyFill="1" applyBorder="1">
      <alignment vertical="center"/>
    </xf>
    <xf numFmtId="0" fontId="225" fillId="27" borderId="10" xfId="0" applyFont="1" applyFill="1" applyBorder="1" applyAlignment="1">
      <alignment horizontal="center" vertical="center"/>
    </xf>
    <xf numFmtId="0" fontId="225" fillId="27" borderId="50" xfId="0" applyFont="1" applyFill="1" applyBorder="1">
      <alignment vertical="center"/>
    </xf>
    <xf numFmtId="0" fontId="225" fillId="27" borderId="55" xfId="0" applyFont="1" applyFill="1" applyBorder="1" applyAlignment="1">
      <alignment horizontal="center" vertical="center"/>
    </xf>
    <xf numFmtId="0" fontId="225" fillId="27" borderId="57" xfId="0" applyFont="1" applyFill="1" applyBorder="1">
      <alignment vertical="center"/>
    </xf>
    <xf numFmtId="0" fontId="225" fillId="27" borderId="0" xfId="0" applyFont="1" applyFill="1">
      <alignment vertical="center"/>
    </xf>
    <xf numFmtId="0" fontId="30" fillId="27" borderId="118" xfId="0" quotePrefix="1" applyFont="1" applyFill="1" applyBorder="1" applyAlignment="1">
      <alignment horizontal="left" vertical="center"/>
    </xf>
    <xf numFmtId="0" fontId="283" fillId="27" borderId="64" xfId="0" applyFont="1" applyFill="1" applyBorder="1">
      <alignment vertical="center"/>
    </xf>
    <xf numFmtId="0" fontId="284" fillId="27" borderId="53" xfId="0" applyFont="1" applyFill="1" applyBorder="1">
      <alignment vertical="center"/>
    </xf>
    <xf numFmtId="0" fontId="144" fillId="27" borderId="53" xfId="0" applyFont="1" applyFill="1" applyBorder="1">
      <alignment vertical="center"/>
    </xf>
    <xf numFmtId="0" fontId="144" fillId="27" borderId="90" xfId="0" applyFont="1" applyFill="1" applyBorder="1">
      <alignment vertical="center"/>
    </xf>
    <xf numFmtId="0" fontId="30" fillId="27" borderId="77" xfId="0" applyFont="1" applyFill="1" applyBorder="1" applyAlignment="1">
      <alignment horizontal="left"/>
    </xf>
    <xf numFmtId="0" fontId="282" fillId="27" borderId="0" xfId="0" applyFont="1" applyFill="1" applyAlignment="1">
      <alignment horizontal="left" vertical="center"/>
    </xf>
    <xf numFmtId="0" fontId="282" fillId="27" borderId="0" xfId="0" applyFont="1" applyFill="1" applyAlignment="1">
      <alignment horizontal="center" vertical="center"/>
    </xf>
    <xf numFmtId="0" fontId="35" fillId="27" borderId="50" xfId="0" applyFont="1" applyFill="1" applyBorder="1" applyAlignment="1">
      <alignment horizontal="left" vertical="center"/>
    </xf>
    <xf numFmtId="0" fontId="30" fillId="27" borderId="65" xfId="0" quotePrefix="1" applyFont="1" applyFill="1" applyBorder="1" applyAlignment="1">
      <alignment horizontal="left" vertical="center"/>
    </xf>
    <xf numFmtId="0" fontId="35" fillId="27" borderId="136" xfId="0" applyFont="1" applyFill="1" applyBorder="1" applyAlignment="1">
      <alignment horizontal="center" vertical="center"/>
    </xf>
    <xf numFmtId="0" fontId="35" fillId="27" borderId="126" xfId="0" applyFont="1" applyFill="1" applyBorder="1">
      <alignment vertical="center"/>
    </xf>
    <xf numFmtId="0" fontId="281" fillId="27" borderId="127" xfId="0" applyFont="1" applyFill="1" applyBorder="1">
      <alignment vertical="center"/>
    </xf>
    <xf numFmtId="0" fontId="35" fillId="31" borderId="130" xfId="0" applyFont="1" applyFill="1" applyBorder="1" applyAlignment="1">
      <alignment horizontal="left" vertical="center"/>
    </xf>
    <xf numFmtId="180" fontId="32" fillId="31" borderId="128" xfId="0" applyNumberFormat="1" applyFont="1" applyFill="1" applyBorder="1" applyAlignment="1">
      <alignment horizontal="left" vertical="center"/>
    </xf>
    <xf numFmtId="180" fontId="32" fillId="31" borderId="129" xfId="0" applyNumberFormat="1" applyFont="1" applyFill="1" applyBorder="1" applyAlignment="1">
      <alignment horizontal="left" vertical="center"/>
    </xf>
    <xf numFmtId="180" fontId="32" fillId="31" borderId="129" xfId="0" applyNumberFormat="1" applyFont="1" applyFill="1" applyBorder="1" applyAlignment="1">
      <alignment horizontal="left"/>
    </xf>
    <xf numFmtId="180" fontId="62" fillId="31" borderId="138" xfId="0" applyNumberFormat="1" applyFont="1" applyFill="1" applyBorder="1" applyAlignment="1">
      <alignment horizontal="center"/>
    </xf>
    <xf numFmtId="0" fontId="286" fillId="27" borderId="89" xfId="0" quotePrefix="1" applyFont="1" applyFill="1" applyBorder="1" applyAlignment="1">
      <alignment horizontal="left" vertical="center"/>
    </xf>
    <xf numFmtId="0" fontId="223" fillId="27" borderId="50" xfId="0" applyFont="1" applyFill="1" applyBorder="1" applyAlignment="1">
      <alignment horizontal="left" vertical="center"/>
    </xf>
    <xf numFmtId="0" fontId="286" fillId="27" borderId="62" xfId="0" quotePrefix="1" applyFont="1" applyFill="1" applyBorder="1" applyAlignment="1">
      <alignment horizontal="left" vertical="center"/>
    </xf>
    <xf numFmtId="0" fontId="286" fillId="27" borderId="64" xfId="0" applyFont="1" applyFill="1" applyBorder="1">
      <alignment vertical="center"/>
    </xf>
    <xf numFmtId="0" fontId="225" fillId="27" borderId="57" xfId="0" applyFont="1" applyFill="1" applyBorder="1" applyAlignment="1">
      <alignment horizontal="left" vertical="center"/>
    </xf>
    <xf numFmtId="0" fontId="35" fillId="27" borderId="57" xfId="0" applyFont="1" applyFill="1" applyBorder="1">
      <alignment vertical="center"/>
    </xf>
    <xf numFmtId="0" fontId="61" fillId="27" borderId="80" xfId="0" quotePrefix="1" applyFont="1" applyFill="1" applyBorder="1" applyAlignment="1">
      <alignment horizontal="left" vertical="center"/>
    </xf>
    <xf numFmtId="0" fontId="30" fillId="27" borderId="57" xfId="0" applyFont="1" applyFill="1" applyBorder="1" applyAlignment="1">
      <alignment horizontal="left" vertical="center"/>
    </xf>
    <xf numFmtId="0" fontId="35" fillId="27" borderId="57" xfId="0" applyFont="1" applyFill="1" applyBorder="1" applyAlignment="1">
      <alignment horizontal="left" vertical="center"/>
    </xf>
    <xf numFmtId="0" fontId="287" fillId="0" borderId="62" xfId="0" quotePrefix="1" applyFont="1" applyBorder="1" applyAlignment="1">
      <alignment horizontal="left" vertical="center"/>
    </xf>
    <xf numFmtId="0" fontId="288" fillId="0" borderId="0" xfId="0" applyFont="1" applyAlignment="1">
      <alignment horizontal="left"/>
    </xf>
    <xf numFmtId="0" fontId="289" fillId="0" borderId="0" xfId="0" applyFont="1">
      <alignment vertical="center"/>
    </xf>
    <xf numFmtId="0" fontId="290" fillId="0" borderId="0" xfId="0" applyFont="1">
      <alignment vertical="center"/>
    </xf>
    <xf numFmtId="0" fontId="291" fillId="0" borderId="0" xfId="0" applyFont="1">
      <alignment vertical="center"/>
    </xf>
    <xf numFmtId="0" fontId="59" fillId="32" borderId="59" xfId="0" applyFont="1" applyFill="1" applyBorder="1" applyAlignment="1">
      <alignment horizontal="left" vertical="center"/>
    </xf>
    <xf numFmtId="0" fontId="59" fillId="32" borderId="60" xfId="0" applyFont="1" applyFill="1" applyBorder="1" applyAlignment="1">
      <alignment horizontal="left" vertical="center"/>
    </xf>
    <xf numFmtId="0" fontId="59" fillId="32" borderId="61" xfId="0" applyFont="1" applyFill="1" applyBorder="1" applyAlignment="1">
      <alignment horizontal="left" vertical="center"/>
    </xf>
    <xf numFmtId="180" fontId="32" fillId="32" borderId="59" xfId="0" applyNumberFormat="1" applyFont="1" applyFill="1" applyBorder="1" applyAlignment="1">
      <alignment horizontal="left" vertical="center"/>
    </xf>
    <xf numFmtId="180" fontId="32" fillId="32" borderId="60" xfId="0" applyNumberFormat="1" applyFont="1" applyFill="1" applyBorder="1" applyAlignment="1">
      <alignment horizontal="left" vertical="center"/>
    </xf>
    <xf numFmtId="180" fontId="32" fillId="32" borderId="60" xfId="0" applyNumberFormat="1" applyFont="1" applyFill="1" applyBorder="1" applyAlignment="1">
      <alignment horizontal="left"/>
    </xf>
    <xf numFmtId="180" fontId="62" fillId="32" borderId="138" xfId="0" applyNumberFormat="1" applyFont="1" applyFill="1" applyBorder="1" applyAlignment="1">
      <alignment horizontal="center"/>
    </xf>
    <xf numFmtId="0" fontId="61" fillId="31" borderId="104" xfId="0" applyFont="1" applyFill="1" applyBorder="1" applyAlignment="1">
      <alignment horizontal="left" vertical="center"/>
    </xf>
    <xf numFmtId="0" fontId="30" fillId="31" borderId="103" xfId="0" applyFont="1" applyFill="1" applyBorder="1" applyAlignment="1">
      <alignment horizontal="right" vertical="center"/>
    </xf>
    <xf numFmtId="180" fontId="62" fillId="31" borderId="143" xfId="0" applyNumberFormat="1" applyFont="1" applyFill="1" applyBorder="1" applyAlignment="1">
      <alignment horizontal="center"/>
    </xf>
    <xf numFmtId="0" fontId="30" fillId="27" borderId="63" xfId="0" applyFont="1" applyFill="1" applyBorder="1" applyAlignment="1">
      <alignment horizontal="right" vertical="center"/>
    </xf>
    <xf numFmtId="0" fontId="61" fillId="27" borderId="89" xfId="0" applyFont="1" applyFill="1" applyBorder="1" applyAlignment="1">
      <alignment horizontal="left" vertical="center"/>
    </xf>
    <xf numFmtId="0" fontId="30" fillId="27" borderId="82" xfId="0" applyFont="1" applyFill="1" applyBorder="1" applyAlignment="1">
      <alignment horizontal="right" vertical="center"/>
    </xf>
    <xf numFmtId="0" fontId="61" fillId="27" borderId="26" xfId="0" applyFont="1" applyFill="1" applyBorder="1" applyAlignment="1">
      <alignment horizontal="right" vertical="center"/>
    </xf>
    <xf numFmtId="0" fontId="61" fillId="27" borderId="120" xfId="0" applyFont="1" applyFill="1" applyBorder="1" applyAlignment="1">
      <alignment horizontal="left" vertical="center"/>
    </xf>
    <xf numFmtId="0" fontId="116" fillId="0" borderId="62" xfId="0" applyFont="1" applyBorder="1" applyAlignment="1">
      <alignment horizontal="left" vertical="center"/>
    </xf>
    <xf numFmtId="0" fontId="292" fillId="0" borderId="26" xfId="0" applyFont="1" applyBorder="1">
      <alignment vertical="center"/>
    </xf>
    <xf numFmtId="0" fontId="282" fillId="0" borderId="50" xfId="0" applyFont="1" applyBorder="1" applyAlignment="1">
      <alignment horizontal="left" vertical="center"/>
    </xf>
    <xf numFmtId="0" fontId="116" fillId="0" borderId="77" xfId="0" applyFont="1" applyBorder="1" applyAlignment="1">
      <alignment horizontal="left" vertical="center"/>
    </xf>
    <xf numFmtId="0" fontId="30" fillId="27" borderId="77" xfId="0" quotePrefix="1" applyFont="1" applyFill="1" applyBorder="1" applyAlignment="1">
      <alignment horizontal="left" vertical="center"/>
    </xf>
    <xf numFmtId="0" fontId="61" fillId="27" borderId="145" xfId="0" quotePrefix="1" applyFont="1" applyFill="1" applyBorder="1" applyAlignment="1">
      <alignment horizontal="left" vertical="center"/>
    </xf>
    <xf numFmtId="0" fontId="61" fillId="27" borderId="64" xfId="0" quotePrefix="1" applyFont="1" applyFill="1" applyBorder="1">
      <alignment vertical="center"/>
    </xf>
    <xf numFmtId="0" fontId="293" fillId="27" borderId="52" xfId="0" applyFont="1" applyFill="1" applyBorder="1">
      <alignment vertical="center"/>
    </xf>
    <xf numFmtId="0" fontId="153" fillId="27" borderId="50" xfId="0" applyFont="1" applyFill="1" applyBorder="1" applyAlignment="1">
      <alignment horizontal="left" vertical="center"/>
    </xf>
    <xf numFmtId="0" fontId="153" fillId="27" borderId="50" xfId="0" applyFont="1" applyFill="1" applyBorder="1">
      <alignment vertical="center"/>
    </xf>
    <xf numFmtId="0" fontId="150" fillId="27" borderId="82" xfId="0" applyFont="1" applyFill="1" applyBorder="1">
      <alignment vertical="center"/>
    </xf>
    <xf numFmtId="0" fontId="153" fillId="27" borderId="10" xfId="0" applyFont="1" applyFill="1" applyBorder="1" applyAlignment="1">
      <alignment horizontal="center" vertical="center"/>
    </xf>
    <xf numFmtId="0" fontId="293" fillId="27" borderId="26" xfId="0" applyFont="1" applyFill="1" applyBorder="1">
      <alignment vertical="center"/>
    </xf>
    <xf numFmtId="1" fontId="36" fillId="0" borderId="10" xfId="0" applyNumberFormat="1" applyFont="1" applyBorder="1" applyAlignment="1" applyProtection="1">
      <alignment horizontal="center" vertical="justify"/>
      <protection hidden="1"/>
    </xf>
    <xf numFmtId="0" fontId="30" fillId="27" borderId="116" xfId="0" applyFont="1" applyFill="1" applyBorder="1" applyAlignment="1">
      <alignment horizontal="left" vertical="center"/>
    </xf>
    <xf numFmtId="180" fontId="62" fillId="31" borderId="146" xfId="0" applyNumberFormat="1" applyFont="1" applyFill="1" applyBorder="1" applyAlignment="1">
      <alignment horizontal="center"/>
    </xf>
    <xf numFmtId="0" fontId="286" fillId="27" borderId="26" xfId="0" applyFont="1" applyFill="1" applyBorder="1">
      <alignment vertical="center"/>
    </xf>
    <xf numFmtId="0" fontId="116" fillId="27" borderId="62" xfId="0" applyFont="1" applyFill="1" applyBorder="1" applyAlignment="1">
      <alignment horizontal="left"/>
    </xf>
    <xf numFmtId="0" fontId="44" fillId="0" borderId="60" xfId="0" applyFont="1" applyBorder="1" applyAlignment="1">
      <alignment horizontal="left" vertical="center"/>
    </xf>
    <xf numFmtId="0" fontId="44" fillId="0" borderId="60" xfId="0" applyFont="1" applyBorder="1">
      <alignment vertical="center"/>
    </xf>
    <xf numFmtId="0" fontId="32" fillId="0" borderId="0" xfId="0" applyFont="1" applyAlignment="1">
      <alignment horizontal="left" vertical="center"/>
    </xf>
    <xf numFmtId="0" fontId="61" fillId="50" borderId="59" xfId="0" applyFont="1" applyFill="1" applyBorder="1" applyAlignment="1">
      <alignment horizontal="left" vertical="center"/>
    </xf>
    <xf numFmtId="0" fontId="61" fillId="50" borderId="60" xfId="0" applyFont="1" applyFill="1" applyBorder="1">
      <alignment vertical="center"/>
    </xf>
    <xf numFmtId="0" fontId="44" fillId="50" borderId="60" xfId="0" applyFont="1" applyFill="1" applyBorder="1">
      <alignment vertical="center"/>
    </xf>
    <xf numFmtId="0" fontId="36" fillId="50" borderId="174" xfId="0" applyFont="1" applyFill="1" applyBorder="1" applyAlignment="1">
      <alignment horizontal="center" vertical="center"/>
    </xf>
    <xf numFmtId="0" fontId="44" fillId="50" borderId="62" xfId="0" applyFont="1" applyFill="1" applyBorder="1" applyAlignment="1">
      <alignment horizontal="left" vertical="center"/>
    </xf>
    <xf numFmtId="0" fontId="44" fillId="50" borderId="10" xfId="0" applyFont="1" applyFill="1" applyBorder="1">
      <alignment vertical="center"/>
    </xf>
    <xf numFmtId="183" fontId="61" fillId="50" borderId="10" xfId="0" applyNumberFormat="1" applyFont="1" applyFill="1" applyBorder="1" applyAlignment="1">
      <alignment horizontal="center" vertical="center"/>
    </xf>
    <xf numFmtId="183" fontId="61" fillId="50" borderId="148" xfId="0" applyNumberFormat="1" applyFont="1" applyFill="1" applyBorder="1" applyAlignment="1">
      <alignment horizontal="center" vertical="center"/>
    </xf>
    <xf numFmtId="0" fontId="44" fillId="50" borderId="148" xfId="0" applyFont="1" applyFill="1" applyBorder="1">
      <alignment vertical="center"/>
    </xf>
    <xf numFmtId="183" fontId="61" fillId="50" borderId="51" xfId="0" applyNumberFormat="1" applyFont="1" applyFill="1" applyBorder="1" applyAlignment="1">
      <alignment horizontal="center" vertical="center"/>
    </xf>
    <xf numFmtId="183" fontId="61" fillId="50" borderId="150" xfId="0" applyNumberFormat="1" applyFont="1" applyFill="1" applyBorder="1" applyAlignment="1">
      <alignment horizontal="center" vertical="center"/>
    </xf>
    <xf numFmtId="0" fontId="61" fillId="31" borderId="50" xfId="0" applyFont="1" applyFill="1" applyBorder="1" applyAlignment="1">
      <alignment horizontal="left" vertical="center"/>
    </xf>
    <xf numFmtId="0" fontId="35" fillId="31" borderId="50" xfId="0" applyFont="1" applyFill="1" applyBorder="1" applyAlignment="1">
      <alignment horizontal="left" vertical="center"/>
    </xf>
    <xf numFmtId="180" fontId="62" fillId="31" borderId="50" xfId="0" applyNumberFormat="1" applyFont="1" applyFill="1" applyBorder="1" applyAlignment="1">
      <alignment horizontal="left" vertical="center"/>
    </xf>
    <xf numFmtId="180" fontId="62" fillId="31" borderId="50" xfId="0" applyNumberFormat="1" applyFont="1" applyFill="1" applyBorder="1" applyAlignment="1">
      <alignment horizontal="left"/>
    </xf>
    <xf numFmtId="183" fontId="61" fillId="50" borderId="55" xfId="0" applyNumberFormat="1" applyFont="1" applyFill="1" applyBorder="1" applyAlignment="1">
      <alignment horizontal="center" vertical="center"/>
    </xf>
    <xf numFmtId="0" fontId="44" fillId="50" borderId="63" xfId="0" applyFont="1" applyFill="1" applyBorder="1">
      <alignment vertical="center"/>
    </xf>
    <xf numFmtId="0" fontId="44" fillId="70" borderId="10" xfId="0" applyFont="1" applyFill="1" applyBorder="1">
      <alignment vertical="center"/>
    </xf>
    <xf numFmtId="0" fontId="44" fillId="70" borderId="148" xfId="0" applyFont="1" applyFill="1" applyBorder="1">
      <alignment vertical="center"/>
    </xf>
    <xf numFmtId="183" fontId="294" fillId="50" borderId="10" xfId="0" applyNumberFormat="1" applyFont="1" applyFill="1" applyBorder="1" applyAlignment="1">
      <alignment horizontal="center" vertical="center"/>
    </xf>
    <xf numFmtId="183" fontId="294" fillId="50" borderId="148" xfId="0" applyNumberFormat="1" applyFont="1" applyFill="1" applyBorder="1" applyAlignment="1">
      <alignment horizontal="center" vertical="center"/>
    </xf>
    <xf numFmtId="183" fontId="61" fillId="70" borderId="10" xfId="0" applyNumberFormat="1" applyFont="1" applyFill="1" applyBorder="1" applyAlignment="1">
      <alignment horizontal="center" vertical="center"/>
    </xf>
    <xf numFmtId="183" fontId="61" fillId="70" borderId="148" xfId="0" applyNumberFormat="1" applyFont="1" applyFill="1" applyBorder="1" applyAlignment="1">
      <alignment horizontal="center" vertical="center"/>
    </xf>
    <xf numFmtId="0" fontId="62" fillId="50" borderId="0" xfId="0" applyFont="1" applyFill="1">
      <alignment vertical="center"/>
    </xf>
    <xf numFmtId="0" fontId="35" fillId="50" borderId="65" xfId="0" applyFont="1" applyFill="1" applyBorder="1" applyAlignment="1">
      <alignment horizontal="left" vertical="center"/>
    </xf>
    <xf numFmtId="0" fontId="35" fillId="50" borderId="66" xfId="0" applyFont="1" applyFill="1" applyBorder="1">
      <alignment vertical="center"/>
    </xf>
    <xf numFmtId="183" fontId="61" fillId="50" borderId="136" xfId="0" applyNumberFormat="1" applyFont="1" applyFill="1" applyBorder="1" applyAlignment="1">
      <alignment horizontal="center" vertical="center"/>
    </xf>
    <xf numFmtId="183" fontId="61" fillId="70" borderId="136" xfId="0" applyNumberFormat="1" applyFont="1" applyFill="1" applyBorder="1" applyAlignment="1">
      <alignment horizontal="center" vertical="center"/>
    </xf>
    <xf numFmtId="183" fontId="61" fillId="70" borderId="153" xfId="0" applyNumberFormat="1" applyFont="1" applyFill="1" applyBorder="1" applyAlignment="1">
      <alignment horizontal="center" vertical="center"/>
    </xf>
    <xf numFmtId="183" fontId="61" fillId="0" borderId="55" xfId="0" applyNumberFormat="1" applyFont="1" applyBorder="1" applyAlignment="1">
      <alignment horizontal="center" vertical="center"/>
    </xf>
    <xf numFmtId="0" fontId="44" fillId="50" borderId="61" xfId="0" applyFont="1" applyFill="1" applyBorder="1">
      <alignment vertical="center"/>
    </xf>
    <xf numFmtId="0" fontId="30" fillId="50" borderId="0" xfId="0" applyFont="1" applyFill="1">
      <alignment vertical="center"/>
    </xf>
    <xf numFmtId="0" fontId="62" fillId="50" borderId="57" xfId="0" applyFont="1" applyFill="1" applyBorder="1" applyAlignment="1">
      <alignment horizontal="left" vertical="center" wrapText="1"/>
    </xf>
    <xf numFmtId="183" fontId="62" fillId="50" borderId="57" xfId="0" applyNumberFormat="1" applyFont="1" applyFill="1" applyBorder="1" applyAlignment="1">
      <alignment horizontal="left" vertical="center"/>
    </xf>
    <xf numFmtId="0" fontId="62" fillId="50" borderId="57" xfId="0" applyFont="1" applyFill="1" applyBorder="1">
      <alignment vertical="center"/>
    </xf>
    <xf numFmtId="0" fontId="62" fillId="50" borderId="57" xfId="0" applyFont="1" applyFill="1" applyBorder="1" applyAlignment="1">
      <alignment horizontal="left" vertical="center"/>
    </xf>
    <xf numFmtId="0" fontId="62" fillId="50" borderId="57" xfId="0" applyFont="1" applyFill="1" applyBorder="1" applyAlignment="1">
      <alignment horizontal="right" vertical="center"/>
    </xf>
    <xf numFmtId="0" fontId="200" fillId="50" borderId="57" xfId="0" applyFont="1" applyFill="1" applyBorder="1" applyAlignment="1">
      <alignment horizontal="right" vertical="center"/>
    </xf>
    <xf numFmtId="0" fontId="62" fillId="50" borderId="50" xfId="0" applyFont="1" applyFill="1" applyBorder="1" applyAlignment="1">
      <alignment horizontal="right" vertical="center" wrapText="1"/>
    </xf>
    <xf numFmtId="0" fontId="62" fillId="50" borderId="57" xfId="0" applyFont="1" applyFill="1" applyBorder="1" applyAlignment="1">
      <alignment vertical="center" shrinkToFit="1"/>
    </xf>
    <xf numFmtId="206" fontId="62" fillId="50" borderId="57" xfId="0" applyNumberFormat="1" applyFont="1" applyFill="1" applyBorder="1" applyAlignment="1">
      <alignment vertical="center" shrinkToFit="1"/>
    </xf>
    <xf numFmtId="206" fontId="62" fillId="50" borderId="57" xfId="28" applyNumberFormat="1" applyFont="1" applyFill="1" applyBorder="1" applyProtection="1">
      <alignment vertical="center"/>
    </xf>
    <xf numFmtId="211" fontId="62" fillId="50" borderId="57" xfId="0" applyNumberFormat="1" applyFont="1" applyFill="1" applyBorder="1" applyAlignment="1">
      <alignment vertical="center" shrinkToFit="1"/>
    </xf>
    <xf numFmtId="182" fontId="62" fillId="50" borderId="57" xfId="0" applyNumberFormat="1" applyFont="1" applyFill="1" applyBorder="1">
      <alignment vertical="center"/>
    </xf>
    <xf numFmtId="0" fontId="62" fillId="50" borderId="0" xfId="0" applyFont="1" applyFill="1" applyAlignment="1">
      <alignment vertical="center" shrinkToFit="1"/>
    </xf>
    <xf numFmtId="0" fontId="100" fillId="50" borderId="57" xfId="0" applyFont="1" applyFill="1" applyBorder="1">
      <alignment vertical="center"/>
    </xf>
    <xf numFmtId="180" fontId="62" fillId="50" borderId="57" xfId="35" applyNumberFormat="1" applyFont="1" applyFill="1" applyBorder="1" applyProtection="1">
      <alignment vertical="center"/>
    </xf>
    <xf numFmtId="9" fontId="62" fillId="50" borderId="57" xfId="28" applyFont="1" applyFill="1" applyBorder="1" applyProtection="1">
      <alignment vertical="center"/>
    </xf>
    <xf numFmtId="9" fontId="62" fillId="50" borderId="57" xfId="28" applyFont="1" applyFill="1" applyBorder="1" applyAlignment="1" applyProtection="1">
      <alignment horizontal="right" vertical="center"/>
    </xf>
    <xf numFmtId="0" fontId="35" fillId="50" borderId="0" xfId="0" applyFont="1" applyFill="1" applyAlignment="1">
      <alignment vertical="top"/>
    </xf>
    <xf numFmtId="9" fontId="62" fillId="50" borderId="57" xfId="0" applyNumberFormat="1" applyFont="1" applyFill="1" applyBorder="1">
      <alignment vertical="center"/>
    </xf>
    <xf numFmtId="191" fontId="62" fillId="50" borderId="57" xfId="0" applyNumberFormat="1" applyFont="1" applyFill="1" applyBorder="1">
      <alignment vertical="center"/>
    </xf>
    <xf numFmtId="38" fontId="62" fillId="50" borderId="57" xfId="0" applyNumberFormat="1" applyFont="1" applyFill="1" applyBorder="1" applyAlignment="1">
      <alignment horizontal="right" vertical="center"/>
    </xf>
    <xf numFmtId="212" fontId="62" fillId="50" borderId="57" xfId="0" applyNumberFormat="1" applyFont="1" applyFill="1" applyBorder="1">
      <alignment vertical="center"/>
    </xf>
    <xf numFmtId="214" fontId="62" fillId="50" borderId="57" xfId="0" applyNumberFormat="1" applyFont="1" applyFill="1" applyBorder="1">
      <alignment vertical="center"/>
    </xf>
    <xf numFmtId="0" fontId="62" fillId="50" borderId="50" xfId="0" applyFont="1" applyFill="1" applyBorder="1">
      <alignment vertical="center"/>
    </xf>
    <xf numFmtId="0" fontId="200" fillId="50" borderId="50" xfId="0" applyFont="1" applyFill="1" applyBorder="1" applyAlignment="1">
      <alignment horizontal="right" vertical="center" wrapText="1"/>
    </xf>
    <xf numFmtId="191" fontId="62" fillId="50" borderId="50" xfId="0" applyNumberFormat="1" applyFont="1" applyFill="1" applyBorder="1" applyAlignment="1">
      <alignment horizontal="right" vertical="center"/>
    </xf>
    <xf numFmtId="0" fontId="62" fillId="50" borderId="50" xfId="0" applyFont="1" applyFill="1" applyBorder="1" applyAlignment="1">
      <alignment horizontal="right" vertical="center"/>
    </xf>
    <xf numFmtId="191" fontId="62" fillId="50" borderId="50" xfId="0" applyNumberFormat="1" applyFont="1" applyFill="1" applyBorder="1" applyAlignment="1">
      <alignment horizontal="left" vertical="center"/>
    </xf>
    <xf numFmtId="9" fontId="62" fillId="50" borderId="57" xfId="28" applyFont="1" applyFill="1" applyBorder="1">
      <alignment vertical="center"/>
    </xf>
    <xf numFmtId="0" fontId="270" fillId="50" borderId="0" xfId="0" applyFont="1" applyFill="1">
      <alignment vertical="center"/>
    </xf>
    <xf numFmtId="0" fontId="62" fillId="50" borderId="0" xfId="0" applyFont="1" applyFill="1" applyAlignment="1">
      <alignment horizontal="right" vertical="center"/>
    </xf>
    <xf numFmtId="9" fontId="62" fillId="50" borderId="57" xfId="28" applyFont="1" applyFill="1" applyBorder="1" applyAlignment="1" applyProtection="1">
      <alignment vertical="center" shrinkToFit="1"/>
    </xf>
    <xf numFmtId="191" fontId="62" fillId="50" borderId="57" xfId="0" applyNumberFormat="1" applyFont="1" applyFill="1" applyBorder="1" applyAlignment="1">
      <alignment horizontal="left" vertical="center" shrinkToFit="1"/>
    </xf>
    <xf numFmtId="206" fontId="62" fillId="50" borderId="57" xfId="28" applyNumberFormat="1" applyFont="1" applyFill="1" applyBorder="1" applyAlignment="1" applyProtection="1">
      <alignment vertical="center" shrinkToFit="1"/>
    </xf>
    <xf numFmtId="0" fontId="62" fillId="50" borderId="50" xfId="0" applyFont="1" applyFill="1" applyBorder="1" applyAlignment="1">
      <alignment horizontal="left" vertical="center" wrapText="1"/>
    </xf>
    <xf numFmtId="190" fontId="100" fillId="50" borderId="50" xfId="0" applyNumberFormat="1" applyFont="1" applyFill="1" applyBorder="1">
      <alignment vertical="center"/>
    </xf>
    <xf numFmtId="190" fontId="62" fillId="50" borderId="50" xfId="0" applyNumberFormat="1" applyFont="1" applyFill="1" applyBorder="1" applyAlignment="1">
      <alignment horizontal="right" vertical="center"/>
    </xf>
    <xf numFmtId="190" fontId="62" fillId="50" borderId="50" xfId="0" applyNumberFormat="1" applyFont="1" applyFill="1" applyBorder="1" applyAlignment="1">
      <alignment horizontal="right" vertical="center" shrinkToFit="1"/>
    </xf>
    <xf numFmtId="0" fontId="44" fillId="50" borderId="66" xfId="0" applyFont="1" applyFill="1" applyBorder="1">
      <alignment vertical="center"/>
    </xf>
    <xf numFmtId="0" fontId="44" fillId="50" borderId="67" xfId="0" applyFont="1" applyFill="1" applyBorder="1">
      <alignment vertical="center"/>
    </xf>
    <xf numFmtId="0" fontId="32" fillId="27" borderId="50" xfId="0" applyFont="1" applyFill="1" applyBorder="1">
      <alignment vertical="center"/>
    </xf>
    <xf numFmtId="0" fontId="44" fillId="0" borderId="17" xfId="0" applyFont="1" applyBorder="1">
      <alignment vertical="center"/>
    </xf>
    <xf numFmtId="0" fontId="200" fillId="27" borderId="50" xfId="0" applyFont="1" applyFill="1" applyBorder="1">
      <alignment vertical="center"/>
    </xf>
    <xf numFmtId="0" fontId="295" fillId="27" borderId="82" xfId="0" applyFont="1" applyFill="1" applyBorder="1">
      <alignment vertical="center"/>
    </xf>
    <xf numFmtId="0" fontId="32" fillId="27" borderId="50" xfId="0" applyFont="1" applyFill="1" applyBorder="1" applyAlignment="1">
      <alignment horizontal="left" vertical="center"/>
    </xf>
    <xf numFmtId="0" fontId="62" fillId="27" borderId="50" xfId="0" applyFont="1" applyFill="1" applyBorder="1" applyAlignment="1">
      <alignment horizontal="left" vertical="center"/>
    </xf>
    <xf numFmtId="0" fontId="272" fillId="27" borderId="50" xfId="0" applyFont="1" applyFill="1" applyBorder="1">
      <alignment vertical="center"/>
    </xf>
    <xf numFmtId="0" fontId="200" fillId="27" borderId="53" xfId="0" applyFont="1" applyFill="1" applyBorder="1">
      <alignment vertical="center"/>
    </xf>
    <xf numFmtId="0" fontId="296" fillId="31" borderId="80" xfId="0" applyFont="1" applyFill="1" applyBorder="1" applyAlignment="1">
      <alignment horizontal="left" vertical="center"/>
    </xf>
    <xf numFmtId="0" fontId="297" fillId="50" borderId="62" xfId="0" applyFont="1" applyFill="1" applyBorder="1" applyAlignment="1">
      <alignment horizontal="left" vertical="center"/>
    </xf>
    <xf numFmtId="0" fontId="297" fillId="50" borderId="65" xfId="0" applyFont="1" applyFill="1" applyBorder="1" applyAlignment="1">
      <alignment horizontal="left" vertical="center"/>
    </xf>
    <xf numFmtId="0" fontId="200" fillId="50" borderId="0" xfId="0" applyFont="1" applyFill="1">
      <alignment vertical="center"/>
    </xf>
    <xf numFmtId="0" fontId="200" fillId="50" borderId="66" xfId="0" applyFont="1" applyFill="1" applyBorder="1">
      <alignment vertical="center"/>
    </xf>
    <xf numFmtId="0" fontId="299" fillId="50" borderId="62" xfId="0" applyFont="1" applyFill="1" applyBorder="1" applyAlignment="1">
      <alignment horizontal="left" vertical="center"/>
    </xf>
    <xf numFmtId="0" fontId="297" fillId="50" borderId="62" xfId="0" applyFont="1" applyFill="1" applyBorder="1" applyAlignment="1">
      <alignment horizontal="left" vertical="top"/>
    </xf>
    <xf numFmtId="0" fontId="62" fillId="50" borderId="57" xfId="0" applyFont="1" applyFill="1" applyBorder="1" applyAlignment="1">
      <alignment horizontal="right" wrapText="1"/>
    </xf>
    <xf numFmtId="0" fontId="32" fillId="50" borderId="0" xfId="0" applyFont="1" applyFill="1" applyAlignment="1">
      <alignment vertical="top"/>
    </xf>
    <xf numFmtId="0" fontId="200" fillId="50" borderId="50" xfId="0" applyFont="1" applyFill="1" applyBorder="1" applyAlignment="1">
      <alignment horizontal="right" vertical="top" wrapText="1" shrinkToFit="1"/>
    </xf>
    <xf numFmtId="0" fontId="32" fillId="31" borderId="10" xfId="44" applyFont="1" applyFill="1" applyBorder="1" applyAlignment="1">
      <alignment vertical="center"/>
    </xf>
    <xf numFmtId="0" fontId="32" fillId="31" borderId="148" xfId="44" applyFont="1" applyFill="1" applyBorder="1" applyAlignment="1">
      <alignment horizontal="right" vertical="center"/>
    </xf>
    <xf numFmtId="199" fontId="62" fillId="50" borderId="57" xfId="28" applyNumberFormat="1" applyFont="1" applyFill="1" applyBorder="1" applyProtection="1">
      <alignment vertical="center"/>
    </xf>
    <xf numFmtId="0" fontId="213" fillId="0" borderId="10" xfId="0" applyFont="1" applyBorder="1" applyAlignment="1">
      <alignment vertical="top"/>
    </xf>
    <xf numFmtId="0" fontId="62" fillId="0" borderId="26" xfId="0" applyFont="1" applyBorder="1" applyAlignment="1">
      <alignment vertical="top"/>
    </xf>
    <xf numFmtId="0" fontId="62" fillId="0" borderId="27" xfId="0" applyFont="1" applyBorder="1" applyAlignment="1">
      <alignment vertical="top"/>
    </xf>
    <xf numFmtId="38" fontId="35" fillId="0" borderId="55" xfId="35" applyFont="1" applyBorder="1" applyAlignment="1">
      <alignment horizontal="center"/>
    </xf>
    <xf numFmtId="9" fontId="35" fillId="0" borderId="55" xfId="0" applyNumberFormat="1" applyFont="1" applyBorder="1" applyAlignment="1">
      <alignment vertical="top"/>
    </xf>
    <xf numFmtId="0" fontId="35" fillId="0" borderId="55" xfId="0" applyFont="1" applyBorder="1" applyAlignment="1">
      <alignment horizontal="center"/>
    </xf>
    <xf numFmtId="198" fontId="35" fillId="0" borderId="55" xfId="0" applyNumberFormat="1" applyFont="1" applyBorder="1">
      <alignment vertical="center"/>
    </xf>
    <xf numFmtId="0" fontId="35" fillId="0" borderId="53" xfId="0" applyFont="1" applyBorder="1">
      <alignment vertical="center"/>
    </xf>
    <xf numFmtId="0" fontId="35" fillId="0" borderId="0" xfId="0" applyFont="1" applyAlignment="1">
      <alignment vertical="top"/>
    </xf>
    <xf numFmtId="0" fontId="35" fillId="26" borderId="0" xfId="0" applyFont="1" applyFill="1">
      <alignment vertical="center"/>
    </xf>
    <xf numFmtId="0" fontId="30" fillId="0" borderId="57" xfId="44" applyFont="1" applyBorder="1" applyAlignment="1">
      <alignment vertical="center"/>
    </xf>
    <xf numFmtId="0" fontId="153" fillId="27" borderId="50" xfId="0" applyFont="1" applyFill="1" applyBorder="1" applyAlignment="1" applyProtection="1">
      <alignment horizontal="left" vertical="center" shrinkToFit="1"/>
      <protection hidden="1"/>
    </xf>
    <xf numFmtId="0" fontId="153" fillId="27" borderId="26" xfId="0" applyFont="1" applyFill="1" applyBorder="1" applyAlignment="1" applyProtection="1">
      <alignment horizontal="left" vertical="center" shrinkToFit="1"/>
      <protection hidden="1"/>
    </xf>
    <xf numFmtId="0" fontId="230" fillId="0" borderId="0" xfId="0" applyFont="1">
      <alignment vertical="center"/>
    </xf>
    <xf numFmtId="0" fontId="88" fillId="36" borderId="59" xfId="0" applyFont="1" applyFill="1" applyBorder="1" applyAlignment="1">
      <alignment horizontal="left" vertical="center"/>
    </xf>
    <xf numFmtId="0" fontId="301" fillId="31" borderId="26" xfId="0" applyFont="1" applyFill="1" applyBorder="1" applyAlignment="1" applyProtection="1">
      <alignment horizontal="centerContinuous" vertical="center"/>
      <protection hidden="1"/>
    </xf>
    <xf numFmtId="0" fontId="301" fillId="31" borderId="58" xfId="0" applyFont="1" applyFill="1" applyBorder="1" applyAlignment="1" applyProtection="1">
      <alignment horizontal="centerContinuous" vertical="center" wrapText="1"/>
      <protection hidden="1"/>
    </xf>
    <xf numFmtId="0" fontId="301" fillId="31" borderId="55" xfId="0" applyFont="1" applyFill="1" applyBorder="1" applyAlignment="1" applyProtection="1">
      <alignment horizontal="centerContinuous" vertical="center" wrapText="1"/>
      <protection hidden="1"/>
    </xf>
    <xf numFmtId="0" fontId="301" fillId="31" borderId="57" xfId="0" applyFont="1" applyFill="1" applyBorder="1" applyAlignment="1" applyProtection="1">
      <alignment horizontal="centerContinuous" vertical="center" wrapText="1"/>
      <protection hidden="1"/>
    </xf>
    <xf numFmtId="0" fontId="301" fillId="31" borderId="26" xfId="0" applyFont="1" applyFill="1" applyBorder="1" applyAlignment="1" applyProtection="1">
      <alignment horizontal="centerContinuous" vertical="center" wrapText="1"/>
      <protection hidden="1"/>
    </xf>
    <xf numFmtId="0" fontId="301" fillId="31" borderId="10" xfId="0" applyFont="1" applyFill="1" applyBorder="1" applyAlignment="1" applyProtection="1">
      <alignment horizontal="centerContinuous" vertical="center" wrapText="1"/>
      <protection hidden="1"/>
    </xf>
    <xf numFmtId="0" fontId="62" fillId="0" borderId="0" xfId="0" applyFont="1" applyAlignment="1">
      <alignment horizontal="right" vertical="center" wrapText="1"/>
    </xf>
    <xf numFmtId="0" fontId="278" fillId="27" borderId="51" xfId="0" applyFont="1" applyFill="1" applyBorder="1" applyAlignment="1" applyProtection="1">
      <alignment vertical="center" wrapText="1"/>
      <protection hidden="1"/>
    </xf>
    <xf numFmtId="0" fontId="301" fillId="31" borderId="54" xfId="0" applyFont="1" applyFill="1" applyBorder="1" applyAlignment="1" applyProtection="1">
      <alignment horizontal="center" vertical="center"/>
      <protection hidden="1"/>
    </xf>
    <xf numFmtId="0" fontId="32" fillId="27" borderId="13" xfId="0" applyFont="1" applyFill="1" applyBorder="1">
      <alignment vertical="center"/>
    </xf>
    <xf numFmtId="0" fontId="32" fillId="27" borderId="167" xfId="0" applyFont="1" applyFill="1" applyBorder="1">
      <alignment vertical="center"/>
    </xf>
    <xf numFmtId="0" fontId="32" fillId="27" borderId="166" xfId="0" applyFont="1" applyFill="1" applyBorder="1" applyProtection="1">
      <alignment vertical="center"/>
      <protection hidden="1"/>
    </xf>
    <xf numFmtId="220" fontId="32" fillId="27" borderId="161" xfId="0" applyNumberFormat="1" applyFont="1" applyFill="1" applyBorder="1" applyAlignment="1" applyProtection="1">
      <alignment horizontal="left" vertical="top"/>
      <protection hidden="1"/>
    </xf>
    <xf numFmtId="220" fontId="32" fillId="27" borderId="13" xfId="0" applyNumberFormat="1" applyFont="1" applyFill="1" applyBorder="1" applyAlignment="1" applyProtection="1">
      <alignment horizontal="left" vertical="top"/>
      <protection hidden="1"/>
    </xf>
    <xf numFmtId="220" fontId="32" fillId="27" borderId="167" xfId="0" applyNumberFormat="1" applyFont="1" applyFill="1" applyBorder="1" applyProtection="1">
      <alignment vertical="center"/>
      <protection hidden="1"/>
    </xf>
    <xf numFmtId="0" fontId="32" fillId="31" borderId="26" xfId="0" applyFont="1" applyFill="1" applyBorder="1" applyAlignment="1" applyProtection="1">
      <alignment horizontal="center" vertical="center"/>
      <protection hidden="1"/>
    </xf>
    <xf numFmtId="0" fontId="32" fillId="31" borderId="27" xfId="0" applyFont="1" applyFill="1" applyBorder="1" applyAlignment="1" applyProtection="1">
      <alignment horizontal="center" vertical="center"/>
      <protection hidden="1"/>
    </xf>
    <xf numFmtId="0" fontId="32" fillId="27" borderId="162" xfId="0" applyFont="1" applyFill="1" applyBorder="1" applyAlignment="1" applyProtection="1">
      <alignment horizontal="left" vertical="center" wrapText="1"/>
      <protection hidden="1"/>
    </xf>
    <xf numFmtId="0" fontId="32" fillId="27" borderId="161" xfId="0" applyFont="1" applyFill="1" applyBorder="1" applyAlignment="1" applyProtection="1">
      <alignment horizontal="left" vertical="center" wrapText="1"/>
      <protection hidden="1"/>
    </xf>
    <xf numFmtId="0" fontId="32" fillId="27" borderId="166" xfId="0" applyFont="1" applyFill="1" applyBorder="1" applyAlignment="1" applyProtection="1">
      <alignment horizontal="left" vertical="center" wrapText="1"/>
      <protection hidden="1"/>
    </xf>
    <xf numFmtId="0" fontId="32" fillId="31" borderId="10" xfId="0" applyFont="1" applyFill="1" applyBorder="1" applyAlignment="1" applyProtection="1">
      <alignment horizontal="center" vertical="center" wrapText="1"/>
      <protection hidden="1"/>
    </xf>
    <xf numFmtId="0" fontId="32" fillId="27" borderId="167" xfId="0" applyFont="1" applyFill="1" applyBorder="1" applyAlignment="1" applyProtection="1">
      <alignment horizontal="left" vertical="center" wrapText="1"/>
      <protection hidden="1"/>
    </xf>
    <xf numFmtId="0" fontId="44" fillId="0" borderId="57" xfId="0" applyFont="1" applyBorder="1" applyAlignment="1">
      <alignment horizontal="left" vertical="center" wrapText="1"/>
    </xf>
    <xf numFmtId="0" fontId="32" fillId="27" borderId="17" xfId="0" applyFont="1" applyFill="1" applyBorder="1" applyAlignment="1" applyProtection="1">
      <alignment horizontal="left" vertical="center" wrapText="1"/>
      <protection hidden="1"/>
    </xf>
    <xf numFmtId="0" fontId="32" fillId="0" borderId="0" xfId="0" applyFont="1" applyAlignment="1">
      <alignment horizontal="left" vertical="top" wrapText="1"/>
    </xf>
    <xf numFmtId="0" fontId="32" fillId="0" borderId="0" xfId="0" applyFont="1" applyAlignment="1">
      <alignment horizontal="left" vertical="center" wrapText="1"/>
    </xf>
    <xf numFmtId="0" fontId="32" fillId="27" borderId="171" xfId="0" applyFont="1" applyFill="1" applyBorder="1" applyAlignment="1" applyProtection="1">
      <alignment horizontal="center" vertical="center"/>
      <protection hidden="1"/>
    </xf>
    <xf numFmtId="0" fontId="62" fillId="27" borderId="188" xfId="0" applyFont="1" applyFill="1" applyBorder="1" applyAlignment="1" applyProtection="1">
      <alignment horizontal="center" vertical="center" wrapText="1"/>
      <protection hidden="1"/>
    </xf>
    <xf numFmtId="0" fontId="32" fillId="27" borderId="187" xfId="0" applyFont="1" applyFill="1" applyBorder="1" applyAlignment="1" applyProtection="1">
      <alignment horizontal="center" vertical="center"/>
      <protection hidden="1"/>
    </xf>
    <xf numFmtId="0" fontId="32" fillId="27" borderId="160" xfId="0" applyFont="1" applyFill="1" applyBorder="1" applyAlignment="1" applyProtection="1">
      <alignment horizontal="center" vertical="center" wrapText="1"/>
      <protection hidden="1"/>
    </xf>
    <xf numFmtId="0" fontId="32" fillId="27" borderId="189" xfId="0" applyFont="1" applyFill="1" applyBorder="1" applyAlignment="1" applyProtection="1">
      <alignment horizontal="center" vertical="center" wrapText="1"/>
      <protection hidden="1"/>
    </xf>
    <xf numFmtId="0" fontId="32" fillId="27" borderId="162" xfId="0" applyFont="1" applyFill="1" applyBorder="1" applyAlignment="1" applyProtection="1">
      <alignment horizontal="center" vertical="center" wrapText="1"/>
      <protection hidden="1"/>
    </xf>
    <xf numFmtId="0" fontId="32" fillId="27" borderId="12" xfId="0" applyFont="1" applyFill="1" applyBorder="1" applyAlignment="1" applyProtection="1">
      <alignment horizontal="center" vertical="center"/>
      <protection hidden="1"/>
    </xf>
    <xf numFmtId="0" fontId="32" fillId="27" borderId="188" xfId="0" applyFont="1" applyFill="1" applyBorder="1" applyAlignment="1" applyProtection="1">
      <alignment horizontal="center" vertical="center"/>
      <protection hidden="1"/>
    </xf>
    <xf numFmtId="0" fontId="32" fillId="27" borderId="14" xfId="0" applyFont="1" applyFill="1" applyBorder="1" applyAlignment="1" applyProtection="1">
      <alignment horizontal="center" vertical="center"/>
      <protection hidden="1"/>
    </xf>
    <xf numFmtId="0" fontId="32" fillId="27" borderId="12" xfId="0" applyFont="1" applyFill="1" applyBorder="1" applyAlignment="1" applyProtection="1">
      <alignment horizontal="center" vertical="center" wrapText="1"/>
      <protection hidden="1"/>
    </xf>
    <xf numFmtId="0" fontId="32" fillId="27" borderId="188" xfId="0" applyFont="1" applyFill="1" applyBorder="1" applyAlignment="1" applyProtection="1">
      <alignment horizontal="center" vertical="center" wrapText="1"/>
      <protection hidden="1"/>
    </xf>
    <xf numFmtId="0" fontId="32" fillId="27" borderId="14" xfId="0" applyFont="1" applyFill="1" applyBorder="1" applyAlignment="1" applyProtection="1">
      <alignment horizontal="center" vertical="center" wrapText="1"/>
      <protection hidden="1"/>
    </xf>
    <xf numFmtId="0" fontId="32" fillId="27" borderId="165" xfId="0" applyFont="1" applyFill="1" applyBorder="1" applyAlignment="1" applyProtection="1">
      <alignment horizontal="center" vertical="center" wrapText="1"/>
      <protection hidden="1"/>
    </xf>
    <xf numFmtId="0" fontId="32" fillId="27" borderId="190" xfId="0" applyFont="1" applyFill="1" applyBorder="1" applyAlignment="1" applyProtection="1">
      <alignment horizontal="center" vertical="center" wrapText="1"/>
      <protection hidden="1"/>
    </xf>
    <xf numFmtId="0" fontId="32" fillId="27" borderId="166" xfId="0" applyFont="1" applyFill="1" applyBorder="1" applyAlignment="1" applyProtection="1">
      <alignment horizontal="center" vertical="center" wrapText="1"/>
      <protection hidden="1"/>
    </xf>
    <xf numFmtId="176" fontId="32" fillId="27" borderId="12" xfId="0" applyNumberFormat="1" applyFont="1" applyFill="1" applyBorder="1" applyAlignment="1" applyProtection="1">
      <alignment horizontal="left" vertical="center"/>
      <protection hidden="1"/>
    </xf>
    <xf numFmtId="176" fontId="32" fillId="27" borderId="13" xfId="0" applyNumberFormat="1" applyFont="1" applyFill="1" applyBorder="1" applyAlignment="1" applyProtection="1">
      <alignment horizontal="left" vertical="center"/>
      <protection hidden="1"/>
    </xf>
    <xf numFmtId="176" fontId="32" fillId="27" borderId="167" xfId="0" applyNumberFormat="1" applyFont="1" applyFill="1" applyBorder="1" applyAlignment="1" applyProtection="1">
      <alignment horizontal="left" vertical="center" wrapText="1"/>
      <protection hidden="1"/>
    </xf>
    <xf numFmtId="0" fontId="32" fillId="31" borderId="27" xfId="0" applyFont="1" applyFill="1" applyBorder="1" applyAlignment="1" applyProtection="1">
      <alignment horizontal="centerContinuous" vertical="center" wrapText="1"/>
      <protection hidden="1"/>
    </xf>
    <xf numFmtId="0" fontId="32" fillId="31" borderId="55" xfId="0" applyFont="1" applyFill="1" applyBorder="1" applyAlignment="1" applyProtection="1">
      <alignment horizontal="centerContinuous" vertical="center" wrapText="1"/>
      <protection hidden="1"/>
    </xf>
    <xf numFmtId="0" fontId="302" fillId="31" borderId="10" xfId="0" applyFont="1" applyFill="1" applyBorder="1" applyAlignment="1" applyProtection="1">
      <alignment horizontal="centerContinuous" vertical="center" wrapText="1"/>
      <protection hidden="1"/>
    </xf>
    <xf numFmtId="0" fontId="61" fillId="0" borderId="0" xfId="0" applyFont="1" applyAlignment="1" applyProtection="1">
      <alignment horizontal="right" vertical="center"/>
      <protection hidden="1"/>
    </xf>
    <xf numFmtId="179" fontId="32" fillId="31" borderId="26" xfId="0" applyNumberFormat="1" applyFont="1" applyFill="1" applyBorder="1" applyAlignment="1" applyProtection="1">
      <alignment horizontal="left" vertical="center"/>
      <protection hidden="1"/>
    </xf>
    <xf numFmtId="2" fontId="32" fillId="31" borderId="50" xfId="0" applyNumberFormat="1" applyFont="1" applyFill="1" applyBorder="1" applyAlignment="1" applyProtection="1">
      <alignment horizontal="left" vertical="center"/>
      <protection hidden="1"/>
    </xf>
    <xf numFmtId="0" fontId="32" fillId="31" borderId="89" xfId="0" applyFont="1" applyFill="1" applyBorder="1" applyAlignment="1" applyProtection="1">
      <alignment horizontal="centerContinuous" vertical="center"/>
      <protection hidden="1"/>
    </xf>
    <xf numFmtId="0" fontId="32" fillId="31" borderId="53" xfId="0" applyFont="1" applyFill="1" applyBorder="1" applyAlignment="1" applyProtection="1">
      <alignment horizontal="centerContinuous" vertical="center"/>
      <protection hidden="1"/>
    </xf>
    <xf numFmtId="190" fontId="32" fillId="31" borderId="50" xfId="0" applyNumberFormat="1" applyFont="1" applyFill="1" applyBorder="1" applyAlignment="1" applyProtection="1">
      <alignment horizontal="centerContinuous" vertical="center"/>
      <protection hidden="1"/>
    </xf>
    <xf numFmtId="0" fontId="32" fillId="31" borderId="52" xfId="0" applyFont="1" applyFill="1" applyBorder="1" applyAlignment="1" applyProtection="1">
      <alignment horizontal="centerContinuous" vertical="center"/>
      <protection hidden="1"/>
    </xf>
    <xf numFmtId="0" fontId="32" fillId="31" borderId="53" xfId="0" applyFont="1" applyFill="1" applyBorder="1" applyAlignment="1" applyProtection="1">
      <alignment horizontal="centerContinuous" vertical="top"/>
      <protection hidden="1"/>
    </xf>
    <xf numFmtId="190" fontId="32" fillId="31" borderId="27" xfId="0" applyNumberFormat="1" applyFont="1" applyFill="1" applyBorder="1" applyAlignment="1" applyProtection="1">
      <alignment horizontal="centerContinuous" vertical="center"/>
      <protection hidden="1"/>
    </xf>
    <xf numFmtId="0" fontId="36" fillId="27" borderId="171" xfId="0" applyFont="1" applyFill="1" applyBorder="1" applyAlignment="1" applyProtection="1">
      <alignment horizontal="center" vertical="center"/>
      <protection hidden="1"/>
    </xf>
    <xf numFmtId="0" fontId="32" fillId="27" borderId="52" xfId="0" applyFont="1" applyFill="1" applyBorder="1" applyAlignment="1" applyProtection="1">
      <alignment horizontal="centerContinuous" vertical="center"/>
      <protection hidden="1"/>
    </xf>
    <xf numFmtId="0" fontId="32" fillId="27" borderId="54" xfId="0" applyFont="1" applyFill="1" applyBorder="1" applyAlignment="1" applyProtection="1">
      <alignment horizontal="centerContinuous" vertical="center"/>
      <protection hidden="1"/>
    </xf>
    <xf numFmtId="176" fontId="32" fillId="27" borderId="64" xfId="0" applyNumberFormat="1" applyFont="1" applyFill="1" applyBorder="1" applyAlignment="1" applyProtection="1">
      <alignment horizontal="center" vertical="center"/>
      <protection hidden="1"/>
    </xf>
    <xf numFmtId="0" fontId="44" fillId="27" borderId="0" xfId="0" applyFont="1" applyFill="1" applyAlignment="1">
      <alignment horizontal="centerContinuous" vertical="center"/>
    </xf>
    <xf numFmtId="0" fontId="44" fillId="27" borderId="17" xfId="0" applyFont="1" applyFill="1" applyBorder="1" applyAlignment="1">
      <alignment horizontal="centerContinuous" vertical="center"/>
    </xf>
    <xf numFmtId="176" fontId="32" fillId="27" borderId="64" xfId="0" applyNumberFormat="1" applyFont="1" applyFill="1" applyBorder="1" applyAlignment="1" applyProtection="1">
      <alignment horizontal="centerContinuous" vertical="center"/>
      <protection hidden="1"/>
    </xf>
    <xf numFmtId="0" fontId="36" fillId="27" borderId="165" xfId="0" applyFont="1" applyFill="1" applyBorder="1" applyAlignment="1" applyProtection="1">
      <alignment horizontal="center" vertical="center"/>
      <protection hidden="1"/>
    </xf>
    <xf numFmtId="176" fontId="32" fillId="27" borderId="56" xfId="0" applyNumberFormat="1" applyFont="1" applyFill="1" applyBorder="1" applyAlignment="1" applyProtection="1">
      <alignment horizontal="centerContinuous" vertical="center"/>
      <protection hidden="1"/>
    </xf>
    <xf numFmtId="0" fontId="44" fillId="27" borderId="57" xfId="0" applyFont="1" applyFill="1" applyBorder="1" applyAlignment="1">
      <alignment horizontal="centerContinuous" vertical="center"/>
    </xf>
    <xf numFmtId="0" fontId="44" fillId="27" borderId="58" xfId="0" applyFont="1" applyFill="1" applyBorder="1" applyAlignment="1">
      <alignment horizontal="centerContinuous" vertical="center"/>
    </xf>
    <xf numFmtId="0" fontId="32" fillId="0" borderId="0" xfId="0" applyFont="1" applyAlignment="1" applyProtection="1">
      <protection hidden="1"/>
    </xf>
    <xf numFmtId="0" fontId="32" fillId="31" borderId="10" xfId="0" applyFont="1" applyFill="1" applyBorder="1" applyAlignment="1">
      <alignment horizontal="center" vertical="center"/>
    </xf>
    <xf numFmtId="0" fontId="35" fillId="31" borderId="26" xfId="44" applyFont="1" applyFill="1" applyBorder="1" applyAlignment="1" applyProtection="1">
      <alignment horizontal="center" vertical="center"/>
      <protection hidden="1"/>
    </xf>
    <xf numFmtId="0" fontId="62" fillId="31" borderId="10" xfId="44" applyFont="1" applyFill="1" applyBorder="1" applyAlignment="1" applyProtection="1">
      <alignment horizontal="center" vertical="center"/>
      <protection hidden="1"/>
    </xf>
    <xf numFmtId="0" fontId="35" fillId="31" borderId="10" xfId="44" applyFont="1" applyFill="1" applyBorder="1" applyAlignment="1" applyProtection="1">
      <alignment horizontal="center" vertical="center"/>
      <protection hidden="1"/>
    </xf>
    <xf numFmtId="0" fontId="98" fillId="0" borderId="0" xfId="0" applyFont="1" applyAlignment="1">
      <alignment horizontal="right" vertical="center"/>
    </xf>
    <xf numFmtId="0" fontId="32" fillId="31" borderId="10" xfId="0" applyFont="1" applyFill="1" applyBorder="1">
      <alignment vertical="center"/>
    </xf>
    <xf numFmtId="178" fontId="32" fillId="27" borderId="10" xfId="0" applyNumberFormat="1" applyFont="1" applyFill="1" applyBorder="1">
      <alignment vertical="center"/>
    </xf>
    <xf numFmtId="178" fontId="32" fillId="27" borderId="26" xfId="0" applyNumberFormat="1" applyFont="1" applyFill="1" applyBorder="1">
      <alignment vertical="center"/>
    </xf>
    <xf numFmtId="9" fontId="32" fillId="27" borderId="10" xfId="0" applyNumberFormat="1" applyFont="1" applyFill="1" applyBorder="1">
      <alignment vertical="center"/>
    </xf>
    <xf numFmtId="177" fontId="30" fillId="27" borderId="144" xfId="0" applyNumberFormat="1" applyFont="1" applyFill="1" applyBorder="1">
      <alignment vertical="center"/>
    </xf>
    <xf numFmtId="9" fontId="36" fillId="27" borderId="10" xfId="28" applyFont="1" applyFill="1" applyBorder="1" applyAlignment="1" applyProtection="1">
      <alignment vertical="center"/>
    </xf>
    <xf numFmtId="0" fontId="166" fillId="0" borderId="0" xfId="0" applyFont="1">
      <alignment vertical="center"/>
    </xf>
    <xf numFmtId="178" fontId="166" fillId="27" borderId="10" xfId="0" applyNumberFormat="1" applyFont="1" applyFill="1" applyBorder="1">
      <alignment vertical="center"/>
    </xf>
    <xf numFmtId="177" fontId="150" fillId="96" borderId="144" xfId="0" applyNumberFormat="1" applyFont="1" applyFill="1" applyBorder="1">
      <alignment vertical="center"/>
    </xf>
    <xf numFmtId="0" fontId="44" fillId="27" borderId="13" xfId="0" applyFont="1" applyFill="1" applyBorder="1" applyAlignment="1">
      <alignment horizontal="left" vertical="center"/>
    </xf>
    <xf numFmtId="176" fontId="32" fillId="27" borderId="165" xfId="0" applyNumberFormat="1" applyFont="1" applyFill="1" applyBorder="1" applyAlignment="1" applyProtection="1">
      <alignment horizontal="left" vertical="center"/>
      <protection hidden="1"/>
    </xf>
    <xf numFmtId="0" fontId="44" fillId="27" borderId="167" xfId="0" applyFont="1" applyFill="1" applyBorder="1" applyAlignment="1">
      <alignment horizontal="left" vertical="center"/>
    </xf>
    <xf numFmtId="0" fontId="32" fillId="68" borderId="80" xfId="0" applyFont="1" applyFill="1" applyBorder="1" applyAlignment="1" applyProtection="1">
      <alignment horizontal="centerContinuous" vertical="center"/>
      <protection hidden="1"/>
    </xf>
    <xf numFmtId="9" fontId="32" fillId="57" borderId="10" xfId="28" applyFont="1" applyFill="1" applyBorder="1" applyProtection="1">
      <alignment vertical="center"/>
      <protection locked="0"/>
    </xf>
    <xf numFmtId="211" fontId="32" fillId="57" borderId="10" xfId="0" applyNumberFormat="1" applyFont="1" applyFill="1" applyBorder="1" applyProtection="1">
      <alignment vertical="center"/>
      <protection locked="0"/>
    </xf>
    <xf numFmtId="223" fontId="32" fillId="57" borderId="10" xfId="0" applyNumberFormat="1" applyFont="1" applyFill="1" applyBorder="1" applyProtection="1">
      <alignment vertical="center"/>
      <protection locked="0"/>
    </xf>
    <xf numFmtId="0" fontId="62" fillId="68" borderId="10" xfId="0" applyFont="1" applyFill="1" applyBorder="1" applyAlignment="1">
      <alignment vertical="center" wrapText="1" shrinkToFit="1"/>
    </xf>
    <xf numFmtId="0" fontId="62" fillId="68" borderId="10" xfId="0" applyFont="1" applyFill="1" applyBorder="1" applyAlignment="1">
      <alignment vertical="center" shrinkToFit="1"/>
    </xf>
    <xf numFmtId="0" fontId="62" fillId="68" borderId="51" xfId="0" applyFont="1" applyFill="1" applyBorder="1" applyAlignment="1">
      <alignment vertical="center" wrapText="1" shrinkToFit="1"/>
    </xf>
    <xf numFmtId="10" fontId="32" fillId="50" borderId="10" xfId="28" applyNumberFormat="1" applyFont="1" applyFill="1" applyBorder="1">
      <alignment vertical="center"/>
    </xf>
    <xf numFmtId="206" fontId="32" fillId="50" borderId="10" xfId="28" applyNumberFormat="1" applyFont="1" applyFill="1" applyBorder="1">
      <alignment vertical="center"/>
    </xf>
    <xf numFmtId="0" fontId="62" fillId="68" borderId="51" xfId="0" applyFont="1" applyFill="1" applyBorder="1" applyAlignment="1">
      <alignment vertical="center" shrinkToFit="1"/>
    </xf>
    <xf numFmtId="40" fontId="32" fillId="50" borderId="10" xfId="35" applyNumberFormat="1" applyFont="1" applyFill="1" applyBorder="1" applyProtection="1">
      <alignment vertical="center"/>
      <protection locked="0"/>
    </xf>
    <xf numFmtId="40" fontId="32" fillId="57" borderId="10" xfId="35" applyNumberFormat="1" applyFont="1" applyFill="1" applyBorder="1" applyProtection="1">
      <alignment vertical="center"/>
      <protection locked="0"/>
    </xf>
    <xf numFmtId="40" fontId="304" fillId="50" borderId="10" xfId="35" applyNumberFormat="1" applyFont="1" applyFill="1" applyBorder="1" applyProtection="1">
      <alignment vertical="center"/>
      <protection locked="0"/>
    </xf>
    <xf numFmtId="40" fontId="32" fillId="0" borderId="0" xfId="35" applyNumberFormat="1" applyFont="1" applyProtection="1">
      <alignment vertical="center"/>
      <protection locked="0"/>
    </xf>
    <xf numFmtId="0" fontId="44" fillId="0" borderId="0" xfId="0" applyFont="1" applyAlignment="1">
      <alignment horizontal="left" vertical="center" wrapText="1"/>
    </xf>
    <xf numFmtId="0" fontId="32" fillId="27" borderId="26" xfId="0" applyFont="1" applyFill="1" applyBorder="1" applyAlignment="1" applyProtection="1">
      <alignment horizontal="center" vertical="center"/>
      <protection hidden="1"/>
    </xf>
    <xf numFmtId="0" fontId="32" fillId="27" borderId="50" xfId="0" applyFont="1" applyFill="1" applyBorder="1" applyAlignment="1">
      <alignment horizontal="center" vertical="center"/>
    </xf>
    <xf numFmtId="0" fontId="61" fillId="57" borderId="92" xfId="0" applyFont="1" applyFill="1" applyBorder="1" applyAlignment="1" applyProtection="1">
      <alignment horizontal="center" vertical="center"/>
      <protection locked="0" hidden="1"/>
    </xf>
    <xf numFmtId="193" fontId="36" fillId="27" borderId="100" xfId="0" applyNumberFormat="1" applyFont="1" applyFill="1" applyBorder="1" applyAlignment="1" applyProtection="1">
      <alignment horizontal="center" vertical="center" wrapText="1"/>
      <protection hidden="1"/>
    </xf>
    <xf numFmtId="0" fontId="32" fillId="27" borderId="171" xfId="0" applyFont="1" applyFill="1" applyBorder="1" applyAlignment="1">
      <alignment horizontal="left" vertical="center" wrapText="1"/>
    </xf>
    <xf numFmtId="0" fontId="44" fillId="27" borderId="178" xfId="0" quotePrefix="1" applyFont="1" applyFill="1" applyBorder="1" applyAlignment="1" applyProtection="1">
      <alignment horizontal="center" vertical="center" wrapText="1"/>
      <protection hidden="1"/>
    </xf>
    <xf numFmtId="9" fontId="36" fillId="50" borderId="187" xfId="28" applyFont="1" applyFill="1" applyBorder="1" applyAlignment="1">
      <alignment horizontal="right" vertical="center" wrapText="1"/>
    </xf>
    <xf numFmtId="0" fontId="43" fillId="27" borderId="50" xfId="0" applyFont="1" applyFill="1" applyBorder="1" applyAlignment="1" applyProtection="1">
      <alignment vertical="center" wrapText="1"/>
      <protection hidden="1"/>
    </xf>
    <xf numFmtId="0" fontId="32" fillId="27" borderId="50" xfId="0" applyFont="1" applyFill="1" applyBorder="1" applyAlignment="1" applyProtection="1">
      <alignment horizontal="right" vertical="center"/>
      <protection hidden="1"/>
    </xf>
    <xf numFmtId="210" fontId="32" fillId="27" borderId="50" xfId="0" applyNumberFormat="1" applyFont="1" applyFill="1" applyBorder="1" applyAlignment="1" applyProtection="1">
      <alignment horizontal="left" vertical="center"/>
      <protection hidden="1"/>
    </xf>
    <xf numFmtId="0" fontId="32" fillId="27" borderId="50" xfId="0" applyFont="1" applyFill="1" applyBorder="1" applyAlignment="1" applyProtection="1">
      <alignment horizontal="right" vertical="center" wrapText="1"/>
      <protection hidden="1"/>
    </xf>
    <xf numFmtId="176" fontId="32" fillId="0" borderId="0" xfId="0" applyNumberFormat="1" applyFont="1" applyAlignment="1" applyProtection="1">
      <alignment horizontal="center" vertical="center"/>
      <protection hidden="1"/>
    </xf>
    <xf numFmtId="0" fontId="41" fillId="0" borderId="0" xfId="0" applyFont="1">
      <alignment vertical="center"/>
    </xf>
    <xf numFmtId="0" fontId="32" fillId="31" borderId="80" xfId="0" applyFont="1" applyFill="1" applyBorder="1" applyAlignment="1" applyProtection="1">
      <alignment horizontal="centerContinuous" vertical="center" wrapText="1"/>
      <protection hidden="1"/>
    </xf>
    <xf numFmtId="0" fontId="44" fillId="42" borderId="10" xfId="0" applyFont="1" applyFill="1" applyBorder="1">
      <alignment vertical="center"/>
    </xf>
    <xf numFmtId="0" fontId="44" fillId="27" borderId="16" xfId="0" applyFont="1" applyFill="1" applyBorder="1" applyAlignment="1">
      <alignment horizontal="center" vertical="center" wrapText="1"/>
    </xf>
    <xf numFmtId="0" fontId="44" fillId="27" borderId="11" xfId="0" applyFont="1" applyFill="1" applyBorder="1" applyAlignment="1">
      <alignment horizontal="center" vertical="center" wrapText="1"/>
    </xf>
    <xf numFmtId="176" fontId="32" fillId="27" borderId="13" xfId="0" applyNumberFormat="1" applyFont="1" applyFill="1" applyBorder="1" applyAlignment="1" applyProtection="1">
      <alignment horizontal="left" vertical="center" wrapText="1"/>
      <protection hidden="1"/>
    </xf>
    <xf numFmtId="0" fontId="32" fillId="27" borderId="87" xfId="0" applyFont="1" applyFill="1" applyBorder="1" applyAlignment="1">
      <alignment horizontal="left" vertical="center" wrapText="1"/>
    </xf>
    <xf numFmtId="0" fontId="61" fillId="57" borderId="170" xfId="0" applyFont="1" applyFill="1" applyBorder="1" applyAlignment="1" applyProtection="1">
      <alignment horizontal="center" vertical="center"/>
      <protection locked="0" hidden="1"/>
    </xf>
    <xf numFmtId="0" fontId="44" fillId="27" borderId="164" xfId="0" applyFont="1" applyFill="1" applyBorder="1" applyAlignment="1">
      <alignment horizontal="center" vertical="center" wrapText="1"/>
    </xf>
    <xf numFmtId="219" fontId="36" fillId="27" borderId="50" xfId="0" applyNumberFormat="1" applyFont="1" applyFill="1" applyBorder="1" applyAlignment="1" applyProtection="1">
      <alignment horizontal="center" vertical="center"/>
      <protection hidden="1"/>
    </xf>
    <xf numFmtId="0" fontId="32" fillId="27" borderId="161" xfId="0" applyFont="1" applyFill="1" applyBorder="1" applyAlignment="1" applyProtection="1">
      <alignment horizontal="left" vertical="top" wrapText="1"/>
      <protection hidden="1"/>
    </xf>
    <xf numFmtId="0" fontId="32" fillId="27" borderId="13" xfId="0" applyFont="1" applyFill="1" applyBorder="1" applyAlignment="1" applyProtection="1">
      <alignment horizontal="left" vertical="top" wrapText="1"/>
      <protection hidden="1"/>
    </xf>
    <xf numFmtId="0" fontId="36" fillId="27" borderId="51" xfId="0" applyFont="1" applyFill="1" applyBorder="1" applyAlignment="1" applyProtection="1">
      <alignment horizontal="center" vertical="center"/>
      <protection hidden="1"/>
    </xf>
    <xf numFmtId="0" fontId="43" fillId="27" borderId="55" xfId="0" applyFont="1" applyFill="1" applyBorder="1" applyProtection="1">
      <alignment vertical="center"/>
      <protection hidden="1"/>
    </xf>
    <xf numFmtId="0" fontId="36" fillId="27" borderId="55" xfId="0" applyFont="1" applyFill="1" applyBorder="1" applyAlignment="1" applyProtection="1">
      <alignment horizontal="center" vertical="center"/>
      <protection hidden="1"/>
    </xf>
    <xf numFmtId="0" fontId="32" fillId="27" borderId="167" xfId="0" applyFont="1" applyFill="1" applyBorder="1" applyAlignment="1" applyProtection="1">
      <alignment horizontal="left" vertical="top" wrapText="1"/>
      <protection hidden="1"/>
    </xf>
    <xf numFmtId="0" fontId="43" fillId="27" borderId="51" xfId="0" applyFont="1" applyFill="1" applyBorder="1" applyProtection="1">
      <alignment vertical="center"/>
      <protection hidden="1"/>
    </xf>
    <xf numFmtId="0" fontId="32" fillId="0" borderId="0" xfId="0" applyFont="1" applyAlignment="1">
      <alignment vertical="center" wrapText="1"/>
    </xf>
    <xf numFmtId="0" fontId="32" fillId="27" borderId="12" xfId="0" applyFont="1" applyFill="1" applyBorder="1">
      <alignment vertical="center"/>
    </xf>
    <xf numFmtId="0" fontId="32" fillId="27" borderId="13" xfId="0" applyFont="1" applyFill="1" applyBorder="1" applyAlignment="1">
      <alignment vertical="center" wrapText="1"/>
    </xf>
    <xf numFmtId="0" fontId="32" fillId="27" borderId="64" xfId="0" applyFont="1" applyFill="1" applyBorder="1">
      <alignment vertical="center"/>
    </xf>
    <xf numFmtId="0" fontId="32" fillId="27" borderId="89" xfId="0" applyFont="1" applyFill="1" applyBorder="1">
      <alignment vertical="center"/>
    </xf>
    <xf numFmtId="0" fontId="32" fillId="27" borderId="53" xfId="0" applyFont="1" applyFill="1" applyBorder="1" applyAlignment="1">
      <alignment vertical="center" wrapText="1"/>
    </xf>
    <xf numFmtId="0" fontId="35" fillId="0" borderId="0" xfId="0" applyFont="1" applyAlignment="1">
      <alignment horizontal="center" vertical="top"/>
    </xf>
    <xf numFmtId="0" fontId="32" fillId="31" borderId="27" xfId="0" applyFont="1" applyFill="1" applyBorder="1" applyAlignment="1" applyProtection="1">
      <alignment horizontal="centerContinuous" vertical="top"/>
      <protection hidden="1"/>
    </xf>
    <xf numFmtId="0" fontId="62" fillId="27" borderId="162" xfId="0" applyFont="1" applyFill="1" applyBorder="1" applyAlignment="1" applyProtection="1">
      <alignment vertical="top"/>
      <protection hidden="1"/>
    </xf>
    <xf numFmtId="0" fontId="62" fillId="27" borderId="17" xfId="0" applyFont="1" applyFill="1" applyBorder="1" applyAlignment="1" applyProtection="1">
      <alignment vertical="top"/>
      <protection hidden="1"/>
    </xf>
    <xf numFmtId="0" fontId="62" fillId="27" borderId="178" xfId="0" applyFont="1" applyFill="1" applyBorder="1" applyAlignment="1" applyProtection="1">
      <alignment vertical="top"/>
      <protection hidden="1"/>
    </xf>
    <xf numFmtId="0" fontId="62" fillId="27" borderId="166" xfId="0" applyFont="1" applyFill="1" applyBorder="1" applyAlignment="1" applyProtection="1">
      <alignment vertical="top"/>
      <protection hidden="1"/>
    </xf>
    <xf numFmtId="0" fontId="271" fillId="0" borderId="0" xfId="0" applyFont="1" applyAlignment="1" applyProtection="1">
      <alignment vertical="top"/>
      <protection hidden="1"/>
    </xf>
    <xf numFmtId="0" fontId="44" fillId="25" borderId="0" xfId="0" applyFont="1" applyFill="1">
      <alignment vertical="center"/>
    </xf>
    <xf numFmtId="0" fontId="32" fillId="31" borderId="82" xfId="0" applyFont="1" applyFill="1" applyBorder="1" applyAlignment="1" applyProtection="1">
      <alignment horizontal="centerContinuous" vertical="center"/>
      <protection hidden="1"/>
    </xf>
    <xf numFmtId="0" fontId="44" fillId="0" borderId="53" xfId="0" applyFont="1" applyBorder="1">
      <alignment vertical="center"/>
    </xf>
    <xf numFmtId="0" fontId="32" fillId="0" borderId="53" xfId="0" applyFont="1" applyBorder="1">
      <alignment vertical="center"/>
    </xf>
    <xf numFmtId="0" fontId="62" fillId="27" borderId="26" xfId="0" applyFont="1" applyFill="1" applyBorder="1" applyAlignment="1" applyProtection="1">
      <alignment horizontal="center" vertical="center"/>
      <protection hidden="1"/>
    </xf>
    <xf numFmtId="0" fontId="62" fillId="27" borderId="26" xfId="0" applyFont="1" applyFill="1" applyBorder="1">
      <alignment vertical="center"/>
    </xf>
    <xf numFmtId="0" fontId="62" fillId="27" borderId="10" xfId="0" applyFont="1" applyFill="1" applyBorder="1">
      <alignment vertical="center"/>
    </xf>
    <xf numFmtId="0" fontId="44" fillId="0" borderId="0" xfId="0" applyFont="1" applyAlignment="1">
      <alignment horizontal="right"/>
    </xf>
    <xf numFmtId="0" fontId="62" fillId="0" borderId="57" xfId="0" applyFont="1" applyBorder="1" applyAlignment="1" applyProtection="1">
      <alignment horizontal="centerContinuous" vertical="center"/>
      <protection hidden="1"/>
    </xf>
    <xf numFmtId="0" fontId="36" fillId="27" borderId="51" xfId="0" applyFont="1" applyFill="1" applyBorder="1" applyAlignment="1">
      <alignment horizontal="center" vertical="center"/>
    </xf>
    <xf numFmtId="0" fontId="62" fillId="0" borderId="0" xfId="0" applyFont="1" applyAlignment="1" applyProtection="1">
      <alignment horizontal="centerContinuous" vertical="center"/>
      <protection hidden="1"/>
    </xf>
    <xf numFmtId="0" fontId="62" fillId="0" borderId="0" xfId="0" applyFont="1" applyAlignment="1" applyProtection="1">
      <alignment horizontal="right" vertical="top"/>
      <protection hidden="1"/>
    </xf>
    <xf numFmtId="0" fontId="36" fillId="57" borderId="51" xfId="0" applyFont="1" applyFill="1" applyBorder="1" applyAlignment="1" applyProtection="1">
      <alignment horizontal="center" vertical="center"/>
      <protection locked="0" hidden="1"/>
    </xf>
    <xf numFmtId="0" fontId="32" fillId="27" borderId="53" xfId="0" applyFont="1" applyFill="1" applyBorder="1">
      <alignment vertical="center"/>
    </xf>
    <xf numFmtId="0" fontId="200" fillId="27" borderId="51" xfId="0" applyFont="1" applyFill="1" applyBorder="1">
      <alignment vertical="center"/>
    </xf>
    <xf numFmtId="0" fontId="36" fillId="57" borderId="11" xfId="0" applyFont="1" applyFill="1" applyBorder="1" applyAlignment="1" applyProtection="1">
      <alignment horizontal="center" vertical="center"/>
      <protection locked="0" hidden="1"/>
    </xf>
    <xf numFmtId="0" fontId="62" fillId="27" borderId="13" xfId="0" applyFont="1" applyFill="1" applyBorder="1">
      <alignment vertical="center"/>
    </xf>
    <xf numFmtId="0" fontId="36" fillId="57" borderId="15" xfId="0" applyFont="1" applyFill="1" applyBorder="1" applyAlignment="1" applyProtection="1">
      <alignment horizontal="center" vertical="center"/>
      <protection locked="0" hidden="1"/>
    </xf>
    <xf numFmtId="0" fontId="36" fillId="57" borderId="10" xfId="0" applyFont="1" applyFill="1" applyBorder="1" applyAlignment="1" applyProtection="1">
      <alignment horizontal="center" vertical="center"/>
      <protection locked="0"/>
    </xf>
    <xf numFmtId="0" fontId="200" fillId="27" borderId="27" xfId="0" applyFont="1" applyFill="1" applyBorder="1">
      <alignment vertical="center"/>
    </xf>
    <xf numFmtId="0" fontId="36" fillId="57" borderId="16" xfId="0" applyFont="1" applyFill="1" applyBorder="1" applyAlignment="1" applyProtection="1">
      <alignment horizontal="center" vertical="center"/>
      <protection locked="0"/>
    </xf>
    <xf numFmtId="0" fontId="62" fillId="27" borderId="161" xfId="0" applyFont="1" applyFill="1" applyBorder="1">
      <alignment vertical="center"/>
    </xf>
    <xf numFmtId="0" fontId="32" fillId="27" borderId="161" xfId="0" applyFont="1" applyFill="1" applyBorder="1">
      <alignment vertical="center"/>
    </xf>
    <xf numFmtId="0" fontId="36" fillId="57" borderId="55" xfId="0" applyFont="1" applyFill="1" applyBorder="1" applyAlignment="1" applyProtection="1">
      <alignment horizontal="center" vertical="center"/>
      <protection locked="0"/>
    </xf>
    <xf numFmtId="219" fontId="36" fillId="31" borderId="92" xfId="0" applyNumberFormat="1" applyFont="1" applyFill="1" applyBorder="1" applyAlignment="1" applyProtection="1">
      <alignment horizontal="center" vertical="center"/>
      <protection locked="0"/>
    </xf>
    <xf numFmtId="219" fontId="36" fillId="43" borderId="144" xfId="0" applyNumberFormat="1" applyFont="1" applyFill="1" applyBorder="1" applyAlignment="1" applyProtection="1">
      <alignment horizontal="center" vertical="center"/>
      <protection hidden="1"/>
    </xf>
    <xf numFmtId="0" fontId="32" fillId="43" borderId="27" xfId="0" applyFont="1" applyFill="1" applyBorder="1" applyAlignment="1" applyProtection="1">
      <alignment horizontal="centerContinuous" vertical="center"/>
      <protection hidden="1"/>
    </xf>
    <xf numFmtId="0" fontId="32" fillId="41" borderId="160" xfId="0" applyFont="1" applyFill="1" applyBorder="1" applyAlignment="1" applyProtection="1">
      <alignment horizontal="left" vertical="center"/>
      <protection hidden="1"/>
    </xf>
    <xf numFmtId="0" fontId="32" fillId="41" borderId="162" xfId="0" applyFont="1" applyFill="1" applyBorder="1" applyAlignment="1" applyProtection="1">
      <alignment horizontal="left" vertical="center" wrapText="1"/>
      <protection hidden="1"/>
    </xf>
    <xf numFmtId="0" fontId="32" fillId="41" borderId="12" xfId="0" applyFont="1" applyFill="1" applyBorder="1" applyAlignment="1" applyProtection="1">
      <alignment horizontal="left" vertical="center"/>
      <protection hidden="1"/>
    </xf>
    <xf numFmtId="0" fontId="32" fillId="41" borderId="14" xfId="0" applyFont="1" applyFill="1" applyBorder="1" applyAlignment="1" applyProtection="1">
      <alignment horizontal="left" vertical="center" wrapText="1"/>
      <protection hidden="1"/>
    </xf>
    <xf numFmtId="0" fontId="32" fillId="0" borderId="0" xfId="0" applyFont="1" applyAlignment="1" applyProtection="1">
      <alignment vertical="top"/>
      <protection hidden="1"/>
    </xf>
    <xf numFmtId="0" fontId="32" fillId="27" borderId="180" xfId="0" applyFont="1" applyFill="1" applyBorder="1" applyProtection="1">
      <alignment vertical="center"/>
      <protection hidden="1"/>
    </xf>
    <xf numFmtId="0" fontId="61" fillId="31" borderId="92" xfId="0" applyFont="1" applyFill="1" applyBorder="1" applyAlignment="1" applyProtection="1">
      <alignment horizontal="center" vertical="center"/>
      <protection locked="0"/>
    </xf>
    <xf numFmtId="0" fontId="44" fillId="27" borderId="16" xfId="0" applyFont="1" applyFill="1" applyBorder="1" applyAlignment="1" applyProtection="1">
      <alignment horizontal="center" vertical="center" wrapText="1"/>
      <protection hidden="1"/>
    </xf>
    <xf numFmtId="0" fontId="61" fillId="31" borderId="184" xfId="0" applyFont="1" applyFill="1" applyBorder="1" applyAlignment="1" applyProtection="1">
      <alignment horizontal="center" vertical="center"/>
      <protection locked="0"/>
    </xf>
    <xf numFmtId="0" fontId="32" fillId="27" borderId="193" xfId="0" applyFont="1" applyFill="1" applyBorder="1" applyAlignment="1" applyProtection="1">
      <alignment vertical="center" wrapText="1"/>
      <protection hidden="1"/>
    </xf>
    <xf numFmtId="0" fontId="44" fillId="27" borderId="163" xfId="0" applyFont="1" applyFill="1" applyBorder="1" applyAlignment="1" applyProtection="1">
      <alignment horizontal="center" vertical="center" wrapText="1"/>
      <protection hidden="1"/>
    </xf>
    <xf numFmtId="0" fontId="61" fillId="31" borderId="170" xfId="0" applyFont="1" applyFill="1" applyBorder="1" applyAlignment="1" applyProtection="1">
      <alignment horizontal="center" vertical="center"/>
      <protection locked="0"/>
    </xf>
    <xf numFmtId="0" fontId="32" fillId="27" borderId="177" xfId="0" applyFont="1" applyFill="1" applyBorder="1" applyAlignment="1" applyProtection="1">
      <alignment vertical="center" wrapText="1"/>
      <protection hidden="1"/>
    </xf>
    <xf numFmtId="0" fontId="32" fillId="27" borderId="178" xfId="0" applyFont="1" applyFill="1" applyBorder="1" applyAlignment="1" applyProtection="1">
      <alignment vertical="center" wrapText="1"/>
      <protection hidden="1"/>
    </xf>
    <xf numFmtId="0" fontId="61" fillId="27" borderId="211" xfId="0" applyFont="1" applyFill="1" applyBorder="1" applyAlignment="1" applyProtection="1">
      <alignment horizontal="center" vertical="center" wrapText="1"/>
      <protection hidden="1"/>
    </xf>
    <xf numFmtId="0" fontId="36" fillId="27" borderId="50" xfId="0" applyFont="1" applyFill="1" applyBorder="1" applyAlignment="1" applyProtection="1">
      <alignment horizontal="center" vertical="top" wrapText="1"/>
      <protection hidden="1"/>
    </xf>
    <xf numFmtId="0" fontId="44" fillId="0" borderId="0" xfId="0" applyFont="1" applyAlignment="1">
      <alignment vertical="top"/>
    </xf>
    <xf numFmtId="0" fontId="32" fillId="27" borderId="27" xfId="0" applyFont="1" applyFill="1" applyBorder="1" applyAlignment="1" applyProtection="1">
      <alignment horizontal="left" vertical="center"/>
      <protection hidden="1"/>
    </xf>
    <xf numFmtId="0" fontId="62" fillId="27" borderId="54" xfId="0" applyFont="1" applyFill="1" applyBorder="1" applyAlignment="1" applyProtection="1">
      <alignment horizontal="left" vertical="center"/>
      <protection hidden="1"/>
    </xf>
    <xf numFmtId="0" fontId="32" fillId="27" borderId="10" xfId="0" applyFont="1" applyFill="1" applyBorder="1" applyAlignment="1" applyProtection="1">
      <alignment horizontal="left" vertical="center"/>
      <protection hidden="1"/>
    </xf>
    <xf numFmtId="0" fontId="62" fillId="27" borderId="160" xfId="0" applyFont="1" applyFill="1" applyBorder="1">
      <alignment vertical="center"/>
    </xf>
    <xf numFmtId="0" fontId="32" fillId="27" borderId="162" xfId="0" applyFont="1" applyFill="1" applyBorder="1">
      <alignment vertical="center"/>
    </xf>
    <xf numFmtId="0" fontId="32" fillId="57" borderId="16" xfId="0" applyFont="1" applyFill="1" applyBorder="1" applyAlignment="1" applyProtection="1">
      <alignment vertical="center" shrinkToFit="1"/>
      <protection locked="0"/>
    </xf>
    <xf numFmtId="0" fontId="62" fillId="27" borderId="16" xfId="0" applyFont="1" applyFill="1" applyBorder="1">
      <alignment vertical="center"/>
    </xf>
    <xf numFmtId="0" fontId="62" fillId="27" borderId="12" xfId="0" applyFont="1" applyFill="1" applyBorder="1">
      <alignment vertical="center"/>
    </xf>
    <xf numFmtId="0" fontId="32" fillId="27" borderId="14" xfId="0" applyFont="1" applyFill="1" applyBorder="1">
      <alignment vertical="center"/>
    </xf>
    <xf numFmtId="0" fontId="32" fillId="57" borderId="11" xfId="0" applyFont="1" applyFill="1" applyBorder="1" applyAlignment="1" applyProtection="1">
      <alignment vertical="center" shrinkToFit="1"/>
      <protection locked="0"/>
    </xf>
    <xf numFmtId="0" fontId="62" fillId="27" borderId="11" xfId="0" applyFont="1" applyFill="1" applyBorder="1">
      <alignment vertical="center"/>
    </xf>
    <xf numFmtId="0" fontId="62" fillId="27" borderId="165" xfId="0" applyFont="1" applyFill="1" applyBorder="1">
      <alignment vertical="center"/>
    </xf>
    <xf numFmtId="0" fontId="32" fillId="27" borderId="166" xfId="0" applyFont="1" applyFill="1" applyBorder="1">
      <alignment vertical="center"/>
    </xf>
    <xf numFmtId="0" fontId="32" fillId="57" borderId="164" xfId="0" applyFont="1" applyFill="1" applyBorder="1" applyAlignment="1" applyProtection="1">
      <alignment vertical="center" shrinkToFit="1"/>
      <protection locked="0"/>
    </xf>
    <xf numFmtId="0" fontId="62" fillId="27" borderId="164" xfId="0" applyFont="1" applyFill="1" applyBorder="1">
      <alignment vertical="center"/>
    </xf>
    <xf numFmtId="0" fontId="62" fillId="27" borderId="52" xfId="0" applyFont="1" applyFill="1" applyBorder="1" applyAlignment="1">
      <alignment horizontal="centerContinuous" vertical="center"/>
    </xf>
    <xf numFmtId="0" fontId="32" fillId="27" borderId="27" xfId="0" applyFont="1" applyFill="1" applyBorder="1" applyAlignment="1">
      <alignment horizontal="centerContinuous" vertical="center"/>
    </xf>
    <xf numFmtId="0" fontId="62" fillId="57" borderId="160" xfId="0" applyFont="1" applyFill="1" applyBorder="1" applyProtection="1">
      <alignment vertical="center"/>
      <protection locked="0"/>
    </xf>
    <xf numFmtId="0" fontId="32" fillId="0" borderId="162" xfId="0" applyFont="1" applyBorder="1">
      <alignment vertical="center"/>
    </xf>
    <xf numFmtId="0" fontId="62" fillId="57" borderId="12" xfId="0" applyFont="1" applyFill="1" applyBorder="1" applyProtection="1">
      <alignment vertical="center"/>
      <protection locked="0"/>
    </xf>
    <xf numFmtId="0" fontId="32" fillId="0" borderId="14" xfId="0" applyFont="1" applyBorder="1">
      <alignment vertical="center"/>
    </xf>
    <xf numFmtId="0" fontId="62" fillId="57" borderId="165" xfId="0" applyFont="1" applyFill="1" applyBorder="1" applyProtection="1">
      <alignment vertical="center"/>
      <protection locked="0"/>
    </xf>
    <xf numFmtId="0" fontId="32" fillId="0" borderId="166" xfId="0" applyFont="1" applyBorder="1">
      <alignment vertical="center"/>
    </xf>
    <xf numFmtId="0" fontId="32" fillId="27" borderId="161" xfId="0" applyFont="1" applyFill="1" applyBorder="1" applyAlignment="1" applyProtection="1">
      <alignment horizontal="left" vertical="top"/>
      <protection hidden="1"/>
    </xf>
    <xf numFmtId="0" fontId="32" fillId="27" borderId="167" xfId="0" applyFont="1" applyFill="1" applyBorder="1" applyAlignment="1" applyProtection="1">
      <alignment horizontal="left" vertical="top"/>
      <protection hidden="1"/>
    </xf>
    <xf numFmtId="0" fontId="62" fillId="0" borderId="57" xfId="0" applyFont="1" applyBorder="1">
      <alignment vertical="center"/>
    </xf>
    <xf numFmtId="0" fontId="32" fillId="0" borderId="57" xfId="0" applyFont="1" applyBorder="1" applyProtection="1">
      <alignment vertical="center"/>
      <protection hidden="1"/>
    </xf>
    <xf numFmtId="0" fontId="62" fillId="0" borderId="57" xfId="0" applyFont="1" applyBorder="1" applyAlignment="1" applyProtection="1">
      <alignment horizontal="left" vertical="top"/>
      <protection hidden="1"/>
    </xf>
    <xf numFmtId="0" fontId="32" fillId="0" borderId="0" xfId="0" applyFont="1" applyAlignment="1" applyProtection="1">
      <alignment horizontal="right"/>
      <protection hidden="1"/>
    </xf>
    <xf numFmtId="0" fontId="44" fillId="27" borderId="161" xfId="0" applyFont="1" applyFill="1" applyBorder="1" applyAlignment="1">
      <alignment horizontal="centerContinuous" vertical="center"/>
    </xf>
    <xf numFmtId="0" fontId="44" fillId="27" borderId="162" xfId="0" applyFont="1" applyFill="1" applyBorder="1" applyAlignment="1">
      <alignment horizontal="centerContinuous" vertical="center"/>
    </xf>
    <xf numFmtId="0" fontId="36" fillId="57" borderId="168" xfId="0" applyFont="1" applyFill="1" applyBorder="1" applyAlignment="1" applyProtection="1">
      <alignment horizontal="center" vertical="center"/>
      <protection locked="0" hidden="1"/>
    </xf>
    <xf numFmtId="0" fontId="32" fillId="27" borderId="180" xfId="0" applyFont="1" applyFill="1" applyBorder="1" applyAlignment="1" applyProtection="1">
      <alignment horizontal="left" vertical="center"/>
      <protection hidden="1"/>
    </xf>
    <xf numFmtId="0" fontId="44" fillId="27" borderId="161" xfId="0" applyFont="1" applyFill="1" applyBorder="1">
      <alignment vertical="center"/>
    </xf>
    <xf numFmtId="0" fontId="44" fillId="27" borderId="161" xfId="0" applyFont="1" applyFill="1" applyBorder="1" applyAlignment="1">
      <alignment vertical="top"/>
    </xf>
    <xf numFmtId="0" fontId="44" fillId="27" borderId="162" xfId="0" applyFont="1" applyFill="1" applyBorder="1">
      <alignment vertical="center"/>
    </xf>
    <xf numFmtId="0" fontId="36" fillId="57" borderId="169" xfId="0" applyFont="1" applyFill="1" applyBorder="1" applyAlignment="1" applyProtection="1">
      <alignment horizontal="center" vertical="center"/>
      <protection locked="0" hidden="1"/>
    </xf>
    <xf numFmtId="0" fontId="32" fillId="27" borderId="181" xfId="0" applyFont="1" applyFill="1" applyBorder="1" applyAlignment="1" applyProtection="1">
      <alignment horizontal="left" vertical="center"/>
      <protection hidden="1"/>
    </xf>
    <xf numFmtId="0" fontId="36" fillId="57" borderId="184" xfId="0" applyFont="1" applyFill="1" applyBorder="1" applyAlignment="1" applyProtection="1">
      <alignment horizontal="center" vertical="center"/>
      <protection locked="0" hidden="1"/>
    </xf>
    <xf numFmtId="0" fontId="44" fillId="27" borderId="177" xfId="0" applyFont="1" applyFill="1" applyBorder="1">
      <alignment vertical="center"/>
    </xf>
    <xf numFmtId="0" fontId="44" fillId="27" borderId="177" xfId="0" applyFont="1" applyFill="1" applyBorder="1" applyAlignment="1">
      <alignment vertical="top"/>
    </xf>
    <xf numFmtId="0" fontId="44" fillId="27" borderId="178" xfId="0" applyFont="1" applyFill="1" applyBorder="1">
      <alignment vertical="center"/>
    </xf>
    <xf numFmtId="0" fontId="36" fillId="57" borderId="170" xfId="0" applyFont="1" applyFill="1" applyBorder="1" applyAlignment="1" applyProtection="1">
      <alignment horizontal="center" vertical="center"/>
      <protection locked="0"/>
    </xf>
    <xf numFmtId="0" fontId="44" fillId="27" borderId="167" xfId="0" applyFont="1" applyFill="1" applyBorder="1">
      <alignment vertical="center"/>
    </xf>
    <xf numFmtId="0" fontId="44" fillId="27" borderId="167" xfId="0" applyFont="1" applyFill="1" applyBorder="1" applyAlignment="1">
      <alignment vertical="top"/>
    </xf>
    <xf numFmtId="0" fontId="44" fillId="27" borderId="166" xfId="0" applyFont="1" applyFill="1" applyBorder="1">
      <alignment vertical="center"/>
    </xf>
    <xf numFmtId="0" fontId="43" fillId="50" borderId="56" xfId="0" applyFont="1" applyFill="1" applyBorder="1" applyAlignment="1" applyProtection="1">
      <alignment horizontal="center" vertical="center" wrapText="1"/>
      <protection hidden="1"/>
    </xf>
    <xf numFmtId="0" fontId="32" fillId="50" borderId="50" xfId="0" applyFont="1" applyFill="1" applyBorder="1">
      <alignment vertical="center"/>
    </xf>
    <xf numFmtId="0" fontId="44" fillId="50" borderId="50" xfId="0" applyFont="1" applyFill="1" applyBorder="1">
      <alignment vertical="center"/>
    </xf>
    <xf numFmtId="0" fontId="44" fillId="50" borderId="27" xfId="0" applyFont="1" applyFill="1" applyBorder="1">
      <alignment vertical="center"/>
    </xf>
    <xf numFmtId="0" fontId="44" fillId="59" borderId="0" xfId="0" applyFont="1" applyFill="1">
      <alignment vertical="center"/>
    </xf>
    <xf numFmtId="0" fontId="32" fillId="37" borderId="0" xfId="0" applyFont="1" applyFill="1" applyAlignment="1">
      <alignment horizontal="center" vertical="center"/>
    </xf>
    <xf numFmtId="0" fontId="32" fillId="27" borderId="10" xfId="0" applyFont="1" applyFill="1" applyBorder="1" applyAlignment="1" applyProtection="1">
      <alignment horizontal="center" vertical="center"/>
      <protection locked="0"/>
    </xf>
    <xf numFmtId="0" fontId="32" fillId="27" borderId="26" xfId="0" applyFont="1" applyFill="1" applyBorder="1" applyAlignment="1" applyProtection="1">
      <alignment horizontal="left" vertical="center"/>
      <protection hidden="1"/>
    </xf>
    <xf numFmtId="0" fontId="36" fillId="27" borderId="168" xfId="0" applyFont="1" applyFill="1" applyBorder="1" applyAlignment="1" applyProtection="1">
      <alignment horizontal="center" vertical="center"/>
      <protection locked="0" hidden="1"/>
    </xf>
    <xf numFmtId="0" fontId="36" fillId="27" borderId="169" xfId="0" applyFont="1" applyFill="1" applyBorder="1" applyAlignment="1" applyProtection="1">
      <alignment horizontal="center" vertical="center"/>
      <protection locked="0" hidden="1"/>
    </xf>
    <xf numFmtId="0" fontId="32" fillId="27" borderId="181" xfId="0" applyFont="1" applyFill="1" applyBorder="1" applyAlignment="1" applyProtection="1">
      <alignment vertical="center" wrapText="1"/>
      <protection hidden="1"/>
    </xf>
    <xf numFmtId="0" fontId="36" fillId="27" borderId="184" xfId="0" applyFont="1" applyFill="1" applyBorder="1" applyAlignment="1" applyProtection="1">
      <alignment horizontal="center" vertical="center"/>
      <protection locked="0" hidden="1"/>
    </xf>
    <xf numFmtId="0" fontId="32" fillId="27" borderId="55" xfId="0" applyFont="1" applyFill="1" applyBorder="1" applyAlignment="1" applyProtection="1">
      <alignment horizontal="centerContinuous" vertical="center"/>
      <protection hidden="1"/>
    </xf>
    <xf numFmtId="0" fontId="36" fillId="27" borderId="26" xfId="0" applyFont="1" applyFill="1" applyBorder="1" applyAlignment="1" applyProtection="1">
      <alignment horizontal="centerContinuous" vertical="center"/>
      <protection hidden="1"/>
    </xf>
    <xf numFmtId="0" fontId="36" fillId="27" borderId="27" xfId="0" applyFont="1" applyFill="1" applyBorder="1" applyAlignment="1" applyProtection="1">
      <alignment horizontal="centerContinuous" vertical="center"/>
      <protection hidden="1"/>
    </xf>
    <xf numFmtId="0" fontId="62" fillId="0" borderId="0" xfId="0" applyFont="1" applyAlignment="1" applyProtection="1">
      <alignment horizontal="justify"/>
      <protection hidden="1"/>
    </xf>
    <xf numFmtId="0" fontId="32" fillId="27" borderId="172" xfId="0" applyFont="1" applyFill="1" applyBorder="1" applyAlignment="1" applyProtection="1">
      <alignment horizontal="left" vertical="center"/>
      <protection hidden="1"/>
    </xf>
    <xf numFmtId="219" fontId="36" fillId="27" borderId="10" xfId="0" applyNumberFormat="1" applyFont="1" applyFill="1" applyBorder="1" applyAlignment="1" applyProtection="1">
      <alignment horizontal="center" vertical="center" wrapText="1"/>
      <protection hidden="1"/>
    </xf>
    <xf numFmtId="0" fontId="32" fillId="27" borderId="26" xfId="0" applyFont="1" applyFill="1" applyBorder="1" applyAlignment="1" applyProtection="1">
      <alignment horizontal="center" vertical="center" shrinkToFit="1"/>
      <protection hidden="1"/>
    </xf>
    <xf numFmtId="0" fontId="32" fillId="27" borderId="52" xfId="0" applyFont="1" applyFill="1" applyBorder="1" applyAlignment="1" applyProtection="1">
      <alignment horizontal="center" vertical="center"/>
      <protection hidden="1"/>
    </xf>
    <xf numFmtId="0" fontId="36" fillId="57" borderId="163" xfId="0" applyFont="1" applyFill="1" applyBorder="1" applyAlignment="1" applyProtection="1">
      <alignment horizontal="center" vertical="center"/>
      <protection locked="0" hidden="1"/>
    </xf>
    <xf numFmtId="0" fontId="62" fillId="27" borderId="160" xfId="0" applyFont="1" applyFill="1" applyBorder="1" applyAlignment="1" applyProtection="1">
      <alignment horizontal="left" vertical="center"/>
      <protection hidden="1"/>
    </xf>
    <xf numFmtId="0" fontId="62" fillId="27" borderId="162" xfId="0" applyFont="1" applyFill="1" applyBorder="1" applyAlignment="1" applyProtection="1">
      <alignment horizontal="left" vertical="center"/>
      <protection hidden="1"/>
    </xf>
    <xf numFmtId="0" fontId="36" fillId="57" borderId="16" xfId="0" applyFont="1" applyFill="1" applyBorder="1" applyAlignment="1" applyProtection="1">
      <alignment horizontal="center" vertical="center"/>
      <protection locked="0" hidden="1"/>
    </xf>
    <xf numFmtId="0" fontId="62" fillId="27" borderId="12" xfId="0" applyFont="1" applyFill="1" applyBorder="1" applyAlignment="1" applyProtection="1">
      <alignment horizontal="left" vertical="center"/>
      <protection hidden="1"/>
    </xf>
    <xf numFmtId="0" fontId="62" fillId="27" borderId="14" xfId="0" applyFont="1" applyFill="1" applyBorder="1" applyAlignment="1" applyProtection="1">
      <alignment horizontal="left" vertical="top"/>
      <protection hidden="1"/>
    </xf>
    <xf numFmtId="0" fontId="62" fillId="27" borderId="165" xfId="0" applyFont="1" applyFill="1" applyBorder="1" applyAlignment="1" applyProtection="1">
      <alignment horizontal="left" vertical="center"/>
      <protection hidden="1"/>
    </xf>
    <xf numFmtId="0" fontId="62" fillId="27" borderId="166" xfId="0" applyFont="1" applyFill="1" applyBorder="1" applyAlignment="1" applyProtection="1">
      <alignment horizontal="left" vertical="center"/>
      <protection hidden="1"/>
    </xf>
    <xf numFmtId="0" fontId="62" fillId="27" borderId="64" xfId="0" applyFont="1" applyFill="1" applyBorder="1" applyAlignment="1" applyProtection="1">
      <alignment horizontal="left" vertical="center"/>
      <protection hidden="1"/>
    </xf>
    <xf numFmtId="0" fontId="62" fillId="27" borderId="17" xfId="0" applyFont="1" applyFill="1" applyBorder="1" applyAlignment="1" applyProtection="1">
      <alignment horizontal="left" vertical="center"/>
      <protection hidden="1"/>
    </xf>
    <xf numFmtId="0" fontId="32" fillId="27" borderId="50" xfId="0" applyFont="1" applyFill="1" applyBorder="1" applyAlignment="1" applyProtection="1">
      <alignment horizontal="left" vertical="center"/>
      <protection hidden="1"/>
    </xf>
    <xf numFmtId="0" fontId="62" fillId="27" borderId="27" xfId="0" applyFont="1" applyFill="1" applyBorder="1" applyAlignment="1" applyProtection="1">
      <alignment horizontal="left" vertical="center"/>
      <protection hidden="1"/>
    </xf>
    <xf numFmtId="0" fontId="36" fillId="57" borderId="164" xfId="0" applyFont="1" applyFill="1" applyBorder="1" applyAlignment="1" applyProtection="1">
      <alignment horizontal="center" vertical="center"/>
      <protection locked="0" hidden="1"/>
    </xf>
    <xf numFmtId="0" fontId="32" fillId="0" borderId="53" xfId="0" applyFont="1" applyBorder="1" applyAlignment="1">
      <alignment vertical="top"/>
    </xf>
    <xf numFmtId="0" fontId="35" fillId="0" borderId="0" xfId="0" applyFont="1" applyAlignment="1">
      <alignment horizontal="center" vertical="center"/>
    </xf>
    <xf numFmtId="0" fontId="221" fillId="0" borderId="0" xfId="0" applyFont="1" applyAlignment="1" applyProtection="1">
      <alignment horizontal="left" vertical="top"/>
      <protection hidden="1"/>
    </xf>
    <xf numFmtId="206" fontId="32" fillId="50" borderId="10" xfId="28" applyNumberFormat="1" applyFont="1" applyFill="1" applyBorder="1" applyProtection="1">
      <alignment vertical="center"/>
      <protection locked="0"/>
    </xf>
    <xf numFmtId="211" fontId="32" fillId="50" borderId="10" xfId="0" applyNumberFormat="1" applyFont="1" applyFill="1" applyBorder="1" applyProtection="1">
      <alignment vertical="center"/>
      <protection locked="0"/>
    </xf>
    <xf numFmtId="0" fontId="32" fillId="27" borderId="177" xfId="0" applyFont="1" applyFill="1" applyBorder="1" applyAlignment="1" applyProtection="1">
      <alignment horizontal="left" vertical="center" wrapText="1"/>
      <protection hidden="1"/>
    </xf>
    <xf numFmtId="0" fontId="32" fillId="27" borderId="178" xfId="0" applyFont="1" applyFill="1" applyBorder="1" applyAlignment="1" applyProtection="1">
      <alignment horizontal="left" vertical="center" wrapText="1"/>
      <protection hidden="1"/>
    </xf>
    <xf numFmtId="0" fontId="44" fillId="27" borderId="173" xfId="0" quotePrefix="1" applyFont="1" applyFill="1" applyBorder="1" applyAlignment="1" applyProtection="1">
      <alignment horizontal="center" vertical="center" wrapText="1"/>
      <protection hidden="1"/>
    </xf>
    <xf numFmtId="0" fontId="32" fillId="27" borderId="17" xfId="0" applyFont="1" applyFill="1" applyBorder="1">
      <alignment vertical="center"/>
    </xf>
    <xf numFmtId="193" fontId="36" fillId="27" borderId="206" xfId="0" applyNumberFormat="1" applyFont="1" applyFill="1" applyBorder="1" applyAlignment="1" applyProtection="1">
      <alignment horizontal="center" vertical="center" wrapText="1"/>
      <protection hidden="1"/>
    </xf>
    <xf numFmtId="0" fontId="41" fillId="0" borderId="0" xfId="0" applyFont="1" applyAlignment="1" applyProtection="1">
      <alignment horizontal="left" vertical="top"/>
      <protection hidden="1"/>
    </xf>
    <xf numFmtId="0" fontId="32" fillId="27" borderId="64" xfId="0" applyFont="1" applyFill="1" applyBorder="1" applyAlignment="1" applyProtection="1">
      <alignment horizontal="left" vertical="center"/>
      <protection hidden="1"/>
    </xf>
    <xf numFmtId="0" fontId="32" fillId="27" borderId="177" xfId="0" applyFont="1" applyFill="1" applyBorder="1" applyAlignment="1" applyProtection="1">
      <alignment horizontal="left" vertical="center" wrapText="1" indent="1"/>
      <protection hidden="1"/>
    </xf>
    <xf numFmtId="0" fontId="32" fillId="27" borderId="178" xfId="0" applyFont="1" applyFill="1" applyBorder="1" applyAlignment="1" applyProtection="1">
      <alignment horizontal="left" vertical="center" wrapText="1" indent="1"/>
      <protection hidden="1"/>
    </xf>
    <xf numFmtId="176" fontId="44" fillId="27" borderId="15" xfId="0" applyNumberFormat="1" applyFont="1" applyFill="1" applyBorder="1" applyAlignment="1" applyProtection="1">
      <alignment horizontal="center" vertical="center" wrapText="1"/>
      <protection hidden="1"/>
    </xf>
    <xf numFmtId="0" fontId="44" fillId="27" borderId="173" xfId="0" applyFont="1" applyFill="1" applyBorder="1" applyAlignment="1" applyProtection="1">
      <alignment horizontal="center" vertical="center"/>
      <protection hidden="1"/>
    </xf>
    <xf numFmtId="0" fontId="44" fillId="27" borderId="163" xfId="0" applyFont="1" applyFill="1" applyBorder="1" applyAlignment="1" applyProtection="1">
      <alignment horizontal="center" vertical="center"/>
      <protection hidden="1"/>
    </xf>
    <xf numFmtId="0" fontId="44" fillId="27" borderId="15" xfId="0" applyFont="1" applyFill="1" applyBorder="1" applyAlignment="1" applyProtection="1">
      <alignment horizontal="center" vertical="center"/>
      <protection hidden="1"/>
    </xf>
    <xf numFmtId="0" fontId="62" fillId="0" borderId="0" xfId="0" applyFont="1" applyAlignment="1"/>
    <xf numFmtId="0" fontId="305" fillId="68" borderId="10" xfId="0" applyFont="1" applyFill="1" applyBorder="1" applyAlignment="1">
      <alignment vertical="center" wrapText="1" shrinkToFit="1"/>
    </xf>
    <xf numFmtId="0" fontId="305" fillId="68" borderId="51" xfId="0" applyFont="1" applyFill="1" applyBorder="1" applyAlignment="1">
      <alignment vertical="center" wrapText="1" shrinkToFit="1"/>
    </xf>
    <xf numFmtId="0" fontId="200" fillId="68" borderId="51" xfId="0" applyFont="1" applyFill="1" applyBorder="1" applyAlignment="1">
      <alignment vertical="center" wrapText="1" shrinkToFit="1"/>
    </xf>
    <xf numFmtId="40" fontId="32" fillId="50" borderId="10" xfId="35" applyNumberFormat="1" applyFont="1" applyFill="1" applyBorder="1">
      <alignment vertical="center"/>
    </xf>
    <xf numFmtId="40" fontId="44" fillId="0" borderId="0" xfId="35" applyNumberFormat="1" applyFont="1">
      <alignment vertical="center"/>
    </xf>
    <xf numFmtId="40" fontId="240" fillId="0" borderId="0" xfId="35" applyNumberFormat="1" applyFont="1">
      <alignment vertical="center"/>
    </xf>
    <xf numFmtId="0" fontId="32" fillId="31" borderId="50" xfId="0" applyFont="1" applyFill="1" applyBorder="1" applyAlignment="1">
      <alignment horizontal="centerContinuous" vertical="center"/>
    </xf>
    <xf numFmtId="0" fontId="32" fillId="31" borderId="55" xfId="0" applyFont="1" applyFill="1" applyBorder="1">
      <alignment vertical="center"/>
    </xf>
    <xf numFmtId="0" fontId="32" fillId="31" borderId="50" xfId="0" applyFont="1" applyFill="1" applyBorder="1" applyAlignment="1" applyProtection="1">
      <alignment horizontal="left" vertical="center"/>
      <protection hidden="1"/>
    </xf>
    <xf numFmtId="0" fontId="32" fillId="31" borderId="56" xfId="0" applyFont="1" applyFill="1" applyBorder="1" applyAlignment="1" applyProtection="1">
      <alignment horizontal="left" vertical="center"/>
      <protection hidden="1"/>
    </xf>
    <xf numFmtId="0" fontId="32" fillId="31" borderId="0" xfId="0" applyFont="1" applyFill="1">
      <alignment vertical="center"/>
    </xf>
    <xf numFmtId="0" fontId="32" fillId="31" borderId="58" xfId="0" applyFont="1" applyFill="1" applyBorder="1" applyAlignment="1" applyProtection="1">
      <alignment horizontal="center" vertical="center"/>
      <protection hidden="1"/>
    </xf>
    <xf numFmtId="0" fontId="36" fillId="27" borderId="171" xfId="0" applyFont="1" applyFill="1" applyBorder="1" applyAlignment="1" applyProtection="1">
      <alignment horizontal="centerContinuous" vertical="center"/>
      <protection hidden="1"/>
    </xf>
    <xf numFmtId="0" fontId="36" fillId="27" borderId="12" xfId="0" applyFont="1" applyFill="1" applyBorder="1" applyAlignment="1" applyProtection="1">
      <alignment horizontal="centerContinuous" vertical="center"/>
      <protection hidden="1"/>
    </xf>
    <xf numFmtId="0" fontId="36" fillId="27" borderId="56" xfId="0" applyFont="1" applyFill="1" applyBorder="1" applyAlignment="1" applyProtection="1">
      <alignment horizontal="centerContinuous" vertical="center"/>
      <protection hidden="1"/>
    </xf>
    <xf numFmtId="179" fontId="32" fillId="31" borderId="10" xfId="0" applyNumberFormat="1" applyFont="1" applyFill="1" applyBorder="1" applyAlignment="1" applyProtection="1">
      <alignment horizontal="center" vertical="center"/>
      <protection hidden="1"/>
    </xf>
    <xf numFmtId="0" fontId="32" fillId="31" borderId="53" xfId="0" applyFont="1" applyFill="1" applyBorder="1">
      <alignment vertical="center"/>
    </xf>
    <xf numFmtId="0" fontId="62" fillId="31" borderId="53" xfId="0" applyFont="1" applyFill="1" applyBorder="1" applyAlignment="1" applyProtection="1">
      <alignment horizontal="right" vertical="center"/>
      <protection hidden="1"/>
    </xf>
    <xf numFmtId="2" fontId="32" fillId="31" borderId="54" xfId="0" applyNumberFormat="1" applyFont="1" applyFill="1" applyBorder="1" applyAlignment="1" applyProtection="1">
      <alignment horizontal="left" vertical="center"/>
      <protection hidden="1"/>
    </xf>
    <xf numFmtId="190" fontId="32" fillId="31" borderId="54" xfId="0" applyNumberFormat="1" applyFont="1" applyFill="1" applyBorder="1" applyAlignment="1">
      <alignment horizontal="center" vertical="center"/>
    </xf>
    <xf numFmtId="0" fontId="32" fillId="52" borderId="52" xfId="0" applyFont="1" applyFill="1" applyBorder="1" applyAlignment="1">
      <alignment horizontal="centerContinuous" vertical="center"/>
    </xf>
    <xf numFmtId="0" fontId="32" fillId="52" borderId="53" xfId="0" applyFont="1" applyFill="1" applyBorder="1" applyAlignment="1">
      <alignment horizontal="centerContinuous" vertical="center"/>
    </xf>
    <xf numFmtId="190" fontId="32" fillId="52" borderId="54" xfId="0" applyNumberFormat="1" applyFont="1" applyFill="1" applyBorder="1" applyAlignment="1">
      <alignment horizontal="center" vertical="center"/>
    </xf>
    <xf numFmtId="0" fontId="32" fillId="31" borderId="53" xfId="0" applyFont="1" applyFill="1" applyBorder="1" applyAlignment="1">
      <alignment horizontal="centerContinuous" vertical="center"/>
    </xf>
    <xf numFmtId="0" fontId="32" fillId="31" borderId="26" xfId="0" applyFont="1" applyFill="1" applyBorder="1" applyAlignment="1">
      <alignment horizontal="centerContinuous" vertical="center"/>
    </xf>
    <xf numFmtId="0" fontId="32" fillId="31" borderId="27" xfId="0" applyFont="1" applyFill="1" applyBorder="1" applyAlignment="1">
      <alignment horizontal="centerContinuous" vertical="center"/>
    </xf>
    <xf numFmtId="0" fontId="32" fillId="52" borderId="56" xfId="0" applyFont="1" applyFill="1" applyBorder="1" applyAlignment="1">
      <alignment horizontal="centerContinuous" vertical="center"/>
    </xf>
    <xf numFmtId="0" fontId="44" fillId="52" borderId="57" xfId="0" applyFont="1" applyFill="1" applyBorder="1" applyAlignment="1">
      <alignment horizontal="centerContinuous" vertical="center"/>
    </xf>
    <xf numFmtId="0" fontId="44" fillId="52" borderId="58" xfId="0" applyFont="1" applyFill="1" applyBorder="1" applyAlignment="1">
      <alignment horizontal="centerContinuous" vertical="center"/>
    </xf>
    <xf numFmtId="0" fontId="36" fillId="27" borderId="171" xfId="0" applyFont="1" applyFill="1" applyBorder="1" applyAlignment="1">
      <alignment horizontal="centerContinuous" vertical="center"/>
    </xf>
    <xf numFmtId="0" fontId="36" fillId="27" borderId="12" xfId="0" applyFont="1" applyFill="1" applyBorder="1" applyAlignment="1">
      <alignment horizontal="centerContinuous" vertical="center"/>
    </xf>
    <xf numFmtId="0" fontId="36" fillId="27" borderId="56" xfId="0" applyFont="1" applyFill="1" applyBorder="1" applyAlignment="1">
      <alignment horizontal="centerContinuous" vertical="center"/>
    </xf>
    <xf numFmtId="179" fontId="32" fillId="31" borderId="53" xfId="0" applyNumberFormat="1" applyFont="1" applyFill="1" applyBorder="1" applyAlignment="1" applyProtection="1">
      <alignment horizontal="left" vertical="center"/>
      <protection hidden="1"/>
    </xf>
    <xf numFmtId="190" fontId="32" fillId="31" borderId="54" xfId="0" applyNumberFormat="1" applyFont="1" applyFill="1" applyBorder="1" applyAlignment="1" applyProtection="1">
      <alignment horizontal="center" vertical="center"/>
      <protection hidden="1"/>
    </xf>
    <xf numFmtId="176" fontId="32" fillId="31" borderId="26" xfId="0" applyNumberFormat="1" applyFont="1" applyFill="1" applyBorder="1" applyAlignment="1" applyProtection="1">
      <alignment horizontal="centerContinuous" vertical="center"/>
      <protection hidden="1"/>
    </xf>
    <xf numFmtId="176" fontId="32" fillId="31" borderId="53" xfId="0" applyNumberFormat="1" applyFont="1" applyFill="1" applyBorder="1" applyAlignment="1" applyProtection="1">
      <alignment horizontal="centerContinuous" vertical="center"/>
      <protection hidden="1"/>
    </xf>
    <xf numFmtId="0" fontId="36" fillId="27" borderId="163" xfId="0" applyFont="1" applyFill="1" applyBorder="1" applyAlignment="1" applyProtection="1">
      <alignment horizontal="centerContinuous" vertical="center"/>
      <protection hidden="1"/>
    </xf>
    <xf numFmtId="0" fontId="36" fillId="27" borderId="11" xfId="0" applyFont="1" applyFill="1" applyBorder="1" applyAlignment="1" applyProtection="1">
      <alignment horizontal="centerContinuous" vertical="center"/>
      <protection hidden="1"/>
    </xf>
    <xf numFmtId="0" fontId="36" fillId="27" borderId="55" xfId="0" applyFont="1" applyFill="1" applyBorder="1" applyAlignment="1" applyProtection="1">
      <alignment horizontal="centerContinuous" vertical="center"/>
      <protection hidden="1"/>
    </xf>
    <xf numFmtId="0" fontId="62" fillId="27" borderId="55" xfId="0" applyFont="1" applyFill="1" applyBorder="1" applyAlignment="1" applyProtection="1">
      <alignment horizontal="left" vertical="center" wrapText="1"/>
      <protection hidden="1"/>
    </xf>
    <xf numFmtId="0" fontId="61" fillId="0" borderId="0" xfId="0" applyFont="1">
      <alignment vertical="center"/>
    </xf>
    <xf numFmtId="210" fontId="36" fillId="27" borderId="51" xfId="0" applyNumberFormat="1" applyFont="1" applyFill="1" applyBorder="1" applyAlignment="1" applyProtection="1">
      <alignment horizontal="center" vertical="center"/>
      <protection hidden="1"/>
    </xf>
    <xf numFmtId="0" fontId="32" fillId="27" borderId="10" xfId="0" applyFont="1" applyFill="1" applyBorder="1" applyAlignment="1" applyProtection="1">
      <alignment horizontal="center" vertical="center"/>
      <protection hidden="1"/>
    </xf>
    <xf numFmtId="0" fontId="32" fillId="50" borderId="87" xfId="0" applyFont="1" applyFill="1" applyBorder="1">
      <alignment vertical="center"/>
    </xf>
    <xf numFmtId="0" fontId="32" fillId="50" borderId="187" xfId="0" applyFont="1" applyFill="1" applyBorder="1">
      <alignment vertical="center"/>
    </xf>
    <xf numFmtId="0" fontId="36" fillId="57" borderId="206" xfId="0" applyFont="1" applyFill="1" applyBorder="1" applyAlignment="1" applyProtection="1">
      <alignment horizontal="center" vertical="center"/>
      <protection locked="0" hidden="1"/>
    </xf>
    <xf numFmtId="0" fontId="32" fillId="50" borderId="13" xfId="0" applyFont="1" applyFill="1" applyBorder="1">
      <alignment vertical="center"/>
    </xf>
    <xf numFmtId="0" fontId="32" fillId="50" borderId="14" xfId="0" applyFont="1" applyFill="1" applyBorder="1">
      <alignment vertical="center"/>
    </xf>
    <xf numFmtId="0" fontId="36" fillId="57" borderId="100" xfId="0" applyFont="1" applyFill="1" applyBorder="1" applyAlignment="1" applyProtection="1">
      <alignment horizontal="center" vertical="center"/>
      <protection locked="0" hidden="1"/>
    </xf>
    <xf numFmtId="0" fontId="36" fillId="57" borderId="216" xfId="0" applyFont="1" applyFill="1" applyBorder="1" applyAlignment="1" applyProtection="1">
      <alignment horizontal="center" vertical="center"/>
      <protection locked="0" hidden="1"/>
    </xf>
    <xf numFmtId="0" fontId="36" fillId="57" borderId="215" xfId="0" applyFont="1" applyFill="1" applyBorder="1" applyAlignment="1" applyProtection="1">
      <alignment horizontal="center" vertical="center"/>
      <protection locked="0" hidden="1"/>
    </xf>
    <xf numFmtId="0" fontId="36" fillId="57" borderId="170" xfId="0" applyFont="1" applyFill="1" applyBorder="1" applyAlignment="1" applyProtection="1">
      <alignment horizontal="center" vertical="center"/>
      <protection locked="0" hidden="1"/>
    </xf>
    <xf numFmtId="0" fontId="36" fillId="50" borderId="10" xfId="0" applyFont="1" applyFill="1" applyBorder="1" applyAlignment="1">
      <alignment horizontal="center" vertical="center"/>
    </xf>
    <xf numFmtId="0" fontId="32" fillId="27" borderId="27" xfId="0" applyFont="1" applyFill="1" applyBorder="1" applyAlignment="1" applyProtection="1">
      <alignment horizontal="center" vertical="center" wrapText="1"/>
      <protection hidden="1"/>
    </xf>
    <xf numFmtId="0" fontId="32" fillId="27" borderId="50" xfId="0" applyFont="1" applyFill="1" applyBorder="1" applyAlignment="1" applyProtection="1">
      <alignment horizontal="left" vertical="center" wrapText="1"/>
      <protection hidden="1"/>
    </xf>
    <xf numFmtId="0" fontId="36" fillId="57" borderId="144" xfId="0" applyFont="1" applyFill="1" applyBorder="1" applyAlignment="1" applyProtection="1">
      <alignment horizontal="center" vertical="center"/>
      <protection locked="0"/>
    </xf>
    <xf numFmtId="0" fontId="43" fillId="27" borderId="26" xfId="0" applyFont="1" applyFill="1" applyBorder="1" applyAlignment="1" applyProtection="1">
      <alignment horizontal="center" vertical="center"/>
      <protection hidden="1"/>
    </xf>
    <xf numFmtId="0" fontId="36" fillId="27" borderId="50" xfId="0" applyFont="1" applyFill="1" applyBorder="1" applyAlignment="1" applyProtection="1">
      <alignment horizontal="center" vertical="top"/>
      <protection hidden="1"/>
    </xf>
    <xf numFmtId="0" fontId="36" fillId="27" borderId="27" xfId="0" applyFont="1" applyFill="1" applyBorder="1" applyAlignment="1" applyProtection="1">
      <alignment horizontal="center" vertical="top"/>
      <protection hidden="1"/>
    </xf>
    <xf numFmtId="219" fontId="36" fillId="31" borderId="26" xfId="0" applyNumberFormat="1" applyFont="1" applyFill="1" applyBorder="1" applyAlignment="1" applyProtection="1">
      <alignment horizontal="center" vertical="center"/>
      <protection hidden="1"/>
    </xf>
    <xf numFmtId="0" fontId="36" fillId="31" borderId="26" xfId="0" applyFont="1" applyFill="1" applyBorder="1" applyAlignment="1" applyProtection="1">
      <alignment horizontal="centerContinuous" vertical="center"/>
      <protection hidden="1"/>
    </xf>
    <xf numFmtId="190" fontId="32" fillId="31" borderId="27" xfId="0" applyNumberFormat="1" applyFont="1" applyFill="1" applyBorder="1" applyAlignment="1" applyProtection="1">
      <alignment horizontal="center" vertical="center"/>
      <protection hidden="1"/>
    </xf>
    <xf numFmtId="0" fontId="32" fillId="27" borderId="161" xfId="0" applyFont="1" applyFill="1" applyBorder="1" applyAlignment="1" applyProtection="1">
      <alignment horizontal="right" vertical="center"/>
      <protection hidden="1"/>
    </xf>
    <xf numFmtId="2" fontId="32" fillId="27" borderId="161" xfId="0" applyNumberFormat="1" applyFont="1" applyFill="1" applyBorder="1" applyAlignment="1" applyProtection="1">
      <alignment horizontal="left" vertical="center"/>
      <protection hidden="1"/>
    </xf>
    <xf numFmtId="0" fontId="32" fillId="27" borderId="162" xfId="0" quotePrefix="1" applyFont="1" applyFill="1" applyBorder="1" applyAlignment="1" applyProtection="1">
      <alignment horizontal="left" vertical="center"/>
      <protection hidden="1"/>
    </xf>
    <xf numFmtId="0" fontId="32" fillId="27" borderId="161" xfId="0" applyFont="1" applyFill="1" applyBorder="1" applyAlignment="1" applyProtection="1">
      <alignment horizontal="center" vertical="center"/>
      <protection hidden="1"/>
    </xf>
    <xf numFmtId="0" fontId="32" fillId="27" borderId="162" xfId="0" applyFont="1" applyFill="1" applyBorder="1" applyAlignment="1" applyProtection="1">
      <alignment horizontal="center" vertical="center"/>
      <protection hidden="1"/>
    </xf>
    <xf numFmtId="0" fontId="36" fillId="27" borderId="11" xfId="0" applyFont="1" applyFill="1" applyBorder="1" applyAlignment="1" applyProtection="1">
      <alignment horizontal="center" vertical="center"/>
      <protection hidden="1"/>
    </xf>
    <xf numFmtId="0" fontId="32" fillId="27" borderId="13" xfId="0" applyFont="1" applyFill="1" applyBorder="1" applyAlignment="1" applyProtection="1">
      <alignment horizontal="right" vertical="center"/>
      <protection hidden="1"/>
    </xf>
    <xf numFmtId="2" fontId="32" fillId="27" borderId="13" xfId="0" applyNumberFormat="1" applyFont="1" applyFill="1" applyBorder="1" applyAlignment="1" applyProtection="1">
      <alignment horizontal="left" vertical="center"/>
      <protection hidden="1"/>
    </xf>
    <xf numFmtId="0" fontId="32" fillId="27" borderId="14" xfId="0" quotePrefix="1" applyFont="1" applyFill="1" applyBorder="1" applyAlignment="1" applyProtection="1">
      <alignment horizontal="left" vertical="center"/>
      <protection hidden="1"/>
    </xf>
    <xf numFmtId="0" fontId="32" fillId="27" borderId="14" xfId="0" applyFont="1" applyFill="1" applyBorder="1" applyAlignment="1" applyProtection="1">
      <alignment horizontal="right" vertical="center"/>
      <protection hidden="1"/>
    </xf>
    <xf numFmtId="2" fontId="32" fillId="27" borderId="13" xfId="0" applyNumberFormat="1" applyFont="1" applyFill="1" applyBorder="1" applyAlignment="1" applyProtection="1">
      <alignment horizontal="left" vertical="center" wrapText="1"/>
      <protection hidden="1"/>
    </xf>
    <xf numFmtId="0" fontId="36" fillId="27" borderId="173" xfId="0" applyFont="1" applyFill="1" applyBorder="1" applyAlignment="1" applyProtection="1">
      <alignment horizontal="center" vertical="center"/>
      <protection hidden="1"/>
    </xf>
    <xf numFmtId="2" fontId="32" fillId="27" borderId="167" xfId="0" applyNumberFormat="1" applyFont="1" applyFill="1" applyBorder="1" applyAlignment="1" applyProtection="1">
      <alignment horizontal="left" vertical="center"/>
      <protection hidden="1"/>
    </xf>
    <xf numFmtId="193" fontId="36" fillId="31" borderId="56" xfId="0" applyNumberFormat="1" applyFont="1" applyFill="1" applyBorder="1" applyAlignment="1">
      <alignment horizontal="center" vertical="center"/>
    </xf>
    <xf numFmtId="0" fontId="32" fillId="27" borderId="13" xfId="0" applyFont="1" applyFill="1" applyBorder="1" applyAlignment="1" applyProtection="1">
      <alignment horizontal="center" vertical="center"/>
      <protection hidden="1"/>
    </xf>
    <xf numFmtId="0" fontId="32" fillId="27" borderId="167" xfId="0" applyFont="1" applyFill="1" applyBorder="1" applyAlignment="1" applyProtection="1">
      <alignment horizontal="center" vertical="center"/>
      <protection hidden="1"/>
    </xf>
    <xf numFmtId="193" fontId="36" fillId="31" borderId="26" xfId="0" applyNumberFormat="1" applyFont="1" applyFill="1" applyBorder="1" applyAlignment="1" applyProtection="1">
      <alignment horizontal="center" vertical="center"/>
      <protection hidden="1"/>
    </xf>
    <xf numFmtId="0" fontId="36" fillId="52" borderId="52" xfId="0" applyFont="1" applyFill="1" applyBorder="1" applyAlignment="1" applyProtection="1">
      <alignment horizontal="centerContinuous" vertical="center"/>
      <protection hidden="1"/>
    </xf>
    <xf numFmtId="0" fontId="44" fillId="52" borderId="53" xfId="0" applyFont="1" applyFill="1" applyBorder="1">
      <alignment vertical="center"/>
    </xf>
    <xf numFmtId="0" fontId="32" fillId="31" borderId="54" xfId="0" applyFont="1" applyFill="1" applyBorder="1" applyAlignment="1" applyProtection="1">
      <alignment horizontal="centerContinuous" vertical="center"/>
      <protection hidden="1"/>
    </xf>
    <xf numFmtId="0" fontId="36" fillId="27" borderId="12" xfId="0" applyFont="1" applyFill="1" applyBorder="1" applyAlignment="1" applyProtection="1">
      <alignment horizontal="center" vertical="center"/>
      <protection hidden="1"/>
    </xf>
    <xf numFmtId="0" fontId="36" fillId="27" borderId="172" xfId="0" applyFont="1" applyFill="1" applyBorder="1" applyAlignment="1" applyProtection="1">
      <alignment horizontal="center" vertical="center"/>
      <protection hidden="1"/>
    </xf>
    <xf numFmtId="0" fontId="36" fillId="27" borderId="56" xfId="0" applyFont="1" applyFill="1" applyBorder="1" applyAlignment="1" applyProtection="1">
      <alignment horizontal="center" vertical="center"/>
      <protection hidden="1"/>
    </xf>
    <xf numFmtId="0" fontId="32" fillId="0" borderId="57" xfId="0" applyFont="1" applyBorder="1">
      <alignment vertical="center"/>
    </xf>
    <xf numFmtId="0" fontId="32" fillId="0" borderId="58" xfId="0" applyFont="1" applyBorder="1">
      <alignment vertical="center"/>
    </xf>
    <xf numFmtId="0" fontId="36" fillId="31" borderId="10" xfId="0" applyFont="1" applyFill="1" applyBorder="1" applyAlignment="1" applyProtection="1">
      <alignment horizontal="centerContinuous" vertical="center"/>
      <protection hidden="1"/>
    </xf>
    <xf numFmtId="0" fontId="32" fillId="50" borderId="10" xfId="0" applyFont="1" applyFill="1" applyBorder="1" applyAlignment="1">
      <alignment horizontal="center" vertical="center"/>
    </xf>
    <xf numFmtId="0" fontId="32" fillId="0" borderId="0" xfId="0" applyFont="1" applyAlignment="1">
      <alignment horizontal="center" vertical="center"/>
    </xf>
    <xf numFmtId="0" fontId="44" fillId="0" borderId="144" xfId="0" applyFont="1" applyBorder="1">
      <alignment vertical="center"/>
    </xf>
    <xf numFmtId="0" fontId="32" fillId="52" borderId="10" xfId="0" applyFont="1" applyFill="1" applyBorder="1">
      <alignment vertical="center"/>
    </xf>
    <xf numFmtId="0" fontId="32" fillId="52" borderId="10" xfId="0" applyFont="1" applyFill="1" applyBorder="1" applyAlignment="1">
      <alignment horizontal="center" vertical="center"/>
    </xf>
    <xf numFmtId="182" fontId="32" fillId="50" borderId="10" xfId="0" applyNumberFormat="1" applyFont="1" applyFill="1" applyBorder="1" applyAlignment="1">
      <alignment horizontal="center" vertical="center"/>
    </xf>
    <xf numFmtId="177" fontId="32" fillId="27" borderId="87" xfId="0" applyNumberFormat="1" applyFont="1" applyFill="1" applyBorder="1" applyAlignment="1" applyProtection="1">
      <alignment horizontal="left" vertical="center"/>
      <protection hidden="1"/>
    </xf>
    <xf numFmtId="177" fontId="32" fillId="27" borderId="161" xfId="0" applyNumberFormat="1" applyFont="1" applyFill="1" applyBorder="1" applyAlignment="1" applyProtection="1">
      <alignment vertical="center" wrapText="1"/>
      <protection hidden="1"/>
    </xf>
    <xf numFmtId="0" fontId="32" fillId="27" borderId="187" xfId="0" applyFont="1" applyFill="1" applyBorder="1" applyAlignment="1" applyProtection="1">
      <alignment horizontal="left" vertical="center"/>
      <protection hidden="1"/>
    </xf>
    <xf numFmtId="0" fontId="32" fillId="27" borderId="26" xfId="0" applyFont="1" applyFill="1" applyBorder="1" applyAlignment="1">
      <alignment horizontal="left" vertical="center"/>
    </xf>
    <xf numFmtId="0" fontId="32" fillId="27" borderId="10" xfId="0" applyFont="1" applyFill="1" applyBorder="1" applyAlignment="1">
      <alignment horizontal="center" vertical="center" wrapText="1"/>
    </xf>
    <xf numFmtId="0" fontId="32" fillId="27" borderId="27" xfId="0" applyFont="1" applyFill="1" applyBorder="1" applyAlignment="1">
      <alignment horizontal="left" vertical="center"/>
    </xf>
    <xf numFmtId="0" fontId="43" fillId="29" borderId="0" xfId="0" applyFont="1" applyFill="1" applyProtection="1">
      <alignment vertical="center"/>
      <protection hidden="1"/>
    </xf>
    <xf numFmtId="0" fontId="41" fillId="29" borderId="0" xfId="0" applyFont="1" applyFill="1">
      <alignment vertical="center"/>
    </xf>
    <xf numFmtId="0" fontId="62" fillId="29" borderId="0" xfId="0" applyFont="1" applyFill="1" applyAlignment="1" applyProtection="1">
      <alignment horizontal="justify"/>
      <protection hidden="1"/>
    </xf>
    <xf numFmtId="177" fontId="32" fillId="27" borderId="161" xfId="0" applyNumberFormat="1" applyFont="1" applyFill="1" applyBorder="1" applyAlignment="1" applyProtection="1">
      <alignment horizontal="left" vertical="center"/>
      <protection hidden="1"/>
    </xf>
    <xf numFmtId="0" fontId="32" fillId="57" borderId="56" xfId="0" applyFont="1" applyFill="1" applyBorder="1" applyProtection="1">
      <alignment vertical="center"/>
      <protection locked="0"/>
    </xf>
    <xf numFmtId="177" fontId="32" fillId="27" borderId="187" xfId="0" applyNumberFormat="1" applyFont="1" applyFill="1" applyBorder="1" applyAlignment="1" applyProtection="1">
      <alignment horizontal="left" vertical="center"/>
      <protection hidden="1"/>
    </xf>
    <xf numFmtId="219" fontId="36" fillId="50" borderId="51" xfId="0" applyNumberFormat="1" applyFont="1" applyFill="1" applyBorder="1" applyAlignment="1">
      <alignment horizontal="center" vertical="center"/>
    </xf>
    <xf numFmtId="0" fontId="36" fillId="27" borderId="50" xfId="0" applyFont="1" applyFill="1" applyBorder="1" applyAlignment="1" applyProtection="1">
      <alignment horizontal="centerContinuous" vertical="center"/>
      <protection hidden="1"/>
    </xf>
    <xf numFmtId="0" fontId="32" fillId="27" borderId="180" xfId="0" applyFont="1" applyFill="1" applyBorder="1" applyAlignment="1" applyProtection="1">
      <alignment horizontal="center" vertical="center"/>
      <protection hidden="1"/>
    </xf>
    <xf numFmtId="0" fontId="32" fillId="27" borderId="182" xfId="0" applyFont="1" applyFill="1" applyBorder="1" applyAlignment="1" applyProtection="1">
      <alignment horizontal="left" vertical="center"/>
      <protection hidden="1"/>
    </xf>
    <xf numFmtId="0" fontId="36" fillId="57" borderId="92" xfId="0" applyFont="1" applyFill="1" applyBorder="1" applyAlignment="1" applyProtection="1">
      <alignment horizontal="center" vertical="center"/>
      <protection locked="0" hidden="1"/>
    </xf>
    <xf numFmtId="0" fontId="32" fillId="27" borderId="62" xfId="0" applyFont="1" applyFill="1" applyBorder="1" applyAlignment="1" applyProtection="1">
      <alignment horizontal="center" vertical="center"/>
      <protection hidden="1"/>
    </xf>
    <xf numFmtId="0" fontId="32" fillId="27" borderId="193" xfId="0" applyFont="1" applyFill="1" applyBorder="1" applyAlignment="1" applyProtection="1">
      <alignment horizontal="left" vertical="center"/>
      <protection hidden="1"/>
    </xf>
    <xf numFmtId="0" fontId="32" fillId="27" borderId="177" xfId="0" applyFont="1" applyFill="1" applyBorder="1">
      <alignment vertical="center"/>
    </xf>
    <xf numFmtId="0" fontId="32" fillId="27" borderId="182" xfId="0" applyFont="1" applyFill="1" applyBorder="1" applyProtection="1">
      <alignment vertical="center"/>
      <protection hidden="1"/>
    </xf>
    <xf numFmtId="0" fontId="32" fillId="43" borderId="26" xfId="0" applyFont="1" applyFill="1" applyBorder="1" applyAlignment="1" applyProtection="1">
      <alignment horizontal="center" vertical="center"/>
      <protection hidden="1"/>
    </xf>
    <xf numFmtId="0" fontId="32" fillId="43" borderId="27" xfId="0" applyFont="1" applyFill="1" applyBorder="1" applyAlignment="1" applyProtection="1">
      <alignment horizontal="center" vertical="center"/>
      <protection hidden="1"/>
    </xf>
    <xf numFmtId="0" fontId="44" fillId="25" borderId="10" xfId="0" applyFont="1" applyFill="1" applyBorder="1">
      <alignment vertical="center"/>
    </xf>
    <xf numFmtId="0" fontId="32" fillId="41" borderId="160" xfId="0" applyFont="1" applyFill="1" applyBorder="1" applyProtection="1">
      <alignment vertical="center"/>
      <protection hidden="1"/>
    </xf>
    <xf numFmtId="0" fontId="32" fillId="41" borderId="162" xfId="0" applyFont="1" applyFill="1" applyBorder="1" applyAlignment="1" applyProtection="1">
      <alignment vertical="center" wrapText="1"/>
      <protection hidden="1"/>
    </xf>
    <xf numFmtId="0" fontId="32" fillId="41" borderId="12" xfId="0" applyFont="1" applyFill="1" applyBorder="1" applyProtection="1">
      <alignment vertical="center"/>
      <protection hidden="1"/>
    </xf>
    <xf numFmtId="0" fontId="32" fillId="41" borderId="14" xfId="0" applyFont="1" applyFill="1" applyBorder="1" applyAlignment="1" applyProtection="1">
      <alignment vertical="center" wrapText="1"/>
      <protection hidden="1"/>
    </xf>
    <xf numFmtId="0" fontId="32" fillId="41" borderId="165" xfId="0" applyFont="1" applyFill="1" applyBorder="1" applyProtection="1">
      <alignment vertical="center"/>
      <protection hidden="1"/>
    </xf>
    <xf numFmtId="0" fontId="32" fillId="41" borderId="166" xfId="0" applyFont="1" applyFill="1" applyBorder="1" applyAlignment="1" applyProtection="1">
      <alignment vertical="center" wrapText="1"/>
      <protection hidden="1"/>
    </xf>
    <xf numFmtId="221" fontId="32" fillId="57" borderId="10" xfId="0" applyNumberFormat="1" applyFont="1" applyFill="1" applyBorder="1" applyProtection="1">
      <alignment vertical="center"/>
      <protection locked="0"/>
    </xf>
    <xf numFmtId="222" fontId="32" fillId="57" borderId="10" xfId="0" applyNumberFormat="1" applyFont="1" applyFill="1" applyBorder="1" applyProtection="1">
      <alignment vertical="center"/>
      <protection locked="0"/>
    </xf>
    <xf numFmtId="0" fontId="36" fillId="50" borderId="171" xfId="0" applyFont="1" applyFill="1" applyBorder="1" applyAlignment="1" applyProtection="1">
      <alignment horizontal="center" vertical="center"/>
      <protection hidden="1"/>
    </xf>
    <xf numFmtId="0" fontId="36" fillId="50" borderId="165" xfId="0" applyFont="1" applyFill="1" applyBorder="1" applyAlignment="1" applyProtection="1">
      <alignment horizontal="center" vertical="center"/>
      <protection hidden="1"/>
    </xf>
    <xf numFmtId="179" fontId="32" fillId="31" borderId="27" xfId="0" applyNumberFormat="1" applyFont="1" applyFill="1" applyBorder="1" applyAlignment="1" applyProtection="1">
      <alignment horizontal="center" vertical="center"/>
      <protection hidden="1"/>
    </xf>
    <xf numFmtId="0" fontId="32" fillId="50" borderId="160" xfId="0" applyFont="1" applyFill="1" applyBorder="1" applyAlignment="1" applyProtection="1">
      <alignment horizontal="left" vertical="center" wrapText="1"/>
      <protection hidden="1"/>
    </xf>
    <xf numFmtId="0" fontId="36" fillId="50" borderId="159" xfId="0" applyFont="1" applyFill="1" applyBorder="1" applyAlignment="1" applyProtection="1">
      <alignment horizontal="center" vertical="center"/>
      <protection hidden="1"/>
    </xf>
    <xf numFmtId="0" fontId="32" fillId="50" borderId="11" xfId="0" applyFont="1" applyFill="1" applyBorder="1" applyAlignment="1">
      <alignment vertical="center" wrapText="1"/>
    </xf>
    <xf numFmtId="0" fontId="32" fillId="50" borderId="12" xfId="0" applyFont="1" applyFill="1" applyBorder="1" applyAlignment="1" applyProtection="1">
      <alignment horizontal="left" vertical="center" wrapText="1"/>
      <protection hidden="1"/>
    </xf>
    <xf numFmtId="0" fontId="36" fillId="50" borderId="163" xfId="0" applyFont="1" applyFill="1" applyBorder="1" applyAlignment="1" applyProtection="1">
      <alignment horizontal="center" vertical="center"/>
      <protection hidden="1"/>
    </xf>
    <xf numFmtId="0" fontId="32" fillId="50" borderId="164" xfId="0" applyFont="1" applyFill="1" applyBorder="1" applyAlignment="1">
      <alignment vertical="center" wrapText="1"/>
    </xf>
    <xf numFmtId="0" fontId="32" fillId="50" borderId="165" xfId="0" applyFont="1" applyFill="1" applyBorder="1" applyAlignment="1" applyProtection="1">
      <alignment vertical="center" wrapText="1"/>
      <protection hidden="1"/>
    </xf>
    <xf numFmtId="0" fontId="36" fillId="50" borderId="164" xfId="0" applyFont="1" applyFill="1" applyBorder="1" applyAlignment="1" applyProtection="1">
      <alignment horizontal="center" vertical="center"/>
      <protection hidden="1"/>
    </xf>
    <xf numFmtId="0" fontId="32" fillId="31" borderId="56" xfId="0" applyFont="1" applyFill="1" applyBorder="1" applyAlignment="1" applyProtection="1">
      <alignment horizontal="centerContinuous" vertical="center"/>
      <protection hidden="1"/>
    </xf>
    <xf numFmtId="0" fontId="32" fillId="0" borderId="17" xfId="0" applyFont="1" applyBorder="1" applyAlignment="1" applyProtection="1">
      <alignment horizontal="center" vertical="center"/>
      <protection hidden="1"/>
    </xf>
    <xf numFmtId="0" fontId="32" fillId="27" borderId="167" xfId="0" applyFont="1" applyFill="1" applyBorder="1" applyProtection="1">
      <alignment vertical="center"/>
      <protection hidden="1"/>
    </xf>
    <xf numFmtId="0" fontId="32" fillId="50" borderId="161" xfId="0" applyFont="1" applyFill="1" applyBorder="1" applyAlignment="1" applyProtection="1">
      <alignment vertical="center" wrapText="1"/>
      <protection hidden="1"/>
    </xf>
    <xf numFmtId="0" fontId="32" fillId="50" borderId="162" xfId="0" applyFont="1" applyFill="1" applyBorder="1" applyAlignment="1" applyProtection="1">
      <alignment vertical="center" wrapText="1"/>
      <protection hidden="1"/>
    </xf>
    <xf numFmtId="0" fontId="44" fillId="50" borderId="13" xfId="0" applyFont="1" applyFill="1" applyBorder="1" applyAlignment="1">
      <alignment vertical="center" wrapText="1"/>
    </xf>
    <xf numFmtId="0" fontId="44" fillId="50" borderId="14" xfId="0" applyFont="1" applyFill="1" applyBorder="1" applyAlignment="1">
      <alignment vertical="center" wrapText="1"/>
    </xf>
    <xf numFmtId="0" fontId="32" fillId="50" borderId="12" xfId="0" applyFont="1" applyFill="1" applyBorder="1" applyAlignment="1" applyProtection="1">
      <alignment horizontal="left" vertical="center"/>
      <protection hidden="1"/>
    </xf>
    <xf numFmtId="0" fontId="44" fillId="50" borderId="167" xfId="0" applyFont="1" applyFill="1" applyBorder="1" applyAlignment="1">
      <alignment vertical="center" wrapText="1"/>
    </xf>
    <xf numFmtId="0" fontId="44" fillId="50" borderId="166" xfId="0" applyFont="1" applyFill="1" applyBorder="1" applyAlignment="1">
      <alignment vertical="center" wrapText="1"/>
    </xf>
    <xf numFmtId="0" fontId="32" fillId="50" borderId="165" xfId="0" applyFont="1" applyFill="1" applyBorder="1" applyAlignment="1" applyProtection="1">
      <alignment horizontal="left" vertical="center"/>
      <protection hidden="1"/>
    </xf>
    <xf numFmtId="0" fontId="44" fillId="50" borderId="167" xfId="0" applyFont="1" applyFill="1" applyBorder="1" applyAlignment="1">
      <alignment horizontal="centerContinuous" vertical="center" wrapText="1"/>
    </xf>
    <xf numFmtId="0" fontId="44" fillId="50" borderId="166" xfId="0" applyFont="1" applyFill="1" applyBorder="1" applyAlignment="1">
      <alignment horizontal="centerContinuous" vertical="center" wrapText="1"/>
    </xf>
    <xf numFmtId="9" fontId="36" fillId="27" borderId="92" xfId="0" applyNumberFormat="1" applyFont="1" applyFill="1" applyBorder="1" applyAlignment="1" applyProtection="1">
      <alignment horizontal="center" vertical="center"/>
      <protection locked="0" hidden="1"/>
    </xf>
    <xf numFmtId="9" fontId="36" fillId="27" borderId="169" xfId="0" applyNumberFormat="1" applyFont="1" applyFill="1" applyBorder="1" applyAlignment="1" applyProtection="1">
      <alignment horizontal="center" vertical="center"/>
      <protection locked="0" hidden="1"/>
    </xf>
    <xf numFmtId="9" fontId="36" fillId="27" borderId="115" xfId="0" applyNumberFormat="1" applyFont="1" applyFill="1" applyBorder="1" applyAlignment="1" applyProtection="1">
      <alignment horizontal="center" vertical="center"/>
      <protection locked="0" hidden="1"/>
    </xf>
    <xf numFmtId="0" fontId="36" fillId="50" borderId="27" xfId="0" applyFont="1" applyFill="1" applyBorder="1" applyAlignment="1" applyProtection="1">
      <alignment horizontal="center" vertical="center" wrapText="1"/>
      <protection hidden="1"/>
    </xf>
    <xf numFmtId="0" fontId="43" fillId="50" borderId="211" xfId="0" applyFont="1" applyFill="1" applyBorder="1" applyAlignment="1" applyProtection="1">
      <alignment horizontal="center" vertical="center" wrapText="1"/>
      <protection hidden="1"/>
    </xf>
    <xf numFmtId="0" fontId="32" fillId="50" borderId="50" xfId="0" applyFont="1" applyFill="1" applyBorder="1" applyAlignment="1" applyProtection="1">
      <alignment horizontal="center" vertical="center"/>
      <protection hidden="1"/>
    </xf>
    <xf numFmtId="0" fontId="306" fillId="0" borderId="0" xfId="0" applyFont="1">
      <alignment vertical="center"/>
    </xf>
    <xf numFmtId="0" fontId="44" fillId="69" borderId="0" xfId="0" applyFont="1" applyFill="1">
      <alignment vertical="center"/>
    </xf>
    <xf numFmtId="9" fontId="36" fillId="57" borderId="168" xfId="0" applyNumberFormat="1" applyFont="1" applyFill="1" applyBorder="1" applyAlignment="1" applyProtection="1">
      <alignment horizontal="center" vertical="center"/>
      <protection locked="0" hidden="1"/>
    </xf>
    <xf numFmtId="0" fontId="32" fillId="27" borderId="183" xfId="0" applyFont="1" applyFill="1" applyBorder="1" applyAlignment="1" applyProtection="1">
      <alignment vertical="center" wrapText="1"/>
      <protection hidden="1"/>
    </xf>
    <xf numFmtId="9" fontId="36" fillId="57" borderId="169" xfId="0" applyNumberFormat="1" applyFont="1" applyFill="1" applyBorder="1" applyAlignment="1" applyProtection="1">
      <alignment horizontal="center" vertical="center"/>
      <protection locked="0" hidden="1"/>
    </xf>
    <xf numFmtId="0" fontId="32" fillId="27" borderId="86" xfId="0" applyFont="1" applyFill="1" applyBorder="1" applyAlignment="1" applyProtection="1">
      <alignment vertical="center" wrapText="1"/>
      <protection hidden="1"/>
    </xf>
    <xf numFmtId="0" fontId="32" fillId="27" borderId="118" xfId="0" applyFont="1" applyFill="1" applyBorder="1" applyAlignment="1" applyProtection="1">
      <alignment vertical="center" wrapText="1"/>
      <protection hidden="1"/>
    </xf>
    <xf numFmtId="0" fontId="304" fillId="0" borderId="0" xfId="0" applyFont="1" applyAlignment="1">
      <alignment horizontal="right" vertical="center"/>
    </xf>
    <xf numFmtId="9" fontId="36" fillId="57" borderId="184" xfId="0" applyNumberFormat="1" applyFont="1" applyFill="1" applyBorder="1" applyAlignment="1" applyProtection="1">
      <alignment horizontal="center" vertical="center"/>
      <protection locked="0" hidden="1"/>
    </xf>
    <xf numFmtId="0" fontId="32" fillId="27" borderId="207" xfId="0" applyFont="1" applyFill="1" applyBorder="1" applyAlignment="1" applyProtection="1">
      <alignment vertical="center" wrapText="1"/>
      <protection hidden="1"/>
    </xf>
    <xf numFmtId="9" fontId="36" fillId="57" borderId="170" xfId="0" applyNumberFormat="1" applyFont="1" applyFill="1" applyBorder="1" applyAlignment="1" applyProtection="1">
      <alignment horizontal="center" vertical="center"/>
      <protection locked="0" hidden="1"/>
    </xf>
    <xf numFmtId="0" fontId="32" fillId="27" borderId="77" xfId="0" applyFont="1" applyFill="1" applyBorder="1" applyProtection="1">
      <alignment vertical="center"/>
      <protection hidden="1"/>
    </xf>
    <xf numFmtId="0" fontId="43" fillId="27" borderId="50" xfId="0" applyFont="1" applyFill="1" applyBorder="1" applyAlignment="1" applyProtection="1">
      <alignment horizontal="center" vertical="center" wrapText="1"/>
      <protection hidden="1"/>
    </xf>
    <xf numFmtId="0" fontId="36" fillId="27" borderId="27" xfId="0" applyFont="1" applyFill="1" applyBorder="1" applyAlignment="1" applyProtection="1">
      <alignment horizontal="center" vertical="center" wrapText="1"/>
      <protection hidden="1"/>
    </xf>
    <xf numFmtId="0" fontId="304" fillId="37" borderId="0" xfId="0" applyFont="1" applyFill="1" applyProtection="1">
      <alignment vertical="center"/>
      <protection hidden="1"/>
    </xf>
    <xf numFmtId="0" fontId="306" fillId="37" borderId="0" xfId="0" applyFont="1" applyFill="1">
      <alignment vertical="center"/>
    </xf>
    <xf numFmtId="0" fontId="306" fillId="0" borderId="57" xfId="0" applyFont="1" applyBorder="1">
      <alignment vertical="center"/>
    </xf>
    <xf numFmtId="0" fontId="307" fillId="0" borderId="0" xfId="0" applyFont="1">
      <alignment vertical="center"/>
    </xf>
    <xf numFmtId="193" fontId="308" fillId="50" borderId="10" xfId="0" applyNumberFormat="1" applyFont="1" applyFill="1" applyBorder="1" applyAlignment="1">
      <alignment horizontal="center" vertical="center"/>
    </xf>
    <xf numFmtId="0" fontId="304" fillId="27" borderId="50" xfId="0" applyFont="1" applyFill="1" applyBorder="1" applyAlignment="1" applyProtection="1">
      <alignment horizontal="left" vertical="center"/>
      <protection hidden="1"/>
    </xf>
    <xf numFmtId="0" fontId="304" fillId="27" borderId="50" xfId="0" applyFont="1" applyFill="1" applyBorder="1" applyAlignment="1" applyProtection="1">
      <alignment horizontal="center" vertical="center"/>
      <protection hidden="1"/>
    </xf>
    <xf numFmtId="0" fontId="304" fillId="27" borderId="26" xfId="0" applyFont="1" applyFill="1" applyBorder="1" applyAlignment="1" applyProtection="1">
      <alignment horizontal="left" vertical="center"/>
      <protection hidden="1"/>
    </xf>
    <xf numFmtId="0" fontId="304" fillId="27" borderId="51" xfId="0" applyFont="1" applyFill="1" applyBorder="1" applyAlignment="1" applyProtection="1">
      <alignment horizontal="center" vertical="center"/>
      <protection hidden="1"/>
    </xf>
    <xf numFmtId="0" fontId="294" fillId="38" borderId="206" xfId="0" applyFont="1" applyFill="1" applyBorder="1" applyAlignment="1" applyProtection="1">
      <alignment horizontal="center" vertical="center"/>
      <protection locked="0" hidden="1"/>
    </xf>
    <xf numFmtId="0" fontId="304" fillId="27" borderId="161" xfId="0" applyFont="1" applyFill="1" applyBorder="1" applyAlignment="1" applyProtection="1">
      <alignment horizontal="left" vertical="center"/>
      <protection hidden="1"/>
    </xf>
    <xf numFmtId="0" fontId="304" fillId="27" borderId="162" xfId="0" applyFont="1" applyFill="1" applyBorder="1" applyAlignment="1" applyProtection="1">
      <alignment horizontal="left" vertical="center"/>
      <protection hidden="1"/>
    </xf>
    <xf numFmtId="0" fontId="304" fillId="27" borderId="160" xfId="0" applyFont="1" applyFill="1" applyBorder="1" applyAlignment="1" applyProtection="1">
      <alignment horizontal="left" vertical="center"/>
      <protection hidden="1"/>
    </xf>
    <xf numFmtId="0" fontId="306" fillId="27" borderId="16" xfId="0" applyFont="1" applyFill="1" applyBorder="1" applyAlignment="1" applyProtection="1">
      <alignment horizontal="center" vertical="center"/>
      <protection hidden="1"/>
    </xf>
    <xf numFmtId="0" fontId="294" fillId="38" borderId="169" xfId="0" applyFont="1" applyFill="1" applyBorder="1" applyAlignment="1" applyProtection="1">
      <alignment horizontal="center" vertical="center"/>
      <protection locked="0" hidden="1"/>
    </xf>
    <xf numFmtId="0" fontId="304" fillId="27" borderId="13" xfId="0" applyFont="1" applyFill="1" applyBorder="1" applyAlignment="1" applyProtection="1">
      <alignment horizontal="left" vertical="center"/>
      <protection hidden="1"/>
    </xf>
    <xf numFmtId="0" fontId="304" fillId="27" borderId="14" xfId="0" applyFont="1" applyFill="1" applyBorder="1" applyAlignment="1" applyProtection="1">
      <alignment horizontal="left" vertical="center"/>
      <protection hidden="1"/>
    </xf>
    <xf numFmtId="0" fontId="304" fillId="27" borderId="12" xfId="0" applyFont="1" applyFill="1" applyBorder="1" applyAlignment="1" applyProtection="1">
      <alignment horizontal="left" vertical="center"/>
      <protection hidden="1"/>
    </xf>
    <xf numFmtId="0" fontId="306" fillId="27" borderId="11" xfId="0" applyFont="1" applyFill="1" applyBorder="1" applyAlignment="1" applyProtection="1">
      <alignment horizontal="center" vertical="center"/>
      <protection hidden="1"/>
    </xf>
    <xf numFmtId="0" fontId="294" fillId="38" borderId="170" xfId="0" applyFont="1" applyFill="1" applyBorder="1" applyAlignment="1" applyProtection="1">
      <alignment horizontal="center" vertical="center"/>
      <protection locked="0" hidden="1"/>
    </xf>
    <xf numFmtId="0" fontId="304" fillId="27" borderId="167" xfId="0" applyFont="1" applyFill="1" applyBorder="1" applyAlignment="1" applyProtection="1">
      <alignment horizontal="left" vertical="center"/>
      <protection hidden="1"/>
    </xf>
    <xf numFmtId="0" fontId="304" fillId="27" borderId="166" xfId="0" applyFont="1" applyFill="1" applyBorder="1" applyAlignment="1" applyProtection="1">
      <alignment horizontal="left" vertical="center"/>
      <protection hidden="1"/>
    </xf>
    <xf numFmtId="0" fontId="304" fillId="27" borderId="165" xfId="0" applyFont="1" applyFill="1" applyBorder="1" applyAlignment="1" applyProtection="1">
      <alignment horizontal="left" vertical="center"/>
      <protection hidden="1"/>
    </xf>
    <xf numFmtId="0" fontId="306" fillId="27" borderId="173" xfId="0" applyFont="1" applyFill="1" applyBorder="1" applyAlignment="1" applyProtection="1">
      <alignment horizontal="center" vertical="center"/>
      <protection hidden="1"/>
    </xf>
    <xf numFmtId="0" fontId="309" fillId="27" borderId="50" xfId="0" applyFont="1" applyFill="1" applyBorder="1" applyAlignment="1" applyProtection="1">
      <alignment vertical="center" wrapText="1"/>
      <protection hidden="1"/>
    </xf>
    <xf numFmtId="0" fontId="308" fillId="27" borderId="50" xfId="0" applyFont="1" applyFill="1" applyBorder="1" applyAlignment="1" applyProtection="1">
      <alignment horizontal="center" vertical="center" wrapText="1"/>
      <protection hidden="1"/>
    </xf>
    <xf numFmtId="0" fontId="294" fillId="27" borderId="206" xfId="0" applyFont="1" applyFill="1" applyBorder="1" applyAlignment="1" applyProtection="1">
      <alignment horizontal="center" vertical="center"/>
      <protection locked="0" hidden="1"/>
    </xf>
    <xf numFmtId="0" fontId="294" fillId="27" borderId="169" xfId="0" applyFont="1" applyFill="1" applyBorder="1" applyAlignment="1" applyProtection="1">
      <alignment horizontal="center" vertical="center"/>
      <protection locked="0" hidden="1"/>
    </xf>
    <xf numFmtId="0" fontId="294" fillId="27" borderId="170" xfId="0" applyFont="1" applyFill="1" applyBorder="1" applyAlignment="1" applyProtection="1">
      <alignment horizontal="center" vertical="center"/>
      <protection locked="0" hidden="1"/>
    </xf>
    <xf numFmtId="0" fontId="32" fillId="31" borderId="56" xfId="0" quotePrefix="1" applyFont="1" applyFill="1" applyBorder="1" applyAlignment="1" applyProtection="1">
      <alignment horizontal="center" vertical="center"/>
      <protection hidden="1"/>
    </xf>
    <xf numFmtId="0" fontId="32" fillId="27" borderId="26" xfId="0" applyFont="1" applyFill="1" applyBorder="1" applyAlignment="1" applyProtection="1">
      <alignment horizontal="center" vertical="center" wrapText="1"/>
      <protection hidden="1"/>
    </xf>
    <xf numFmtId="0" fontId="32" fillId="50" borderId="12" xfId="0" applyFont="1" applyFill="1" applyBorder="1">
      <alignment vertical="center"/>
    </xf>
    <xf numFmtId="0" fontId="44" fillId="50" borderId="187" xfId="0" applyFont="1" applyFill="1" applyBorder="1" applyAlignment="1">
      <alignment vertical="center" wrapText="1"/>
    </xf>
    <xf numFmtId="178" fontId="36" fillId="27" borderId="27" xfId="0" applyNumberFormat="1" applyFont="1" applyFill="1" applyBorder="1" applyAlignment="1" applyProtection="1">
      <alignment horizontal="center" vertical="center" wrapText="1"/>
      <protection hidden="1"/>
    </xf>
    <xf numFmtId="0" fontId="32" fillId="27" borderId="10" xfId="0" quotePrefix="1" applyFont="1" applyFill="1" applyBorder="1" applyAlignment="1" applyProtection="1">
      <alignment horizontal="left" vertical="center"/>
      <protection hidden="1"/>
    </xf>
    <xf numFmtId="0" fontId="32" fillId="27" borderId="26" xfId="0" applyFont="1" applyFill="1" applyBorder="1" applyAlignment="1" applyProtection="1">
      <alignment vertical="center" wrapText="1"/>
      <protection hidden="1"/>
    </xf>
    <xf numFmtId="0" fontId="32" fillId="27" borderId="27" xfId="0" applyFont="1" applyFill="1" applyBorder="1" applyAlignment="1" applyProtection="1">
      <alignment vertical="center" wrapText="1"/>
      <protection hidden="1"/>
    </xf>
    <xf numFmtId="0" fontId="62" fillId="31" borderId="68" xfId="0" applyFont="1" applyFill="1" applyBorder="1" applyAlignment="1" applyProtection="1">
      <alignment vertical="center" wrapText="1"/>
      <protection locked="0" hidden="1"/>
    </xf>
    <xf numFmtId="0" fontId="44" fillId="0" borderId="69" xfId="0" applyFont="1" applyBorder="1" applyAlignment="1" applyProtection="1">
      <alignment vertical="center" wrapText="1"/>
      <protection locked="0" hidden="1"/>
    </xf>
    <xf numFmtId="0" fontId="44" fillId="0" borderId="71" xfId="0" applyFont="1" applyBorder="1" applyAlignment="1" applyProtection="1">
      <alignment vertical="center" wrapText="1"/>
      <protection locked="0" hidden="1"/>
    </xf>
    <xf numFmtId="0" fontId="32" fillId="37" borderId="0" xfId="0" applyFont="1" applyFill="1" applyAlignment="1" applyProtection="1">
      <alignment horizontal="left" vertical="top"/>
      <protection hidden="1"/>
    </xf>
    <xf numFmtId="193" fontId="36" fillId="50" borderId="51" xfId="0" applyNumberFormat="1" applyFont="1" applyFill="1" applyBorder="1" applyAlignment="1">
      <alignment horizontal="center" vertical="center"/>
    </xf>
    <xf numFmtId="0" fontId="32" fillId="50" borderId="165" xfId="0" applyFont="1" applyFill="1" applyBorder="1" applyProtection="1">
      <alignment vertical="center"/>
      <protection hidden="1"/>
    </xf>
    <xf numFmtId="0" fontId="32" fillId="27" borderId="183" xfId="0" applyFont="1" applyFill="1" applyBorder="1" applyAlignment="1" applyProtection="1">
      <alignment horizontal="center" vertical="center"/>
      <protection hidden="1"/>
    </xf>
    <xf numFmtId="0" fontId="32" fillId="50" borderId="171" xfId="0" applyFont="1" applyFill="1" applyBorder="1" applyProtection="1">
      <alignment vertical="center"/>
      <protection hidden="1"/>
    </xf>
    <xf numFmtId="0" fontId="32" fillId="50" borderId="12" xfId="0" applyFont="1" applyFill="1" applyBorder="1" applyProtection="1">
      <alignment vertical="center"/>
      <protection hidden="1"/>
    </xf>
    <xf numFmtId="0" fontId="44" fillId="50" borderId="11" xfId="0" applyFont="1" applyFill="1" applyBorder="1" applyAlignment="1" applyProtection="1">
      <alignment horizontal="center" vertical="center"/>
      <protection hidden="1"/>
    </xf>
    <xf numFmtId="0" fontId="32" fillId="27" borderId="118" xfId="0" applyFont="1" applyFill="1" applyBorder="1" applyAlignment="1" applyProtection="1">
      <alignment horizontal="center" vertical="center"/>
      <protection hidden="1"/>
    </xf>
    <xf numFmtId="0" fontId="44" fillId="27" borderId="11" xfId="0" applyFont="1" applyFill="1" applyBorder="1" applyAlignment="1" applyProtection="1">
      <alignment horizontal="center" vertical="center"/>
      <protection hidden="1"/>
    </xf>
    <xf numFmtId="0" fontId="32" fillId="27" borderId="120" xfId="0" applyFont="1" applyFill="1" applyBorder="1" applyAlignment="1" applyProtection="1">
      <alignment horizontal="center" vertical="center"/>
      <protection hidden="1"/>
    </xf>
    <xf numFmtId="0" fontId="44" fillId="27" borderId="164" xfId="0" applyFont="1" applyFill="1" applyBorder="1" applyAlignment="1" applyProtection="1">
      <alignment horizontal="center" vertical="center"/>
      <protection hidden="1"/>
    </xf>
    <xf numFmtId="0" fontId="32" fillId="50" borderId="160" xfId="0" applyFont="1" applyFill="1" applyBorder="1" applyProtection="1">
      <alignment vertical="center"/>
      <protection hidden="1"/>
    </xf>
    <xf numFmtId="0" fontId="44" fillId="50" borderId="161" xfId="0" applyFont="1" applyFill="1" applyBorder="1" applyAlignment="1">
      <alignment vertical="center" wrapText="1"/>
    </xf>
    <xf numFmtId="0" fontId="44" fillId="50" borderId="162" xfId="0" applyFont="1" applyFill="1" applyBorder="1" applyAlignment="1">
      <alignment vertical="center" wrapText="1"/>
    </xf>
    <xf numFmtId="0" fontId="43" fillId="50" borderId="50" xfId="0" applyFont="1" applyFill="1" applyBorder="1" applyAlignment="1" applyProtection="1">
      <alignment horizontal="center" vertical="center" wrapText="1"/>
      <protection hidden="1"/>
    </xf>
    <xf numFmtId="178" fontId="36" fillId="50" borderId="27" xfId="0" applyNumberFormat="1" applyFont="1" applyFill="1" applyBorder="1" applyAlignment="1" applyProtection="1">
      <alignment horizontal="center" vertical="center" wrapText="1"/>
      <protection hidden="1"/>
    </xf>
    <xf numFmtId="0" fontId="36" fillId="50" borderId="50" xfId="0" applyFont="1" applyFill="1" applyBorder="1" applyAlignment="1" applyProtection="1">
      <alignment horizontal="center" vertical="center" wrapText="1"/>
      <protection hidden="1"/>
    </xf>
    <xf numFmtId="0" fontId="36" fillId="37" borderId="0" xfId="0" applyFont="1" applyFill="1" applyProtection="1">
      <alignment vertical="center"/>
      <protection hidden="1"/>
    </xf>
    <xf numFmtId="0" fontId="32" fillId="27" borderId="54" xfId="0" applyFont="1" applyFill="1" applyBorder="1" applyProtection="1">
      <alignment vertical="center"/>
      <protection hidden="1"/>
    </xf>
    <xf numFmtId="0" fontId="32" fillId="50" borderId="50" xfId="0" applyFont="1" applyFill="1" applyBorder="1" applyAlignment="1" applyProtection="1">
      <alignment vertical="center" wrapText="1"/>
      <protection hidden="1"/>
    </xf>
    <xf numFmtId="0" fontId="32" fillId="50" borderId="27" xfId="0" applyFont="1" applyFill="1" applyBorder="1" applyAlignment="1" applyProtection="1">
      <alignment vertical="center" wrapText="1"/>
      <protection hidden="1"/>
    </xf>
    <xf numFmtId="0" fontId="32" fillId="27" borderId="56" xfId="0" applyFont="1" applyFill="1" applyBorder="1" applyProtection="1">
      <alignment vertical="center"/>
      <protection hidden="1"/>
    </xf>
    <xf numFmtId="0" fontId="32" fillId="27" borderId="58" xfId="0" applyFont="1" applyFill="1" applyBorder="1" applyProtection="1">
      <alignment vertical="center"/>
      <protection hidden="1"/>
    </xf>
    <xf numFmtId="0" fontId="44" fillId="50" borderId="50" xfId="0" applyFont="1" applyFill="1" applyBorder="1" applyAlignment="1">
      <alignment vertical="center" wrapText="1"/>
    </xf>
    <xf numFmtId="0" fontId="44" fillId="50" borderId="27" xfId="0" applyFont="1" applyFill="1" applyBorder="1" applyAlignment="1">
      <alignment vertical="center" wrapText="1"/>
    </xf>
    <xf numFmtId="0" fontId="32" fillId="50" borderId="50" xfId="0" applyFont="1" applyFill="1" applyBorder="1" applyProtection="1">
      <alignment vertical="center"/>
      <protection hidden="1"/>
    </xf>
    <xf numFmtId="0" fontId="32" fillId="50" borderId="27" xfId="0" applyFont="1" applyFill="1" applyBorder="1" applyProtection="1">
      <alignment vertical="center"/>
      <protection hidden="1"/>
    </xf>
    <xf numFmtId="0" fontId="32" fillId="31" borderId="52" xfId="0" applyFont="1" applyFill="1" applyBorder="1" applyAlignment="1" applyProtection="1">
      <alignment horizontal="center" vertical="center"/>
      <protection hidden="1"/>
    </xf>
    <xf numFmtId="0" fontId="32" fillId="31" borderId="54" xfId="0" applyFont="1" applyFill="1" applyBorder="1" applyAlignment="1" applyProtection="1">
      <alignment horizontal="center" vertical="center"/>
      <protection hidden="1"/>
    </xf>
    <xf numFmtId="193" fontId="36" fillId="31" borderId="144" xfId="0" applyNumberFormat="1" applyFont="1" applyFill="1" applyBorder="1" applyAlignment="1" applyProtection="1">
      <alignment horizontal="center" vertical="center"/>
      <protection locked="0"/>
    </xf>
    <xf numFmtId="0" fontId="32" fillId="50" borderId="64" xfId="0" applyFont="1" applyFill="1" applyBorder="1" applyAlignment="1" applyProtection="1">
      <alignment vertical="center" wrapText="1"/>
      <protection hidden="1"/>
    </xf>
    <xf numFmtId="0" fontId="44" fillId="50" borderId="17" xfId="0" applyFont="1" applyFill="1" applyBorder="1" applyAlignment="1">
      <alignment vertical="center" wrapText="1"/>
    </xf>
    <xf numFmtId="0" fontId="44" fillId="50" borderId="64" xfId="0" applyFont="1" applyFill="1" applyBorder="1" applyAlignment="1">
      <alignment vertical="center" wrapText="1"/>
    </xf>
    <xf numFmtId="0" fontId="44" fillId="50" borderId="56" xfId="0" applyFont="1" applyFill="1" applyBorder="1" applyAlignment="1">
      <alignment vertical="center" wrapText="1"/>
    </xf>
    <xf numFmtId="0" fontId="44" fillId="50" borderId="58" xfId="0" applyFont="1" applyFill="1" applyBorder="1" applyAlignment="1">
      <alignment vertical="center" wrapText="1"/>
    </xf>
    <xf numFmtId="0" fontId="32" fillId="27" borderId="51" xfId="0" applyFont="1" applyFill="1" applyBorder="1" applyAlignment="1" applyProtection="1">
      <alignment horizontal="center" vertical="center"/>
      <protection hidden="1"/>
    </xf>
    <xf numFmtId="0" fontId="32" fillId="50" borderId="89" xfId="0" applyFont="1" applyFill="1" applyBorder="1" applyProtection="1">
      <alignment vertical="center"/>
      <protection hidden="1"/>
    </xf>
    <xf numFmtId="0" fontId="44" fillId="27" borderId="51" xfId="0" quotePrefix="1" applyFont="1" applyFill="1" applyBorder="1" applyAlignment="1" applyProtection="1">
      <alignment horizontal="center" vertical="center"/>
      <protection hidden="1"/>
    </xf>
    <xf numFmtId="0" fontId="61" fillId="57" borderId="184" xfId="0" applyFont="1" applyFill="1" applyBorder="1" applyProtection="1">
      <alignment vertical="center"/>
      <protection locked="0" hidden="1"/>
    </xf>
    <xf numFmtId="0" fontId="44" fillId="50" borderId="62" xfId="0" applyFont="1" applyFill="1" applyBorder="1">
      <alignment vertical="center"/>
    </xf>
    <xf numFmtId="0" fontId="32" fillId="50" borderId="12" xfId="0" applyFont="1" applyFill="1" applyBorder="1" applyAlignment="1" applyProtection="1">
      <alignment vertical="center" wrapText="1"/>
      <protection hidden="1"/>
    </xf>
    <xf numFmtId="0" fontId="44" fillId="27" borderId="11" xfId="0" quotePrefix="1" applyFont="1" applyFill="1" applyBorder="1" applyAlignment="1" applyProtection="1">
      <alignment horizontal="center" vertical="center"/>
      <protection hidden="1"/>
    </xf>
    <xf numFmtId="0" fontId="61" fillId="57" borderId="206" xfId="0" applyFont="1" applyFill="1" applyBorder="1" applyProtection="1">
      <alignment vertical="center"/>
      <protection locked="0" hidden="1"/>
    </xf>
    <xf numFmtId="0" fontId="44" fillId="50" borderId="77" xfId="0" applyFont="1" applyFill="1" applyBorder="1">
      <alignment vertical="center"/>
    </xf>
    <xf numFmtId="0" fontId="32" fillId="50" borderId="89" xfId="0" applyFont="1" applyFill="1" applyBorder="1" applyAlignment="1" applyProtection="1">
      <alignment vertical="center" wrapText="1"/>
      <protection hidden="1"/>
    </xf>
    <xf numFmtId="0" fontId="44" fillId="50" borderId="62" xfId="0" applyFont="1" applyFill="1" applyBorder="1" applyAlignment="1">
      <alignment vertical="center" wrapText="1"/>
    </xf>
    <xf numFmtId="0" fontId="44" fillId="57" borderId="115" xfId="0" applyFont="1" applyFill="1" applyBorder="1">
      <alignment vertical="center"/>
    </xf>
    <xf numFmtId="0" fontId="44" fillId="50" borderId="77" xfId="0" applyFont="1" applyFill="1" applyBorder="1" applyAlignment="1">
      <alignment vertical="center" wrapText="1"/>
    </xf>
    <xf numFmtId="0" fontId="43" fillId="27" borderId="211" xfId="0" applyFont="1" applyFill="1" applyBorder="1" applyAlignment="1" applyProtection="1">
      <alignment vertical="center" wrapText="1"/>
      <protection hidden="1"/>
    </xf>
    <xf numFmtId="0" fontId="36" fillId="27" borderId="50" xfId="0" applyFont="1" applyFill="1" applyBorder="1" applyAlignment="1" applyProtection="1">
      <alignment vertical="center" wrapText="1"/>
      <protection hidden="1"/>
    </xf>
    <xf numFmtId="0" fontId="32" fillId="27" borderId="50" xfId="0" quotePrefix="1" applyFont="1" applyFill="1" applyBorder="1" applyAlignment="1" applyProtection="1">
      <alignment horizontal="right" vertical="center"/>
      <protection hidden="1"/>
    </xf>
    <xf numFmtId="0" fontId="61" fillId="27" borderId="50" xfId="0" applyFont="1" applyFill="1" applyBorder="1" applyAlignment="1" applyProtection="1">
      <alignment horizontal="center" vertical="center"/>
      <protection hidden="1"/>
    </xf>
    <xf numFmtId="0" fontId="32" fillId="50" borderId="162" xfId="0" applyFont="1" applyFill="1" applyBorder="1" applyAlignment="1" applyProtection="1">
      <alignment horizontal="left" vertical="center"/>
      <protection hidden="1"/>
    </xf>
    <xf numFmtId="0" fontId="32" fillId="50" borderId="13" xfId="0" applyFont="1" applyFill="1" applyBorder="1" applyAlignment="1" applyProtection="1">
      <alignment vertical="center" wrapText="1"/>
      <protection hidden="1"/>
    </xf>
    <xf numFmtId="0" fontId="32" fillId="50" borderId="14" xfId="0" applyFont="1" applyFill="1" applyBorder="1" applyAlignment="1" applyProtection="1">
      <alignment horizontal="left" vertical="center"/>
      <protection hidden="1"/>
    </xf>
    <xf numFmtId="0" fontId="32" fillId="57" borderId="10" xfId="0" applyFont="1" applyFill="1" applyBorder="1" applyAlignment="1" applyProtection="1">
      <alignment vertical="center" shrinkToFit="1"/>
      <protection locked="0"/>
    </xf>
    <xf numFmtId="0" fontId="62" fillId="0" borderId="0" xfId="0" applyFont="1" applyAlignment="1">
      <alignment vertical="center" shrinkToFit="1"/>
    </xf>
    <xf numFmtId="0" fontId="62" fillId="0" borderId="0" xfId="0" applyFont="1" applyAlignment="1">
      <alignment horizontal="right" vertical="center" wrapText="1" shrinkToFit="1"/>
    </xf>
    <xf numFmtId="0" fontId="44" fillId="50" borderId="13" xfId="0" applyFont="1" applyFill="1" applyBorder="1">
      <alignment vertical="center"/>
    </xf>
    <xf numFmtId="0" fontId="44" fillId="50" borderId="14" xfId="0" applyFont="1" applyFill="1" applyBorder="1">
      <alignment vertical="center"/>
    </xf>
    <xf numFmtId="0" fontId="32" fillId="52" borderId="89" xfId="0" applyFont="1" applyFill="1" applyBorder="1" applyAlignment="1" applyProtection="1">
      <alignment horizontal="centerContinuous" vertical="center"/>
      <protection hidden="1"/>
    </xf>
    <xf numFmtId="190" fontId="32" fillId="52" borderId="50" xfId="0" applyNumberFormat="1" applyFont="1" applyFill="1" applyBorder="1" applyAlignment="1" applyProtection="1">
      <alignment horizontal="center" vertical="center"/>
      <protection hidden="1"/>
    </xf>
    <xf numFmtId="0" fontId="32" fillId="52" borderId="26" xfId="0" applyFont="1" applyFill="1" applyBorder="1" applyAlignment="1" applyProtection="1">
      <alignment horizontal="centerContinuous" vertical="center"/>
      <protection hidden="1"/>
    </xf>
    <xf numFmtId="0" fontId="44" fillId="52" borderId="50" xfId="0" applyFont="1" applyFill="1" applyBorder="1" applyAlignment="1">
      <alignment horizontal="centerContinuous" vertical="center"/>
    </xf>
    <xf numFmtId="190" fontId="32" fillId="52" borderId="27" xfId="0" applyNumberFormat="1" applyFont="1" applyFill="1" applyBorder="1" applyAlignment="1" applyProtection="1">
      <alignment horizontal="center" vertical="center"/>
      <protection hidden="1"/>
    </xf>
    <xf numFmtId="219" fontId="36" fillId="27" borderId="10" xfId="0" applyNumberFormat="1" applyFont="1" applyFill="1" applyBorder="1" applyAlignment="1" applyProtection="1">
      <alignment horizontal="center" vertical="center"/>
      <protection hidden="1"/>
    </xf>
    <xf numFmtId="193" fontId="36" fillId="27" borderId="53" xfId="0" applyNumberFormat="1" applyFont="1" applyFill="1" applyBorder="1" applyAlignment="1" applyProtection="1">
      <alignment horizontal="centerContinuous" vertical="center"/>
      <protection hidden="1"/>
    </xf>
    <xf numFmtId="0" fontId="36" fillId="27" borderId="54" xfId="0" applyFont="1" applyFill="1" applyBorder="1" applyAlignment="1" applyProtection="1">
      <alignment horizontal="centerContinuous" vertical="center"/>
      <protection hidden="1"/>
    </xf>
    <xf numFmtId="193" fontId="36" fillId="27" borderId="53" xfId="0" applyNumberFormat="1" applyFont="1" applyFill="1" applyBorder="1" applyAlignment="1" applyProtection="1">
      <alignment horizontal="center" vertical="center"/>
      <protection hidden="1"/>
    </xf>
    <xf numFmtId="0" fontId="36" fillId="27" borderId="53" xfId="0" applyFont="1" applyFill="1" applyBorder="1" applyAlignment="1" applyProtection="1">
      <alignment horizontal="center" vertical="center"/>
      <protection hidden="1"/>
    </xf>
    <xf numFmtId="0" fontId="36" fillId="27" borderId="27" xfId="0" applyFont="1" applyFill="1" applyBorder="1" applyAlignment="1" applyProtection="1">
      <alignment horizontal="center" vertical="center"/>
      <protection hidden="1"/>
    </xf>
    <xf numFmtId="0" fontId="36" fillId="57" borderId="115" xfId="0" applyFont="1" applyFill="1" applyBorder="1" applyAlignment="1" applyProtection="1">
      <alignment horizontal="center" vertical="center"/>
      <protection locked="0" hidden="1"/>
    </xf>
    <xf numFmtId="0" fontId="44" fillId="50" borderId="177" xfId="0" applyFont="1" applyFill="1" applyBorder="1" applyAlignment="1">
      <alignment vertical="center" wrapText="1"/>
    </xf>
    <xf numFmtId="0" fontId="32" fillId="50" borderId="50" xfId="0" applyFont="1" applyFill="1" applyBorder="1" applyAlignment="1" applyProtection="1">
      <alignment horizontal="left" vertical="center" wrapText="1"/>
      <protection hidden="1"/>
    </xf>
    <xf numFmtId="0" fontId="32" fillId="50" borderId="26" xfId="0" applyFont="1" applyFill="1" applyBorder="1" applyAlignment="1" applyProtection="1">
      <alignment horizontal="center" vertical="center" wrapText="1"/>
      <protection hidden="1"/>
    </xf>
    <xf numFmtId="219" fontId="36" fillId="50" borderId="27" xfId="0" applyNumberFormat="1" applyFont="1" applyFill="1" applyBorder="1" applyAlignment="1" applyProtection="1">
      <alignment horizontal="center" vertical="center"/>
      <protection hidden="1"/>
    </xf>
    <xf numFmtId="0" fontId="32" fillId="50" borderId="50" xfId="0" applyFont="1" applyFill="1" applyBorder="1" applyAlignment="1" applyProtection="1">
      <alignment horizontal="center" vertical="center" wrapText="1"/>
      <protection hidden="1"/>
    </xf>
    <xf numFmtId="0" fontId="32" fillId="50" borderId="52" xfId="0" applyFont="1" applyFill="1" applyBorder="1" applyProtection="1">
      <alignment vertical="center"/>
      <protection hidden="1"/>
    </xf>
    <xf numFmtId="0" fontId="44" fillId="50" borderId="53" xfId="0" applyFont="1" applyFill="1" applyBorder="1">
      <alignment vertical="center"/>
    </xf>
    <xf numFmtId="0" fontId="32" fillId="50" borderId="54" xfId="0" applyFont="1" applyFill="1" applyBorder="1" applyProtection="1">
      <alignment vertical="center"/>
      <protection hidden="1"/>
    </xf>
    <xf numFmtId="0" fontId="32" fillId="50" borderId="64" xfId="0" applyFont="1" applyFill="1" applyBorder="1" applyProtection="1">
      <alignment vertical="center"/>
      <protection hidden="1"/>
    </xf>
    <xf numFmtId="0" fontId="44" fillId="50" borderId="187" xfId="0" applyFont="1" applyFill="1" applyBorder="1">
      <alignment vertical="center"/>
    </xf>
    <xf numFmtId="0" fontId="44" fillId="50" borderId="166" xfId="0" applyFont="1" applyFill="1" applyBorder="1">
      <alignment vertical="center"/>
    </xf>
    <xf numFmtId="0" fontId="32" fillId="50" borderId="26" xfId="0" applyFont="1" applyFill="1" applyBorder="1" applyAlignment="1" applyProtection="1">
      <alignment horizontal="centerContinuous" vertical="center"/>
      <protection hidden="1"/>
    </xf>
    <xf numFmtId="0" fontId="32" fillId="50" borderId="50" xfId="0" applyFont="1" applyFill="1" applyBorder="1" applyAlignment="1" applyProtection="1">
      <alignment horizontal="centerContinuous" vertical="center"/>
      <protection hidden="1"/>
    </xf>
    <xf numFmtId="0" fontId="44" fillId="50" borderId="50" xfId="0" applyFont="1" applyFill="1" applyBorder="1" applyAlignment="1">
      <alignment horizontal="centerContinuous" vertical="center"/>
    </xf>
    <xf numFmtId="0" fontId="32" fillId="50" borderId="27" xfId="0" applyFont="1" applyFill="1" applyBorder="1" applyAlignment="1" applyProtection="1">
      <alignment horizontal="centerContinuous" vertical="center"/>
      <protection hidden="1"/>
    </xf>
    <xf numFmtId="0" fontId="32" fillId="50" borderId="13" xfId="0" applyFont="1" applyFill="1" applyBorder="1" applyProtection="1">
      <alignment vertical="center"/>
      <protection hidden="1"/>
    </xf>
    <xf numFmtId="0" fontId="32" fillId="50" borderId="174" xfId="0" applyFont="1" applyFill="1" applyBorder="1" applyAlignment="1" applyProtection="1">
      <alignment horizontal="left" vertical="center"/>
      <protection hidden="1"/>
    </xf>
    <xf numFmtId="0" fontId="32" fillId="50" borderId="26" xfId="0" applyFont="1" applyFill="1" applyBorder="1" applyAlignment="1">
      <alignment horizontal="right" vertical="center"/>
    </xf>
    <xf numFmtId="0" fontId="61" fillId="50" borderId="50" xfId="0" applyFont="1" applyFill="1" applyBorder="1" applyAlignment="1" applyProtection="1">
      <alignment horizontal="center" vertical="center"/>
      <protection hidden="1"/>
    </xf>
    <xf numFmtId="0" fontId="32" fillId="50" borderId="26" xfId="0" applyFont="1" applyFill="1" applyBorder="1" applyAlignment="1" applyProtection="1">
      <alignment horizontal="right" vertical="center"/>
      <protection hidden="1"/>
    </xf>
    <xf numFmtId="0" fontId="32" fillId="50" borderId="161" xfId="0" applyFont="1" applyFill="1" applyBorder="1" applyProtection="1">
      <alignment vertical="center"/>
      <protection hidden="1"/>
    </xf>
    <xf numFmtId="0" fontId="44" fillId="50" borderId="162" xfId="0" applyFont="1" applyFill="1" applyBorder="1">
      <alignment vertical="center"/>
    </xf>
    <xf numFmtId="0" fontId="32" fillId="50" borderId="180" xfId="0" applyFont="1" applyFill="1" applyBorder="1" applyProtection="1">
      <alignment vertical="center"/>
      <protection hidden="1"/>
    </xf>
    <xf numFmtId="0" fontId="44" fillId="50" borderId="161" xfId="0" applyFont="1" applyFill="1" applyBorder="1">
      <alignment vertical="center"/>
    </xf>
    <xf numFmtId="0" fontId="32" fillId="50" borderId="181" xfId="0" applyFont="1" applyFill="1" applyBorder="1" applyProtection="1">
      <alignment vertical="center"/>
      <protection hidden="1"/>
    </xf>
    <xf numFmtId="0" fontId="32" fillId="50" borderId="182" xfId="0" applyFont="1" applyFill="1" applyBorder="1" applyProtection="1">
      <alignment vertical="center"/>
      <protection hidden="1"/>
    </xf>
    <xf numFmtId="0" fontId="32" fillId="27" borderId="162" xfId="0" applyFont="1" applyFill="1" applyBorder="1" applyAlignment="1" applyProtection="1">
      <alignment horizontal="left" vertical="top"/>
      <protection hidden="1"/>
    </xf>
    <xf numFmtId="0" fontId="32" fillId="27" borderId="14" xfId="0" applyFont="1" applyFill="1" applyBorder="1" applyAlignment="1" applyProtection="1">
      <alignment horizontal="left" vertical="top"/>
      <protection hidden="1"/>
    </xf>
    <xf numFmtId="0" fontId="32" fillId="27" borderId="166" xfId="0" applyFont="1" applyFill="1" applyBorder="1" applyAlignment="1" applyProtection="1">
      <alignment horizontal="left" vertical="top"/>
      <protection hidden="1"/>
    </xf>
    <xf numFmtId="0" fontId="32" fillId="50" borderId="160" xfId="0" applyFont="1" applyFill="1" applyBorder="1" applyAlignment="1" applyProtection="1">
      <alignment horizontal="left" vertical="center"/>
      <protection hidden="1"/>
    </xf>
    <xf numFmtId="0" fontId="32" fillId="50" borderId="162" xfId="0" applyFont="1" applyFill="1" applyBorder="1" applyAlignment="1" applyProtection="1">
      <alignment horizontal="left" vertical="top"/>
      <protection hidden="1"/>
    </xf>
    <xf numFmtId="0" fontId="32" fillId="50" borderId="167" xfId="0" applyFont="1" applyFill="1" applyBorder="1" applyAlignment="1" applyProtection="1">
      <alignment vertical="center" wrapText="1"/>
      <protection hidden="1"/>
    </xf>
    <xf numFmtId="0" fontId="32" fillId="50" borderId="166" xfId="0" applyFont="1" applyFill="1" applyBorder="1" applyAlignment="1" applyProtection="1">
      <alignment horizontal="left" vertical="top"/>
      <protection hidden="1"/>
    </xf>
    <xf numFmtId="179" fontId="32" fillId="57" borderId="10" xfId="28" applyNumberFormat="1" applyFont="1" applyFill="1" applyBorder="1" applyProtection="1">
      <alignment vertical="center"/>
      <protection locked="0"/>
    </xf>
    <xf numFmtId="0" fontId="32" fillId="0" borderId="0" xfId="0" applyFont="1" applyAlignment="1">
      <alignment horizontal="right"/>
    </xf>
    <xf numFmtId="0" fontId="62" fillId="0" borderId="50" xfId="0" applyFont="1" applyBorder="1">
      <alignment vertical="center"/>
    </xf>
    <xf numFmtId="38" fontId="32" fillId="57" borderId="10" xfId="35" applyFont="1" applyFill="1" applyBorder="1" applyProtection="1">
      <alignment vertical="center"/>
      <protection locked="0"/>
    </xf>
    <xf numFmtId="0" fontId="179" fillId="72" borderId="10" xfId="0" applyFont="1" applyFill="1" applyBorder="1" applyAlignment="1">
      <alignment vertical="top" wrapText="1"/>
    </xf>
    <xf numFmtId="0" fontId="179" fillId="73" borderId="10" xfId="0" applyFont="1" applyFill="1" applyBorder="1" applyAlignment="1">
      <alignment vertical="top" wrapText="1"/>
    </xf>
    <xf numFmtId="0" fontId="213" fillId="27" borderId="73" xfId="0" applyFont="1" applyFill="1" applyBorder="1" applyAlignment="1">
      <alignment horizontal="right"/>
    </xf>
    <xf numFmtId="0" fontId="174" fillId="58" borderId="57" xfId="0" applyFont="1" applyFill="1" applyBorder="1" applyAlignment="1">
      <alignment horizontal="left"/>
    </xf>
    <xf numFmtId="0" fontId="311" fillId="58" borderId="0" xfId="0" applyFont="1" applyFill="1" applyAlignment="1">
      <alignment horizontal="right" vertical="center"/>
    </xf>
    <xf numFmtId="0" fontId="175" fillId="0" borderId="10" xfId="0" quotePrefix="1" applyFont="1" applyBorder="1" applyAlignment="1">
      <alignment horizontal="center" vertical="center" wrapText="1"/>
    </xf>
    <xf numFmtId="0" fontId="311" fillId="0" borderId="10" xfId="0" applyFont="1" applyBorder="1" applyAlignment="1">
      <alignment vertical="center" wrapText="1" readingOrder="1"/>
    </xf>
    <xf numFmtId="0" fontId="311" fillId="0" borderId="10" xfId="0" applyFont="1" applyBorder="1" applyAlignment="1">
      <alignment horizontal="left" vertical="center" wrapText="1" readingOrder="1"/>
    </xf>
    <xf numFmtId="183" fontId="200" fillId="50" borderId="57" xfId="0" applyNumberFormat="1" applyFont="1" applyFill="1" applyBorder="1" applyAlignment="1">
      <alignment horizontal="left" vertical="center" wrapText="1"/>
    </xf>
    <xf numFmtId="0" fontId="200" fillId="50" borderId="57" xfId="0" applyFont="1" applyFill="1" applyBorder="1">
      <alignment vertical="center"/>
    </xf>
    <xf numFmtId="0" fontId="32" fillId="31" borderId="151" xfId="0" applyFont="1" applyFill="1" applyBorder="1" applyAlignment="1" applyProtection="1">
      <alignment horizontal="left" vertical="top"/>
      <protection hidden="1"/>
    </xf>
    <xf numFmtId="0" fontId="62" fillId="27" borderId="181" xfId="0" applyFont="1" applyFill="1" applyBorder="1" applyAlignment="1" applyProtection="1">
      <alignment vertical="center" wrapText="1"/>
      <protection hidden="1"/>
    </xf>
    <xf numFmtId="220" fontId="32" fillId="31" borderId="26" xfId="0" applyNumberFormat="1" applyFont="1" applyFill="1" applyBorder="1" applyAlignment="1" applyProtection="1">
      <alignment horizontal="centerContinuous" vertical="center" wrapText="1"/>
      <protection hidden="1"/>
    </xf>
    <xf numFmtId="0" fontId="32" fillId="52" borderId="89" xfId="0" applyFont="1" applyFill="1" applyBorder="1" applyAlignment="1" applyProtection="1">
      <alignment horizontal="centerContinuous" vertical="center" wrapText="1"/>
      <protection hidden="1"/>
    </xf>
    <xf numFmtId="0" fontId="32" fillId="52" borderId="26" xfId="0" applyFont="1" applyFill="1" applyBorder="1" applyAlignment="1" applyProtection="1">
      <alignment horizontal="centerContinuous" vertical="center" wrapText="1"/>
      <protection hidden="1"/>
    </xf>
    <xf numFmtId="0" fontId="62" fillId="50" borderId="50" xfId="0" applyFont="1" applyFill="1" applyBorder="1" applyAlignment="1" applyProtection="1">
      <alignment horizontal="center" vertical="center" wrapText="1"/>
      <protection hidden="1"/>
    </xf>
    <xf numFmtId="0" fontId="200" fillId="0" borderId="0" xfId="0" applyFont="1">
      <alignment vertical="center"/>
    </xf>
    <xf numFmtId="0" fontId="62" fillId="0" borderId="0" xfId="0" quotePrefix="1" applyFont="1">
      <alignment vertical="center"/>
    </xf>
    <xf numFmtId="0" fontId="200" fillId="27" borderId="11" xfId="0" applyFont="1" applyFill="1" applyBorder="1" applyAlignment="1">
      <alignment vertical="center" wrapText="1"/>
    </xf>
    <xf numFmtId="0" fontId="200" fillId="27" borderId="15" xfId="0" applyFont="1" applyFill="1" applyBorder="1" applyAlignment="1">
      <alignment vertical="center" wrapText="1"/>
    </xf>
    <xf numFmtId="0" fontId="62" fillId="27" borderId="50" xfId="0" applyFont="1" applyFill="1" applyBorder="1" applyAlignment="1" applyProtection="1">
      <alignment horizontal="left" vertical="center"/>
      <protection hidden="1"/>
    </xf>
    <xf numFmtId="0" fontId="313" fillId="27" borderId="163" xfId="0" applyFont="1" applyFill="1" applyBorder="1" applyAlignment="1" applyProtection="1">
      <alignment horizontal="center" vertical="center"/>
      <protection hidden="1"/>
    </xf>
    <xf numFmtId="0" fontId="32" fillId="50" borderId="193" xfId="0" applyFont="1" applyFill="1" applyBorder="1">
      <alignment vertical="center"/>
    </xf>
    <xf numFmtId="0" fontId="62" fillId="0" borderId="0" xfId="44" applyFont="1" applyAlignment="1">
      <alignment vertical="top"/>
    </xf>
    <xf numFmtId="0" fontId="62" fillId="0" borderId="64" xfId="44" applyFont="1" applyBorder="1"/>
    <xf numFmtId="188" fontId="44" fillId="0" borderId="0" xfId="0" applyNumberFormat="1" applyFont="1">
      <alignment vertical="center"/>
    </xf>
    <xf numFmtId="0" fontId="230" fillId="27" borderId="62" xfId="45" applyFont="1" applyFill="1" applyBorder="1" applyAlignment="1">
      <alignment vertical="center"/>
    </xf>
    <xf numFmtId="0" fontId="32" fillId="27" borderId="10" xfId="0" applyFont="1" applyFill="1" applyBorder="1" applyAlignment="1">
      <alignment horizontal="left" vertical="center" wrapText="1" shrinkToFit="1"/>
    </xf>
    <xf numFmtId="0" fontId="12" fillId="27" borderId="41" xfId="29" applyFill="1" applyBorder="1" applyAlignment="1" applyProtection="1">
      <alignment horizontal="left" vertical="center" indent="1"/>
      <protection hidden="1"/>
    </xf>
    <xf numFmtId="0" fontId="12" fillId="27" borderId="45" xfId="29" applyFill="1" applyBorder="1" applyAlignment="1" applyProtection="1">
      <alignment horizontal="left" vertical="center" indent="1"/>
      <protection hidden="1"/>
    </xf>
    <xf numFmtId="0" fontId="315" fillId="27" borderId="13" xfId="29" applyFont="1" applyFill="1" applyBorder="1" applyAlignment="1" applyProtection="1">
      <alignment vertical="center"/>
      <protection hidden="1"/>
    </xf>
    <xf numFmtId="0" fontId="12" fillId="27" borderId="47" xfId="29" applyFill="1" applyBorder="1" applyAlignment="1" applyProtection="1">
      <alignment horizontal="left" vertical="center" indent="1"/>
      <protection hidden="1"/>
    </xf>
    <xf numFmtId="0" fontId="12" fillId="27" borderId="48" xfId="29" applyFill="1" applyBorder="1" applyAlignment="1" applyProtection="1">
      <alignment horizontal="left" vertical="center"/>
      <protection hidden="1"/>
    </xf>
    <xf numFmtId="0" fontId="32" fillId="27" borderId="12" xfId="0" applyFont="1" applyFill="1" applyBorder="1" applyAlignment="1" applyProtection="1">
      <alignment horizontal="left" vertical="center" wrapText="1"/>
      <protection hidden="1"/>
    </xf>
    <xf numFmtId="0" fontId="32" fillId="27" borderId="13" xfId="0" applyFont="1" applyFill="1" applyBorder="1" applyAlignment="1" applyProtection="1">
      <alignment horizontal="left" vertical="center" wrapText="1"/>
      <protection hidden="1"/>
    </xf>
    <xf numFmtId="0" fontId="32" fillId="27" borderId="14" xfId="0" applyFont="1" applyFill="1" applyBorder="1" applyAlignment="1" applyProtection="1">
      <alignment horizontal="left" vertical="center" wrapText="1"/>
      <protection hidden="1"/>
    </xf>
    <xf numFmtId="0" fontId="32" fillId="0" borderId="13" xfId="0" applyFont="1" applyBorder="1" applyAlignment="1">
      <alignment horizontal="left" vertical="center" wrapText="1"/>
    </xf>
    <xf numFmtId="0" fontId="32" fillId="0" borderId="14" xfId="0" applyFont="1" applyBorder="1" applyAlignment="1">
      <alignment horizontal="left" vertical="center" wrapText="1"/>
    </xf>
    <xf numFmtId="0" fontId="35" fillId="0" borderId="26" xfId="0" applyFont="1" applyBorder="1" applyAlignment="1" applyProtection="1">
      <alignment horizontal="left" vertical="center" shrinkToFit="1"/>
      <protection locked="0"/>
    </xf>
    <xf numFmtId="0" fontId="35" fillId="0" borderId="50" xfId="0" applyFont="1" applyBorder="1" applyAlignment="1" applyProtection="1">
      <alignment horizontal="left" vertical="center" shrinkToFit="1"/>
      <protection locked="0"/>
    </xf>
    <xf numFmtId="0" fontId="35" fillId="0" borderId="27" xfId="0" applyFont="1" applyBorder="1" applyAlignment="1" applyProtection="1">
      <alignment horizontal="left" vertical="center" shrinkToFit="1"/>
      <protection locked="0"/>
    </xf>
    <xf numFmtId="0" fontId="35" fillId="0" borderId="26" xfId="0" applyFont="1" applyBorder="1" applyAlignment="1" applyProtection="1">
      <alignment horizontal="left" vertical="center"/>
      <protection locked="0"/>
    </xf>
    <xf numFmtId="0" fontId="35" fillId="0" borderId="50" xfId="0" applyFont="1" applyBorder="1" applyAlignment="1" applyProtection="1">
      <alignment horizontal="left" vertical="center"/>
      <protection locked="0"/>
    </xf>
    <xf numFmtId="0" fontId="35" fillId="29" borderId="27" xfId="0" applyFont="1" applyFill="1" applyBorder="1" applyAlignment="1" applyProtection="1">
      <alignment horizontal="left" vertical="center"/>
      <protection locked="0"/>
    </xf>
    <xf numFmtId="0" fontId="35" fillId="29" borderId="27" xfId="0" applyFont="1" applyFill="1" applyBorder="1" applyAlignment="1" applyProtection="1">
      <alignment horizontal="left" vertical="center" shrinkToFit="1"/>
      <protection locked="0"/>
    </xf>
    <xf numFmtId="0" fontId="35" fillId="27" borderId="26" xfId="0" applyFont="1" applyFill="1" applyBorder="1" applyAlignment="1">
      <alignment horizontal="left" vertical="center" shrinkToFit="1"/>
    </xf>
    <xf numFmtId="0" fontId="35" fillId="27" borderId="50" xfId="0" applyFont="1" applyFill="1" applyBorder="1" applyAlignment="1">
      <alignment horizontal="left" vertical="center" shrinkToFit="1"/>
    </xf>
    <xf numFmtId="0" fontId="35" fillId="27" borderId="27" xfId="0" applyFont="1" applyFill="1" applyBorder="1" applyAlignment="1">
      <alignment horizontal="left" vertical="center" shrinkToFit="1"/>
    </xf>
    <xf numFmtId="0" fontId="51" fillId="0" borderId="0" xfId="0" applyFont="1" applyAlignment="1" applyProtection="1">
      <alignment horizontal="center" vertical="center"/>
      <protection hidden="1"/>
    </xf>
    <xf numFmtId="0" fontId="12" fillId="0" borderId="201" xfId="29" applyNumberFormat="1" applyFill="1" applyBorder="1" applyAlignment="1" applyProtection="1">
      <alignment horizontal="center" vertical="center"/>
      <protection hidden="1"/>
    </xf>
    <xf numFmtId="0" fontId="12" fillId="0" borderId="202" xfId="29" applyNumberFormat="1" applyFill="1" applyBorder="1" applyAlignment="1" applyProtection="1">
      <alignment horizontal="center" vertical="center"/>
      <protection hidden="1"/>
    </xf>
    <xf numFmtId="0" fontId="12" fillId="0" borderId="203" xfId="29" applyNumberFormat="1" applyFill="1" applyBorder="1" applyAlignment="1" applyProtection="1">
      <alignment horizontal="center" vertical="center"/>
      <protection hidden="1"/>
    </xf>
    <xf numFmtId="0" fontId="36" fillId="0" borderId="0" xfId="0" applyFont="1" applyAlignment="1" applyProtection="1">
      <alignment horizontal="left" shrinkToFit="1"/>
      <protection hidden="1"/>
    </xf>
    <xf numFmtId="0" fontId="0" fillId="0" borderId="0" xfId="0" applyAlignment="1">
      <alignment horizontal="left" shrinkToFit="1"/>
    </xf>
    <xf numFmtId="0" fontId="32" fillId="0" borderId="65" xfId="0" applyFont="1" applyBorder="1" applyAlignment="1" applyProtection="1">
      <alignment horizontal="left" vertical="top" wrapText="1"/>
      <protection hidden="1"/>
    </xf>
    <xf numFmtId="0" fontId="32" fillId="29" borderId="66" xfId="0" applyFont="1" applyFill="1" applyBorder="1" applyAlignment="1" applyProtection="1">
      <alignment horizontal="left" vertical="top" wrapText="1"/>
      <protection hidden="1"/>
    </xf>
    <xf numFmtId="0" fontId="32" fillId="29" borderId="84" xfId="0" applyFont="1" applyFill="1" applyBorder="1" applyAlignment="1" applyProtection="1">
      <alignment horizontal="left" vertical="top" wrapText="1"/>
      <protection hidden="1"/>
    </xf>
    <xf numFmtId="0" fontId="32" fillId="0" borderId="83" xfId="0" applyFont="1" applyBorder="1" applyAlignment="1" applyProtection="1">
      <alignment horizontal="left" vertical="top" wrapText="1"/>
      <protection hidden="1"/>
    </xf>
    <xf numFmtId="0" fontId="32" fillId="29" borderId="67" xfId="0" applyFont="1" applyFill="1" applyBorder="1" applyAlignment="1" applyProtection="1">
      <alignment horizontal="left" vertical="top" wrapText="1"/>
      <protection hidden="1"/>
    </xf>
    <xf numFmtId="17" fontId="35" fillId="0" borderId="217" xfId="0" applyNumberFormat="1" applyFont="1" applyBorder="1" applyAlignment="1" applyProtection="1">
      <alignment horizontal="left" vertical="center"/>
      <protection hidden="1"/>
    </xf>
    <xf numFmtId="17" fontId="44" fillId="0" borderId="53" xfId="0" applyNumberFormat="1" applyFont="1" applyBorder="1">
      <alignment vertical="center"/>
    </xf>
    <xf numFmtId="0" fontId="32" fillId="0" borderId="77" xfId="0" applyFont="1" applyBorder="1" applyAlignment="1">
      <alignment horizontal="left" vertical="top" wrapText="1"/>
    </xf>
    <xf numFmtId="0" fontId="32" fillId="0" borderId="57" xfId="0" applyFont="1" applyBorder="1" applyAlignment="1">
      <alignment horizontal="left" vertical="top" wrapText="1"/>
    </xf>
    <xf numFmtId="0" fontId="32" fillId="0" borderId="58" xfId="0" applyFont="1" applyBorder="1" applyAlignment="1">
      <alignment horizontal="left" vertical="top" wrapText="1"/>
    </xf>
    <xf numFmtId="0" fontId="32" fillId="0" borderId="57" xfId="0" applyFont="1" applyBorder="1" applyAlignment="1" applyProtection="1">
      <alignment horizontal="left" vertical="top" wrapText="1"/>
      <protection hidden="1"/>
    </xf>
    <xf numFmtId="0" fontId="32" fillId="29" borderId="57" xfId="0" applyFont="1" applyFill="1" applyBorder="1" applyAlignment="1" applyProtection="1">
      <alignment horizontal="left" vertical="top" wrapText="1"/>
      <protection hidden="1"/>
    </xf>
    <xf numFmtId="0" fontId="32" fillId="29" borderId="79" xfId="0" applyFont="1" applyFill="1" applyBorder="1" applyAlignment="1" applyProtection="1">
      <alignment horizontal="left" vertical="top" wrapText="1"/>
      <protection hidden="1"/>
    </xf>
    <xf numFmtId="0" fontId="32" fillId="0" borderId="77" xfId="0" applyFont="1" applyBorder="1" applyAlignment="1" applyProtection="1">
      <alignment horizontal="left" vertical="top" wrapText="1"/>
      <protection hidden="1"/>
    </xf>
    <xf numFmtId="0" fontId="32" fillId="29" borderId="58" xfId="0" applyFont="1" applyFill="1" applyBorder="1" applyAlignment="1" applyProtection="1">
      <alignment horizontal="left" vertical="top" wrapText="1"/>
      <protection hidden="1"/>
    </xf>
    <xf numFmtId="0" fontId="200" fillId="0" borderId="62" xfId="0" applyFont="1" applyBorder="1" applyAlignment="1" applyProtection="1">
      <alignment horizontal="left" vertical="center" wrapText="1"/>
      <protection hidden="1"/>
    </xf>
    <xf numFmtId="0" fontId="200" fillId="0" borderId="0" xfId="0" applyFont="1" applyAlignment="1" applyProtection="1">
      <alignment horizontal="left" vertical="center" wrapText="1"/>
      <protection hidden="1"/>
    </xf>
    <xf numFmtId="0" fontId="200" fillId="0" borderId="63" xfId="0" applyFont="1" applyBorder="1" applyAlignment="1" applyProtection="1">
      <alignment horizontal="left" vertical="center" wrapText="1"/>
      <protection hidden="1"/>
    </xf>
    <xf numFmtId="0" fontId="200" fillId="0" borderId="65" xfId="0" applyFont="1" applyBorder="1" applyAlignment="1" applyProtection="1">
      <alignment horizontal="left" vertical="center" wrapText="1"/>
      <protection hidden="1"/>
    </xf>
    <xf numFmtId="0" fontId="200" fillId="0" borderId="66" xfId="0" applyFont="1" applyBorder="1" applyAlignment="1" applyProtection="1">
      <alignment horizontal="left" vertical="center" wrapText="1"/>
      <protection hidden="1"/>
    </xf>
    <xf numFmtId="0" fontId="200" fillId="0" borderId="67" xfId="0" applyFont="1" applyBorder="1" applyAlignment="1" applyProtection="1">
      <alignment horizontal="left" vertical="center" wrapText="1"/>
      <protection hidden="1"/>
    </xf>
    <xf numFmtId="0" fontId="32" fillId="0" borderId="56" xfId="0" applyFont="1" applyBorder="1" applyAlignment="1" applyProtection="1">
      <alignment horizontal="left" vertical="top" wrapText="1"/>
      <protection hidden="1"/>
    </xf>
    <xf numFmtId="55" fontId="35" fillId="0" borderId="78" xfId="0" applyNumberFormat="1" applyFont="1" applyBorder="1" applyAlignment="1" applyProtection="1">
      <alignment horizontal="left" vertical="center"/>
      <protection hidden="1"/>
    </xf>
    <xf numFmtId="0" fontId="44" fillId="0" borderId="57" xfId="0" applyFont="1" applyBorder="1">
      <alignment vertical="center"/>
    </xf>
    <xf numFmtId="0" fontId="51" fillId="49" borderId="10" xfId="0" applyFont="1" applyFill="1" applyBorder="1" applyAlignment="1" applyProtection="1">
      <alignment horizontal="left" vertical="center"/>
      <protection hidden="1"/>
    </xf>
    <xf numFmtId="0" fontId="44" fillId="49" borderId="10" xfId="0" applyFont="1" applyFill="1" applyBorder="1" applyAlignment="1" applyProtection="1">
      <alignment horizontal="left" vertical="center"/>
      <protection hidden="1"/>
    </xf>
    <xf numFmtId="56" fontId="59" fillId="30" borderId="85" xfId="0" applyNumberFormat="1" applyFont="1" applyFill="1" applyBorder="1" applyAlignment="1" applyProtection="1">
      <alignment horizontal="left" vertical="center"/>
      <protection hidden="1"/>
    </xf>
    <xf numFmtId="56" fontId="59" fillId="30" borderId="232" xfId="0" applyNumberFormat="1" applyFont="1" applyFill="1" applyBorder="1" applyAlignment="1" applyProtection="1">
      <alignment horizontal="left" vertical="center"/>
      <protection hidden="1"/>
    </xf>
    <xf numFmtId="56" fontId="59" fillId="30" borderId="234" xfId="0" applyNumberFormat="1" applyFont="1" applyFill="1" applyBorder="1" applyAlignment="1" applyProtection="1">
      <alignment horizontal="left" vertical="center"/>
      <protection hidden="1"/>
    </xf>
    <xf numFmtId="0" fontId="44" fillId="57" borderId="196" xfId="0" applyFont="1" applyFill="1" applyBorder="1" applyAlignment="1" applyProtection="1">
      <alignment horizontal="left" vertical="top" wrapText="1"/>
      <protection locked="0"/>
    </xf>
    <xf numFmtId="0" fontId="44" fillId="0" borderId="197" xfId="0" applyFont="1" applyBorder="1" applyAlignment="1" applyProtection="1">
      <alignment horizontal="left" vertical="top" wrapText="1"/>
      <protection locked="0"/>
    </xf>
    <xf numFmtId="0" fontId="44" fillId="57" borderId="200" xfId="0" applyFont="1" applyFill="1" applyBorder="1" applyAlignment="1" applyProtection="1">
      <alignment horizontal="left" vertical="top" wrapText="1"/>
      <protection locked="0"/>
    </xf>
    <xf numFmtId="0" fontId="44" fillId="57" borderId="198" xfId="0" applyFont="1" applyFill="1" applyBorder="1" applyAlignment="1" applyProtection="1">
      <alignment horizontal="left" vertical="top" wrapText="1"/>
      <protection locked="0"/>
    </xf>
    <xf numFmtId="0" fontId="44" fillId="57" borderId="50" xfId="0" applyFont="1" applyFill="1" applyBorder="1" applyAlignment="1" applyProtection="1">
      <alignment horizontal="left" vertical="top" wrapText="1"/>
      <protection locked="0"/>
    </xf>
    <xf numFmtId="0" fontId="44" fillId="0" borderId="82" xfId="0" applyFont="1" applyBorder="1" applyAlignment="1" applyProtection="1">
      <alignment horizontal="left" vertical="top" wrapText="1"/>
      <protection locked="0"/>
    </xf>
    <xf numFmtId="0" fontId="44" fillId="57" borderId="186" xfId="0" applyFont="1" applyFill="1" applyBorder="1" applyAlignment="1" applyProtection="1">
      <alignment horizontal="left" vertical="top" wrapText="1"/>
      <protection locked="0"/>
    </xf>
    <xf numFmtId="0" fontId="44" fillId="0" borderId="195" xfId="0" applyFont="1" applyBorder="1" applyAlignment="1" applyProtection="1">
      <alignment horizontal="left" vertical="top" wrapText="1"/>
      <protection locked="0"/>
    </xf>
    <xf numFmtId="0" fontId="34" fillId="27" borderId="50" xfId="0" applyFont="1" applyFill="1" applyBorder="1" applyAlignment="1">
      <alignment vertical="center" shrinkToFit="1"/>
    </xf>
    <xf numFmtId="0" fontId="0" fillId="0" borderId="50" xfId="0" applyBorder="1" applyAlignment="1">
      <alignment vertical="center" shrinkToFit="1"/>
    </xf>
    <xf numFmtId="0" fontId="34" fillId="27" borderId="26" xfId="0" applyFont="1" applyFill="1" applyBorder="1" applyAlignment="1">
      <alignment horizontal="left" vertical="center" shrinkToFit="1"/>
    </xf>
    <xf numFmtId="0" fontId="34" fillId="27" borderId="52" xfId="0" applyFont="1" applyFill="1" applyBorder="1" applyAlignment="1">
      <alignment horizontal="left" vertical="center" shrinkToFit="1"/>
    </xf>
    <xf numFmtId="0" fontId="0" fillId="0" borderId="53" xfId="0" applyBorder="1" applyAlignment="1">
      <alignment vertical="center" shrinkToFit="1"/>
    </xf>
    <xf numFmtId="0" fontId="83" fillId="0" borderId="65" xfId="0" applyFont="1" applyBorder="1" applyAlignment="1">
      <alignment vertical="center" shrinkToFit="1"/>
    </xf>
    <xf numFmtId="0" fontId="0" fillId="0" borderId="66" xfId="0" applyBorder="1" applyAlignment="1">
      <alignment vertical="center" shrinkToFit="1"/>
    </xf>
    <xf numFmtId="0" fontId="0" fillId="0" borderId="67" xfId="0" applyBorder="1" applyAlignment="1">
      <alignment vertical="center" shrinkToFit="1"/>
    </xf>
    <xf numFmtId="0" fontId="58" fillId="36" borderId="69" xfId="0" applyFont="1" applyFill="1" applyBorder="1" applyAlignment="1">
      <alignment horizontal="center" vertical="center"/>
    </xf>
    <xf numFmtId="0" fontId="34" fillId="27" borderId="26" xfId="0" applyFont="1" applyFill="1" applyBorder="1" applyAlignment="1">
      <alignment vertical="center" shrinkToFit="1"/>
    </xf>
    <xf numFmtId="0" fontId="62" fillId="27" borderId="26" xfId="0" applyFont="1" applyFill="1" applyBorder="1" applyAlignment="1">
      <alignment horizontal="left" vertical="center" wrapText="1"/>
    </xf>
    <xf numFmtId="0" fontId="62" fillId="27" borderId="50" xfId="0" applyFont="1" applyFill="1" applyBorder="1" applyAlignment="1">
      <alignment horizontal="left" vertical="center" wrapText="1"/>
    </xf>
    <xf numFmtId="0" fontId="62" fillId="27" borderId="82" xfId="0" applyFont="1" applyFill="1" applyBorder="1" applyAlignment="1">
      <alignment horizontal="left" vertical="center" wrapText="1"/>
    </xf>
    <xf numFmtId="0" fontId="32" fillId="27" borderId="50" xfId="0" applyFont="1" applyFill="1" applyBorder="1" applyAlignment="1">
      <alignment horizontal="left" vertical="center" wrapText="1"/>
    </xf>
    <xf numFmtId="0" fontId="32" fillId="27" borderId="82" xfId="0" applyFont="1" applyFill="1" applyBorder="1" applyAlignment="1">
      <alignment horizontal="left" vertical="center" wrapText="1"/>
    </xf>
    <xf numFmtId="180" fontId="32" fillId="0" borderId="62" xfId="0" applyNumberFormat="1" applyFont="1" applyBorder="1" applyAlignment="1">
      <alignment horizontal="left" vertical="top" wrapText="1"/>
    </xf>
    <xf numFmtId="180" fontId="32" fillId="0" borderId="0" xfId="0" applyNumberFormat="1" applyFont="1" applyAlignment="1">
      <alignment horizontal="left" vertical="top" wrapText="1"/>
    </xf>
    <xf numFmtId="180" fontId="32" fillId="0" borderId="63" xfId="0" applyNumberFormat="1" applyFont="1" applyBorder="1" applyAlignment="1">
      <alignment horizontal="left" vertical="top" wrapText="1"/>
    </xf>
    <xf numFmtId="180" fontId="32" fillId="0" borderId="89" xfId="0" applyNumberFormat="1" applyFont="1" applyBorder="1" applyAlignment="1">
      <alignment horizontal="left" vertical="top" wrapText="1"/>
    </xf>
    <xf numFmtId="180" fontId="32" fillId="0" borderId="53" xfId="0" applyNumberFormat="1" applyFont="1" applyBorder="1" applyAlignment="1">
      <alignment horizontal="left" vertical="top" wrapText="1"/>
    </xf>
    <xf numFmtId="180" fontId="32" fillId="0" borderId="90" xfId="0" applyNumberFormat="1" applyFont="1" applyBorder="1" applyAlignment="1">
      <alignment horizontal="left" vertical="top" wrapText="1"/>
    </xf>
    <xf numFmtId="180" fontId="32" fillId="0" borderId="80" xfId="0" applyNumberFormat="1" applyFont="1" applyBorder="1" applyAlignment="1">
      <alignment horizontal="left" vertical="top" wrapText="1"/>
    </xf>
    <xf numFmtId="180" fontId="32" fillId="0" borderId="50" xfId="0" applyNumberFormat="1" applyFont="1" applyBorder="1" applyAlignment="1">
      <alignment horizontal="left" vertical="top" wrapText="1"/>
    </xf>
    <xf numFmtId="180" fontId="32" fillId="0" borderId="82" xfId="0" applyNumberFormat="1" applyFont="1" applyBorder="1" applyAlignment="1">
      <alignment horizontal="left" vertical="top" wrapText="1"/>
    </xf>
    <xf numFmtId="180" fontId="32" fillId="0" borderId="77" xfId="0" applyNumberFormat="1" applyFont="1" applyBorder="1" applyAlignment="1">
      <alignment horizontal="left" vertical="top" wrapText="1"/>
    </xf>
    <xf numFmtId="180" fontId="32" fillId="0" borderId="57" xfId="0" applyNumberFormat="1" applyFont="1" applyBorder="1" applyAlignment="1">
      <alignment horizontal="left" vertical="top" wrapText="1"/>
    </xf>
    <xf numFmtId="180" fontId="32" fillId="0" borderId="79" xfId="0" applyNumberFormat="1" applyFont="1" applyBorder="1" applyAlignment="1">
      <alignment horizontal="left" vertical="top" wrapText="1"/>
    </xf>
    <xf numFmtId="0" fontId="59" fillId="36" borderId="69" xfId="0" applyFont="1" applyFill="1" applyBorder="1" applyAlignment="1">
      <alignment horizontal="center" vertical="center"/>
    </xf>
    <xf numFmtId="0" fontId="59" fillId="36" borderId="71" xfId="0" applyFont="1" applyFill="1" applyBorder="1" applyAlignment="1">
      <alignment horizontal="center" vertical="center"/>
    </xf>
    <xf numFmtId="0" fontId="32" fillId="27" borderId="52" xfId="0" applyFont="1" applyFill="1" applyBorder="1" applyAlignment="1" applyProtection="1">
      <alignment horizontal="center" vertical="center" wrapText="1"/>
      <protection hidden="1"/>
    </xf>
    <xf numFmtId="0" fontId="44" fillId="27" borderId="54" xfId="0" applyFont="1" applyFill="1" applyBorder="1" applyAlignment="1">
      <alignment horizontal="center" vertical="center" wrapText="1"/>
    </xf>
    <xf numFmtId="0" fontId="44" fillId="27" borderId="56" xfId="0" applyFont="1" applyFill="1" applyBorder="1" applyAlignment="1">
      <alignment horizontal="center" vertical="center" wrapText="1"/>
    </xf>
    <xf numFmtId="0" fontId="44" fillId="27" borderId="58" xfId="0" applyFont="1" applyFill="1" applyBorder="1" applyAlignment="1">
      <alignment horizontal="center" vertical="center" wrapText="1"/>
    </xf>
    <xf numFmtId="0" fontId="32" fillId="27" borderId="211" xfId="0" applyFont="1" applyFill="1" applyBorder="1" applyAlignment="1">
      <alignment horizontal="center" vertical="center" wrapText="1"/>
    </xf>
    <xf numFmtId="0" fontId="32" fillId="27" borderId="240" xfId="0" applyFont="1" applyFill="1" applyBorder="1" applyAlignment="1">
      <alignment horizontal="center" vertical="center" wrapText="1"/>
    </xf>
    <xf numFmtId="0" fontId="32" fillId="27" borderId="75" xfId="0" applyFont="1" applyFill="1" applyBorder="1" applyAlignment="1">
      <alignment horizontal="center" vertical="center" wrapText="1"/>
    </xf>
    <xf numFmtId="180" fontId="61" fillId="27" borderId="59" xfId="0" applyNumberFormat="1" applyFont="1" applyFill="1" applyBorder="1" applyAlignment="1">
      <alignment horizontal="center" vertical="center" wrapText="1"/>
    </xf>
    <xf numFmtId="180" fontId="61" fillId="27" borderId="60" xfId="0" applyNumberFormat="1" applyFont="1" applyFill="1" applyBorder="1" applyAlignment="1">
      <alignment horizontal="center" vertical="center" wrapText="1"/>
    </xf>
    <xf numFmtId="180" fontId="61" fillId="27" borderId="241" xfId="0" applyNumberFormat="1" applyFont="1" applyFill="1" applyBorder="1" applyAlignment="1">
      <alignment horizontal="center" vertical="center" wrapText="1"/>
    </xf>
    <xf numFmtId="180" fontId="61" fillId="27" borderId="65" xfId="0" applyNumberFormat="1" applyFont="1" applyFill="1" applyBorder="1" applyAlignment="1">
      <alignment horizontal="center" vertical="center" wrapText="1"/>
    </xf>
    <xf numFmtId="180" fontId="61" fillId="27" borderId="66" xfId="0" applyNumberFormat="1" applyFont="1" applyFill="1" applyBorder="1" applyAlignment="1">
      <alignment horizontal="center" vertical="center" wrapText="1"/>
    </xf>
    <xf numFmtId="180" fontId="61" fillId="27" borderId="84" xfId="0" applyNumberFormat="1" applyFont="1" applyFill="1" applyBorder="1" applyAlignment="1">
      <alignment horizontal="center" vertical="center" wrapText="1"/>
    </xf>
    <xf numFmtId="0" fontId="37" fillId="0" borderId="50" xfId="0" applyFont="1" applyBorder="1" applyAlignment="1">
      <alignment horizontal="left" vertical="center" wrapText="1"/>
    </xf>
    <xf numFmtId="0" fontId="37" fillId="0" borderId="82" xfId="0" applyFont="1" applyBorder="1" applyAlignment="1">
      <alignment horizontal="left" vertical="center" wrapText="1"/>
    </xf>
    <xf numFmtId="0" fontId="62" fillId="50" borderId="57" xfId="0" applyFont="1" applyFill="1" applyBorder="1" applyAlignment="1">
      <alignment horizontal="right" vertical="center" wrapText="1"/>
    </xf>
    <xf numFmtId="0" fontId="200" fillId="50" borderId="50" xfId="0" applyFont="1" applyFill="1" applyBorder="1" applyAlignment="1">
      <alignment horizontal="right" vertical="center" wrapText="1"/>
    </xf>
    <xf numFmtId="0" fontId="62" fillId="50" borderId="50" xfId="0" applyFont="1" applyFill="1" applyBorder="1" applyAlignment="1">
      <alignment horizontal="right" vertical="center" wrapText="1"/>
    </xf>
    <xf numFmtId="0" fontId="44" fillId="0" borderId="50" xfId="0" applyFont="1" applyBorder="1" applyAlignment="1">
      <alignment horizontal="right" vertical="center" wrapText="1"/>
    </xf>
    <xf numFmtId="191" fontId="62" fillId="50" borderId="50" xfId="0" applyNumberFormat="1" applyFont="1" applyFill="1" applyBorder="1" applyAlignment="1">
      <alignment horizontal="left" vertical="center" wrapText="1"/>
    </xf>
    <xf numFmtId="0" fontId="62" fillId="50" borderId="57" xfId="0" applyFont="1" applyFill="1" applyBorder="1" applyAlignment="1">
      <alignment horizontal="left" vertical="center" wrapText="1"/>
    </xf>
    <xf numFmtId="0" fontId="62" fillId="50" borderId="50" xfId="0" applyFont="1" applyFill="1" applyBorder="1" applyAlignment="1">
      <alignment horizontal="left" vertical="center" wrapText="1"/>
    </xf>
    <xf numFmtId="206" fontId="62" fillId="50" borderId="50" xfId="28" applyNumberFormat="1" applyFont="1" applyFill="1" applyBorder="1" applyAlignment="1" applyProtection="1">
      <alignment horizontal="left" vertical="center" wrapText="1"/>
    </xf>
    <xf numFmtId="0" fontId="32" fillId="27" borderId="52" xfId="0" applyFont="1" applyFill="1" applyBorder="1" applyAlignment="1">
      <alignment horizontal="left" vertical="center" wrapText="1"/>
    </xf>
    <xf numFmtId="0" fontId="32" fillId="27" borderId="53" xfId="0" applyFont="1" applyFill="1" applyBorder="1" applyAlignment="1">
      <alignment horizontal="left" vertical="center" wrapText="1"/>
    </xf>
    <xf numFmtId="0" fontId="32" fillId="27" borderId="54" xfId="0" applyFont="1" applyFill="1" applyBorder="1" applyAlignment="1">
      <alignment horizontal="left" vertical="center" wrapText="1"/>
    </xf>
    <xf numFmtId="0" fontId="230" fillId="27" borderId="62" xfId="45" applyFont="1" applyFill="1" applyBorder="1" applyAlignment="1">
      <alignment horizontal="left" vertical="center" wrapText="1"/>
    </xf>
    <xf numFmtId="0" fontId="44" fillId="27" borderId="0" xfId="45" applyFont="1" applyFill="1" applyAlignment="1">
      <alignment horizontal="left" vertical="center" wrapText="1"/>
    </xf>
    <xf numFmtId="0" fontId="44" fillId="27" borderId="63" xfId="45" applyFont="1" applyFill="1" applyBorder="1" applyAlignment="1">
      <alignment horizontal="left" vertical="center" wrapText="1"/>
    </xf>
    <xf numFmtId="0" fontId="44" fillId="27" borderId="64" xfId="0" applyFont="1" applyFill="1" applyBorder="1" applyAlignment="1">
      <alignment horizontal="left" vertical="center" wrapText="1"/>
    </xf>
    <xf numFmtId="0" fontId="44" fillId="27" borderId="0" xfId="0" applyFont="1" applyFill="1" applyAlignment="1">
      <alignment horizontal="left" vertical="center" wrapText="1"/>
    </xf>
    <xf numFmtId="0" fontId="44" fillId="27" borderId="17" xfId="0" applyFont="1" applyFill="1" applyBorder="1" applyAlignment="1">
      <alignment horizontal="left" vertical="center" wrapText="1"/>
    </xf>
    <xf numFmtId="220" fontId="32" fillId="27" borderId="12" xfId="0" applyNumberFormat="1" applyFont="1" applyFill="1" applyBorder="1" applyAlignment="1" applyProtection="1">
      <alignment horizontal="left" vertical="center" wrapText="1"/>
      <protection hidden="1"/>
    </xf>
    <xf numFmtId="0" fontId="44" fillId="0" borderId="13" xfId="0" applyFont="1" applyBorder="1" applyAlignment="1">
      <alignment horizontal="left" vertical="center" wrapText="1"/>
    </xf>
    <xf numFmtId="0" fontId="44" fillId="0" borderId="14" xfId="0" applyFont="1" applyBorder="1" applyAlignment="1">
      <alignment horizontal="left" vertical="center" wrapText="1"/>
    </xf>
    <xf numFmtId="220" fontId="32" fillId="27" borderId="165" xfId="0" applyNumberFormat="1" applyFont="1" applyFill="1" applyBorder="1" applyAlignment="1" applyProtection="1">
      <alignment horizontal="left" vertical="center" wrapText="1"/>
      <protection hidden="1"/>
    </xf>
    <xf numFmtId="0" fontId="44" fillId="0" borderId="167" xfId="0" applyFont="1" applyBorder="1" applyAlignment="1">
      <alignment horizontal="left" vertical="center" wrapText="1"/>
    </xf>
    <xf numFmtId="0" fontId="44" fillId="0" borderId="166" xfId="0" applyFont="1" applyBorder="1" applyAlignment="1">
      <alignment horizontal="left" vertical="center" wrapText="1"/>
    </xf>
    <xf numFmtId="220" fontId="32" fillId="27" borderId="167" xfId="0" applyNumberFormat="1" applyFont="1" applyFill="1" applyBorder="1" applyAlignment="1" applyProtection="1">
      <alignment horizontal="left" vertical="center" wrapText="1"/>
      <protection hidden="1"/>
    </xf>
    <xf numFmtId="220" fontId="32" fillId="27" borderId="166" xfId="0" applyNumberFormat="1" applyFont="1" applyFill="1" applyBorder="1" applyAlignment="1" applyProtection="1">
      <alignment horizontal="left" vertical="center" wrapText="1"/>
      <protection hidden="1"/>
    </xf>
    <xf numFmtId="220" fontId="32" fillId="27" borderId="13" xfId="0" applyNumberFormat="1" applyFont="1" applyFill="1" applyBorder="1" applyAlignment="1" applyProtection="1">
      <alignment horizontal="left" vertical="center" wrapText="1"/>
      <protection hidden="1"/>
    </xf>
    <xf numFmtId="220" fontId="32" fillId="27" borderId="14" xfId="0" applyNumberFormat="1" applyFont="1" applyFill="1" applyBorder="1" applyAlignment="1" applyProtection="1">
      <alignment horizontal="left" vertical="center" wrapText="1"/>
      <protection hidden="1"/>
    </xf>
    <xf numFmtId="0" fontId="32" fillId="27" borderId="165" xfId="0" applyFont="1" applyFill="1" applyBorder="1" applyAlignment="1" applyProtection="1">
      <alignment horizontal="left" vertical="center" wrapText="1"/>
      <protection hidden="1"/>
    </xf>
    <xf numFmtId="0" fontId="44" fillId="37" borderId="167" xfId="0" applyFont="1" applyFill="1" applyBorder="1" applyAlignment="1">
      <alignment horizontal="left" vertical="center" wrapText="1"/>
    </xf>
    <xf numFmtId="0" fontId="44" fillId="37" borderId="166" xfId="0" applyFont="1" applyFill="1" applyBorder="1" applyAlignment="1">
      <alignment horizontal="left" vertical="center" wrapText="1"/>
    </xf>
    <xf numFmtId="0" fontId="32" fillId="27" borderId="165" xfId="0" applyFont="1" applyFill="1" applyBorder="1" applyAlignment="1" applyProtection="1">
      <alignment vertical="center" wrapText="1"/>
      <protection hidden="1"/>
    </xf>
    <xf numFmtId="0" fontId="44" fillId="37" borderId="167" xfId="0" applyFont="1" applyFill="1" applyBorder="1" applyAlignment="1">
      <alignment vertical="center" wrapText="1"/>
    </xf>
    <xf numFmtId="0" fontId="44" fillId="37" borderId="166" xfId="0" applyFont="1" applyFill="1" applyBorder="1" applyAlignment="1">
      <alignment vertical="center" wrapText="1"/>
    </xf>
    <xf numFmtId="0" fontId="44" fillId="37" borderId="13" xfId="0" applyFont="1" applyFill="1" applyBorder="1" applyAlignment="1">
      <alignment horizontal="left" vertical="center" wrapText="1"/>
    </xf>
    <xf numFmtId="0" fontId="44" fillId="37" borderId="14" xfId="0" applyFont="1" applyFill="1" applyBorder="1" applyAlignment="1">
      <alignment horizontal="left" vertical="center" wrapText="1"/>
    </xf>
    <xf numFmtId="0" fontId="32" fillId="27" borderId="12" xfId="0" applyFont="1" applyFill="1" applyBorder="1" applyAlignment="1" applyProtection="1">
      <alignment vertical="center" wrapText="1"/>
      <protection hidden="1"/>
    </xf>
    <xf numFmtId="0" fontId="44" fillId="37" borderId="13" xfId="0" applyFont="1" applyFill="1" applyBorder="1" applyAlignment="1">
      <alignment vertical="center" wrapText="1"/>
    </xf>
    <xf numFmtId="0" fontId="44" fillId="37" borderId="14" xfId="0" applyFont="1" applyFill="1" applyBorder="1" applyAlignment="1">
      <alignment vertical="center" wrapText="1"/>
    </xf>
    <xf numFmtId="0" fontId="32" fillId="27" borderId="160" xfId="0" applyFont="1" applyFill="1" applyBorder="1" applyAlignment="1" applyProtection="1">
      <alignment horizontal="left" vertical="center" wrapText="1"/>
      <protection hidden="1"/>
    </xf>
    <xf numFmtId="0" fontId="32" fillId="27" borderId="161" xfId="0" applyFont="1" applyFill="1" applyBorder="1" applyAlignment="1" applyProtection="1">
      <alignment horizontal="left" vertical="center" wrapText="1"/>
      <protection hidden="1"/>
    </xf>
    <xf numFmtId="0" fontId="32" fillId="27" borderId="162" xfId="0" applyFont="1" applyFill="1" applyBorder="1" applyAlignment="1" applyProtection="1">
      <alignment horizontal="left" vertical="center" wrapText="1"/>
      <protection hidden="1"/>
    </xf>
    <xf numFmtId="0" fontId="32" fillId="27" borderId="56" xfId="0" applyFont="1" applyFill="1" applyBorder="1" applyAlignment="1" applyProtection="1">
      <alignment horizontal="left" vertical="center" wrapText="1"/>
      <protection hidden="1"/>
    </xf>
    <xf numFmtId="0" fontId="32" fillId="27" borderId="58" xfId="0" applyFont="1" applyFill="1" applyBorder="1" applyAlignment="1" applyProtection="1">
      <alignment horizontal="left" vertical="center" wrapText="1"/>
      <protection hidden="1"/>
    </xf>
    <xf numFmtId="0" fontId="32" fillId="41" borderId="165" xfId="0" applyFont="1" applyFill="1" applyBorder="1" applyAlignment="1" applyProtection="1">
      <alignment horizontal="left" vertical="center" wrapText="1"/>
      <protection hidden="1"/>
    </xf>
    <xf numFmtId="0" fontId="44" fillId="47" borderId="166" xfId="0" applyFont="1" applyFill="1" applyBorder="1" applyAlignment="1">
      <alignment horizontal="left" vertical="center" wrapText="1"/>
    </xf>
    <xf numFmtId="0" fontId="32" fillId="41" borderId="12" xfId="0" applyFont="1" applyFill="1" applyBorder="1" applyAlignment="1" applyProtection="1">
      <alignment horizontal="left" vertical="center" wrapText="1"/>
      <protection hidden="1"/>
    </xf>
    <xf numFmtId="0" fontId="44" fillId="47" borderId="14" xfId="0" applyFont="1" applyFill="1" applyBorder="1">
      <alignment vertical="center"/>
    </xf>
    <xf numFmtId="0" fontId="32" fillId="41" borderId="13" xfId="0" applyFont="1" applyFill="1" applyBorder="1" applyAlignment="1" applyProtection="1">
      <alignment horizontal="left" vertical="center" wrapText="1"/>
      <protection hidden="1"/>
    </xf>
    <xf numFmtId="0" fontId="32" fillId="27" borderId="52" xfId="0" applyFont="1" applyFill="1" applyBorder="1" applyAlignment="1" applyProtection="1">
      <alignment horizontal="left" vertical="center" wrapText="1"/>
      <protection hidden="1"/>
    </xf>
    <xf numFmtId="0" fontId="32" fillId="27" borderId="54" xfId="0" applyFont="1" applyFill="1" applyBorder="1" applyAlignment="1" applyProtection="1">
      <alignment horizontal="left" vertical="center" wrapText="1"/>
      <protection hidden="1"/>
    </xf>
    <xf numFmtId="0" fontId="32" fillId="65" borderId="12" xfId="0" applyFont="1" applyFill="1" applyBorder="1" applyAlignment="1" applyProtection="1">
      <alignment horizontal="left" vertical="center" wrapText="1"/>
      <protection hidden="1"/>
    </xf>
    <xf numFmtId="0" fontId="44" fillId="66" borderId="14" xfId="0" applyFont="1" applyFill="1" applyBorder="1">
      <alignment vertical="center"/>
    </xf>
    <xf numFmtId="0" fontId="32" fillId="65" borderId="13" xfId="0" applyFont="1" applyFill="1" applyBorder="1" applyAlignment="1" applyProtection="1">
      <alignment horizontal="left" vertical="center" wrapText="1"/>
      <protection hidden="1"/>
    </xf>
    <xf numFmtId="0" fontId="32" fillId="65" borderId="165" xfId="0" applyFont="1" applyFill="1" applyBorder="1" applyAlignment="1" applyProtection="1">
      <alignment horizontal="left" vertical="center" wrapText="1"/>
      <protection hidden="1"/>
    </xf>
    <xf numFmtId="0" fontId="44" fillId="66" borderId="166" xfId="0" applyFont="1" applyFill="1" applyBorder="1" applyAlignment="1">
      <alignment horizontal="left" vertical="center" wrapText="1"/>
    </xf>
    <xf numFmtId="0" fontId="62" fillId="27" borderId="51" xfId="0" applyFont="1" applyFill="1" applyBorder="1" applyAlignment="1" applyProtection="1">
      <alignment horizontal="left" vertical="center" wrapText="1"/>
      <protection hidden="1"/>
    </xf>
    <xf numFmtId="0" fontId="62" fillId="27" borderId="15" xfId="0" applyFont="1" applyFill="1" applyBorder="1" applyAlignment="1" applyProtection="1">
      <alignment horizontal="left" vertical="center" wrapText="1"/>
      <protection hidden="1"/>
    </xf>
    <xf numFmtId="220" fontId="32" fillId="27" borderId="160" xfId="0" applyNumberFormat="1" applyFont="1" applyFill="1" applyBorder="1" applyAlignment="1" applyProtection="1">
      <alignment horizontal="left" vertical="center" wrapText="1"/>
      <protection hidden="1"/>
    </xf>
    <xf numFmtId="220" fontId="32" fillId="27" borderId="162" xfId="0" applyNumberFormat="1" applyFont="1" applyFill="1" applyBorder="1" applyAlignment="1" applyProtection="1">
      <alignment horizontal="left" vertical="center" wrapText="1"/>
      <protection hidden="1"/>
    </xf>
    <xf numFmtId="0" fontId="44" fillId="0" borderId="162" xfId="0" applyFont="1" applyBorder="1" applyAlignment="1">
      <alignment horizontal="left" vertical="center" wrapText="1"/>
    </xf>
    <xf numFmtId="220" fontId="32" fillId="27" borderId="12" xfId="0" applyNumberFormat="1" applyFont="1" applyFill="1" applyBorder="1" applyAlignment="1" applyProtection="1">
      <alignment horizontal="center" vertical="center"/>
      <protection hidden="1"/>
    </xf>
    <xf numFmtId="220" fontId="32" fillId="27" borderId="13" xfId="0" applyNumberFormat="1" applyFont="1" applyFill="1" applyBorder="1" applyAlignment="1" applyProtection="1">
      <alignment horizontal="center" vertical="center"/>
      <protection hidden="1"/>
    </xf>
    <xf numFmtId="220" fontId="32" fillId="27" borderId="14" xfId="0" applyNumberFormat="1" applyFont="1" applyFill="1" applyBorder="1" applyAlignment="1" applyProtection="1">
      <alignment horizontal="center" vertical="center"/>
      <protection hidden="1"/>
    </xf>
    <xf numFmtId="0" fontId="32" fillId="27" borderId="167" xfId="0" applyFont="1" applyFill="1" applyBorder="1" applyAlignment="1" applyProtection="1">
      <alignment horizontal="left" vertical="center" wrapText="1"/>
      <protection hidden="1"/>
    </xf>
    <xf numFmtId="193" fontId="36" fillId="31" borderId="92" xfId="0" applyNumberFormat="1" applyFont="1" applyFill="1" applyBorder="1" applyAlignment="1" applyProtection="1">
      <alignment horizontal="center" vertical="center"/>
      <protection locked="0" hidden="1"/>
    </xf>
    <xf numFmtId="193" fontId="36" fillId="31" borderId="115" xfId="0" applyNumberFormat="1" applyFont="1" applyFill="1" applyBorder="1" applyAlignment="1" applyProtection="1">
      <alignment horizontal="center" vertical="center"/>
      <protection locked="0" hidden="1"/>
    </xf>
    <xf numFmtId="0" fontId="44" fillId="37" borderId="162" xfId="0" applyFont="1" applyFill="1" applyBorder="1" applyAlignment="1">
      <alignment horizontal="left" vertical="center" wrapText="1"/>
    </xf>
    <xf numFmtId="0" fontId="0" fillId="0" borderId="14" xfId="0" applyBorder="1" applyAlignment="1">
      <alignment horizontal="left" vertical="center" wrapText="1"/>
    </xf>
    <xf numFmtId="0" fontId="32" fillId="60" borderId="12" xfId="0" applyFont="1" applyFill="1" applyBorder="1" applyAlignment="1" applyProtection="1">
      <alignment horizontal="left" vertical="center" wrapText="1"/>
      <protection hidden="1"/>
    </xf>
    <xf numFmtId="0" fontId="44" fillId="61" borderId="14" xfId="0" applyFont="1" applyFill="1" applyBorder="1" applyAlignment="1">
      <alignment horizontal="left" vertical="center" wrapText="1"/>
    </xf>
    <xf numFmtId="0" fontId="32" fillId="60" borderId="165" xfId="0" applyFont="1" applyFill="1" applyBorder="1" applyAlignment="1" applyProtection="1">
      <alignment horizontal="left" vertical="center" wrapText="1"/>
      <protection hidden="1"/>
    </xf>
    <xf numFmtId="0" fontId="44" fillId="61" borderId="166" xfId="0" applyFont="1" applyFill="1" applyBorder="1" applyAlignment="1">
      <alignment horizontal="left" vertical="center" wrapText="1"/>
    </xf>
    <xf numFmtId="0" fontId="32" fillId="60" borderId="166" xfId="0" applyFont="1" applyFill="1" applyBorder="1" applyAlignment="1" applyProtection="1">
      <alignment horizontal="left" vertical="center" wrapText="1"/>
      <protection hidden="1"/>
    </xf>
    <xf numFmtId="0" fontId="32" fillId="60" borderId="14" xfId="0" applyFont="1" applyFill="1" applyBorder="1" applyAlignment="1" applyProtection="1">
      <alignment horizontal="left" vertical="center" wrapText="1"/>
      <protection hidden="1"/>
    </xf>
    <xf numFmtId="0" fontId="32" fillId="60" borderId="160" xfId="0" applyFont="1" applyFill="1" applyBorder="1" applyAlignment="1" applyProtection="1">
      <alignment horizontal="left" vertical="center" wrapText="1"/>
      <protection hidden="1"/>
    </xf>
    <xf numFmtId="0" fontId="44" fillId="61" borderId="162" xfId="0" applyFont="1" applyFill="1" applyBorder="1" applyAlignment="1">
      <alignment horizontal="left" vertical="center" wrapText="1"/>
    </xf>
    <xf numFmtId="0" fontId="32" fillId="60" borderId="162" xfId="0" applyFont="1" applyFill="1" applyBorder="1" applyAlignment="1" applyProtection="1">
      <alignment horizontal="left" vertical="center" wrapText="1"/>
      <protection hidden="1"/>
    </xf>
    <xf numFmtId="0" fontId="32" fillId="31" borderId="80" xfId="0" applyFont="1" applyFill="1" applyBorder="1" applyAlignment="1" applyProtection="1">
      <alignment horizontal="center" vertical="center" wrapText="1"/>
      <protection hidden="1"/>
    </xf>
    <xf numFmtId="0" fontId="32" fillId="31" borderId="27" xfId="0" applyFont="1" applyFill="1" applyBorder="1" applyAlignment="1" applyProtection="1">
      <alignment horizontal="center" vertical="center" wrapText="1"/>
      <protection hidden="1"/>
    </xf>
    <xf numFmtId="0" fontId="44" fillId="37" borderId="161" xfId="0" applyFont="1" applyFill="1" applyBorder="1" applyAlignment="1">
      <alignment horizontal="left" vertical="center" wrapText="1"/>
    </xf>
    <xf numFmtId="0" fontId="32" fillId="27" borderId="166" xfId="0" applyFont="1" applyFill="1" applyBorder="1" applyAlignment="1" applyProtection="1">
      <alignment horizontal="left" vertical="center" wrapText="1"/>
      <protection hidden="1"/>
    </xf>
    <xf numFmtId="0" fontId="32" fillId="31" borderId="10" xfId="0" applyFont="1" applyFill="1" applyBorder="1" applyAlignment="1" applyProtection="1">
      <alignment horizontal="center" vertical="center" wrapText="1"/>
      <protection hidden="1"/>
    </xf>
    <xf numFmtId="0" fontId="32" fillId="27" borderId="165" xfId="0" applyFont="1" applyFill="1" applyBorder="1" applyAlignment="1" applyProtection="1">
      <alignment horizontal="left" vertical="center" shrinkToFit="1"/>
      <protection hidden="1"/>
    </xf>
    <xf numFmtId="0" fontId="44" fillId="37" borderId="167" xfId="0" applyFont="1" applyFill="1" applyBorder="1" applyAlignment="1">
      <alignment horizontal="left" vertical="center" shrinkToFit="1"/>
    </xf>
    <xf numFmtId="0" fontId="44" fillId="37" borderId="166" xfId="0" applyFont="1" applyFill="1" applyBorder="1" applyAlignment="1">
      <alignment horizontal="left" vertical="center" shrinkToFit="1"/>
    </xf>
    <xf numFmtId="220" fontId="32" fillId="27" borderId="243" xfId="0" applyNumberFormat="1" applyFont="1" applyFill="1" applyBorder="1" applyAlignment="1" applyProtection="1">
      <alignment horizontal="left" vertical="center" wrapText="1"/>
      <protection hidden="1"/>
    </xf>
    <xf numFmtId="0" fontId="62" fillId="27" borderId="179" xfId="0" applyFont="1" applyFill="1" applyBorder="1" applyAlignment="1" applyProtection="1">
      <alignment horizontal="left" vertical="center" wrapText="1"/>
      <protection hidden="1"/>
    </xf>
    <xf numFmtId="220" fontId="32" fillId="27" borderId="244" xfId="0" applyNumberFormat="1" applyFont="1" applyFill="1" applyBorder="1" applyAlignment="1" applyProtection="1">
      <alignment horizontal="left" vertical="center" wrapText="1"/>
      <protection hidden="1"/>
    </xf>
    <xf numFmtId="0" fontId="62" fillId="27" borderId="204" xfId="0" applyFont="1" applyFill="1" applyBorder="1" applyAlignment="1" applyProtection="1">
      <alignment horizontal="left" vertical="center" wrapText="1"/>
      <protection hidden="1"/>
    </xf>
    <xf numFmtId="220" fontId="32" fillId="27" borderId="161" xfId="0" applyNumberFormat="1" applyFont="1" applyFill="1" applyBorder="1" applyAlignment="1" applyProtection="1">
      <alignment horizontal="left" vertical="center" wrapText="1"/>
      <protection hidden="1"/>
    </xf>
    <xf numFmtId="220" fontId="32" fillId="27" borderId="242" xfId="0" applyNumberFormat="1" applyFont="1" applyFill="1" applyBorder="1" applyAlignment="1" applyProtection="1">
      <alignment horizontal="left" vertical="center" wrapText="1"/>
      <protection hidden="1"/>
    </xf>
    <xf numFmtId="0" fontId="62" fillId="27" borderId="205" xfId="0" applyFont="1" applyFill="1" applyBorder="1" applyAlignment="1" applyProtection="1">
      <alignment horizontal="left" vertical="center" wrapText="1"/>
      <protection hidden="1"/>
    </xf>
    <xf numFmtId="0" fontId="62" fillId="0" borderId="0" xfId="0" applyFont="1" applyAlignment="1">
      <alignment horizontal="left" vertical="center" wrapText="1"/>
    </xf>
    <xf numFmtId="0" fontId="44" fillId="0" borderId="167" xfId="0" applyFont="1" applyBorder="1" applyAlignment="1">
      <alignment vertical="center" wrapText="1"/>
    </xf>
    <xf numFmtId="0" fontId="44" fillId="0" borderId="166" xfId="0" applyFont="1" applyBorder="1" applyAlignment="1">
      <alignment vertical="center" wrapText="1"/>
    </xf>
    <xf numFmtId="0" fontId="62" fillId="27" borderId="50" xfId="0" applyFont="1" applyFill="1" applyBorder="1" applyAlignment="1" applyProtection="1">
      <alignment horizontal="left" vertical="center" wrapText="1"/>
      <protection hidden="1"/>
    </xf>
    <xf numFmtId="0" fontId="44" fillId="37" borderId="27" xfId="0" applyFont="1" applyFill="1" applyBorder="1" applyAlignment="1">
      <alignment horizontal="left" vertical="center" wrapText="1"/>
    </xf>
    <xf numFmtId="0" fontId="32" fillId="27" borderId="12" xfId="0" applyFont="1" applyFill="1" applyBorder="1" applyAlignment="1">
      <alignment horizontal="left" vertical="center" wrapText="1"/>
    </xf>
    <xf numFmtId="0" fontId="32" fillId="27" borderId="165" xfId="0" applyFont="1" applyFill="1" applyBorder="1" applyAlignment="1">
      <alignment horizontal="left" vertical="center" wrapText="1"/>
    </xf>
    <xf numFmtId="0" fontId="0" fillId="0" borderId="13" xfId="0" applyBorder="1" applyAlignment="1">
      <alignment horizontal="left" vertical="center" wrapText="1"/>
    </xf>
    <xf numFmtId="0" fontId="0" fillId="0" borderId="167" xfId="0" applyBorder="1" applyAlignment="1">
      <alignment horizontal="left" vertical="center" wrapText="1"/>
    </xf>
    <xf numFmtId="0" fontId="0" fillId="0" borderId="166" xfId="0" applyBorder="1" applyAlignment="1">
      <alignment horizontal="left" vertical="center" wrapText="1"/>
    </xf>
    <xf numFmtId="0" fontId="32" fillId="31" borderId="26" xfId="0" applyFont="1" applyFill="1" applyBorder="1" applyAlignment="1" applyProtection="1">
      <alignment horizontal="center" vertical="center"/>
      <protection hidden="1"/>
    </xf>
    <xf numFmtId="0" fontId="32" fillId="31" borderId="27" xfId="0" applyFont="1" applyFill="1" applyBorder="1" applyAlignment="1" applyProtection="1">
      <alignment horizontal="center" vertical="center"/>
      <protection hidden="1"/>
    </xf>
    <xf numFmtId="0" fontId="32" fillId="31" borderId="26" xfId="0" applyFont="1" applyFill="1" applyBorder="1" applyAlignment="1" applyProtection="1">
      <alignment horizontal="center" vertical="center" shrinkToFit="1"/>
      <protection hidden="1"/>
    </xf>
    <xf numFmtId="0" fontId="44" fillId="0" borderId="82" xfId="0" applyFont="1" applyBorder="1" applyAlignment="1">
      <alignment horizontal="center" vertical="center" shrinkToFit="1"/>
    </xf>
    <xf numFmtId="0" fontId="62" fillId="27" borderId="26" xfId="0" applyFont="1" applyFill="1" applyBorder="1" applyAlignment="1" applyProtection="1">
      <alignment horizontal="left" vertical="center" wrapText="1"/>
      <protection hidden="1"/>
    </xf>
    <xf numFmtId="0" fontId="44" fillId="27" borderId="27" xfId="0" applyFont="1" applyFill="1" applyBorder="1" applyAlignment="1">
      <alignment horizontal="left" vertical="center" wrapText="1"/>
    </xf>
    <xf numFmtId="0" fontId="32" fillId="31" borderId="52" xfId="0" applyFont="1" applyFill="1" applyBorder="1" applyAlignment="1" applyProtection="1">
      <alignment horizontal="left" vertical="top" wrapText="1"/>
      <protection hidden="1"/>
    </xf>
    <xf numFmtId="0" fontId="32" fillId="31" borderId="53" xfId="0" applyFont="1" applyFill="1" applyBorder="1" applyAlignment="1" applyProtection="1">
      <alignment horizontal="left" vertical="top" wrapText="1"/>
      <protection hidden="1"/>
    </xf>
    <xf numFmtId="0" fontId="62" fillId="27" borderId="80" xfId="0" applyFont="1" applyFill="1" applyBorder="1" applyAlignment="1" applyProtection="1">
      <alignment horizontal="left" vertical="center" wrapText="1"/>
      <protection hidden="1"/>
    </xf>
    <xf numFmtId="0" fontId="62" fillId="27" borderId="27" xfId="0" applyFont="1" applyFill="1" applyBorder="1" applyAlignment="1" applyProtection="1">
      <alignment horizontal="left" vertical="center" wrapText="1"/>
      <protection hidden="1"/>
    </xf>
    <xf numFmtId="0" fontId="32" fillId="27" borderId="160" xfId="0" applyFont="1" applyFill="1" applyBorder="1" applyAlignment="1">
      <alignment horizontal="left" vertical="center" wrapText="1"/>
    </xf>
    <xf numFmtId="0" fontId="36" fillId="31" borderId="15" xfId="0" applyFont="1" applyFill="1" applyBorder="1" applyAlignment="1" applyProtection="1">
      <alignment horizontal="center" vertical="center"/>
      <protection hidden="1"/>
    </xf>
    <xf numFmtId="0" fontId="32" fillId="50" borderId="181" xfId="0" applyFont="1" applyFill="1" applyBorder="1" applyAlignment="1" applyProtection="1">
      <alignment horizontal="left" vertical="center" wrapText="1"/>
      <protection hidden="1"/>
    </xf>
    <xf numFmtId="0" fontId="32" fillId="50" borderId="12" xfId="0" applyFont="1" applyFill="1" applyBorder="1" applyAlignment="1">
      <alignment horizontal="left" vertical="center" wrapText="1"/>
    </xf>
    <xf numFmtId="0" fontId="32" fillId="27" borderId="26" xfId="0" applyFont="1" applyFill="1" applyBorder="1" applyAlignment="1" applyProtection="1">
      <alignment horizontal="center" vertical="center" wrapText="1"/>
      <protection hidden="1"/>
    </xf>
    <xf numFmtId="0" fontId="32" fillId="27" borderId="50" xfId="0" applyFont="1" applyFill="1" applyBorder="1" applyAlignment="1" applyProtection="1">
      <alignment horizontal="center" vertical="center" wrapText="1"/>
      <protection hidden="1"/>
    </xf>
    <xf numFmtId="0" fontId="32" fillId="27" borderId="27" xfId="0" applyFont="1" applyFill="1" applyBorder="1" applyAlignment="1" applyProtection="1">
      <alignment horizontal="center" vertical="center" wrapText="1"/>
      <protection hidden="1"/>
    </xf>
    <xf numFmtId="0" fontId="44" fillId="0" borderId="161" xfId="0" applyFont="1" applyBorder="1" applyAlignment="1">
      <alignment horizontal="left" vertical="center" wrapText="1"/>
    </xf>
    <xf numFmtId="0" fontId="32" fillId="50" borderId="12" xfId="0" applyFont="1" applyFill="1" applyBorder="1" applyAlignment="1" applyProtection="1">
      <alignment horizontal="left" vertical="center" wrapText="1"/>
      <protection hidden="1"/>
    </xf>
    <xf numFmtId="0" fontId="32" fillId="50" borderId="52" xfId="0" applyFont="1" applyFill="1" applyBorder="1" applyAlignment="1" applyProtection="1">
      <alignment horizontal="left" vertical="center" wrapText="1"/>
      <protection hidden="1"/>
    </xf>
    <xf numFmtId="0" fontId="44" fillId="0" borderId="54" xfId="0" applyFont="1" applyBorder="1" applyAlignment="1">
      <alignment horizontal="left" vertical="center" wrapText="1"/>
    </xf>
    <xf numFmtId="0" fontId="44" fillId="0" borderId="64" xfId="0" applyFont="1" applyBorder="1" applyAlignment="1">
      <alignment horizontal="left" vertical="center" wrapText="1"/>
    </xf>
    <xf numFmtId="0" fontId="44" fillId="0" borderId="17" xfId="0" applyFont="1" applyBorder="1" applyAlignment="1">
      <alignment horizontal="left" vertical="center" wrapText="1"/>
    </xf>
    <xf numFmtId="0" fontId="44" fillId="0" borderId="56" xfId="0" applyFont="1" applyBorder="1" applyAlignment="1">
      <alignment horizontal="left" vertical="center" wrapText="1"/>
    </xf>
    <xf numFmtId="0" fontId="44" fillId="0" borderId="58" xfId="0" applyFont="1" applyBorder="1" applyAlignment="1">
      <alignment horizontal="left" vertical="center" wrapText="1"/>
    </xf>
    <xf numFmtId="0" fontId="32" fillId="50" borderId="180" xfId="0" applyFont="1" applyFill="1" applyBorder="1" applyAlignment="1" applyProtection="1">
      <alignment horizontal="left" vertical="center" wrapText="1"/>
      <protection hidden="1"/>
    </xf>
    <xf numFmtId="0" fontId="32" fillId="50" borderId="161" xfId="0" applyFont="1" applyFill="1" applyBorder="1" applyAlignment="1" applyProtection="1">
      <alignment horizontal="left" vertical="center" wrapText="1"/>
      <protection hidden="1"/>
    </xf>
    <xf numFmtId="0" fontId="32" fillId="50" borderId="162" xfId="0" applyFont="1" applyFill="1" applyBorder="1" applyAlignment="1" applyProtection="1">
      <alignment horizontal="left" vertical="center" wrapText="1"/>
      <protection hidden="1"/>
    </xf>
    <xf numFmtId="0" fontId="32" fillId="50" borderId="13" xfId="0" applyFont="1" applyFill="1" applyBorder="1" applyAlignment="1">
      <alignment horizontal="left" vertical="center" wrapText="1"/>
    </xf>
    <xf numFmtId="0" fontId="32" fillId="50" borderId="14" xfId="0" applyFont="1" applyFill="1" applyBorder="1" applyAlignment="1">
      <alignment horizontal="left" vertical="center" wrapText="1"/>
    </xf>
    <xf numFmtId="0" fontId="32" fillId="50" borderId="182" xfId="0" applyFont="1" applyFill="1" applyBorder="1" applyAlignment="1" applyProtection="1">
      <alignment horizontal="left" vertical="center" wrapText="1"/>
      <protection hidden="1"/>
    </xf>
    <xf numFmtId="0" fontId="30" fillId="37" borderId="57" xfId="0" applyFont="1" applyFill="1" applyBorder="1" applyAlignment="1">
      <alignment horizontal="left" vertical="center" wrapText="1"/>
    </xf>
    <xf numFmtId="0" fontId="44" fillId="0" borderId="57" xfId="0" applyFont="1" applyBorder="1" applyAlignment="1">
      <alignment horizontal="left" vertical="center" wrapText="1"/>
    </xf>
    <xf numFmtId="0" fontId="30" fillId="0" borderId="57" xfId="0" applyFont="1" applyBorder="1" applyAlignment="1">
      <alignment horizontal="left" vertical="top" wrapText="1"/>
    </xf>
    <xf numFmtId="0" fontId="30" fillId="0" borderId="57" xfId="0" applyFont="1" applyBorder="1" applyAlignment="1">
      <alignment horizontal="left" vertical="center" wrapText="1"/>
    </xf>
    <xf numFmtId="0" fontId="32" fillId="27" borderId="182" xfId="0" applyFont="1" applyFill="1" applyBorder="1" applyAlignment="1">
      <alignment horizontal="left" vertical="center" wrapText="1"/>
    </xf>
    <xf numFmtId="0" fontId="32" fillId="50" borderId="165" xfId="0" applyFont="1" applyFill="1" applyBorder="1" applyAlignment="1">
      <alignment horizontal="left" vertical="center" wrapText="1"/>
    </xf>
    <xf numFmtId="0" fontId="62" fillId="31" borderId="80" xfId="0" applyFont="1" applyFill="1" applyBorder="1" applyAlignment="1" applyProtection="1">
      <alignment horizontal="center" vertical="center" wrapText="1"/>
      <protection hidden="1"/>
    </xf>
    <xf numFmtId="0" fontId="62" fillId="31" borderId="27" xfId="0" applyFont="1" applyFill="1" applyBorder="1" applyAlignment="1" applyProtection="1">
      <alignment horizontal="center" vertical="center" wrapText="1"/>
      <protection hidden="1"/>
    </xf>
    <xf numFmtId="0" fontId="32" fillId="50" borderId="180" xfId="0" applyFont="1" applyFill="1" applyBorder="1" applyAlignment="1">
      <alignment horizontal="left" vertical="center" wrapText="1"/>
    </xf>
    <xf numFmtId="0" fontId="32" fillId="50" borderId="161" xfId="0" applyFont="1" applyFill="1" applyBorder="1" applyAlignment="1">
      <alignment horizontal="left" vertical="center" wrapText="1"/>
    </xf>
    <xf numFmtId="0" fontId="32" fillId="50" borderId="162" xfId="0" applyFont="1" applyFill="1" applyBorder="1" applyAlignment="1">
      <alignment horizontal="left" vertical="center" wrapText="1"/>
    </xf>
    <xf numFmtId="0" fontId="32" fillId="50" borderId="181" xfId="0" applyFont="1" applyFill="1" applyBorder="1" applyAlignment="1">
      <alignment horizontal="left" vertical="center" wrapText="1"/>
    </xf>
    <xf numFmtId="0" fontId="32" fillId="50" borderId="182" xfId="0" applyFont="1" applyFill="1" applyBorder="1" applyAlignment="1">
      <alignment horizontal="left" vertical="center" wrapText="1"/>
    </xf>
    <xf numFmtId="0" fontId="32" fillId="50" borderId="165" xfId="0" applyFont="1" applyFill="1" applyBorder="1" applyAlignment="1" applyProtection="1">
      <alignment horizontal="left" vertical="center" wrapText="1"/>
      <protection hidden="1"/>
    </xf>
    <xf numFmtId="0" fontId="32" fillId="50" borderId="167" xfId="0" applyFont="1" applyFill="1" applyBorder="1" applyAlignment="1" applyProtection="1">
      <alignment horizontal="left" vertical="center" wrapText="1"/>
      <protection hidden="1"/>
    </xf>
    <xf numFmtId="0" fontId="32" fillId="50" borderId="166" xfId="0" applyFont="1" applyFill="1" applyBorder="1" applyAlignment="1" applyProtection="1">
      <alignment horizontal="left" vertical="center" wrapText="1"/>
      <protection hidden="1"/>
    </xf>
    <xf numFmtId="0" fontId="32" fillId="27" borderId="180" xfId="0" applyFont="1" applyFill="1" applyBorder="1" applyAlignment="1" applyProtection="1">
      <alignment horizontal="left" vertical="center" wrapText="1"/>
      <protection hidden="1"/>
    </xf>
    <xf numFmtId="0" fontId="32" fillId="31" borderId="26" xfId="0" applyFont="1" applyFill="1" applyBorder="1" applyAlignment="1" applyProtection="1">
      <alignment horizontal="center" vertical="center" wrapText="1"/>
      <protection hidden="1"/>
    </xf>
    <xf numFmtId="0" fontId="32" fillId="27" borderId="180" xfId="0" applyFont="1" applyFill="1" applyBorder="1" applyAlignment="1">
      <alignment horizontal="left" vertical="center" wrapText="1"/>
    </xf>
    <xf numFmtId="0" fontId="32" fillId="27" borderId="161" xfId="0" applyFont="1" applyFill="1" applyBorder="1" applyAlignment="1">
      <alignment horizontal="left" vertical="center" wrapText="1"/>
    </xf>
    <xf numFmtId="0" fontId="32" fillId="27" borderId="162" xfId="0" applyFont="1" applyFill="1" applyBorder="1" applyAlignment="1">
      <alignment horizontal="left" vertical="center" wrapText="1"/>
    </xf>
    <xf numFmtId="0" fontId="32" fillId="27" borderId="181" xfId="0" applyFont="1" applyFill="1" applyBorder="1" applyAlignment="1">
      <alignment horizontal="left" vertical="center" wrapText="1"/>
    </xf>
    <xf numFmtId="0" fontId="44" fillId="50" borderId="13" xfId="0" applyFont="1" applyFill="1" applyBorder="1" applyAlignment="1">
      <alignment horizontal="left" vertical="center" wrapText="1"/>
    </xf>
    <xf numFmtId="0" fontId="44" fillId="50" borderId="14" xfId="0" applyFont="1" applyFill="1" applyBorder="1" applyAlignment="1">
      <alignment horizontal="left" vertical="center" wrapText="1"/>
    </xf>
    <xf numFmtId="0" fontId="62" fillId="0" borderId="53" xfId="0" applyFont="1" applyBorder="1" applyAlignment="1">
      <alignment horizontal="left" vertical="top" wrapText="1"/>
    </xf>
    <xf numFmtId="0" fontId="32" fillId="50" borderId="13" xfId="0" applyFont="1" applyFill="1" applyBorder="1" applyAlignment="1" applyProtection="1">
      <alignment horizontal="left" vertical="center" wrapText="1"/>
      <protection hidden="1"/>
    </xf>
    <xf numFmtId="0" fontId="32" fillId="50" borderId="14" xfId="0" applyFont="1" applyFill="1" applyBorder="1" applyAlignment="1" applyProtection="1">
      <alignment horizontal="left" vertical="center" wrapText="1"/>
      <protection hidden="1"/>
    </xf>
    <xf numFmtId="0" fontId="32" fillId="27" borderId="181" xfId="0" applyFont="1" applyFill="1" applyBorder="1" applyAlignment="1" applyProtection="1">
      <alignment horizontal="left" vertical="center" wrapText="1"/>
      <protection hidden="1"/>
    </xf>
    <xf numFmtId="0" fontId="32" fillId="31" borderId="82" xfId="0" applyFont="1" applyFill="1" applyBorder="1" applyAlignment="1" applyProtection="1">
      <alignment horizontal="center" vertical="center" wrapText="1"/>
      <protection hidden="1"/>
    </xf>
    <xf numFmtId="0" fontId="0" fillId="0" borderId="57" xfId="0" applyBorder="1" applyAlignment="1">
      <alignment horizontal="left" vertical="center" wrapText="1"/>
    </xf>
    <xf numFmtId="220" fontId="32" fillId="27" borderId="12" xfId="0" applyNumberFormat="1" applyFont="1" applyFill="1" applyBorder="1" applyAlignment="1" applyProtection="1">
      <alignment vertical="center" wrapText="1"/>
      <protection hidden="1"/>
    </xf>
    <xf numFmtId="220" fontId="32" fillId="27" borderId="13" xfId="0" applyNumberFormat="1" applyFont="1" applyFill="1" applyBorder="1" applyAlignment="1" applyProtection="1">
      <alignment vertical="center" wrapText="1"/>
      <protection hidden="1"/>
    </xf>
    <xf numFmtId="220" fontId="32" fillId="27" borderId="14" xfId="0" applyNumberFormat="1" applyFont="1" applyFill="1" applyBorder="1" applyAlignment="1" applyProtection="1">
      <alignment vertical="center" wrapText="1"/>
      <protection hidden="1"/>
    </xf>
    <xf numFmtId="0" fontId="0" fillId="0" borderId="13" xfId="0" applyBorder="1" applyAlignment="1">
      <alignment vertical="center" wrapText="1"/>
    </xf>
    <xf numFmtId="0" fontId="0" fillId="0" borderId="14" xfId="0" applyBorder="1" applyAlignment="1">
      <alignment vertical="center" wrapText="1"/>
    </xf>
    <xf numFmtId="0" fontId="32" fillId="27" borderId="172" xfId="0" applyFont="1" applyFill="1" applyBorder="1" applyAlignment="1" applyProtection="1">
      <alignment horizontal="left" vertical="center" wrapText="1"/>
      <protection hidden="1"/>
    </xf>
    <xf numFmtId="0" fontId="32" fillId="27" borderId="177" xfId="0" applyFont="1" applyFill="1" applyBorder="1" applyAlignment="1" applyProtection="1">
      <alignment horizontal="left" vertical="center" wrapText="1"/>
      <protection hidden="1"/>
    </xf>
    <xf numFmtId="0" fontId="32" fillId="27" borderId="178" xfId="0" applyFont="1" applyFill="1" applyBorder="1" applyAlignment="1" applyProtection="1">
      <alignment horizontal="left" vertical="center" wrapText="1"/>
      <protection hidden="1"/>
    </xf>
    <xf numFmtId="0" fontId="61" fillId="57" borderId="184" xfId="0" applyFont="1" applyFill="1" applyBorder="1" applyAlignment="1" applyProtection="1">
      <alignment horizontal="center" vertical="center"/>
      <protection locked="0" hidden="1"/>
    </xf>
    <xf numFmtId="0" fontId="61" fillId="57" borderId="206" xfId="0" applyFont="1" applyFill="1" applyBorder="1" applyAlignment="1" applyProtection="1">
      <alignment horizontal="center" vertical="center"/>
      <protection locked="0" hidden="1"/>
    </xf>
    <xf numFmtId="0" fontId="44" fillId="27" borderId="11" xfId="0" applyFont="1" applyFill="1" applyBorder="1" applyAlignment="1">
      <alignment horizontal="center" vertical="center" wrapText="1"/>
    </xf>
    <xf numFmtId="176" fontId="44" fillId="27" borderId="173" xfId="0" applyNumberFormat="1" applyFont="1" applyFill="1" applyBorder="1" applyAlignment="1" applyProtection="1">
      <alignment horizontal="center" vertical="center" wrapText="1"/>
      <protection hidden="1"/>
    </xf>
    <xf numFmtId="176" fontId="44" fillId="27" borderId="15" xfId="0" applyNumberFormat="1" applyFont="1" applyFill="1" applyBorder="1" applyAlignment="1" applyProtection="1">
      <alignment horizontal="center" vertical="center" wrapText="1"/>
      <protection hidden="1"/>
    </xf>
    <xf numFmtId="176" fontId="44" fillId="27" borderId="163" xfId="0" applyNumberFormat="1" applyFont="1" applyFill="1" applyBorder="1" applyAlignment="1" applyProtection="1">
      <alignment horizontal="center" vertical="center" wrapText="1"/>
      <protection hidden="1"/>
    </xf>
    <xf numFmtId="0" fontId="44" fillId="0" borderId="177" xfId="0" applyFont="1" applyBorder="1" applyAlignment="1">
      <alignment horizontal="left" vertical="center" wrapText="1"/>
    </xf>
    <xf numFmtId="0" fontId="44" fillId="0" borderId="178" xfId="0" applyFont="1" applyBorder="1" applyAlignment="1">
      <alignment horizontal="left" vertical="center" wrapText="1"/>
    </xf>
    <xf numFmtId="0" fontId="32" fillId="27" borderId="171" xfId="0" applyFont="1" applyFill="1" applyBorder="1" applyAlignment="1" applyProtection="1">
      <alignment horizontal="left" vertical="center" wrapText="1" indent="1"/>
      <protection hidden="1"/>
    </xf>
    <xf numFmtId="0" fontId="32" fillId="27" borderId="87" xfId="0" applyFont="1" applyFill="1" applyBorder="1" applyAlignment="1" applyProtection="1">
      <alignment horizontal="left" vertical="center" wrapText="1" indent="1"/>
      <protection hidden="1"/>
    </xf>
    <xf numFmtId="0" fontId="32" fillId="27" borderId="187" xfId="0" applyFont="1" applyFill="1" applyBorder="1" applyAlignment="1" applyProtection="1">
      <alignment horizontal="left" vertical="center" wrapText="1" indent="1"/>
      <protection hidden="1"/>
    </xf>
    <xf numFmtId="0" fontId="32" fillId="27" borderId="64" xfId="0" applyFont="1" applyFill="1" applyBorder="1" applyAlignment="1" applyProtection="1">
      <alignment horizontal="left" vertical="center" wrapText="1" indent="1"/>
      <protection hidden="1"/>
    </xf>
    <xf numFmtId="0" fontId="32" fillId="27" borderId="0" xfId="0" applyFont="1" applyFill="1" applyAlignment="1" applyProtection="1">
      <alignment horizontal="left" vertical="center" wrapText="1" indent="1"/>
      <protection hidden="1"/>
    </xf>
    <xf numFmtId="0" fontId="32" fillId="27" borderId="193" xfId="0" applyFont="1" applyFill="1" applyBorder="1" applyAlignment="1" applyProtection="1">
      <alignment horizontal="center" vertical="center" wrapText="1"/>
      <protection hidden="1"/>
    </xf>
    <xf numFmtId="0" fontId="32" fillId="27" borderId="177" xfId="0" applyFont="1" applyFill="1" applyBorder="1" applyAlignment="1" applyProtection="1">
      <alignment horizontal="center" vertical="center" wrapText="1"/>
      <protection hidden="1"/>
    </xf>
    <xf numFmtId="0" fontId="32" fillId="27" borderId="86" xfId="0" applyFont="1" applyFill="1" applyBorder="1" applyAlignment="1" applyProtection="1">
      <alignment horizontal="center" vertical="center" wrapText="1"/>
      <protection hidden="1"/>
    </xf>
    <xf numFmtId="0" fontId="32" fillId="27" borderId="87" xfId="0" applyFont="1" applyFill="1" applyBorder="1" applyAlignment="1" applyProtection="1">
      <alignment horizontal="center" vertical="center" wrapText="1"/>
      <protection hidden="1"/>
    </xf>
    <xf numFmtId="0" fontId="61" fillId="57" borderId="100" xfId="0" applyFont="1" applyFill="1" applyBorder="1" applyAlignment="1" applyProtection="1">
      <alignment horizontal="center" vertical="center"/>
      <protection locked="0" hidden="1"/>
    </xf>
    <xf numFmtId="0" fontId="32" fillId="27" borderId="178" xfId="0" applyFont="1" applyFill="1" applyBorder="1" applyAlignment="1" applyProtection="1">
      <alignment horizontal="center" vertical="center" wrapText="1"/>
      <protection hidden="1"/>
    </xf>
    <xf numFmtId="0" fontId="32" fillId="27" borderId="62" xfId="0" applyFont="1" applyFill="1" applyBorder="1" applyAlignment="1" applyProtection="1">
      <alignment horizontal="center" vertical="center" wrapText="1"/>
      <protection hidden="1"/>
    </xf>
    <xf numFmtId="0" fontId="32" fillId="27" borderId="17" xfId="0" applyFont="1" applyFill="1" applyBorder="1" applyAlignment="1" applyProtection="1">
      <alignment horizontal="center" vertical="center" wrapText="1"/>
      <protection hidden="1"/>
    </xf>
    <xf numFmtId="0" fontId="32" fillId="27" borderId="187" xfId="0" applyFont="1" applyFill="1" applyBorder="1" applyAlignment="1" applyProtection="1">
      <alignment horizontal="center" vertical="center" wrapText="1"/>
      <protection hidden="1"/>
    </xf>
    <xf numFmtId="0" fontId="62" fillId="27" borderId="181" xfId="0" applyFont="1" applyFill="1" applyBorder="1" applyAlignment="1" applyProtection="1">
      <alignment horizontal="center" vertical="center" wrapText="1"/>
      <protection hidden="1"/>
    </xf>
    <xf numFmtId="0" fontId="62" fillId="27" borderId="14" xfId="0" applyFont="1" applyFill="1" applyBorder="1" applyAlignment="1" applyProtection="1">
      <alignment horizontal="center" vertical="center" wrapText="1"/>
      <protection hidden="1"/>
    </xf>
    <xf numFmtId="0" fontId="44" fillId="27" borderId="173" xfId="0" applyFont="1" applyFill="1" applyBorder="1" applyAlignment="1" applyProtection="1">
      <alignment horizontal="center" vertical="center"/>
      <protection hidden="1"/>
    </xf>
    <xf numFmtId="0" fontId="44" fillId="27" borderId="163" xfId="0" applyFont="1" applyFill="1" applyBorder="1" applyAlignment="1" applyProtection="1">
      <alignment horizontal="center" vertical="center"/>
      <protection hidden="1"/>
    </xf>
    <xf numFmtId="0" fontId="32" fillId="27" borderId="57" xfId="0" applyFont="1" applyFill="1" applyBorder="1" applyAlignment="1" applyProtection="1">
      <alignment horizontal="left" vertical="center" wrapText="1"/>
      <protection hidden="1"/>
    </xf>
    <xf numFmtId="0" fontId="32" fillId="27" borderId="0" xfId="0" applyFont="1" applyFill="1" applyAlignment="1" applyProtection="1">
      <alignment horizontal="center" vertical="center" wrapText="1"/>
      <protection hidden="1"/>
    </xf>
    <xf numFmtId="0" fontId="44" fillId="27" borderId="173" xfId="0" applyFont="1" applyFill="1" applyBorder="1" applyAlignment="1">
      <alignment horizontal="center" vertical="center" wrapText="1"/>
    </xf>
    <xf numFmtId="0" fontId="44" fillId="27" borderId="163" xfId="0" applyFont="1" applyFill="1" applyBorder="1" applyAlignment="1">
      <alignment horizontal="center" vertical="center" wrapText="1"/>
    </xf>
    <xf numFmtId="0" fontId="44" fillId="27" borderId="55" xfId="0" applyFont="1" applyFill="1" applyBorder="1" applyAlignment="1">
      <alignment horizontal="center" vertical="center" wrapText="1"/>
    </xf>
    <xf numFmtId="0" fontId="61" fillId="57" borderId="115" xfId="0" applyFont="1" applyFill="1" applyBorder="1" applyAlignment="1" applyProtection="1">
      <alignment horizontal="center" vertical="center"/>
      <protection locked="0" hidden="1"/>
    </xf>
    <xf numFmtId="0" fontId="32" fillId="27" borderId="89" xfId="0" applyFont="1" applyFill="1" applyBorder="1" applyAlignment="1" applyProtection="1">
      <alignment horizontal="center" vertical="center" wrapText="1"/>
      <protection hidden="1"/>
    </xf>
    <xf numFmtId="0" fontId="32" fillId="27" borderId="54" xfId="0" applyFont="1" applyFill="1" applyBorder="1" applyAlignment="1" applyProtection="1">
      <alignment horizontal="center" vertical="center" wrapText="1"/>
      <protection hidden="1"/>
    </xf>
    <xf numFmtId="0" fontId="32" fillId="27" borderId="53" xfId="0" applyFont="1" applyFill="1" applyBorder="1" applyAlignment="1" applyProtection="1">
      <alignment horizontal="left" vertical="center" wrapText="1"/>
      <protection hidden="1"/>
    </xf>
    <xf numFmtId="0" fontId="44" fillId="0" borderId="178" xfId="0" applyFont="1" applyBorder="1">
      <alignment vertical="center"/>
    </xf>
    <xf numFmtId="0" fontId="32" fillId="27" borderId="0" xfId="0" applyFont="1" applyFill="1" applyAlignment="1" applyProtection="1">
      <alignment horizontal="left" vertical="center" wrapText="1"/>
      <protection hidden="1"/>
    </xf>
    <xf numFmtId="0" fontId="44" fillId="0" borderId="17" xfId="0" applyFont="1" applyBorder="1">
      <alignment vertical="center"/>
    </xf>
    <xf numFmtId="0" fontId="44" fillId="0" borderId="0" xfId="0" applyFont="1">
      <alignment vertical="center"/>
    </xf>
    <xf numFmtId="0" fontId="44" fillId="0" borderId="87" xfId="0" applyFont="1" applyBorder="1">
      <alignment vertical="center"/>
    </xf>
    <xf numFmtId="0" fontId="44" fillId="0" borderId="187" xfId="0" applyFont="1" applyBorder="1">
      <alignment vertical="center"/>
    </xf>
    <xf numFmtId="0" fontId="32" fillId="0" borderId="0" xfId="0" applyFont="1" applyAlignment="1" applyProtection="1">
      <alignment horizontal="left" vertical="center" wrapText="1"/>
      <protection hidden="1"/>
    </xf>
    <xf numFmtId="0" fontId="32" fillId="29" borderId="0" xfId="0" applyFont="1" applyFill="1" applyAlignment="1" applyProtection="1">
      <alignment horizontal="left" vertical="center" wrapText="1"/>
      <protection hidden="1"/>
    </xf>
    <xf numFmtId="0" fontId="44" fillId="27" borderId="51" xfId="0" applyFont="1" applyFill="1" applyBorder="1" applyAlignment="1" applyProtection="1">
      <alignment horizontal="center" vertical="center" wrapText="1"/>
      <protection hidden="1"/>
    </xf>
    <xf numFmtId="0" fontId="44" fillId="27" borderId="163" xfId="0" applyFont="1" applyFill="1" applyBorder="1" applyAlignment="1" applyProtection="1">
      <alignment horizontal="center" vertical="center" wrapText="1"/>
      <protection hidden="1"/>
    </xf>
    <xf numFmtId="0" fontId="44" fillId="27" borderId="173" xfId="0" applyFont="1" applyFill="1" applyBorder="1" applyAlignment="1" applyProtection="1">
      <alignment horizontal="center" vertical="center" wrapText="1"/>
      <protection hidden="1"/>
    </xf>
    <xf numFmtId="0" fontId="61" fillId="57" borderId="92" xfId="0" applyFont="1" applyFill="1" applyBorder="1" applyAlignment="1" applyProtection="1">
      <alignment horizontal="center" vertical="center"/>
      <protection locked="0" hidden="1"/>
    </xf>
    <xf numFmtId="0" fontId="32" fillId="27" borderId="181" xfId="0" applyFont="1" applyFill="1" applyBorder="1" applyAlignment="1" applyProtection="1">
      <alignment horizontal="center" vertical="center" wrapText="1"/>
      <protection hidden="1"/>
    </xf>
    <xf numFmtId="0" fontId="32" fillId="27" borderId="14" xfId="0" applyFont="1" applyFill="1" applyBorder="1" applyAlignment="1" applyProtection="1">
      <alignment horizontal="center" vertical="center" wrapText="1"/>
      <protection hidden="1"/>
    </xf>
    <xf numFmtId="0" fontId="301" fillId="27" borderId="77" xfId="0" applyFont="1" applyFill="1" applyBorder="1" applyAlignment="1" applyProtection="1">
      <alignment horizontal="center" vertical="center" wrapText="1"/>
      <protection hidden="1"/>
    </xf>
    <xf numFmtId="0" fontId="32" fillId="27" borderId="58" xfId="0" applyFont="1" applyFill="1" applyBorder="1" applyAlignment="1" applyProtection="1">
      <alignment horizontal="center" vertical="center" wrapText="1"/>
      <protection hidden="1"/>
    </xf>
    <xf numFmtId="0" fontId="44" fillId="27" borderId="15" xfId="0" applyFont="1" applyFill="1" applyBorder="1" applyAlignment="1" applyProtection="1">
      <alignment horizontal="center" vertical="center" wrapText="1"/>
      <protection hidden="1"/>
    </xf>
    <xf numFmtId="0" fontId="44" fillId="27" borderId="173" xfId="0" quotePrefix="1" applyFont="1" applyFill="1" applyBorder="1" applyAlignment="1" applyProtection="1">
      <alignment horizontal="center" vertical="center" wrapText="1"/>
      <protection hidden="1"/>
    </xf>
    <xf numFmtId="0" fontId="44" fillId="27" borderId="15" xfId="0" quotePrefix="1" applyFont="1" applyFill="1" applyBorder="1" applyAlignment="1" applyProtection="1">
      <alignment horizontal="center" vertical="center" wrapText="1"/>
      <protection hidden="1"/>
    </xf>
    <xf numFmtId="0" fontId="32" fillId="27" borderId="177" xfId="0" applyFont="1" applyFill="1" applyBorder="1" applyAlignment="1">
      <alignment vertical="center" wrapText="1"/>
    </xf>
    <xf numFmtId="0" fontId="32" fillId="27" borderId="178" xfId="0" applyFont="1" applyFill="1" applyBorder="1">
      <alignment vertical="center"/>
    </xf>
    <xf numFmtId="0" fontId="32" fillId="27" borderId="0" xfId="0" applyFont="1" applyFill="1">
      <alignment vertical="center"/>
    </xf>
    <xf numFmtId="0" fontId="32" fillId="27" borderId="17" xfId="0" applyFont="1" applyFill="1" applyBorder="1">
      <alignment vertical="center"/>
    </xf>
    <xf numFmtId="0" fontId="32" fillId="27" borderId="87" xfId="0" applyFont="1" applyFill="1" applyBorder="1">
      <alignment vertical="center"/>
    </xf>
    <xf numFmtId="0" fontId="32" fillId="27" borderId="187" xfId="0" applyFont="1" applyFill="1" applyBorder="1">
      <alignment vertical="center"/>
    </xf>
    <xf numFmtId="0" fontId="44" fillId="57" borderId="100" xfId="0" applyFont="1" applyFill="1" applyBorder="1" applyProtection="1">
      <alignment vertical="center"/>
      <protection locked="0"/>
    </xf>
    <xf numFmtId="0" fontId="44" fillId="57" borderId="206" xfId="0" applyFont="1" applyFill="1" applyBorder="1" applyProtection="1">
      <alignment vertical="center"/>
      <protection locked="0"/>
    </xf>
    <xf numFmtId="0" fontId="44" fillId="27" borderId="163" xfId="0" quotePrefix="1" applyFont="1" applyFill="1" applyBorder="1" applyAlignment="1" applyProtection="1">
      <alignment horizontal="center" vertical="center" wrapText="1"/>
      <protection hidden="1"/>
    </xf>
    <xf numFmtId="0" fontId="32" fillId="27" borderId="64" xfId="0" quotePrefix="1" applyFont="1" applyFill="1" applyBorder="1" applyAlignment="1" applyProtection="1">
      <alignment horizontal="left" vertical="center" wrapText="1" indent="1"/>
      <protection hidden="1"/>
    </xf>
    <xf numFmtId="0" fontId="32" fillId="27" borderId="171" xfId="0" quotePrefix="1" applyFont="1" applyFill="1" applyBorder="1" applyAlignment="1" applyProtection="1">
      <alignment horizontal="left" vertical="center" wrapText="1" indent="1"/>
      <protection hidden="1"/>
    </xf>
    <xf numFmtId="0" fontId="32" fillId="27" borderId="87" xfId="0" applyFont="1" applyFill="1" applyBorder="1" applyAlignment="1" applyProtection="1">
      <alignment horizontal="left" vertical="center" wrapText="1"/>
      <protection hidden="1"/>
    </xf>
    <xf numFmtId="0" fontId="32" fillId="27" borderId="187" xfId="0" applyFont="1" applyFill="1" applyBorder="1" applyAlignment="1" applyProtection="1">
      <alignment horizontal="left" vertical="center" wrapText="1"/>
      <protection hidden="1"/>
    </xf>
    <xf numFmtId="0" fontId="32" fillId="27" borderId="26" xfId="0" applyFont="1" applyFill="1" applyBorder="1" applyAlignment="1">
      <alignment horizontal="left" vertical="center" wrapText="1"/>
    </xf>
    <xf numFmtId="0" fontId="32" fillId="27" borderId="27" xfId="0" applyFont="1" applyFill="1" applyBorder="1" applyAlignment="1">
      <alignment horizontal="left" vertical="center" wrapText="1"/>
    </xf>
    <xf numFmtId="0" fontId="0" fillId="0" borderId="50" xfId="0" applyBorder="1" applyAlignment="1">
      <alignment horizontal="left" vertical="center" wrapText="1"/>
    </xf>
    <xf numFmtId="0" fontId="0" fillId="0" borderId="27" xfId="0" applyBorder="1" applyAlignment="1">
      <alignment horizontal="left" vertical="center" wrapText="1"/>
    </xf>
    <xf numFmtId="0" fontId="32" fillId="27" borderId="26" xfId="0" applyFont="1" applyFill="1" applyBorder="1" applyAlignment="1">
      <alignment horizontal="center" vertical="center" wrapText="1"/>
    </xf>
    <xf numFmtId="0" fontId="32" fillId="27" borderId="27" xfId="0" applyFont="1" applyFill="1" applyBorder="1" applyAlignment="1">
      <alignment horizontal="center" vertical="center" wrapText="1"/>
    </xf>
    <xf numFmtId="0" fontId="32" fillId="27" borderId="10" xfId="0" applyFont="1" applyFill="1" applyBorder="1" applyAlignment="1">
      <alignment horizontal="center" vertical="center" wrapText="1"/>
    </xf>
    <xf numFmtId="0" fontId="32" fillId="27" borderId="51" xfId="0" applyFont="1" applyFill="1" applyBorder="1" applyAlignment="1">
      <alignment horizontal="center" vertical="center" wrapText="1"/>
    </xf>
    <xf numFmtId="0" fontId="32" fillId="27" borderId="15" xfId="0" applyFont="1" applyFill="1" applyBorder="1" applyAlignment="1">
      <alignment horizontal="center" vertical="center" wrapText="1"/>
    </xf>
    <xf numFmtId="0" fontId="44" fillId="0" borderId="55" xfId="0" applyFont="1" applyBorder="1" applyAlignment="1">
      <alignment horizontal="center" vertical="center" wrapText="1"/>
    </xf>
    <xf numFmtId="0" fontId="62" fillId="0" borderId="52" xfId="0" applyFont="1" applyBorder="1" applyAlignment="1">
      <alignment horizontal="left" vertical="center" wrapText="1"/>
    </xf>
    <xf numFmtId="0" fontId="62" fillId="0" borderId="53" xfId="0" applyFont="1" applyBorder="1" applyAlignment="1">
      <alignment horizontal="left" vertical="center" wrapText="1"/>
    </xf>
    <xf numFmtId="0" fontId="32" fillId="27" borderId="55" xfId="0" applyFont="1" applyFill="1" applyBorder="1" applyAlignment="1">
      <alignment horizontal="center" vertical="center" wrapText="1"/>
    </xf>
    <xf numFmtId="0" fontId="32" fillId="31" borderId="26" xfId="0" applyFont="1" applyFill="1" applyBorder="1" applyAlignment="1" applyProtection="1">
      <alignment horizontal="left" vertical="center" wrapText="1"/>
      <protection hidden="1"/>
    </xf>
    <xf numFmtId="0" fontId="44" fillId="0" borderId="27" xfId="0" applyFont="1" applyBorder="1" applyAlignment="1">
      <alignment horizontal="left" vertical="center" wrapText="1"/>
    </xf>
    <xf numFmtId="219" fontId="36" fillId="31" borderId="52" xfId="0" applyNumberFormat="1" applyFont="1" applyFill="1" applyBorder="1" applyAlignment="1">
      <alignment horizontal="center" vertical="center"/>
    </xf>
    <xf numFmtId="219" fontId="36" fillId="31" borderId="56" xfId="0" applyNumberFormat="1" applyFont="1" applyFill="1" applyBorder="1" applyAlignment="1">
      <alignment horizontal="center" vertical="center"/>
    </xf>
    <xf numFmtId="0" fontId="32" fillId="27" borderId="13" xfId="0" applyFont="1" applyFill="1" applyBorder="1" applyAlignment="1">
      <alignment horizontal="left" vertical="center" wrapText="1"/>
    </xf>
    <xf numFmtId="0" fontId="32" fillId="27" borderId="14" xfId="0" applyFont="1" applyFill="1" applyBorder="1" applyAlignment="1">
      <alignment horizontal="left" vertical="center" wrapText="1"/>
    </xf>
    <xf numFmtId="0" fontId="32" fillId="27" borderId="167" xfId="0" applyFont="1" applyFill="1" applyBorder="1" applyAlignment="1">
      <alignment horizontal="left" vertical="center" wrapText="1"/>
    </xf>
    <xf numFmtId="0" fontId="32" fillId="27" borderId="166" xfId="0" applyFont="1" applyFill="1" applyBorder="1" applyAlignment="1">
      <alignment horizontal="left" vertical="center" wrapText="1"/>
    </xf>
    <xf numFmtId="0" fontId="44" fillId="0" borderId="10" xfId="0" applyFont="1" applyBorder="1" applyAlignment="1">
      <alignment horizontal="center" vertical="center" wrapText="1"/>
    </xf>
    <xf numFmtId="0" fontId="32" fillId="27" borderId="171" xfId="0" applyFont="1" applyFill="1" applyBorder="1" applyAlignment="1">
      <alignment horizontal="left" vertical="center" wrapText="1"/>
    </xf>
    <xf numFmtId="0" fontId="32" fillId="27" borderId="87" xfId="0" applyFont="1" applyFill="1" applyBorder="1" applyAlignment="1">
      <alignment horizontal="left" vertical="center" wrapText="1"/>
    </xf>
    <xf numFmtId="0" fontId="32" fillId="27" borderId="187" xfId="0" applyFont="1" applyFill="1" applyBorder="1" applyAlignment="1">
      <alignment horizontal="left" vertical="center" wrapText="1"/>
    </xf>
    <xf numFmtId="0" fontId="44" fillId="0" borderId="13" xfId="0" applyFont="1" applyBorder="1" applyAlignment="1">
      <alignment vertical="center" wrapText="1"/>
    </xf>
    <xf numFmtId="0" fontId="44" fillId="0" borderId="14" xfId="0" applyFont="1" applyBorder="1" applyAlignment="1">
      <alignment vertical="center" wrapText="1"/>
    </xf>
    <xf numFmtId="0" fontId="36" fillId="50" borderId="51" xfId="0" applyFont="1" applyFill="1" applyBorder="1" applyAlignment="1" applyProtection="1">
      <alignment horizontal="center" vertical="center"/>
      <protection hidden="1"/>
    </xf>
    <xf numFmtId="0" fontId="36" fillId="50" borderId="15" xfId="0" applyFont="1" applyFill="1" applyBorder="1" applyAlignment="1" applyProtection="1">
      <alignment horizontal="center" vertical="center"/>
      <protection hidden="1"/>
    </xf>
    <xf numFmtId="0" fontId="36" fillId="50" borderId="55" xfId="0" applyFont="1" applyFill="1" applyBorder="1" applyAlignment="1" applyProtection="1">
      <alignment horizontal="center" vertical="center"/>
      <protection hidden="1"/>
    </xf>
    <xf numFmtId="0" fontId="32" fillId="27" borderId="26" xfId="0" applyFont="1" applyFill="1" applyBorder="1" applyAlignment="1" applyProtection="1">
      <alignment horizontal="left" vertical="center" wrapText="1"/>
      <protection hidden="1"/>
    </xf>
    <xf numFmtId="0" fontId="32" fillId="27" borderId="50" xfId="0" applyFont="1" applyFill="1" applyBorder="1" applyAlignment="1" applyProtection="1">
      <alignment horizontal="left" vertical="center" wrapText="1"/>
      <protection hidden="1"/>
    </xf>
    <xf numFmtId="0" fontId="32" fillId="27" borderId="82" xfId="0" applyFont="1" applyFill="1" applyBorder="1" applyAlignment="1" applyProtection="1">
      <alignment horizontal="left" vertical="center" wrapText="1"/>
      <protection hidden="1"/>
    </xf>
    <xf numFmtId="0" fontId="32" fillId="27" borderId="64" xfId="0" applyFont="1" applyFill="1" applyBorder="1" applyAlignment="1" applyProtection="1">
      <alignment horizontal="left" vertical="center" wrapText="1"/>
      <protection hidden="1"/>
    </xf>
    <xf numFmtId="0" fontId="32" fillId="27" borderId="63" xfId="0" applyFont="1" applyFill="1" applyBorder="1" applyAlignment="1" applyProtection="1">
      <alignment horizontal="left" vertical="center" wrapText="1"/>
      <protection hidden="1"/>
    </xf>
    <xf numFmtId="0" fontId="32" fillId="27" borderId="79" xfId="0" applyFont="1" applyFill="1" applyBorder="1" applyAlignment="1" applyProtection="1">
      <alignment horizontal="left" vertical="center" wrapText="1"/>
      <protection hidden="1"/>
    </xf>
    <xf numFmtId="0" fontId="62" fillId="0" borderId="0" xfId="0" applyFont="1" applyAlignment="1">
      <alignment horizontal="left" vertical="top" wrapText="1"/>
    </xf>
    <xf numFmtId="0" fontId="32" fillId="27" borderId="12" xfId="0" applyFont="1" applyFill="1" applyBorder="1" applyAlignment="1" applyProtection="1">
      <alignment horizontal="left" vertical="top" wrapText="1"/>
      <protection hidden="1"/>
    </xf>
    <xf numFmtId="0" fontId="32" fillId="27" borderId="13" xfId="0" applyFont="1" applyFill="1" applyBorder="1" applyAlignment="1" applyProtection="1">
      <alignment horizontal="left" vertical="top" wrapText="1"/>
      <protection hidden="1"/>
    </xf>
    <xf numFmtId="0" fontId="32" fillId="27" borderId="14" xfId="0" applyFont="1" applyFill="1" applyBorder="1" applyAlignment="1" applyProtection="1">
      <alignment horizontal="left" vertical="top" wrapText="1"/>
      <protection hidden="1"/>
    </xf>
    <xf numFmtId="0" fontId="0" fillId="0" borderId="13" xfId="0" applyBorder="1" applyAlignment="1">
      <alignment horizontal="left" vertical="top" wrapText="1"/>
    </xf>
    <xf numFmtId="0" fontId="0" fillId="0" borderId="14" xfId="0" applyBorder="1" applyAlignment="1">
      <alignment horizontal="left" vertical="top" wrapText="1"/>
    </xf>
    <xf numFmtId="0" fontId="32" fillId="27" borderId="165" xfId="0" applyFont="1" applyFill="1" applyBorder="1" applyAlignment="1" applyProtection="1">
      <alignment horizontal="left" vertical="top" wrapText="1"/>
      <protection hidden="1"/>
    </xf>
    <xf numFmtId="0" fontId="0" fillId="0" borderId="167" xfId="0" applyBorder="1" applyAlignment="1">
      <alignment horizontal="left" vertical="top" wrapText="1"/>
    </xf>
    <xf numFmtId="0" fontId="0" fillId="0" borderId="166" xfId="0" applyBorder="1" applyAlignment="1">
      <alignment horizontal="left" vertical="top" wrapText="1"/>
    </xf>
    <xf numFmtId="219" fontId="36" fillId="31" borderId="51" xfId="0" applyNumberFormat="1" applyFont="1" applyFill="1" applyBorder="1" applyAlignment="1">
      <alignment horizontal="center" vertical="center"/>
    </xf>
    <xf numFmtId="219" fontId="36" fillId="31" borderId="55" xfId="0" applyNumberFormat="1" applyFont="1" applyFill="1" applyBorder="1" applyAlignment="1">
      <alignment horizontal="center" vertical="center"/>
    </xf>
    <xf numFmtId="0" fontId="32" fillId="27" borderId="52" xfId="0" quotePrefix="1" applyFont="1" applyFill="1" applyBorder="1" applyAlignment="1">
      <alignment horizontal="left" vertical="center" wrapText="1"/>
    </xf>
    <xf numFmtId="0" fontId="32" fillId="27" borderId="54" xfId="0" quotePrefix="1" applyFont="1" applyFill="1" applyBorder="1" applyAlignment="1">
      <alignment horizontal="left" vertical="center" wrapText="1"/>
    </xf>
    <xf numFmtId="0" fontId="32" fillId="27" borderId="64" xfId="0" quotePrefix="1" applyFont="1" applyFill="1" applyBorder="1" applyAlignment="1">
      <alignment horizontal="left" vertical="center" wrapText="1"/>
    </xf>
    <xf numFmtId="0" fontId="32" fillId="27" borderId="17" xfId="0" quotePrefix="1" applyFont="1" applyFill="1" applyBorder="1" applyAlignment="1">
      <alignment horizontal="left" vertical="center" wrapText="1"/>
    </xf>
    <xf numFmtId="0" fontId="32" fillId="27" borderId="56" xfId="0" quotePrefix="1" applyFont="1" applyFill="1" applyBorder="1" applyAlignment="1">
      <alignment horizontal="left" vertical="center" wrapText="1"/>
    </xf>
    <xf numFmtId="0" fontId="32" fillId="27" borderId="58" xfId="0" quotePrefix="1" applyFont="1" applyFill="1" applyBorder="1" applyAlignment="1">
      <alignment horizontal="left" vertical="center" wrapText="1"/>
    </xf>
    <xf numFmtId="0" fontId="32" fillId="31" borderId="50" xfId="0" applyFont="1" applyFill="1" applyBorder="1" applyAlignment="1" applyProtection="1">
      <alignment horizontal="center" vertical="center" wrapText="1"/>
      <protection hidden="1"/>
    </xf>
    <xf numFmtId="0" fontId="62" fillId="27" borderId="51" xfId="0" quotePrefix="1" applyFont="1" applyFill="1" applyBorder="1" applyAlignment="1" applyProtection="1">
      <alignment horizontal="left" vertical="center" wrapText="1"/>
      <protection hidden="1"/>
    </xf>
    <xf numFmtId="0" fontId="62" fillId="27" borderId="15" xfId="0" quotePrefix="1" applyFont="1" applyFill="1" applyBorder="1" applyAlignment="1" applyProtection="1">
      <alignment horizontal="left" vertical="center" wrapText="1"/>
      <protection hidden="1"/>
    </xf>
    <xf numFmtId="0" fontId="32" fillId="27" borderId="80" xfId="0" applyFont="1" applyFill="1" applyBorder="1" applyAlignment="1" applyProtection="1">
      <alignment horizontal="left" vertical="center" wrapText="1"/>
      <protection hidden="1"/>
    </xf>
    <xf numFmtId="0" fontId="32" fillId="27" borderId="27" xfId="0" applyFont="1" applyFill="1" applyBorder="1" applyAlignment="1" applyProtection="1">
      <alignment horizontal="left" vertical="center" wrapText="1"/>
      <protection hidden="1"/>
    </xf>
    <xf numFmtId="0" fontId="32" fillId="50" borderId="167" xfId="0" applyFont="1" applyFill="1" applyBorder="1" applyAlignment="1">
      <alignment horizontal="left" vertical="center" wrapText="1"/>
    </xf>
    <xf numFmtId="0" fontId="32" fillId="50" borderId="166" xfId="0" applyFont="1" applyFill="1" applyBorder="1" applyAlignment="1">
      <alignment horizontal="left" vertical="center" wrapText="1"/>
    </xf>
    <xf numFmtId="2" fontId="32" fillId="27" borderId="165" xfId="0" applyNumberFormat="1" applyFont="1" applyFill="1" applyBorder="1" applyAlignment="1" applyProtection="1">
      <alignment horizontal="left" vertical="center" wrapText="1"/>
      <protection hidden="1"/>
    </xf>
    <xf numFmtId="2" fontId="32" fillId="27" borderId="167" xfId="0" applyNumberFormat="1" applyFont="1" applyFill="1" applyBorder="1" applyAlignment="1" applyProtection="1">
      <alignment horizontal="left" vertical="center" wrapText="1"/>
      <protection hidden="1"/>
    </xf>
    <xf numFmtId="2" fontId="32" fillId="27" borderId="166" xfId="0" applyNumberFormat="1" applyFont="1" applyFill="1" applyBorder="1" applyAlignment="1" applyProtection="1">
      <alignment horizontal="left" vertical="center" wrapText="1"/>
      <protection hidden="1"/>
    </xf>
    <xf numFmtId="0" fontId="32" fillId="27" borderId="90" xfId="0" applyFont="1" applyFill="1" applyBorder="1" applyAlignment="1" applyProtection="1">
      <alignment horizontal="left" vertical="center" wrapText="1"/>
      <protection hidden="1"/>
    </xf>
    <xf numFmtId="177" fontId="62" fillId="50" borderId="52" xfId="0" applyNumberFormat="1" applyFont="1" applyFill="1" applyBorder="1" applyAlignment="1" applyProtection="1">
      <alignment horizontal="left" vertical="center" wrapText="1"/>
      <protection hidden="1"/>
    </xf>
    <xf numFmtId="177" fontId="62" fillId="50" borderId="54" xfId="0" applyNumberFormat="1" applyFont="1" applyFill="1" applyBorder="1" applyAlignment="1" applyProtection="1">
      <alignment horizontal="left" vertical="center" wrapText="1"/>
      <protection hidden="1"/>
    </xf>
    <xf numFmtId="177" fontId="62" fillId="50" borderId="64" xfId="0" applyNumberFormat="1" applyFont="1" applyFill="1" applyBorder="1" applyAlignment="1" applyProtection="1">
      <alignment horizontal="left" vertical="center" wrapText="1"/>
      <protection hidden="1"/>
    </xf>
    <xf numFmtId="177" fontId="62" fillId="50" borderId="17" xfId="0" applyNumberFormat="1" applyFont="1" applyFill="1" applyBorder="1" applyAlignment="1" applyProtection="1">
      <alignment horizontal="left" vertical="center" wrapText="1"/>
      <protection hidden="1"/>
    </xf>
    <xf numFmtId="177" fontId="62" fillId="50" borderId="56" xfId="0" applyNumberFormat="1" applyFont="1" applyFill="1" applyBorder="1" applyAlignment="1" applyProtection="1">
      <alignment horizontal="left" vertical="center" wrapText="1"/>
      <protection hidden="1"/>
    </xf>
    <xf numFmtId="177" fontId="62" fillId="50" borderId="58" xfId="0" applyNumberFormat="1" applyFont="1" applyFill="1" applyBorder="1" applyAlignment="1" applyProtection="1">
      <alignment horizontal="left" vertical="center" wrapText="1"/>
      <protection hidden="1"/>
    </xf>
    <xf numFmtId="0" fontId="30" fillId="27" borderId="0" xfId="0" applyFont="1" applyFill="1" applyAlignment="1">
      <alignment horizontal="right" vertical="center" wrapText="1"/>
    </xf>
    <xf numFmtId="0" fontId="30" fillId="27" borderId="63" xfId="0" applyFont="1" applyFill="1" applyBorder="1" applyAlignment="1">
      <alignment horizontal="right" vertical="center" wrapText="1"/>
    </xf>
    <xf numFmtId="0" fontId="62" fillId="27" borderId="0" xfId="0" applyFont="1" applyFill="1" applyAlignment="1">
      <alignment horizontal="left" vertical="top" wrapText="1"/>
    </xf>
    <xf numFmtId="219" fontId="30" fillId="38" borderId="68" xfId="0" applyNumberFormat="1" applyFont="1" applyFill="1" applyBorder="1" applyAlignment="1" applyProtection="1">
      <alignment horizontal="center" vertical="center"/>
      <protection locked="0"/>
    </xf>
    <xf numFmtId="219" fontId="30" fillId="38" borderId="232" xfId="0" applyNumberFormat="1" applyFont="1" applyFill="1" applyBorder="1" applyAlignment="1" applyProtection="1">
      <alignment horizontal="center" vertical="center"/>
      <protection locked="0"/>
    </xf>
    <xf numFmtId="219" fontId="30" fillId="38" borderId="234" xfId="0" applyNumberFormat="1" applyFont="1" applyFill="1" applyBorder="1" applyAlignment="1" applyProtection="1">
      <alignment horizontal="center" vertical="center"/>
      <protection locked="0"/>
    </xf>
    <xf numFmtId="0" fontId="32" fillId="27" borderId="0" xfId="0" applyFont="1" applyFill="1" applyAlignment="1">
      <alignment horizontal="left" vertical="top" wrapText="1"/>
    </xf>
    <xf numFmtId="0" fontId="62" fillId="27" borderId="0" xfId="0" applyFont="1" applyFill="1" applyAlignment="1">
      <alignment horizontal="left" vertical="center" wrapText="1"/>
    </xf>
    <xf numFmtId="0" fontId="62" fillId="27" borderId="63" xfId="0" applyFont="1" applyFill="1" applyBorder="1" applyAlignment="1">
      <alignment horizontal="left" vertical="center" wrapText="1"/>
    </xf>
    <xf numFmtId="0" fontId="32" fillId="27" borderId="26" xfId="0" applyFont="1" applyFill="1" applyBorder="1" applyAlignment="1" applyProtection="1">
      <alignment horizontal="center" vertical="center"/>
      <protection hidden="1"/>
    </xf>
    <xf numFmtId="0" fontId="32" fillId="27" borderId="50" xfId="0" applyFont="1" applyFill="1" applyBorder="1" applyAlignment="1" applyProtection="1">
      <alignment horizontal="center" vertical="center"/>
      <protection hidden="1"/>
    </xf>
    <xf numFmtId="0" fontId="32" fillId="27" borderId="27" xfId="0" applyFont="1" applyFill="1" applyBorder="1" applyAlignment="1" applyProtection="1">
      <alignment horizontal="center" vertical="center"/>
      <protection hidden="1"/>
    </xf>
    <xf numFmtId="0" fontId="32" fillId="27" borderId="160" xfId="0" applyFont="1" applyFill="1" applyBorder="1" applyAlignment="1" applyProtection="1">
      <alignment vertical="center" wrapText="1"/>
      <protection hidden="1"/>
    </xf>
    <xf numFmtId="0" fontId="44" fillId="0" borderId="161" xfId="0" applyFont="1" applyBorder="1" applyAlignment="1">
      <alignment vertical="center" wrapText="1"/>
    </xf>
    <xf numFmtId="0" fontId="44" fillId="0" borderId="162" xfId="0" applyFont="1" applyBorder="1" applyAlignment="1">
      <alignment vertical="center" wrapText="1"/>
    </xf>
    <xf numFmtId="0" fontId="62" fillId="27" borderId="165" xfId="0" applyFont="1" applyFill="1" applyBorder="1" applyAlignment="1">
      <alignment horizontal="left" vertical="center" wrapText="1"/>
    </xf>
    <xf numFmtId="0" fontId="62" fillId="27" borderId="166" xfId="0" applyFont="1" applyFill="1" applyBorder="1" applyAlignment="1">
      <alignment horizontal="left" vertical="center" wrapText="1"/>
    </xf>
    <xf numFmtId="0" fontId="62" fillId="27" borderId="160" xfId="0" applyFont="1" applyFill="1" applyBorder="1" applyAlignment="1">
      <alignment horizontal="left" vertical="center" wrapText="1"/>
    </xf>
    <xf numFmtId="0" fontId="62" fillId="27" borderId="162" xfId="0" applyFont="1" applyFill="1" applyBorder="1" applyAlignment="1">
      <alignment horizontal="left" vertical="center" wrapText="1"/>
    </xf>
    <xf numFmtId="0" fontId="0" fillId="0" borderId="161" xfId="0" applyBorder="1" applyAlignment="1">
      <alignment horizontal="left" vertical="center" wrapText="1"/>
    </xf>
    <xf numFmtId="0" fontId="0" fillId="0" borderId="162" xfId="0" applyBorder="1" applyAlignment="1">
      <alignment horizontal="left" vertical="center" wrapText="1"/>
    </xf>
    <xf numFmtId="0" fontId="32" fillId="27" borderId="182" xfId="0" applyFont="1" applyFill="1" applyBorder="1" applyAlignment="1" applyProtection="1">
      <alignment horizontal="left" vertical="center" wrapText="1"/>
      <protection hidden="1"/>
    </xf>
    <xf numFmtId="0" fontId="32" fillId="27" borderId="17" xfId="0" applyFont="1" applyFill="1" applyBorder="1" applyAlignment="1" applyProtection="1">
      <alignment horizontal="left" vertical="center" wrapText="1"/>
      <protection hidden="1"/>
    </xf>
    <xf numFmtId="0" fontId="32" fillId="27" borderId="181" xfId="0" applyFont="1" applyFill="1" applyBorder="1" applyAlignment="1" applyProtection="1">
      <alignment vertical="center" wrapText="1"/>
      <protection hidden="1"/>
    </xf>
    <xf numFmtId="0" fontId="32" fillId="27" borderId="77" xfId="0" applyFont="1" applyFill="1" applyBorder="1" applyAlignment="1" applyProtection="1">
      <alignment vertical="center" wrapText="1"/>
      <protection locked="0"/>
    </xf>
    <xf numFmtId="0" fontId="32" fillId="27" borderId="57" xfId="0" applyFont="1" applyFill="1" applyBorder="1" applyAlignment="1" applyProtection="1">
      <alignment vertical="center" wrapText="1"/>
      <protection locked="0"/>
    </xf>
    <xf numFmtId="0" fontId="32" fillId="27" borderId="58" xfId="0" applyFont="1" applyFill="1" applyBorder="1" applyAlignment="1" applyProtection="1">
      <alignment vertical="center" wrapText="1"/>
      <protection locked="0"/>
    </xf>
    <xf numFmtId="0" fontId="62" fillId="27" borderId="12" xfId="0" applyFont="1" applyFill="1" applyBorder="1" applyAlignment="1" applyProtection="1">
      <alignment horizontal="left" vertical="center" wrapText="1"/>
      <protection hidden="1"/>
    </xf>
    <xf numFmtId="0" fontId="62" fillId="27" borderId="14" xfId="0" applyFont="1" applyFill="1" applyBorder="1" applyAlignment="1" applyProtection="1">
      <alignment horizontal="left" vertical="center" wrapText="1"/>
      <protection hidden="1"/>
    </xf>
    <xf numFmtId="0" fontId="36" fillId="27" borderId="184" xfId="0" applyFont="1" applyFill="1" applyBorder="1" applyAlignment="1" applyProtection="1">
      <alignment horizontal="center" vertical="center"/>
      <protection locked="0" hidden="1"/>
    </xf>
    <xf numFmtId="0" fontId="36" fillId="27" borderId="115" xfId="0" applyFont="1" applyFill="1" applyBorder="1" applyAlignment="1" applyProtection="1">
      <alignment horizontal="center" vertical="center"/>
      <protection locked="0" hidden="1"/>
    </xf>
    <xf numFmtId="0" fontId="32" fillId="27" borderId="77" xfId="0" applyFont="1" applyFill="1" applyBorder="1" applyAlignment="1" applyProtection="1">
      <alignment horizontal="left" vertical="center" wrapText="1"/>
      <protection locked="0"/>
    </xf>
    <xf numFmtId="0" fontId="44" fillId="0" borderId="57" xfId="0" applyFont="1" applyBorder="1" applyAlignment="1" applyProtection="1">
      <alignment horizontal="left" vertical="center" wrapText="1"/>
      <protection locked="0"/>
    </xf>
    <xf numFmtId="0" fontId="44" fillId="0" borderId="58" xfId="0" applyFont="1" applyBorder="1" applyAlignment="1" applyProtection="1">
      <alignment horizontal="left" vertical="center" wrapText="1"/>
      <protection locked="0"/>
    </xf>
    <xf numFmtId="0" fontId="62" fillId="27" borderId="56" xfId="0" applyFont="1" applyFill="1" applyBorder="1" applyAlignment="1">
      <alignment horizontal="left" vertical="center" wrapText="1"/>
    </xf>
    <xf numFmtId="0" fontId="62" fillId="27" borderId="57" xfId="0" applyFont="1" applyFill="1" applyBorder="1" applyAlignment="1">
      <alignment horizontal="left" vertical="center" wrapText="1"/>
    </xf>
    <xf numFmtId="0" fontId="62" fillId="27" borderId="58" xfId="0" applyFont="1" applyFill="1" applyBorder="1" applyAlignment="1">
      <alignment horizontal="left" vertical="center" wrapText="1"/>
    </xf>
    <xf numFmtId="0" fontId="44" fillId="47" borderId="14" xfId="0" applyFont="1" applyFill="1" applyBorder="1" applyAlignment="1">
      <alignment horizontal="left" vertical="center" wrapText="1"/>
    </xf>
    <xf numFmtId="0" fontId="62" fillId="27" borderId="55" xfId="0" applyFont="1" applyFill="1" applyBorder="1" applyAlignment="1" applyProtection="1">
      <alignment horizontal="left" vertical="center" wrapText="1"/>
      <protection hidden="1"/>
    </xf>
    <xf numFmtId="0" fontId="32" fillId="27" borderId="26" xfId="0" applyFont="1" applyFill="1" applyBorder="1" applyAlignment="1">
      <alignment horizontal="center" vertical="center"/>
    </xf>
    <xf numFmtId="0" fontId="32" fillId="27" borderId="50" xfId="0" applyFont="1" applyFill="1" applyBorder="1" applyAlignment="1">
      <alignment horizontal="center" vertical="center"/>
    </xf>
    <xf numFmtId="0" fontId="32" fillId="27" borderId="27" xfId="0" applyFont="1" applyFill="1" applyBorder="1" applyAlignment="1">
      <alignment horizontal="center" vertical="center"/>
    </xf>
    <xf numFmtId="0" fontId="44" fillId="27" borderId="51" xfId="0" applyFont="1" applyFill="1" applyBorder="1" applyAlignment="1">
      <alignment horizontal="center" vertical="center" wrapText="1"/>
    </xf>
    <xf numFmtId="0" fontId="44" fillId="0" borderId="163" xfId="0" applyFont="1" applyBorder="1" applyAlignment="1">
      <alignment horizontal="center" vertical="center" wrapText="1"/>
    </xf>
    <xf numFmtId="0" fontId="32" fillId="27" borderId="160" xfId="0" applyFont="1" applyFill="1" applyBorder="1" applyAlignment="1">
      <alignment vertical="center" wrapText="1"/>
    </xf>
    <xf numFmtId="0" fontId="32" fillId="27" borderId="172" xfId="0" applyFont="1" applyFill="1" applyBorder="1" applyAlignment="1">
      <alignment vertical="center" wrapText="1"/>
    </xf>
    <xf numFmtId="0" fontId="44" fillId="0" borderId="178" xfId="0" applyFont="1" applyBorder="1" applyAlignment="1">
      <alignment vertical="center" wrapText="1"/>
    </xf>
    <xf numFmtId="0" fontId="44" fillId="0" borderId="64" xfId="0" applyFont="1" applyBorder="1" applyAlignment="1">
      <alignment vertical="center" wrapText="1"/>
    </xf>
    <xf numFmtId="0" fontId="44" fillId="0" borderId="17" xfId="0" applyFont="1" applyBorder="1" applyAlignment="1">
      <alignment vertical="center" wrapText="1"/>
    </xf>
    <xf numFmtId="0" fontId="44" fillId="0" borderId="171" xfId="0" applyFont="1" applyBorder="1" applyAlignment="1">
      <alignment vertical="center" wrapText="1"/>
    </xf>
    <xf numFmtId="0" fontId="44" fillId="0" borderId="187" xfId="0" applyFont="1" applyBorder="1" applyAlignment="1">
      <alignment vertical="center" wrapText="1"/>
    </xf>
    <xf numFmtId="0" fontId="32" fillId="27" borderId="12" xfId="0" applyFont="1" applyFill="1" applyBorder="1" applyAlignment="1">
      <alignment vertical="center" wrapText="1"/>
    </xf>
    <xf numFmtId="0" fontId="44" fillId="57" borderId="100" xfId="0" applyFont="1" applyFill="1" applyBorder="1" applyAlignment="1" applyProtection="1">
      <alignment horizontal="center" vertical="center"/>
      <protection locked="0"/>
    </xf>
    <xf numFmtId="0" fontId="32" fillId="27" borderId="207" xfId="0" applyFont="1" applyFill="1" applyBorder="1" applyAlignment="1">
      <alignment vertical="center" wrapText="1"/>
    </xf>
    <xf numFmtId="0" fontId="44" fillId="0" borderId="118" xfId="0" applyFont="1" applyBorder="1" applyAlignment="1">
      <alignment vertical="center" wrapText="1"/>
    </xf>
    <xf numFmtId="0" fontId="44" fillId="0" borderId="208" xfId="0" applyFont="1" applyBorder="1" applyAlignment="1">
      <alignment vertical="center" wrapText="1"/>
    </xf>
    <xf numFmtId="0" fontId="32" fillId="27" borderId="64" xfId="0" applyFont="1" applyFill="1" applyBorder="1" applyAlignment="1">
      <alignment horizontal="left" vertical="center" wrapText="1"/>
    </xf>
    <xf numFmtId="0" fontId="32" fillId="27" borderId="17" xfId="0" applyFont="1" applyFill="1" applyBorder="1" applyAlignment="1">
      <alignment horizontal="left" vertical="center" wrapText="1"/>
    </xf>
    <xf numFmtId="0" fontId="44" fillId="0" borderId="177" xfId="0" applyFont="1" applyBorder="1" applyAlignment="1">
      <alignment vertical="center" wrapText="1"/>
    </xf>
    <xf numFmtId="0" fontId="61" fillId="50" borderId="92" xfId="0" applyFont="1" applyFill="1" applyBorder="1" applyAlignment="1" applyProtection="1">
      <alignment horizontal="center" vertical="center"/>
      <protection locked="0" hidden="1"/>
    </xf>
    <xf numFmtId="0" fontId="44" fillId="50" borderId="206" xfId="0" applyFont="1" applyFill="1" applyBorder="1" applyProtection="1">
      <alignment vertical="center"/>
      <protection locked="0"/>
    </xf>
    <xf numFmtId="0" fontId="61" fillId="50" borderId="184" xfId="0" applyFont="1" applyFill="1" applyBorder="1" applyAlignment="1" applyProtection="1">
      <alignment horizontal="center" vertical="center"/>
      <protection locked="0" hidden="1"/>
    </xf>
    <xf numFmtId="0" fontId="44" fillId="50" borderId="100" xfId="0" applyFont="1" applyFill="1" applyBorder="1" applyProtection="1">
      <alignment vertical="center"/>
      <protection locked="0"/>
    </xf>
    <xf numFmtId="0" fontId="44" fillId="50" borderId="115" xfId="0" applyFont="1" applyFill="1" applyBorder="1" applyProtection="1">
      <alignment vertical="center"/>
      <protection locked="0"/>
    </xf>
    <xf numFmtId="0" fontId="32" fillId="27" borderId="193" xfId="0" applyFont="1" applyFill="1" applyBorder="1" applyAlignment="1">
      <alignment horizontal="left" vertical="center" wrapText="1"/>
    </xf>
    <xf numFmtId="0" fontId="44" fillId="0" borderId="177" xfId="0" applyFont="1" applyBorder="1">
      <alignment vertical="center"/>
    </xf>
    <xf numFmtId="0" fontId="44" fillId="0" borderId="62" xfId="0" applyFont="1" applyBorder="1">
      <alignment vertical="center"/>
    </xf>
    <xf numFmtId="0" fontId="44" fillId="0" borderId="77" xfId="0" applyFont="1" applyBorder="1">
      <alignment vertical="center"/>
    </xf>
    <xf numFmtId="0" fontId="44" fillId="0" borderId="58" xfId="0" applyFont="1" applyBorder="1">
      <alignment vertical="center"/>
    </xf>
    <xf numFmtId="0" fontId="44" fillId="0" borderId="120" xfId="0" applyFont="1" applyBorder="1" applyAlignment="1">
      <alignment vertical="center" wrapText="1"/>
    </xf>
    <xf numFmtId="0" fontId="44" fillId="0" borderId="56" xfId="0" applyFont="1" applyBorder="1" applyAlignment="1">
      <alignment vertical="center" wrapText="1"/>
    </xf>
    <xf numFmtId="0" fontId="44" fillId="0" borderId="58" xfId="0" applyFont="1" applyBorder="1" applyAlignment="1">
      <alignment vertical="center" wrapText="1"/>
    </xf>
    <xf numFmtId="0" fontId="32" fillId="27" borderId="177" xfId="0" applyFont="1" applyFill="1" applyBorder="1" applyAlignment="1">
      <alignment horizontal="left" vertical="center" wrapText="1"/>
    </xf>
    <xf numFmtId="0" fontId="32" fillId="27" borderId="178" xfId="0" applyFont="1" applyFill="1" applyBorder="1" applyAlignment="1">
      <alignment horizontal="left" vertical="center" wrapText="1"/>
    </xf>
    <xf numFmtId="0" fontId="32" fillId="27" borderId="62" xfId="0" applyFont="1" applyFill="1" applyBorder="1" applyAlignment="1">
      <alignment horizontal="left" vertical="center" wrapText="1"/>
    </xf>
    <xf numFmtId="0" fontId="32" fillId="27" borderId="0" xfId="0" applyFont="1" applyFill="1" applyAlignment="1">
      <alignment horizontal="left" vertical="center" wrapText="1"/>
    </xf>
    <xf numFmtId="0" fontId="32" fillId="27" borderId="160" xfId="0" applyFont="1" applyFill="1" applyBorder="1" applyAlignment="1" applyProtection="1">
      <alignment horizontal="center" vertical="center" shrinkToFit="1"/>
      <protection hidden="1"/>
    </xf>
    <xf numFmtId="0" fontId="32" fillId="27" borderId="161" xfId="0" applyFont="1" applyFill="1" applyBorder="1" applyAlignment="1" applyProtection="1">
      <alignment horizontal="center" vertical="center" shrinkToFit="1"/>
      <protection hidden="1"/>
    </xf>
    <xf numFmtId="0" fontId="32" fillId="27" borderId="162" xfId="0" applyFont="1" applyFill="1" applyBorder="1" applyAlignment="1" applyProtection="1">
      <alignment horizontal="center" vertical="center" shrinkToFit="1"/>
      <protection hidden="1"/>
    </xf>
    <xf numFmtId="0" fontId="44" fillId="0" borderId="87" xfId="0" applyFont="1" applyBorder="1" applyAlignment="1">
      <alignment horizontal="left" vertical="center" wrapText="1"/>
    </xf>
    <xf numFmtId="0" fontId="32" fillId="27" borderId="77" xfId="0" applyFont="1" applyFill="1" applyBorder="1" applyAlignment="1">
      <alignment horizontal="left" vertical="center" wrapText="1"/>
    </xf>
    <xf numFmtId="0" fontId="32" fillId="27" borderId="57" xfId="0" applyFont="1" applyFill="1" applyBorder="1" applyAlignment="1">
      <alignment horizontal="left" vertical="center" wrapText="1"/>
    </xf>
    <xf numFmtId="0" fontId="32" fillId="27" borderId="58" xfId="0" applyFont="1" applyFill="1" applyBorder="1" applyAlignment="1">
      <alignment horizontal="left" vertical="center" wrapText="1"/>
    </xf>
    <xf numFmtId="0" fontId="44" fillId="27" borderId="15" xfId="0" applyFont="1" applyFill="1" applyBorder="1" applyAlignment="1">
      <alignment horizontal="center" vertical="center" wrapText="1"/>
    </xf>
    <xf numFmtId="0" fontId="32" fillId="27" borderId="171" xfId="0" applyFont="1" applyFill="1" applyBorder="1" applyAlignment="1">
      <alignment horizontal="left" vertical="center" wrapText="1" indent="1"/>
    </xf>
    <xf numFmtId="0" fontId="32" fillId="27" borderId="87" xfId="0" applyFont="1" applyFill="1" applyBorder="1" applyAlignment="1">
      <alignment horizontal="left" vertical="center" wrapText="1" indent="1"/>
    </xf>
    <xf numFmtId="0" fontId="32" fillId="27" borderId="183" xfId="0" applyFont="1" applyFill="1" applyBorder="1" applyAlignment="1">
      <alignment horizontal="left" vertical="center" wrapText="1"/>
    </xf>
    <xf numFmtId="0" fontId="32" fillId="27" borderId="118" xfId="0" applyFont="1" applyFill="1" applyBorder="1" applyAlignment="1">
      <alignment horizontal="left" vertical="center" wrapText="1"/>
    </xf>
    <xf numFmtId="0" fontId="32" fillId="27" borderId="208" xfId="0" applyFont="1" applyFill="1" applyBorder="1" applyAlignment="1">
      <alignment horizontal="left" vertical="center" wrapText="1"/>
    </xf>
    <xf numFmtId="0" fontId="32" fillId="27" borderId="172" xfId="0" applyFont="1" applyFill="1" applyBorder="1" applyAlignment="1">
      <alignment horizontal="left" vertical="center" wrapText="1"/>
    </xf>
    <xf numFmtId="0" fontId="32" fillId="0" borderId="0" xfId="0" applyFont="1" applyAlignment="1">
      <alignment horizontal="left" vertical="center" wrapText="1"/>
    </xf>
    <xf numFmtId="176" fontId="32" fillId="27" borderId="12" xfId="0" applyNumberFormat="1" applyFont="1" applyFill="1" applyBorder="1" applyAlignment="1" applyProtection="1">
      <alignment horizontal="left" vertical="center" wrapText="1"/>
      <protection hidden="1"/>
    </xf>
    <xf numFmtId="176" fontId="32" fillId="27" borderId="165" xfId="0" applyNumberFormat="1" applyFont="1" applyFill="1" applyBorder="1" applyAlignment="1" applyProtection="1">
      <alignment horizontal="left" vertical="center" wrapText="1"/>
      <protection hidden="1"/>
    </xf>
    <xf numFmtId="176" fontId="32" fillId="27" borderId="167" xfId="0" applyNumberFormat="1" applyFont="1" applyFill="1" applyBorder="1" applyAlignment="1" applyProtection="1">
      <alignment horizontal="left" vertical="center" wrapText="1"/>
      <protection hidden="1"/>
    </xf>
    <xf numFmtId="176" fontId="32" fillId="27" borderId="166" xfId="0" applyNumberFormat="1" applyFont="1" applyFill="1" applyBorder="1" applyAlignment="1" applyProtection="1">
      <alignment horizontal="left" vertical="center" wrapText="1"/>
      <protection hidden="1"/>
    </xf>
    <xf numFmtId="0" fontId="32" fillId="27" borderId="178" xfId="0" applyFont="1" applyFill="1" applyBorder="1" applyAlignment="1">
      <alignment vertical="center" wrapText="1"/>
    </xf>
    <xf numFmtId="0" fontId="44" fillId="0" borderId="87" xfId="0" applyFont="1" applyBorder="1" applyAlignment="1">
      <alignment horizontal="left" vertical="center" wrapText="1" indent="1"/>
    </xf>
    <xf numFmtId="0" fontId="44" fillId="0" borderId="187" xfId="0" applyFont="1" applyBorder="1" applyAlignment="1">
      <alignment horizontal="left" vertical="center" wrapText="1" indent="1"/>
    </xf>
    <xf numFmtId="0" fontId="44" fillId="0" borderId="15" xfId="0" applyFont="1" applyBorder="1" applyAlignment="1">
      <alignment horizontal="center" vertical="center" wrapText="1"/>
    </xf>
    <xf numFmtId="0" fontId="32" fillId="0" borderId="161" xfId="0" applyFont="1" applyBorder="1" applyAlignment="1">
      <alignment horizontal="left" vertical="center" wrapText="1"/>
    </xf>
    <xf numFmtId="0" fontId="32" fillId="0" borderId="162" xfId="0" applyFont="1" applyBorder="1" applyAlignment="1">
      <alignment horizontal="left" vertical="center" wrapText="1"/>
    </xf>
    <xf numFmtId="0" fontId="62" fillId="0" borderId="64" xfId="0" applyFont="1" applyBorder="1" applyAlignment="1">
      <alignment horizontal="left" vertical="center" wrapText="1"/>
    </xf>
    <xf numFmtId="0" fontId="62" fillId="0" borderId="17" xfId="0" applyFont="1" applyBorder="1" applyAlignment="1">
      <alignment horizontal="left" vertical="center" wrapText="1"/>
    </xf>
    <xf numFmtId="176" fontId="32" fillId="27" borderId="13" xfId="0" applyNumberFormat="1" applyFont="1" applyFill="1" applyBorder="1" applyAlignment="1" applyProtection="1">
      <alignment horizontal="left" vertical="center" wrapText="1"/>
      <protection hidden="1"/>
    </xf>
    <xf numFmtId="176" fontId="32" fillId="27" borderId="14" xfId="0" applyNumberFormat="1" applyFont="1" applyFill="1" applyBorder="1" applyAlignment="1" applyProtection="1">
      <alignment horizontal="left" vertical="center" wrapText="1"/>
      <protection hidden="1"/>
    </xf>
    <xf numFmtId="0" fontId="32" fillId="50" borderId="86" xfId="0" applyFont="1" applyFill="1" applyBorder="1" applyAlignment="1">
      <alignment horizontal="left" vertical="center" wrapText="1" indent="1"/>
    </xf>
    <xf numFmtId="0" fontId="0" fillId="50" borderId="87" xfId="0" applyFill="1" applyBorder="1" applyAlignment="1">
      <alignment horizontal="left" vertical="center" wrapText="1" indent="1"/>
    </xf>
    <xf numFmtId="0" fontId="0" fillId="50" borderId="187" xfId="0" applyFill="1" applyBorder="1" applyAlignment="1">
      <alignment horizontal="left" vertical="center" wrapText="1" indent="1"/>
    </xf>
    <xf numFmtId="0" fontId="32" fillId="50" borderId="62" xfId="0" applyFont="1" applyFill="1" applyBorder="1" applyAlignment="1">
      <alignment horizontal="left" vertical="center" wrapText="1" indent="1"/>
    </xf>
    <xf numFmtId="0" fontId="0" fillId="50" borderId="0" xfId="0" applyFill="1" applyAlignment="1">
      <alignment horizontal="left" vertical="center" wrapText="1" indent="1"/>
    </xf>
    <xf numFmtId="0" fontId="0" fillId="50" borderId="17" xfId="0" applyFill="1" applyBorder="1" applyAlignment="1">
      <alignment horizontal="left" vertical="center" wrapText="1" indent="1"/>
    </xf>
    <xf numFmtId="0" fontId="32" fillId="50" borderId="77" xfId="0" applyFont="1" applyFill="1" applyBorder="1" applyAlignment="1">
      <alignment horizontal="left" vertical="center" wrapText="1" indent="1"/>
    </xf>
    <xf numFmtId="0" fontId="0" fillId="50" borderId="57" xfId="0" applyFill="1" applyBorder="1" applyAlignment="1">
      <alignment horizontal="left" vertical="center" wrapText="1" indent="1"/>
    </xf>
    <xf numFmtId="0" fontId="0" fillId="50" borderId="58" xfId="0" applyFill="1" applyBorder="1" applyAlignment="1">
      <alignment horizontal="left" vertical="center" wrapText="1" indent="1"/>
    </xf>
    <xf numFmtId="0" fontId="32" fillId="50" borderId="0" xfId="0" applyFont="1" applyFill="1" applyAlignment="1">
      <alignment horizontal="left" vertical="center" wrapText="1" indent="1"/>
    </xf>
    <xf numFmtId="0" fontId="32" fillId="50" borderId="17" xfId="0" applyFont="1" applyFill="1" applyBorder="1" applyAlignment="1">
      <alignment horizontal="left" vertical="center" wrapText="1" indent="1"/>
    </xf>
    <xf numFmtId="0" fontId="32" fillId="0" borderId="53" xfId="0" applyFont="1" applyBorder="1" applyAlignment="1">
      <alignment horizontal="left" vertical="center" wrapText="1"/>
    </xf>
    <xf numFmtId="0" fontId="32" fillId="0" borderId="54" xfId="0" applyFont="1" applyBorder="1" applyAlignment="1">
      <alignment horizontal="left" vertical="center" wrapText="1"/>
    </xf>
    <xf numFmtId="0" fontId="32" fillId="27" borderId="10" xfId="0" applyFont="1" applyFill="1" applyBorder="1" applyAlignment="1" applyProtection="1">
      <alignment horizontal="center" vertical="center" wrapText="1"/>
      <protection hidden="1"/>
    </xf>
    <xf numFmtId="0" fontId="44" fillId="27" borderId="16" xfId="0" applyFont="1" applyFill="1" applyBorder="1" applyAlignment="1">
      <alignment horizontal="center" vertical="center" wrapText="1"/>
    </xf>
    <xf numFmtId="0" fontId="177" fillId="71" borderId="51" xfId="0" applyFont="1" applyFill="1" applyBorder="1" applyAlignment="1">
      <alignment horizontal="center" vertical="center" wrapText="1"/>
    </xf>
    <xf numFmtId="0" fontId="177" fillId="71" borderId="55" xfId="0" applyFont="1" applyFill="1" applyBorder="1" applyAlignment="1">
      <alignment horizontal="center" vertical="center"/>
    </xf>
    <xf numFmtId="0" fontId="177" fillId="71" borderId="26" xfId="0" applyFont="1" applyFill="1" applyBorder="1" applyAlignment="1">
      <alignment horizontal="distributed" vertical="center"/>
    </xf>
    <xf numFmtId="0" fontId="177" fillId="71" borderId="50" xfId="0" applyFont="1" applyFill="1" applyBorder="1" applyAlignment="1">
      <alignment horizontal="distributed" vertical="center"/>
    </xf>
    <xf numFmtId="0" fontId="177" fillId="71" borderId="27" xfId="0" applyFont="1" applyFill="1" applyBorder="1" applyAlignment="1">
      <alignment horizontal="distributed" vertical="center"/>
    </xf>
    <xf numFmtId="0" fontId="191" fillId="71" borderId="26" xfId="0" applyFont="1" applyFill="1" applyBorder="1" applyAlignment="1">
      <alignment horizontal="center" vertical="center"/>
    </xf>
    <xf numFmtId="0" fontId="191" fillId="71" borderId="27" xfId="0" applyFont="1" applyFill="1" applyBorder="1" applyAlignment="1">
      <alignment horizontal="center" vertical="center"/>
    </xf>
    <xf numFmtId="0" fontId="179" fillId="74" borderId="10" xfId="0" applyFont="1" applyFill="1" applyBorder="1" applyAlignment="1">
      <alignment vertical="top" wrapText="1"/>
    </xf>
    <xf numFmtId="0" fontId="178" fillId="74" borderId="10" xfId="0" applyFont="1" applyFill="1" applyBorder="1" applyAlignment="1">
      <alignment vertical="top" wrapText="1"/>
    </xf>
    <xf numFmtId="49" fontId="175" fillId="0" borderId="10" xfId="0" applyNumberFormat="1" applyFont="1" applyBorder="1" applyAlignment="1">
      <alignment horizontal="center" vertical="center" wrapText="1" readingOrder="1"/>
    </xf>
    <xf numFmtId="49" fontId="175" fillId="0" borderId="51" xfId="0" applyNumberFormat="1" applyFont="1" applyBorder="1" applyAlignment="1">
      <alignment horizontal="center" vertical="center" wrapText="1"/>
    </xf>
    <xf numFmtId="49" fontId="175" fillId="0" borderId="55" xfId="0" applyNumberFormat="1" applyFont="1" applyBorder="1" applyAlignment="1">
      <alignment horizontal="center" vertical="center" wrapText="1"/>
    </xf>
    <xf numFmtId="49" fontId="175" fillId="0" borderId="51" xfId="0" applyNumberFormat="1" applyFont="1" applyBorder="1" applyAlignment="1">
      <alignment horizontal="center" vertical="center" wrapText="1" readingOrder="1"/>
    </xf>
    <xf numFmtId="49" fontId="175" fillId="0" borderId="15" xfId="0" applyNumberFormat="1" applyFont="1" applyBorder="1" applyAlignment="1">
      <alignment horizontal="center" vertical="center" wrapText="1" readingOrder="1"/>
    </xf>
    <xf numFmtId="49" fontId="175" fillId="0" borderId="55" xfId="0" applyNumberFormat="1" applyFont="1" applyBorder="1" applyAlignment="1">
      <alignment horizontal="center" vertical="center" wrapText="1" readingOrder="1"/>
    </xf>
    <xf numFmtId="49" fontId="175" fillId="0" borderId="10" xfId="0" applyNumberFormat="1" applyFont="1" applyBorder="1" applyAlignment="1">
      <alignment horizontal="center" vertical="center" wrapText="1"/>
    </xf>
    <xf numFmtId="0" fontId="175" fillId="0" borderId="10" xfId="0" applyFont="1" applyBorder="1" applyAlignment="1">
      <alignment vertical="center" wrapText="1" readingOrder="1"/>
    </xf>
    <xf numFmtId="0" fontId="175" fillId="0" borderId="51" xfId="0" applyFont="1" applyBorder="1" applyAlignment="1">
      <alignment vertical="center" wrapText="1"/>
    </xf>
    <xf numFmtId="0" fontId="175" fillId="0" borderId="55" xfId="0" applyFont="1" applyBorder="1" applyAlignment="1">
      <alignment vertical="center" wrapText="1"/>
    </xf>
    <xf numFmtId="0" fontId="175" fillId="0" borderId="51" xfId="0" applyFont="1" applyBorder="1" applyAlignment="1">
      <alignment vertical="center" wrapText="1" readingOrder="1"/>
    </xf>
    <xf numFmtId="0" fontId="175" fillId="0" borderId="15" xfId="0" applyFont="1" applyBorder="1" applyAlignment="1">
      <alignment vertical="center" wrapText="1" readingOrder="1"/>
    </xf>
    <xf numFmtId="0" fontId="175" fillId="0" borderId="55" xfId="0" applyFont="1" applyBorder="1" applyAlignment="1">
      <alignment vertical="center" wrapText="1" readingOrder="1"/>
    </xf>
    <xf numFmtId="0" fontId="175" fillId="0" borderId="10" xfId="0" applyFont="1" applyBorder="1" applyAlignment="1">
      <alignment vertical="center" wrapText="1"/>
    </xf>
    <xf numFmtId="0" fontId="178" fillId="82" borderId="51" xfId="0" applyFont="1" applyFill="1" applyBorder="1" applyAlignment="1">
      <alignment horizontal="left" vertical="top" wrapText="1"/>
    </xf>
    <xf numFmtId="0" fontId="178" fillId="82" borderId="15" xfId="0" applyFont="1" applyFill="1" applyBorder="1" applyAlignment="1">
      <alignment horizontal="left" vertical="top" wrapText="1"/>
    </xf>
    <xf numFmtId="0" fontId="178" fillId="82" borderId="55" xfId="0" applyFont="1" applyFill="1" applyBorder="1" applyAlignment="1">
      <alignment horizontal="left" vertical="top" wrapText="1"/>
    </xf>
    <xf numFmtId="0" fontId="178" fillId="78" borderId="10" xfId="0" applyFont="1" applyFill="1" applyBorder="1" applyAlignment="1">
      <alignment horizontal="left" vertical="top" wrapText="1"/>
    </xf>
    <xf numFmtId="0" fontId="178" fillId="79" borderId="10" xfId="0" applyFont="1" applyFill="1" applyBorder="1" applyAlignment="1">
      <alignment vertical="top" wrapText="1"/>
    </xf>
    <xf numFmtId="0" fontId="178" fillId="80" borderId="10" xfId="0" applyFont="1" applyFill="1" applyBorder="1" applyAlignment="1">
      <alignment horizontal="left" vertical="top" wrapText="1"/>
    </xf>
    <xf numFmtId="0" fontId="178" fillId="81" borderId="10" xfId="0" applyFont="1" applyFill="1" applyBorder="1" applyAlignment="1">
      <alignment horizontal="left" vertical="top" wrapText="1"/>
    </xf>
    <xf numFmtId="0" fontId="178" fillId="86" borderId="10" xfId="0" applyFont="1" applyFill="1" applyBorder="1" applyAlignment="1">
      <alignment vertical="top" wrapText="1"/>
    </xf>
    <xf numFmtId="0" fontId="178" fillId="87" borderId="10" xfId="0" applyFont="1" applyFill="1" applyBorder="1" applyAlignment="1">
      <alignment vertical="top" wrapText="1"/>
    </xf>
    <xf numFmtId="0" fontId="178" fillId="83" borderId="10" xfId="0" applyFont="1" applyFill="1" applyBorder="1" applyAlignment="1">
      <alignment horizontal="left" vertical="top" wrapText="1"/>
    </xf>
    <xf numFmtId="0" fontId="178" fillId="89" borderId="10" xfId="0" applyFont="1" applyFill="1" applyBorder="1" applyAlignment="1">
      <alignment vertical="top" wrapText="1"/>
    </xf>
    <xf numFmtId="0" fontId="178" fillId="85" borderId="51" xfId="0" applyFont="1" applyFill="1" applyBorder="1" applyAlignment="1">
      <alignment horizontal="left" vertical="top" wrapText="1"/>
    </xf>
    <xf numFmtId="0" fontId="178" fillId="85" borderId="15" xfId="0" applyFont="1" applyFill="1" applyBorder="1" applyAlignment="1">
      <alignment horizontal="left" vertical="top" wrapText="1"/>
    </xf>
    <xf numFmtId="0" fontId="178" fillId="85" borderId="55" xfId="0" applyFont="1" applyFill="1" applyBorder="1" applyAlignment="1">
      <alignment horizontal="left" vertical="top" wrapText="1"/>
    </xf>
    <xf numFmtId="0" fontId="178" fillId="91" borderId="10" xfId="0" applyFont="1" applyFill="1" applyBorder="1" applyAlignment="1">
      <alignment vertical="top" wrapText="1"/>
    </xf>
    <xf numFmtId="0" fontId="177" fillId="71" borderId="55" xfId="0" applyFont="1" applyFill="1" applyBorder="1" applyAlignment="1">
      <alignment horizontal="center" vertical="center" wrapText="1"/>
    </xf>
    <xf numFmtId="179" fontId="175" fillId="0" borderId="229" xfId="0" applyNumberFormat="1" applyFont="1" applyBorder="1" applyAlignment="1">
      <alignment horizontal="center" vertical="center" wrapText="1"/>
    </xf>
    <xf numFmtId="179" fontId="175" fillId="0" borderId="230" xfId="0" applyNumberFormat="1" applyFont="1" applyBorder="1" applyAlignment="1">
      <alignment horizontal="center" vertical="center" wrapText="1"/>
    </xf>
    <xf numFmtId="179" fontId="175" fillId="0" borderId="231" xfId="0" applyNumberFormat="1" applyFont="1" applyBorder="1" applyAlignment="1">
      <alignment horizontal="center" vertical="center" wrapText="1"/>
    </xf>
    <xf numFmtId="182" fontId="186" fillId="0" borderId="51" xfId="0" applyNumberFormat="1" applyFont="1" applyBorder="1" applyAlignment="1">
      <alignment horizontal="center" vertical="center" shrinkToFit="1"/>
    </xf>
    <xf numFmtId="182" fontId="186" fillId="0" borderId="55" xfId="0" applyNumberFormat="1" applyFont="1" applyBorder="1" applyAlignment="1">
      <alignment horizontal="center" vertical="center" shrinkToFit="1"/>
    </xf>
    <xf numFmtId="0" fontId="175" fillId="0" borderId="52" xfId="0" applyFont="1" applyBorder="1" applyAlignment="1" applyProtection="1">
      <alignment horizontal="left" vertical="center" wrapText="1"/>
      <protection locked="0"/>
    </xf>
    <xf numFmtId="0" fontId="175" fillId="0" borderId="64" xfId="0" applyFont="1" applyBorder="1" applyAlignment="1" applyProtection="1">
      <alignment horizontal="left" vertical="center" wrapText="1"/>
      <protection locked="0"/>
    </xf>
    <xf numFmtId="0" fontId="175" fillId="0" borderId="56" xfId="0" applyFont="1" applyBorder="1" applyAlignment="1" applyProtection="1">
      <alignment horizontal="left" vertical="center" wrapText="1"/>
      <protection locked="0"/>
    </xf>
    <xf numFmtId="182" fontId="186" fillId="0" borderId="15" xfId="0" applyNumberFormat="1" applyFont="1" applyBorder="1" applyAlignment="1">
      <alignment horizontal="center" vertical="center" shrinkToFit="1"/>
    </xf>
    <xf numFmtId="0" fontId="175" fillId="0" borderId="51" xfId="0" applyFont="1" applyBorder="1" applyAlignment="1" applyProtection="1">
      <alignment horizontal="center" vertical="center" wrapText="1"/>
      <protection locked="0"/>
    </xf>
    <xf numFmtId="0" fontId="175" fillId="0" borderId="15" xfId="0" applyFont="1" applyBorder="1" applyAlignment="1" applyProtection="1">
      <alignment horizontal="center" vertical="center" wrapText="1"/>
      <protection locked="0"/>
    </xf>
    <xf numFmtId="0" fontId="175" fillId="0" borderId="55" xfId="0" applyFont="1" applyBorder="1" applyAlignment="1" applyProtection="1">
      <alignment horizontal="center" vertical="center" wrapText="1"/>
      <protection locked="0"/>
    </xf>
    <xf numFmtId="0" fontId="175" fillId="58" borderId="51" xfId="0" applyFont="1" applyFill="1" applyBorder="1" applyAlignment="1">
      <alignment horizontal="center" vertical="center" wrapText="1"/>
    </xf>
    <xf numFmtId="0" fontId="175" fillId="58" borderId="15" xfId="0" applyFont="1" applyFill="1" applyBorder="1" applyAlignment="1">
      <alignment horizontal="center" vertical="center" wrapText="1"/>
    </xf>
    <xf numFmtId="0" fontId="175" fillId="58" borderId="55" xfId="0" applyFont="1" applyFill="1" applyBorder="1" applyAlignment="1">
      <alignment horizontal="center" vertical="center" wrapText="1"/>
    </xf>
    <xf numFmtId="179" fontId="192" fillId="71" borderId="51" xfId="0" applyNumberFormat="1" applyFont="1" applyFill="1" applyBorder="1" applyAlignment="1">
      <alignment horizontal="center" vertical="center" wrapText="1"/>
    </xf>
    <xf numFmtId="179" fontId="192" fillId="71" borderId="55" xfId="0" applyNumberFormat="1" applyFont="1" applyFill="1" applyBorder="1" applyAlignment="1">
      <alignment horizontal="center" vertical="center" wrapText="1"/>
    </xf>
    <xf numFmtId="0" fontId="175" fillId="0" borderId="51" xfId="0" applyFont="1" applyBorder="1" applyAlignment="1" applyProtection="1">
      <alignment horizontal="left" vertical="center" wrapText="1"/>
      <protection locked="0"/>
    </xf>
    <xf numFmtId="0" fontId="175" fillId="0" borderId="55" xfId="0" applyFont="1" applyBorder="1" applyAlignment="1" applyProtection="1">
      <alignment horizontal="left" vertical="center" wrapText="1"/>
      <protection locked="0"/>
    </xf>
    <xf numFmtId="0" fontId="175" fillId="0" borderId="51" xfId="0" applyFont="1" applyBorder="1" applyAlignment="1">
      <alignment horizontal="center" vertical="center" wrapText="1"/>
    </xf>
    <xf numFmtId="0" fontId="175" fillId="0" borderId="55" xfId="0" applyFont="1" applyBorder="1" applyAlignment="1">
      <alignment horizontal="center" vertical="center" wrapText="1"/>
    </xf>
    <xf numFmtId="199" fontId="177" fillId="71" borderId="10" xfId="0" applyNumberFormat="1" applyFont="1" applyFill="1" applyBorder="1" applyAlignment="1">
      <alignment horizontal="center" vertical="center"/>
    </xf>
    <xf numFmtId="0" fontId="183" fillId="0" borderId="51" xfId="0" applyFont="1" applyBorder="1" applyAlignment="1">
      <alignment horizontal="left" vertical="center" wrapText="1" readingOrder="1"/>
    </xf>
    <xf numFmtId="0" fontId="183" fillId="0" borderId="55" xfId="0" applyFont="1" applyBorder="1" applyAlignment="1">
      <alignment horizontal="left" vertical="center" wrapText="1" readingOrder="1"/>
    </xf>
    <xf numFmtId="0" fontId="191" fillId="71" borderId="51" xfId="0" applyFont="1" applyFill="1" applyBorder="1" applyAlignment="1">
      <alignment horizontal="center" vertical="center"/>
    </xf>
    <xf numFmtId="0" fontId="191" fillId="71" borderId="55" xfId="0" applyFont="1" applyFill="1" applyBorder="1" applyAlignment="1">
      <alignment horizontal="center" vertical="center"/>
    </xf>
    <xf numFmtId="0" fontId="193" fillId="71" borderId="51" xfId="0" applyFont="1" applyFill="1" applyBorder="1" applyAlignment="1">
      <alignment horizontal="center" vertical="center" wrapText="1"/>
    </xf>
    <xf numFmtId="0" fontId="193" fillId="71" borderId="55" xfId="0" applyFont="1" applyFill="1" applyBorder="1" applyAlignment="1">
      <alignment horizontal="center" vertical="center"/>
    </xf>
    <xf numFmtId="0" fontId="191" fillId="71" borderId="51" xfId="0" applyFont="1" applyFill="1" applyBorder="1" applyAlignment="1">
      <alignment horizontal="center" vertical="center" wrapText="1"/>
    </xf>
    <xf numFmtId="0" fontId="177" fillId="71" borderId="52" xfId="0" applyFont="1" applyFill="1" applyBorder="1" applyAlignment="1">
      <alignment horizontal="center" vertical="center" wrapText="1"/>
    </xf>
    <xf numFmtId="0" fontId="177" fillId="71" borderId="54" xfId="0" applyFont="1" applyFill="1" applyBorder="1" applyAlignment="1">
      <alignment horizontal="center" vertical="center" wrapText="1"/>
    </xf>
    <xf numFmtId="0" fontId="177" fillId="71" borderId="56" xfId="0" applyFont="1" applyFill="1" applyBorder="1" applyAlignment="1">
      <alignment horizontal="center" vertical="center" wrapText="1"/>
    </xf>
    <xf numFmtId="0" fontId="177" fillId="71" borderId="58" xfId="0" applyFont="1" applyFill="1" applyBorder="1" applyAlignment="1">
      <alignment horizontal="center" vertical="center" wrapText="1"/>
    </xf>
    <xf numFmtId="0" fontId="175" fillId="0" borderId="26" xfId="0" applyFont="1" applyBorder="1" applyAlignment="1">
      <alignment horizontal="left" vertical="center" wrapText="1"/>
    </xf>
    <xf numFmtId="0" fontId="182" fillId="0" borderId="52" xfId="49" applyFont="1" applyBorder="1" applyAlignment="1">
      <alignment vertical="center" wrapText="1"/>
    </xf>
    <xf numFmtId="0" fontId="182" fillId="0" borderId="56" xfId="49" applyFont="1" applyBorder="1" applyAlignment="1">
      <alignment vertical="center" wrapText="1"/>
    </xf>
    <xf numFmtId="0" fontId="177" fillId="71" borderId="26" xfId="0" applyFont="1" applyFill="1" applyBorder="1" applyAlignment="1">
      <alignment horizontal="center" vertical="center" wrapText="1"/>
    </xf>
    <xf numFmtId="0" fontId="177" fillId="71" borderId="50" xfId="0" applyFont="1" applyFill="1" applyBorder="1" applyAlignment="1">
      <alignment horizontal="center" vertical="center" wrapText="1"/>
    </xf>
    <xf numFmtId="0" fontId="177" fillId="71" borderId="27" xfId="0" applyFont="1" applyFill="1" applyBorder="1" applyAlignment="1">
      <alignment horizontal="center" vertical="center" wrapText="1"/>
    </xf>
    <xf numFmtId="0" fontId="177" fillId="71" borderId="51" xfId="0" applyFont="1" applyFill="1" applyBorder="1" applyAlignment="1">
      <alignment horizontal="center" vertical="center"/>
    </xf>
    <xf numFmtId="0" fontId="312" fillId="71" borderId="51" xfId="0" applyFont="1" applyFill="1" applyBorder="1" applyAlignment="1">
      <alignment horizontal="center" vertical="center" wrapText="1"/>
    </xf>
    <xf numFmtId="0" fontId="312" fillId="71" borderId="55" xfId="0" applyFont="1" applyFill="1" applyBorder="1" applyAlignment="1">
      <alignment horizontal="center" vertical="center"/>
    </xf>
    <xf numFmtId="0" fontId="175" fillId="0" borderId="51" xfId="0" applyFont="1" applyBorder="1" applyAlignment="1">
      <alignment horizontal="left" vertical="center" wrapText="1" readingOrder="1"/>
    </xf>
    <xf numFmtId="0" fontId="175" fillId="0" borderId="15" xfId="0" applyFont="1" applyBorder="1" applyAlignment="1">
      <alignment horizontal="left" vertical="center" wrapText="1" readingOrder="1"/>
    </xf>
    <xf numFmtId="0" fontId="175" fillId="0" borderId="55" xfId="0" applyFont="1" applyBorder="1" applyAlignment="1">
      <alignment horizontal="left" vertical="center" wrapText="1" readingOrder="1"/>
    </xf>
    <xf numFmtId="0" fontId="175" fillId="0" borderId="51" xfId="0" applyFont="1" applyBorder="1" applyAlignment="1">
      <alignment horizontal="left" vertical="center" wrapText="1"/>
    </xf>
    <xf numFmtId="0" fontId="175" fillId="0" borderId="15" xfId="0" applyFont="1" applyBorder="1" applyAlignment="1">
      <alignment horizontal="left" vertical="center" wrapText="1"/>
    </xf>
    <xf numFmtId="0" fontId="175" fillId="0" borderId="55" xfId="0" applyFont="1" applyBorder="1" applyAlignment="1">
      <alignment horizontal="left" vertical="center" wrapText="1"/>
    </xf>
    <xf numFmtId="49" fontId="175" fillId="0" borderId="15" xfId="0" applyNumberFormat="1" applyFont="1" applyBorder="1" applyAlignment="1">
      <alignment horizontal="center" vertical="center" wrapText="1"/>
    </xf>
    <xf numFmtId="0" fontId="188" fillId="0" borderId="51" xfId="0" applyFont="1" applyBorder="1" applyAlignment="1">
      <alignment horizontal="left" vertical="center" wrapText="1" readingOrder="1"/>
    </xf>
    <xf numFmtId="0" fontId="188" fillId="0" borderId="55" xfId="0" applyFont="1" applyBorder="1" applyAlignment="1">
      <alignment horizontal="left" vertical="center" wrapText="1" readingOrder="1"/>
    </xf>
    <xf numFmtId="0" fontId="35" fillId="27" borderId="26" xfId="0" applyFont="1" applyFill="1" applyBorder="1" applyAlignment="1">
      <alignment horizontal="center" vertical="center"/>
    </xf>
    <xf numFmtId="0" fontId="35" fillId="27" borderId="27" xfId="0" applyFont="1" applyFill="1" applyBorder="1" applyAlignment="1">
      <alignment horizontal="center" vertical="center"/>
    </xf>
    <xf numFmtId="0" fontId="35" fillId="27" borderId="51" xfId="0" applyFont="1" applyFill="1" applyBorder="1" applyAlignment="1">
      <alignment horizontal="center" vertical="center" wrapText="1"/>
    </xf>
    <xf numFmtId="0" fontId="35" fillId="27" borderId="15" xfId="0" applyFont="1" applyFill="1" applyBorder="1" applyAlignment="1">
      <alignment horizontal="center" vertical="center"/>
    </xf>
    <xf numFmtId="0" fontId="35" fillId="27" borderId="55" xfId="0" applyFont="1" applyFill="1" applyBorder="1" applyAlignment="1">
      <alignment horizontal="center" vertical="center"/>
    </xf>
    <xf numFmtId="0" fontId="35" fillId="40" borderId="51" xfId="0" applyFont="1" applyFill="1" applyBorder="1" applyAlignment="1" applyProtection="1">
      <alignment horizontal="left" vertical="center" wrapText="1"/>
      <protection locked="0"/>
    </xf>
    <xf numFmtId="0" fontId="35" fillId="40" borderId="15" xfId="0" applyFont="1" applyFill="1" applyBorder="1" applyAlignment="1" applyProtection="1">
      <alignment horizontal="left" vertical="center" wrapText="1"/>
      <protection locked="0"/>
    </xf>
    <xf numFmtId="0" fontId="35" fillId="40" borderId="55" xfId="0" applyFont="1" applyFill="1" applyBorder="1" applyAlignment="1" applyProtection="1">
      <alignment horizontal="left" vertical="center" wrapText="1"/>
      <protection locked="0"/>
    </xf>
    <xf numFmtId="0" fontId="35" fillId="27" borderId="55" xfId="0" applyFont="1" applyFill="1" applyBorder="1" applyAlignment="1">
      <alignment horizontal="center" vertical="center" wrapText="1"/>
    </xf>
    <xf numFmtId="0" fontId="35" fillId="27" borderId="15" xfId="0" applyFont="1" applyFill="1" applyBorder="1" applyAlignment="1">
      <alignment horizontal="center" vertical="center" wrapText="1"/>
    </xf>
    <xf numFmtId="0" fontId="35" fillId="27" borderId="64" xfId="0" applyFont="1" applyFill="1" applyBorder="1" applyAlignment="1">
      <alignment horizontal="center" vertical="center" wrapText="1"/>
    </xf>
    <xf numFmtId="0" fontId="35" fillId="27" borderId="10" xfId="0" applyFont="1" applyFill="1" applyBorder="1" applyAlignment="1">
      <alignment horizontal="center" vertical="center"/>
    </xf>
    <xf numFmtId="0" fontId="35" fillId="27" borderId="26" xfId="0" applyFont="1" applyFill="1" applyBorder="1" applyAlignment="1">
      <alignment horizontal="left" vertical="top" wrapText="1"/>
    </xf>
    <xf numFmtId="0" fontId="35" fillId="27" borderId="50" xfId="0" applyFont="1" applyFill="1" applyBorder="1" applyAlignment="1">
      <alignment horizontal="left" vertical="top" wrapText="1"/>
    </xf>
    <xf numFmtId="0" fontId="35" fillId="27" borderId="27" xfId="0" applyFont="1" applyFill="1" applyBorder="1" applyAlignment="1">
      <alignment horizontal="left" vertical="top" wrapText="1"/>
    </xf>
    <xf numFmtId="0" fontId="35" fillId="40" borderId="51" xfId="0" applyFont="1" applyFill="1" applyBorder="1" applyAlignment="1" applyProtection="1">
      <alignment horizontal="center" vertical="center"/>
      <protection locked="0"/>
    </xf>
    <xf numFmtId="0" fontId="35" fillId="40" borderId="15" xfId="0" applyFont="1" applyFill="1" applyBorder="1" applyAlignment="1" applyProtection="1">
      <alignment horizontal="center" vertical="center"/>
      <protection locked="0"/>
    </xf>
    <xf numFmtId="0" fontId="35" fillId="40" borderId="55" xfId="0" applyFont="1" applyFill="1" applyBorder="1" applyAlignment="1" applyProtection="1">
      <alignment horizontal="center" vertical="center"/>
      <protection locked="0"/>
    </xf>
    <xf numFmtId="0" fontId="32" fillId="0" borderId="0" xfId="0" applyFont="1" applyAlignment="1">
      <alignment horizontal="left" vertical="top" wrapText="1"/>
    </xf>
    <xf numFmtId="0" fontId="61" fillId="0" borderId="0" xfId="44" applyFont="1" applyAlignment="1">
      <alignment horizontal="left" vertical="center" wrapText="1"/>
    </xf>
    <xf numFmtId="178" fontId="32" fillId="34" borderId="26" xfId="35" applyNumberFormat="1" applyFont="1" applyFill="1" applyBorder="1" applyAlignment="1" applyProtection="1">
      <alignment horizontal="center" vertical="center" wrapText="1"/>
      <protection hidden="1"/>
    </xf>
    <xf numFmtId="0" fontId="32" fillId="0" borderId="27" xfId="0" applyFont="1" applyBorder="1" applyAlignment="1">
      <alignment horizontal="center" vertical="center" wrapText="1"/>
    </xf>
    <xf numFmtId="0" fontId="32" fillId="34" borderId="26" xfId="0" applyFont="1" applyFill="1" applyBorder="1" applyAlignment="1" applyProtection="1">
      <alignment horizontal="center" vertical="center" wrapText="1"/>
      <protection hidden="1"/>
    </xf>
    <xf numFmtId="2" fontId="35" fillId="34" borderId="10" xfId="0" applyNumberFormat="1" applyFont="1" applyFill="1" applyBorder="1" applyAlignment="1" applyProtection="1">
      <alignment horizontal="center"/>
      <protection hidden="1"/>
    </xf>
    <xf numFmtId="2" fontId="35" fillId="34" borderId="51" xfId="0" applyNumberFormat="1" applyFont="1" applyFill="1" applyBorder="1" applyAlignment="1" applyProtection="1">
      <alignment horizontal="center"/>
      <protection hidden="1"/>
    </xf>
    <xf numFmtId="2" fontId="32" fillId="34" borderId="10" xfId="0" applyNumberFormat="1" applyFont="1" applyFill="1" applyBorder="1" applyAlignment="1" applyProtection="1">
      <alignment horizontal="center" vertical="top" wrapText="1"/>
      <protection hidden="1"/>
    </xf>
    <xf numFmtId="2" fontId="32" fillId="34" borderId="51" xfId="0" applyNumberFormat="1" applyFont="1" applyFill="1" applyBorder="1" applyAlignment="1" applyProtection="1">
      <alignment horizontal="center" vertical="top" wrapText="1"/>
      <protection hidden="1"/>
    </xf>
  </cellXfs>
  <cellStyles count="130">
    <cellStyle name="20% - アクセント 1" xfId="1" builtinId="30" customBuiltin="1"/>
    <cellStyle name="20% - アクセント 1 2" xfId="76" xr:uid="{0941C898-C282-4CFE-8678-FC198C49A0B3}"/>
    <cellStyle name="20% - アクセント 2" xfId="2" builtinId="34" customBuiltin="1"/>
    <cellStyle name="20% - アクセント 2 2" xfId="77" xr:uid="{19F004E0-A152-454B-9576-DAFC64C74EE9}"/>
    <cellStyle name="20% - アクセント 3" xfId="3" builtinId="38" customBuiltin="1"/>
    <cellStyle name="20% - アクセント 3 2" xfId="78" xr:uid="{CB3D1762-7672-4833-AFA6-EF9E3C132742}"/>
    <cellStyle name="20% - アクセント 4" xfId="4" builtinId="42" customBuiltin="1"/>
    <cellStyle name="20% - アクセント 4 2" xfId="79" xr:uid="{4E391482-F60C-4635-804D-EC7F4603E410}"/>
    <cellStyle name="20% - アクセント 5" xfId="5" builtinId="46" customBuiltin="1"/>
    <cellStyle name="20% - アクセント 5 2" xfId="80" xr:uid="{8685C130-65D5-4FBB-8438-F11B86266A72}"/>
    <cellStyle name="20% - アクセント 6" xfId="6" builtinId="50" customBuiltin="1"/>
    <cellStyle name="20% - アクセント 6 2" xfId="81" xr:uid="{5EE991D6-58F7-4EC2-B33E-1BE8085B628D}"/>
    <cellStyle name="40% - アクセント 1" xfId="7" builtinId="31" customBuiltin="1"/>
    <cellStyle name="40% - アクセント 1 2" xfId="82" xr:uid="{7B12A31F-6825-4F2A-8AF4-E0356CFA5BCB}"/>
    <cellStyle name="40% - アクセント 2" xfId="8" builtinId="35" customBuiltin="1"/>
    <cellStyle name="40% - アクセント 2 2" xfId="83" xr:uid="{55E01F1A-6A0C-4539-8214-284611B530B5}"/>
    <cellStyle name="40% - アクセント 3" xfId="9" builtinId="39" customBuiltin="1"/>
    <cellStyle name="40% - アクセント 3 2" xfId="84" xr:uid="{0B7273B6-8904-430F-9F36-C2D712438B2D}"/>
    <cellStyle name="40% - アクセント 4" xfId="10" builtinId="43" customBuiltin="1"/>
    <cellStyle name="40% - アクセント 4 2" xfId="85" xr:uid="{82ACA1EC-2F00-4BC8-A330-DB56D7E4E2BE}"/>
    <cellStyle name="40% - アクセント 5" xfId="11" builtinId="47" customBuiltin="1"/>
    <cellStyle name="40% - アクセント 5 2" xfId="86" xr:uid="{06FABCA9-B334-40AF-8946-21BA4591CFA9}"/>
    <cellStyle name="40% - アクセント 6" xfId="12" builtinId="51" customBuiltin="1"/>
    <cellStyle name="40% - アクセント 6 2" xfId="87" xr:uid="{8DF6DEEE-0A42-4162-B8BD-8F7E54F753FA}"/>
    <cellStyle name="60% - アクセント 1" xfId="13" builtinId="32" customBuiltin="1"/>
    <cellStyle name="60% - アクセント 1 2" xfId="88" xr:uid="{2CD9B62E-4AD6-42CE-820B-1FF75293F946}"/>
    <cellStyle name="60% - アクセント 2" xfId="14" builtinId="36" customBuiltin="1"/>
    <cellStyle name="60% - アクセント 2 2" xfId="89" xr:uid="{CD1D5D52-9BCF-4413-9D66-846DC5613F9F}"/>
    <cellStyle name="60% - アクセント 3" xfId="15" builtinId="40" customBuiltin="1"/>
    <cellStyle name="60% - アクセント 3 2" xfId="90" xr:uid="{4B13EEBE-E97B-4C4D-914B-14C81C51527D}"/>
    <cellStyle name="60% - アクセント 4" xfId="16" builtinId="44" customBuiltin="1"/>
    <cellStyle name="60% - アクセント 4 2" xfId="91" xr:uid="{B77ADDB2-383B-4CC1-A6D3-9CF6E210E51D}"/>
    <cellStyle name="60% - アクセント 5" xfId="17" builtinId="48" customBuiltin="1"/>
    <cellStyle name="60% - アクセント 5 2" xfId="92" xr:uid="{D4AFD034-B5E2-457D-867A-A3C55FD0D6DA}"/>
    <cellStyle name="60% - アクセント 6" xfId="18" builtinId="52" customBuiltin="1"/>
    <cellStyle name="60% - アクセント 6 2" xfId="93" xr:uid="{F80409A6-4712-4042-97CB-0CC36CC4364B}"/>
    <cellStyle name="アクセント 1" xfId="19" builtinId="29" customBuiltin="1"/>
    <cellStyle name="アクセント 1 2" xfId="94" xr:uid="{6A20A9D4-B48B-4F9A-9FFB-5BEF26CE87F9}"/>
    <cellStyle name="アクセント 2" xfId="20" builtinId="33" customBuiltin="1"/>
    <cellStyle name="アクセント 2 2" xfId="95" xr:uid="{084CDC3F-74E6-4754-9A53-3C61B10869DE}"/>
    <cellStyle name="アクセント 3" xfId="21" builtinId="37" customBuiltin="1"/>
    <cellStyle name="アクセント 3 2" xfId="96" xr:uid="{8DABCEC0-4356-4CA2-8A30-16A2CA64C726}"/>
    <cellStyle name="アクセント 4" xfId="22" builtinId="41" customBuiltin="1"/>
    <cellStyle name="アクセント 4 2" xfId="97" xr:uid="{243C1DC1-E69E-4545-890C-DA85C0F904BC}"/>
    <cellStyle name="アクセント 5" xfId="23" builtinId="45" customBuiltin="1"/>
    <cellStyle name="アクセント 5 2" xfId="98" xr:uid="{5DB0D9F3-6A8E-4491-B79B-4C2AFC7E87E7}"/>
    <cellStyle name="アクセント 6" xfId="24" builtinId="49" customBuiltin="1"/>
    <cellStyle name="アクセント 6 2" xfId="99" xr:uid="{D3C41EB2-BA3C-4687-B773-79AD710159FC}"/>
    <cellStyle name="タイトル" xfId="25" builtinId="15" customBuiltin="1"/>
    <cellStyle name="タイトル 2" xfId="100" xr:uid="{918B2282-541D-488A-B2F0-D303569CCB67}"/>
    <cellStyle name="チェック セル" xfId="26" builtinId="23" customBuiltin="1"/>
    <cellStyle name="チェック セル 2" xfId="101" xr:uid="{0E06A262-956E-48B8-BC38-587AE52F5122}"/>
    <cellStyle name="どちらでもない" xfId="27" builtinId="28" customBuiltin="1"/>
    <cellStyle name="どちらでもない 2" xfId="102" xr:uid="{8B620787-4D95-4E17-9B32-60C78F0BE5C8}"/>
    <cellStyle name="パーセント" xfId="28" builtinId="5"/>
    <cellStyle name="パーセント 2" xfId="62" xr:uid="{E66BA35A-8871-4854-A888-5DDCD456E81D}"/>
    <cellStyle name="パーセント 2 2" xfId="104" xr:uid="{D2FCA540-E1AB-4C4F-BEC4-AD909CF1696E}"/>
    <cellStyle name="パーセント 2 3" xfId="103" xr:uid="{CD799898-5270-4D9C-81D1-301B6B41B8B9}"/>
    <cellStyle name="パーセント 3" xfId="63" xr:uid="{824990B1-6319-4E96-ADE7-07A9433C5704}"/>
    <cellStyle name="パーセント 4" xfId="67" xr:uid="{18C4E62C-8643-4476-ADAE-FCD2C191F73A}"/>
    <cellStyle name="パーセント 5" xfId="74" xr:uid="{E85E3ED8-A756-4595-B035-3BAA0B175299}"/>
    <cellStyle name="ハイパーリンク" xfId="29" builtinId="8"/>
    <cellStyle name="ハイパーリンク 2" xfId="127" xr:uid="{CE9C3132-FCFE-4A66-B368-E7104E8A907C}"/>
    <cellStyle name="メモ" xfId="30" builtinId="10" customBuiltin="1"/>
    <cellStyle name="メモ 2" xfId="105" xr:uid="{AD7451C5-9934-40E4-9A15-D8C341B88184}"/>
    <cellStyle name="リンク セル" xfId="31" builtinId="24" customBuiltin="1"/>
    <cellStyle name="リンク セル 2" xfId="106" xr:uid="{C6268FE4-0DC0-4641-9044-CB19AACBEFE4}"/>
    <cellStyle name="悪い" xfId="32" builtinId="27" customBuiltin="1"/>
    <cellStyle name="悪い 2" xfId="107" xr:uid="{D002D1E7-C58F-480A-93EF-58038AF79578}"/>
    <cellStyle name="計算" xfId="33" builtinId="22" customBuiltin="1"/>
    <cellStyle name="計算 2" xfId="108" xr:uid="{910DE93A-28B2-4BAC-AAA7-C2D79A488163}"/>
    <cellStyle name="警告文" xfId="34" builtinId="11" customBuiltin="1"/>
    <cellStyle name="警告文 2" xfId="109" xr:uid="{3675702C-600F-49C9-97F8-BC399EE47B30}"/>
    <cellStyle name="桁区切り" xfId="35" builtinId="6"/>
    <cellStyle name="桁区切り 2" xfId="52" xr:uid="{6D1DB163-C4E7-411C-8EC6-A63F95BBB159}"/>
    <cellStyle name="桁区切り 2 2" xfId="68" xr:uid="{4FE75370-0BCD-4CF6-957A-2A43CDDB6BF1}"/>
    <cellStyle name="桁区切り 3" xfId="58" xr:uid="{F704CFF9-51BC-4F35-82E5-577C3358ABD3}"/>
    <cellStyle name="桁区切り 3 2" xfId="110" xr:uid="{9533BB20-38C0-4436-8BDA-1B481C39E295}"/>
    <cellStyle name="桁区切り 4" xfId="60" xr:uid="{46BA7822-4E50-491A-A72D-67741A1795B7}"/>
    <cellStyle name="桁区切り 4 2" xfId="128" xr:uid="{36DEAD20-081D-44C9-880E-F7292C7DC7E1}"/>
    <cellStyle name="桁区切り 5" xfId="66" xr:uid="{26271ECF-27F6-494C-8DA4-B29FD8ED6E45}"/>
    <cellStyle name="桁区切り 5 2" xfId="75" xr:uid="{C2B2A99B-0DD4-41A8-A800-046358A1CD20}"/>
    <cellStyle name="桁区切り 6" xfId="71" xr:uid="{BD9FAB76-E42E-4A65-BD56-D1067B0C56C3}"/>
    <cellStyle name="見出し 1" xfId="36" builtinId="16" customBuiltin="1"/>
    <cellStyle name="見出し 1 2" xfId="111" xr:uid="{DA4EB977-6C36-469C-A6FE-FA3CA0D6C2F1}"/>
    <cellStyle name="見出し 2" xfId="37" builtinId="17" customBuiltin="1"/>
    <cellStyle name="見出し 2 2" xfId="112" xr:uid="{687736C9-644A-4985-AF17-5E0F9C430F2E}"/>
    <cellStyle name="見出し 3" xfId="38" builtinId="18" customBuiltin="1"/>
    <cellStyle name="見出し 3 2" xfId="113" xr:uid="{0E8F2206-EBAB-40E0-B7E0-68D15DE25F3D}"/>
    <cellStyle name="見出し 4" xfId="39" builtinId="19" customBuiltin="1"/>
    <cellStyle name="見出し 4 2" xfId="114" xr:uid="{B765AD7B-98D8-42BF-9D04-FAD2AF491E9A}"/>
    <cellStyle name="集計" xfId="40" builtinId="25" customBuiltin="1"/>
    <cellStyle name="集計 2" xfId="115" xr:uid="{7C80D0E3-C8DA-46E4-97B5-8A58ABF5185C}"/>
    <cellStyle name="出力" xfId="41" builtinId="21" customBuiltin="1"/>
    <cellStyle name="出力 2" xfId="116" xr:uid="{10D74A27-9254-4862-B935-DE61DDA1154B}"/>
    <cellStyle name="説明文" xfId="42" builtinId="53" customBuiltin="1"/>
    <cellStyle name="説明文 2" xfId="117" xr:uid="{CE5F6C10-8496-4D47-901E-7C0241CA0D30}"/>
    <cellStyle name="入力" xfId="43" builtinId="20" customBuiltin="1"/>
    <cellStyle name="入力 2" xfId="118" xr:uid="{51276C14-B177-4CB9-B91B-E37E863CA22F}"/>
    <cellStyle name="標準" xfId="0" builtinId="0"/>
    <cellStyle name="標準 2" xfId="48" xr:uid="{00000000-0005-0000-0000-00002C000000}"/>
    <cellStyle name="標準 2 2" xfId="55" xr:uid="{42993D0E-5D8D-47AC-8669-2CA9D9BDA5E9}"/>
    <cellStyle name="標準 2 2 2" xfId="119" xr:uid="{3BDCE6C9-3DD4-4587-AB3F-E021C76127CA}"/>
    <cellStyle name="標準 2 3" xfId="70" xr:uid="{BB084F80-115A-4B4A-B5D4-5B1C58079EB3}"/>
    <cellStyle name="標準 2 3 2" xfId="120" xr:uid="{CCE8D8E2-C792-4063-A9A6-AF0DF96953E9}"/>
    <cellStyle name="標準 2 4" xfId="56" xr:uid="{7CC6C1D6-7079-4EC1-BC2A-7C97EA1CF794}"/>
    <cellStyle name="標準 2 63" xfId="129" xr:uid="{73E191CF-AAAA-4A7F-90BD-E440EDA90E2B}"/>
    <cellStyle name="標準 3" xfId="54" xr:uid="{B03D8399-2622-4ED0-9453-DCAFFB859637}"/>
    <cellStyle name="標準 3 2" xfId="121" xr:uid="{7E445289-DA7C-4103-9DCB-686E41D45146}"/>
    <cellStyle name="標準 3 3" xfId="122" xr:uid="{E9F7A731-B6BF-4CBE-A7C3-BCAC06A6C778}"/>
    <cellStyle name="標準 3 4" xfId="64" xr:uid="{5189290A-11BC-4148-AC24-12702713FD8F}"/>
    <cellStyle name="標準 3_111225+Ver(1).0.3+AIJ-LCA&amp;LCW-DH(2005)" xfId="123" xr:uid="{E6909F2C-15E3-4651-BE3D-09DEFAE8946B}"/>
    <cellStyle name="標準 325" xfId="72" xr:uid="{81EF980E-DC63-4490-B943-99B10ADCB49F}"/>
    <cellStyle name="標準 4" xfId="49" xr:uid="{00000000-0005-0000-0000-00002D000000}"/>
    <cellStyle name="標準 4 2" xfId="65" xr:uid="{9288CAA6-37A8-44BC-A473-64CFC4367794}"/>
    <cellStyle name="標準 4 3" xfId="124" xr:uid="{149F1BB5-3ABD-4052-A6D9-6A42D34AD0F7}"/>
    <cellStyle name="標準 4 4" xfId="59" xr:uid="{535A8540-4B04-49BA-9E2E-45014DB603E4}"/>
    <cellStyle name="標準 5" xfId="50" xr:uid="{00000000-0005-0000-0000-00002E000000}"/>
    <cellStyle name="標準 5 2" xfId="125" xr:uid="{49E1A63C-8E20-4F8C-95E6-1A70D7A874B9}"/>
    <cellStyle name="標準 5 3" xfId="61" xr:uid="{9D8CA78C-D097-46F4-B7FC-C5C52A17CB8C}"/>
    <cellStyle name="標準 6" xfId="69" xr:uid="{60B4393C-92AA-45E6-BC98-6B5EC330D8E6}"/>
    <cellStyle name="標準 7" xfId="73" xr:uid="{E629624A-4C6F-402E-B6D7-8051357D17C7}"/>
    <cellStyle name="標準 8" xfId="53" xr:uid="{B3075747-50AD-4CCE-B082-92AC6EEB6E0E}"/>
    <cellStyle name="標準 9" xfId="57" xr:uid="{4B3A3150-C47F-4542-9FF6-13D2F4ED54B6}"/>
    <cellStyle name="標準_070627LCCO2計算" xfId="44" xr:uid="{00000000-0005-0000-0000-00002F000000}"/>
    <cellStyle name="標準_070627LCCO2計算 2" xfId="51" xr:uid="{1F329055-65DA-4FA0-A296-26B3258DD74C}"/>
    <cellStyle name="標準_070627LCCO2計算_100308事業者別CO2排出係数シート案" xfId="45" xr:uid="{00000000-0005-0000-0000-000030000000}"/>
    <cellStyle name="標準_選定シートV1.0" xfId="46" xr:uid="{00000000-0005-0000-0000-000031000000}"/>
    <cellStyle name="良い" xfId="47" builtinId="26" customBuiltin="1"/>
    <cellStyle name="良い 2" xfId="126" xr:uid="{37AFFF7B-FAAB-48EE-B357-4BFDE93BF698}"/>
  </cellStyles>
  <dxfs count="132">
    <dxf>
      <fill>
        <patternFill>
          <bgColor indexed="41"/>
        </patternFill>
      </fill>
    </dxf>
    <dxf>
      <fill>
        <patternFill>
          <bgColor indexed="51"/>
        </patternFill>
      </fill>
    </dxf>
    <dxf>
      <fill>
        <patternFill>
          <bgColor indexed="10"/>
        </patternFill>
      </fill>
    </dxf>
    <dxf>
      <fill>
        <patternFill>
          <bgColor indexed="41"/>
        </patternFill>
      </fill>
    </dxf>
    <dxf>
      <fill>
        <patternFill>
          <bgColor indexed="51"/>
        </patternFill>
      </fill>
    </dxf>
    <dxf>
      <fill>
        <patternFill>
          <bgColor indexed="10"/>
        </patternFill>
      </fill>
    </dxf>
    <dxf>
      <fill>
        <patternFill>
          <bgColor indexed="41"/>
        </patternFill>
      </fill>
    </dxf>
    <dxf>
      <fill>
        <patternFill>
          <bgColor indexed="51"/>
        </patternFill>
      </fill>
    </dxf>
    <dxf>
      <fill>
        <patternFill>
          <bgColor indexed="10"/>
        </patternFill>
      </fill>
    </dxf>
    <dxf>
      <fill>
        <patternFill patternType="darkDown"/>
      </fill>
    </dxf>
    <dxf>
      <fill>
        <patternFill patternType="darkDown"/>
      </fill>
    </dxf>
    <dxf>
      <fill>
        <patternFill>
          <bgColor indexed="41"/>
        </patternFill>
      </fill>
    </dxf>
    <dxf>
      <fill>
        <patternFill>
          <bgColor indexed="51"/>
        </patternFill>
      </fill>
    </dxf>
    <dxf>
      <fill>
        <patternFill>
          <bgColor indexed="10"/>
        </patternFill>
      </fill>
    </dxf>
    <dxf>
      <fill>
        <patternFill>
          <bgColor indexed="41"/>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41"/>
        </patternFill>
      </fill>
    </dxf>
    <dxf>
      <fill>
        <patternFill>
          <bgColor indexed="22"/>
        </patternFill>
      </fill>
    </dxf>
    <dxf>
      <fill>
        <patternFill>
          <bgColor indexed="27"/>
        </patternFill>
      </fill>
    </dxf>
    <dxf>
      <fill>
        <patternFill>
          <bgColor indexed="41"/>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27"/>
        </patternFill>
      </fill>
    </dxf>
    <dxf>
      <fill>
        <patternFill>
          <bgColor indexed="14"/>
        </patternFill>
      </fill>
    </dxf>
    <dxf>
      <font>
        <strike val="0"/>
        <color theme="1"/>
      </font>
      <fill>
        <patternFill>
          <bgColor rgb="FFCCFFFF"/>
        </patternFill>
      </fill>
    </dxf>
    <dxf>
      <font>
        <strike val="0"/>
        <color theme="1"/>
      </font>
      <fill>
        <patternFill>
          <bgColor rgb="FFCCFFFF"/>
        </patternFill>
      </fill>
    </dxf>
    <dxf>
      <fill>
        <patternFill>
          <bgColor theme="0" tint="-0.24994659260841701"/>
        </patternFill>
      </fill>
    </dxf>
    <dxf>
      <fill>
        <patternFill>
          <bgColor theme="0" tint="-0.24994659260841701"/>
        </patternFill>
      </fill>
    </dxf>
    <dxf>
      <fill>
        <patternFill>
          <bgColor theme="0" tint="-0.24994659260841701"/>
        </patternFill>
      </fill>
    </dxf>
    <dxf>
      <fill>
        <patternFill>
          <bgColor theme="0" tint="-0.24994659260841701"/>
        </patternFill>
      </fill>
    </dxf>
    <dxf>
      <fill>
        <patternFill>
          <bgColor theme="0" tint="-0.24994659260841701"/>
        </patternFill>
      </fill>
    </dxf>
    <dxf>
      <fill>
        <patternFill>
          <bgColor theme="0" tint="-0.24994659260841701"/>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27"/>
        </patternFill>
      </fill>
    </dxf>
    <dxf>
      <fill>
        <patternFill>
          <bgColor indexed="14"/>
        </patternFill>
      </fill>
    </dxf>
    <dxf>
      <font>
        <b/>
        <i val="0"/>
        <condense val="0"/>
        <extend val="0"/>
        <color indexed="10"/>
      </font>
    </dxf>
    <dxf>
      <fill>
        <patternFill>
          <bgColor indexed="27"/>
        </patternFill>
      </fill>
    </dxf>
    <dxf>
      <fill>
        <patternFill>
          <bgColor indexed="14"/>
        </patternFill>
      </fill>
    </dxf>
    <dxf>
      <font>
        <condense val="0"/>
        <extend val="0"/>
        <color auto="1"/>
      </font>
      <fill>
        <patternFill>
          <bgColor indexed="27"/>
        </patternFill>
      </fill>
    </dxf>
    <dxf>
      <fill>
        <patternFill>
          <bgColor indexed="27"/>
        </patternFill>
      </fill>
    </dxf>
    <dxf>
      <fill>
        <patternFill>
          <bgColor indexed="14"/>
        </patternFill>
      </fill>
    </dxf>
    <dxf>
      <font>
        <condense val="0"/>
        <extend val="0"/>
        <color auto="1"/>
      </font>
      <fill>
        <patternFill>
          <bgColor indexed="27"/>
        </patternFill>
      </fill>
    </dxf>
    <dxf>
      <fill>
        <patternFill>
          <bgColor indexed="27"/>
        </patternFill>
      </fill>
    </dxf>
    <dxf>
      <fill>
        <patternFill>
          <bgColor indexed="14"/>
        </patternFill>
      </fill>
    </dxf>
    <dxf>
      <fill>
        <patternFill>
          <bgColor indexed="14"/>
        </patternFill>
      </fill>
    </dxf>
    <dxf>
      <fill>
        <patternFill>
          <bgColor indexed="27"/>
        </patternFill>
      </fill>
    </dxf>
    <dxf>
      <fill>
        <patternFill>
          <bgColor indexed="27"/>
        </patternFill>
      </fill>
    </dxf>
    <dxf>
      <fill>
        <patternFill>
          <bgColor indexed="14"/>
        </patternFill>
      </fill>
    </dxf>
    <dxf>
      <fill>
        <patternFill>
          <bgColor indexed="41"/>
        </patternFill>
      </fill>
    </dxf>
    <dxf>
      <fill>
        <patternFill>
          <bgColor indexed="41"/>
        </patternFill>
      </fill>
    </dxf>
    <dxf>
      <fill>
        <patternFill>
          <bgColor indexed="27"/>
        </patternFill>
      </fill>
    </dxf>
    <dxf>
      <fill>
        <patternFill>
          <bgColor indexed="26"/>
        </patternFill>
      </fill>
    </dxf>
    <dxf>
      <fill>
        <patternFill>
          <bgColor indexed="41"/>
        </patternFill>
      </fill>
    </dxf>
    <dxf>
      <fill>
        <patternFill>
          <bgColor indexed="14"/>
        </patternFill>
      </fill>
    </dxf>
    <dxf>
      <fill>
        <patternFill>
          <bgColor indexed="41"/>
        </patternFill>
      </fill>
    </dxf>
    <dxf>
      <fill>
        <patternFill>
          <bgColor indexed="14"/>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27"/>
        </patternFill>
      </fill>
    </dxf>
    <dxf>
      <fill>
        <patternFill>
          <bgColor indexed="14"/>
        </patternFill>
      </fill>
    </dxf>
    <dxf>
      <fill>
        <patternFill>
          <bgColor indexed="41"/>
        </patternFill>
      </fill>
    </dxf>
    <dxf>
      <fill>
        <patternFill>
          <bgColor indexed="14"/>
        </patternFill>
      </fill>
    </dxf>
    <dxf>
      <fill>
        <patternFill>
          <bgColor indexed="27"/>
        </patternFill>
      </fill>
    </dxf>
    <dxf>
      <fill>
        <patternFill>
          <bgColor indexed="27"/>
        </patternFill>
      </fill>
    </dxf>
    <dxf>
      <fill>
        <patternFill>
          <bgColor indexed="14"/>
        </patternFill>
      </fill>
    </dxf>
    <dxf>
      <fill>
        <patternFill>
          <bgColor indexed="41"/>
        </patternFill>
      </fill>
    </dxf>
    <dxf>
      <fill>
        <patternFill>
          <bgColor indexed="41"/>
        </patternFill>
      </fill>
    </dxf>
    <dxf>
      <fill>
        <patternFill>
          <bgColor indexed="41"/>
        </patternFill>
      </fill>
    </dxf>
    <dxf>
      <fill>
        <patternFill>
          <bgColor indexed="41"/>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rgb="FFCCFFFF"/>
        </patternFill>
      </fill>
    </dxf>
    <dxf>
      <fill>
        <patternFill>
          <bgColor rgb="FFCCFFFF"/>
        </patternFill>
      </fill>
    </dxf>
    <dxf>
      <fill>
        <patternFill>
          <bgColor indexed="27"/>
        </patternFill>
      </fill>
    </dxf>
    <dxf>
      <fill>
        <patternFill patternType="lightTrellis"/>
      </fill>
    </dxf>
    <dxf>
      <fill>
        <patternFill>
          <bgColor indexed="27"/>
        </patternFill>
      </fill>
    </dxf>
    <dxf>
      <fill>
        <patternFill patternType="lightTrellis"/>
      </fill>
    </dxf>
    <dxf>
      <fill>
        <patternFill>
          <bgColor indexed="27"/>
        </patternFill>
      </fill>
    </dxf>
    <dxf>
      <fill>
        <patternFill patternType="lightTrellis"/>
      </fill>
    </dxf>
    <dxf>
      <fill>
        <patternFill>
          <bgColor indexed="47"/>
        </patternFill>
      </fill>
    </dxf>
    <dxf>
      <font>
        <condense val="0"/>
        <extend val="0"/>
        <color auto="1"/>
      </font>
      <fill>
        <patternFill>
          <bgColor indexed="47"/>
        </patternFill>
      </fill>
    </dxf>
    <dxf>
      <font>
        <color rgb="FFFF0000"/>
      </font>
      <fill>
        <patternFill>
          <bgColor indexed="47"/>
        </patternFill>
      </fill>
    </dxf>
    <dxf>
      <fill>
        <patternFill>
          <bgColor indexed="47"/>
        </patternFill>
      </fill>
    </dxf>
    <dxf>
      <font>
        <condense val="0"/>
        <extend val="0"/>
        <color auto="1"/>
      </font>
      <fill>
        <patternFill>
          <bgColor indexed="47"/>
        </patternFill>
      </fill>
    </dxf>
    <dxf>
      <font>
        <color rgb="FFFF0000"/>
      </font>
      <fill>
        <patternFill>
          <bgColor indexed="47"/>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27"/>
        </patternFill>
      </fill>
    </dxf>
    <dxf>
      <fill>
        <patternFill>
          <bgColor indexed="27"/>
        </patternFill>
      </fill>
    </dxf>
  </dxfs>
  <tableStyles count="0" defaultTableStyle="TableStyleMedium2" defaultPivotStyle="PivotStyleLight16"/>
  <colors>
    <mruColors>
      <color rgb="FFFFFFCC"/>
      <color rgb="FFCCFFFF"/>
      <color rgb="FFC0C0C0"/>
      <color rgb="FFCCECFF"/>
      <color rgb="FFFF99FF"/>
      <color rgb="FFCC99FF"/>
      <color rgb="FFCCCCFF"/>
      <color rgb="FFDDDDDD"/>
      <color rgb="FF008000"/>
      <color rgb="FF00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charts/_rels/chart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5.png"/><Relationship Id="rId1" Type="http://schemas.openxmlformats.org/officeDocument/2006/relationships/image" Target="../media/image4.jpeg"/></Relationships>
</file>

<file path=xl/charts/_rels/chart3.xml.rels><?xml version="1.0" encoding="UTF-8" standalone="yes"?>
<Relationships xmlns="http://schemas.openxmlformats.org/package/2006/relationships"><Relationship Id="rId1" Type="http://schemas.openxmlformats.org/officeDocument/2006/relationships/chartUserShapes" Target="../drawings/drawing3.xml"/></Relationships>
</file>

<file path=xl/charts/_rels/chart4.xml.rels><?xml version="1.0" encoding="UTF-8" standalone="yes"?>
<Relationships xmlns="http://schemas.openxmlformats.org/package/2006/relationships"><Relationship Id="rId1" Type="http://schemas.openxmlformats.org/officeDocument/2006/relationships/chartUserShapes" Target="../drawings/drawing4.xml"/></Relationships>
</file>

<file path=xl/charts/_rels/chart5.xml.rels><?xml version="1.0" encoding="UTF-8" standalone="yes"?>
<Relationships xmlns="http://schemas.openxmlformats.org/package/2006/relationships"><Relationship Id="rId1" Type="http://schemas.openxmlformats.org/officeDocument/2006/relationships/image" Target="../media/image6.png"/></Relationships>
</file>

<file path=xl/charts/_rels/chart6.xml.rels><?xml version="1.0" encoding="UTF-8" standalone="yes"?>
<Relationships xmlns="http://schemas.openxmlformats.org/package/2006/relationships"><Relationship Id="rId1" Type="http://schemas.openxmlformats.org/officeDocument/2006/relationships/chartUserShapes" Target="../drawings/drawing5.xml"/></Relationships>
</file>

<file path=xl/charts/_rels/chart7.xml.rels><?xml version="1.0" encoding="UTF-8" standalone="yes"?>
<Relationships xmlns="http://schemas.openxmlformats.org/package/2006/relationships"><Relationship Id="rId1" Type="http://schemas.openxmlformats.org/officeDocument/2006/relationships/chartUserShapes" Target="../drawings/drawing6.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7.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8.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9.xml"/></Relationships>
</file>

<file path=xl/charts/_rels/chart11.xml.rels><?xml version="1.0" encoding="UTF-8" standalone="yes"?>
<Relationships xmlns="http://schemas.openxmlformats.org/package/2006/relationships"><Relationship Id="rId1" Type="http://schemas.openxmlformats.org/officeDocument/2006/relationships/chartUserShapes" Target="../drawings/drawing10.xml"/></Relationships>
</file>

<file path=xl/charts/_rels/chart12.xml.rels><?xml version="1.0" encoding="UTF-8" standalone="yes"?>
<Relationships xmlns="http://schemas.openxmlformats.org/package/2006/relationships"><Relationship Id="rId1" Type="http://schemas.openxmlformats.org/officeDocument/2006/relationships/image" Target="../media/image6.png"/></Relationships>
</file>

<file path=xl/charts/_rels/chart1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charts/_rels/chart1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5.png"/><Relationship Id="rId1" Type="http://schemas.openxmlformats.org/officeDocument/2006/relationships/image" Target="../media/image4.jpeg"/></Relationships>
</file>

<file path=xl/charts/_rels/chart15.xml.rels><?xml version="1.0" encoding="UTF-8" standalone="yes"?>
<Relationships xmlns="http://schemas.openxmlformats.org/package/2006/relationships"><Relationship Id="rId1" Type="http://schemas.openxmlformats.org/officeDocument/2006/relationships/chartUserShapes" Target="../drawings/drawing12.xml"/></Relationships>
</file>

<file path=xl/charts/_rels/chart16.xml.rels><?xml version="1.0" encoding="UTF-8" standalone="yes"?>
<Relationships xmlns="http://schemas.openxmlformats.org/package/2006/relationships"><Relationship Id="rId1" Type="http://schemas.openxmlformats.org/officeDocument/2006/relationships/chartUserShapes" Target="../drawings/drawing13.xml"/></Relationships>
</file>

<file path=xl/charts/_rels/chart17.xml.rels><?xml version="1.0" encoding="UTF-8" standalone="yes"?>
<Relationships xmlns="http://schemas.openxmlformats.org/package/2006/relationships"><Relationship Id="rId1" Type="http://schemas.openxmlformats.org/officeDocument/2006/relationships/chartUserShapes" Target="../drawings/drawing14.xml"/></Relationships>
</file>

<file path=xl/charts/_rels/chart18.xml.rels><?xml version="1.0" encoding="UTF-8" standalone="yes"?>
<Relationships xmlns="http://schemas.openxmlformats.org/package/2006/relationships"><Relationship Id="rId1" Type="http://schemas.openxmlformats.org/officeDocument/2006/relationships/chartUserShapes" Target="../drawings/drawing15.xml"/></Relationships>
</file>

<file path=xl/charts/_rels/chart19.xml.rels><?xml version="1.0" encoding="UTF-8" standalone="yes"?>
<Relationships xmlns="http://schemas.openxmlformats.org/package/2006/relationships"><Relationship Id="rId1" Type="http://schemas.openxmlformats.org/officeDocument/2006/relationships/chartUserShapes" Target="../drawings/drawing16.xml"/></Relationships>
</file>

<file path=xl/charts/_rels/chart20.xml.rels><?xml version="1.0" encoding="UTF-8" standalone="yes"?>
<Relationships xmlns="http://schemas.openxmlformats.org/package/2006/relationships"><Relationship Id="rId1" Type="http://schemas.openxmlformats.org/officeDocument/2006/relationships/chartUserShapes" Target="../drawings/drawing17.xml"/></Relationships>
</file>

<file path=xl/charts/_rels/chart21.xml.rels><?xml version="1.0" encoding="UTF-8" standalone="yes"?>
<Relationships xmlns="http://schemas.openxmlformats.org/package/2006/relationships"><Relationship Id="rId1" Type="http://schemas.openxmlformats.org/officeDocument/2006/relationships/chartUserShapes" Target="../drawings/drawing18.xml"/></Relationships>
</file>

<file path=xl/charts/_rels/chart22.xml.rels><?xml version="1.0" encoding="UTF-8" standalone="yes"?>
<Relationships xmlns="http://schemas.openxmlformats.org/package/2006/relationships"><Relationship Id="rId1" Type="http://schemas.openxmlformats.org/officeDocument/2006/relationships/chartUserShapes" Target="../drawings/drawing19.xml"/></Relationships>
</file>

<file path=xl/charts/_rels/chart23.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charts/_rels/chart24.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6891891891891893E-2"/>
          <c:y val="5.6818497084167946E-2"/>
          <c:w val="0.96283783783783783"/>
          <c:h val="0.84091375684568559"/>
        </c:manualLayout>
      </c:layout>
      <c:barChart>
        <c:barDir val="bar"/>
        <c:grouping val="percentStacked"/>
        <c:varyColors val="0"/>
        <c:ser>
          <c:idx val="0"/>
          <c:order val="0"/>
          <c:spPr>
            <a:blipFill dpi="0" rotWithShape="0">
              <a:blip xmlns:r="http://schemas.openxmlformats.org/officeDocument/2006/relationships" r:embed="rId1"/>
              <a:srcRect/>
              <a:stretch>
                <a:fillRect/>
              </a:stretch>
            </a:blipFill>
            <a:ln w="25400">
              <a:noFill/>
            </a:ln>
          </c:spPr>
          <c:invertIfNegative val="0"/>
          <c:pictureOptions>
            <c:pictureFormat val="stackScale"/>
            <c:pictureStackUnit val="20"/>
          </c:pictureOptions>
          <c:cat>
            <c:strRef>
              <c:f>Result!$R$13</c:f>
              <c:strCache>
                <c:ptCount val="1"/>
                <c:pt idx="0">
                  <c:v>Rank(red star)</c:v>
                </c:pt>
              </c:strCache>
            </c:strRef>
          </c:cat>
          <c:val>
            <c:numRef>
              <c:f>Result!$S$13</c:f>
              <c:numCache>
                <c:formatCode>#,##0.0;[Red]\-#,##0.0</c:formatCode>
                <c:ptCount val="1"/>
                <c:pt idx="0">
                  <c:v>0</c:v>
                </c:pt>
              </c:numCache>
            </c:numRef>
          </c:val>
          <c:extLst>
            <c:ext xmlns:c16="http://schemas.microsoft.com/office/drawing/2014/chart" uri="{C3380CC4-5D6E-409C-BE32-E72D297353CC}">
              <c16:uniqueId val="{00000000-A725-4211-B011-F6D211927963}"/>
            </c:ext>
          </c:extLst>
        </c:ser>
        <c:ser>
          <c:idx val="1"/>
          <c:order val="1"/>
          <c:spPr>
            <a:blipFill dpi="0" rotWithShape="0">
              <a:blip xmlns:r="http://schemas.openxmlformats.org/officeDocument/2006/relationships" r:embed="rId2"/>
              <a:srcRect/>
              <a:stretch>
                <a:fillRect/>
              </a:stretch>
            </a:blipFill>
            <a:ln w="25400">
              <a:noFill/>
            </a:ln>
          </c:spPr>
          <c:invertIfNegative val="0"/>
          <c:pictureOptions>
            <c:pictureFormat val="stackScale"/>
            <c:pictureStackUnit val="20"/>
          </c:pictureOptions>
          <c:cat>
            <c:strRef>
              <c:f>Result!$R$13</c:f>
              <c:strCache>
                <c:ptCount val="1"/>
                <c:pt idx="0">
                  <c:v>Rank(red star)</c:v>
                </c:pt>
              </c:strCache>
            </c:strRef>
          </c:cat>
          <c:val>
            <c:numRef>
              <c:f>Result!$S$14</c:f>
              <c:numCache>
                <c:formatCode>#,##0.0;[Red]\-#,##0.0</c:formatCode>
                <c:ptCount val="1"/>
                <c:pt idx="0">
                  <c:v>0</c:v>
                </c:pt>
              </c:numCache>
            </c:numRef>
          </c:val>
          <c:extLst>
            <c:ext xmlns:c16="http://schemas.microsoft.com/office/drawing/2014/chart" uri="{C3380CC4-5D6E-409C-BE32-E72D297353CC}">
              <c16:uniqueId val="{00000001-A725-4211-B011-F6D211927963}"/>
            </c:ext>
          </c:extLst>
        </c:ser>
        <c:dLbls>
          <c:showLegendKey val="0"/>
          <c:showVal val="0"/>
          <c:showCatName val="0"/>
          <c:showSerName val="0"/>
          <c:showPercent val="0"/>
          <c:showBubbleSize val="0"/>
        </c:dLbls>
        <c:gapWidth val="50"/>
        <c:overlap val="100"/>
        <c:axId val="497767496"/>
        <c:axId val="497766320"/>
      </c:barChart>
      <c:catAx>
        <c:axId val="497767496"/>
        <c:scaling>
          <c:orientation val="minMax"/>
        </c:scaling>
        <c:delete val="1"/>
        <c:axPos val="l"/>
        <c:numFmt formatCode="General" sourceLinked="1"/>
        <c:majorTickMark val="out"/>
        <c:minorTickMark val="none"/>
        <c:tickLblPos val="nextTo"/>
        <c:crossAx val="497766320"/>
        <c:crosses val="autoZero"/>
        <c:auto val="1"/>
        <c:lblAlgn val="ctr"/>
        <c:lblOffset val="100"/>
        <c:noMultiLvlLbl val="0"/>
      </c:catAx>
      <c:valAx>
        <c:axId val="497766320"/>
        <c:scaling>
          <c:orientation val="minMax"/>
        </c:scaling>
        <c:delete val="1"/>
        <c:axPos val="b"/>
        <c:numFmt formatCode="0%" sourceLinked="1"/>
        <c:majorTickMark val="out"/>
        <c:minorTickMark val="none"/>
        <c:tickLblPos val="nextTo"/>
        <c:crossAx val="497767496"/>
        <c:crosses val="autoZero"/>
        <c:crossBetween val="between"/>
      </c:valAx>
      <c:spPr>
        <a:noFill/>
        <a:ln w="25400">
          <a:noFill/>
        </a:ln>
      </c:spPr>
    </c:plotArea>
    <c:plotVisOnly val="0"/>
    <c:dispBlanksAs val="gap"/>
    <c:showDLblsOverMax val="0"/>
  </c:chart>
  <c:spPr>
    <a:noFill/>
    <a:ln w="6350">
      <a:noFill/>
    </a:ln>
  </c:spPr>
  <c:txPr>
    <a:bodyPr/>
    <a:lstStyle/>
    <a:p>
      <a:pPr>
        <a:defRPr sz="2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6891891891891893E-2"/>
          <c:y val="5.6818497084167946E-2"/>
          <c:w val="0.96283783783783783"/>
          <c:h val="0.84091375684568559"/>
        </c:manualLayout>
      </c:layout>
      <c:barChart>
        <c:barDir val="bar"/>
        <c:grouping val="percentStacked"/>
        <c:varyColors val="0"/>
        <c:ser>
          <c:idx val="0"/>
          <c:order val="0"/>
          <c:spPr>
            <a:blipFill dpi="0" rotWithShape="0">
              <a:blip xmlns:r="http://schemas.openxmlformats.org/officeDocument/2006/relationships" r:embed="rId1"/>
              <a:srcRect/>
              <a:stretch>
                <a:fillRect/>
              </a:stretch>
            </a:blipFill>
            <a:ln w="25400">
              <a:noFill/>
            </a:ln>
          </c:spPr>
          <c:invertIfNegative val="0"/>
          <c:pictureOptions>
            <c:pictureFormat val="stackScale"/>
            <c:pictureStackUnit val="20"/>
          </c:pictureOptions>
          <c:dPt>
            <c:idx val="0"/>
            <c:invertIfNegative val="0"/>
            <c:bubble3D val="0"/>
            <c:spPr>
              <a:blipFill dpi="0" rotWithShape="0">
                <a:blip xmlns:r="http://schemas.openxmlformats.org/officeDocument/2006/relationships" r:embed="rId2"/>
                <a:srcRect/>
                <a:stretch>
                  <a:fillRect/>
                </a:stretch>
              </a:blipFill>
              <a:ln w="25400">
                <a:noFill/>
              </a:ln>
            </c:spPr>
            <c:pictureOptions>
              <c:pictureFormat val="stackScale"/>
              <c:pictureStackUnit val="20"/>
            </c:pictureOptions>
            <c:extLst>
              <c:ext xmlns:c16="http://schemas.microsoft.com/office/drawing/2014/chart" uri="{C3380CC4-5D6E-409C-BE32-E72D297353CC}">
                <c16:uniqueId val="{00000001-E9DC-4B30-973D-970B7BB7A413}"/>
              </c:ext>
            </c:extLst>
          </c:dPt>
          <c:cat>
            <c:strRef>
              <c:f>Result!$R$36</c:f>
              <c:strCache>
                <c:ptCount val="1"/>
                <c:pt idx="0">
                  <c:v>Rank(green star)</c:v>
                </c:pt>
              </c:strCache>
            </c:strRef>
          </c:cat>
          <c:val>
            <c:numRef>
              <c:f>Result!$S$36</c:f>
              <c:numCache>
                <c:formatCode>#,##0.0;[Red]\-#,##0.0</c:formatCode>
                <c:ptCount val="1"/>
                <c:pt idx="0">
                  <c:v>0</c:v>
                </c:pt>
              </c:numCache>
            </c:numRef>
          </c:val>
          <c:extLst>
            <c:ext xmlns:c16="http://schemas.microsoft.com/office/drawing/2014/chart" uri="{C3380CC4-5D6E-409C-BE32-E72D297353CC}">
              <c16:uniqueId val="{00000002-E9DC-4B30-973D-970B7BB7A413}"/>
            </c:ext>
          </c:extLst>
        </c:ser>
        <c:ser>
          <c:idx val="1"/>
          <c:order val="1"/>
          <c:spPr>
            <a:blipFill dpi="0" rotWithShape="0">
              <a:blip xmlns:r="http://schemas.openxmlformats.org/officeDocument/2006/relationships" r:embed="rId3"/>
              <a:srcRect/>
              <a:stretch>
                <a:fillRect/>
              </a:stretch>
            </a:blipFill>
            <a:ln w="25400">
              <a:noFill/>
            </a:ln>
          </c:spPr>
          <c:invertIfNegative val="0"/>
          <c:pictureOptions>
            <c:pictureFormat val="stackScale"/>
            <c:pictureStackUnit val="20"/>
          </c:pictureOptions>
          <c:cat>
            <c:strRef>
              <c:f>Result!$R$36</c:f>
              <c:strCache>
                <c:ptCount val="1"/>
                <c:pt idx="0">
                  <c:v>Rank(green star)</c:v>
                </c:pt>
              </c:strCache>
            </c:strRef>
          </c:cat>
          <c:val>
            <c:numRef>
              <c:f>Result!$S$37</c:f>
              <c:numCache>
                <c:formatCode>#,##0.0;[Red]\-#,##0.0</c:formatCode>
                <c:ptCount val="1"/>
                <c:pt idx="0">
                  <c:v>0</c:v>
                </c:pt>
              </c:numCache>
            </c:numRef>
          </c:val>
          <c:extLst>
            <c:ext xmlns:c16="http://schemas.microsoft.com/office/drawing/2014/chart" uri="{C3380CC4-5D6E-409C-BE32-E72D297353CC}">
              <c16:uniqueId val="{00000003-E9DC-4B30-973D-970B7BB7A413}"/>
            </c:ext>
          </c:extLst>
        </c:ser>
        <c:dLbls>
          <c:showLegendKey val="0"/>
          <c:showVal val="0"/>
          <c:showCatName val="0"/>
          <c:showSerName val="0"/>
          <c:showPercent val="0"/>
          <c:showBubbleSize val="0"/>
        </c:dLbls>
        <c:gapWidth val="50"/>
        <c:overlap val="100"/>
        <c:axId val="497765536"/>
        <c:axId val="497768280"/>
      </c:barChart>
      <c:catAx>
        <c:axId val="497765536"/>
        <c:scaling>
          <c:orientation val="minMax"/>
        </c:scaling>
        <c:delete val="1"/>
        <c:axPos val="l"/>
        <c:numFmt formatCode="General" sourceLinked="1"/>
        <c:majorTickMark val="out"/>
        <c:minorTickMark val="none"/>
        <c:tickLblPos val="nextTo"/>
        <c:crossAx val="497768280"/>
        <c:crosses val="autoZero"/>
        <c:auto val="1"/>
        <c:lblAlgn val="ctr"/>
        <c:lblOffset val="100"/>
        <c:noMultiLvlLbl val="0"/>
      </c:catAx>
      <c:valAx>
        <c:axId val="497768280"/>
        <c:scaling>
          <c:orientation val="minMax"/>
        </c:scaling>
        <c:delete val="1"/>
        <c:axPos val="b"/>
        <c:numFmt formatCode="0%" sourceLinked="1"/>
        <c:majorTickMark val="out"/>
        <c:minorTickMark val="none"/>
        <c:tickLblPos val="nextTo"/>
        <c:crossAx val="497765536"/>
        <c:crosses val="autoZero"/>
        <c:crossBetween val="between"/>
      </c:valAx>
      <c:spPr>
        <a:noFill/>
        <a:ln w="25400">
          <a:noFill/>
        </a:ln>
      </c:spPr>
    </c:plotArea>
    <c:plotVisOnly val="0"/>
    <c:dispBlanksAs val="gap"/>
    <c:showDLblsOverMax val="0"/>
  </c:chart>
  <c:spPr>
    <a:noFill/>
    <a:ln w="6350">
      <a:noFill/>
    </a:ln>
  </c:spPr>
  <c:txPr>
    <a:bodyPr/>
    <a:lstStyle/>
    <a:p>
      <a:pPr>
        <a:defRPr sz="2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9795221843003413"/>
          <c:y val="9.8425196850393706E-2"/>
          <c:w val="0.69965870307167233"/>
          <c:h val="0.70078740157480313"/>
        </c:manualLayout>
      </c:layout>
      <c:areaChart>
        <c:grouping val="standard"/>
        <c:varyColors val="0"/>
        <c:ser>
          <c:idx val="4"/>
          <c:order val="3"/>
          <c:tx>
            <c:strRef>
              <c:f>Result!$S$30</c:f>
              <c:strCache>
                <c:ptCount val="1"/>
                <c:pt idx="0">
                  <c:v>S</c:v>
                </c:pt>
              </c:strCache>
            </c:strRef>
          </c:tx>
          <c:spPr>
            <a:pattFill prst="pct70">
              <a:fgClr>
                <a:srgbClr val="339966"/>
              </a:fgClr>
              <a:bgClr>
                <a:srgbClr val="FFFFFF"/>
              </a:bgClr>
            </a:pattFill>
            <a:ln w="12700">
              <a:solidFill>
                <a:srgbClr val="000000"/>
              </a:solidFill>
              <a:prstDash val="solid"/>
            </a:ln>
          </c:spPr>
          <c:cat>
            <c:numRef>
              <c:f>Result!$T$24:$U$24</c:f>
              <c:numCache>
                <c:formatCode>General</c:formatCode>
                <c:ptCount val="2"/>
                <c:pt idx="0" formatCode="#,##0_);[Red]\(#,##0\)">
                  <c:v>0</c:v>
                </c:pt>
                <c:pt idx="1">
                  <c:v>0</c:v>
                </c:pt>
              </c:numCache>
            </c:numRef>
          </c:cat>
          <c:val>
            <c:numRef>
              <c:f>Result!$T$30:$Z$30</c:f>
              <c:numCache>
                <c:formatCode>General</c:formatCode>
                <c:ptCount val="7"/>
                <c:pt idx="0">
                  <c:v>100</c:v>
                </c:pt>
                <c:pt idx="1">
                  <c:v>100</c:v>
                </c:pt>
                <c:pt idx="2">
                  <c:v>100</c:v>
                </c:pt>
                <c:pt idx="3">
                  <c:v>100</c:v>
                </c:pt>
                <c:pt idx="4">
                  <c:v>100</c:v>
                </c:pt>
                <c:pt idx="5">
                  <c:v>100</c:v>
                </c:pt>
                <c:pt idx="6">
                  <c:v>100</c:v>
                </c:pt>
              </c:numCache>
            </c:numRef>
          </c:val>
          <c:extLst>
            <c:ext xmlns:c16="http://schemas.microsoft.com/office/drawing/2014/chart" uri="{C3380CC4-5D6E-409C-BE32-E72D297353CC}">
              <c16:uniqueId val="{00000000-A8DE-4309-928B-59C5953E0A8E}"/>
            </c:ext>
          </c:extLst>
        </c:ser>
        <c:ser>
          <c:idx val="3"/>
          <c:order val="4"/>
          <c:tx>
            <c:strRef>
              <c:f>Result!$S$31</c:f>
              <c:strCache>
                <c:ptCount val="1"/>
                <c:pt idx="0">
                  <c:v>A</c:v>
                </c:pt>
              </c:strCache>
            </c:strRef>
          </c:tx>
          <c:spPr>
            <a:pattFill prst="pct90">
              <a:fgClr>
                <a:srgbClr val="CCFFCC"/>
              </a:fgClr>
              <a:bgClr>
                <a:srgbClr val="FFFFFF"/>
              </a:bgClr>
            </a:pattFill>
            <a:ln w="12700">
              <a:solidFill>
                <a:srgbClr val="000000"/>
              </a:solidFill>
              <a:prstDash val="solid"/>
            </a:ln>
          </c:spPr>
          <c:cat>
            <c:numRef>
              <c:f>Result!$T$24:$U$24</c:f>
              <c:numCache>
                <c:formatCode>General</c:formatCode>
                <c:ptCount val="2"/>
                <c:pt idx="0" formatCode="#,##0_);[Red]\(#,##0\)">
                  <c:v>0</c:v>
                </c:pt>
                <c:pt idx="1">
                  <c:v>0</c:v>
                </c:pt>
              </c:numCache>
            </c:numRef>
          </c:cat>
          <c:val>
            <c:numRef>
              <c:f>Result!$T$31:$Z$31</c:f>
              <c:numCache>
                <c:formatCode>General</c:formatCode>
                <c:ptCount val="7"/>
                <c:pt idx="0">
                  <c:v>50</c:v>
                </c:pt>
                <c:pt idx="1">
                  <c:v>50</c:v>
                </c:pt>
                <c:pt idx="2">
                  <c:v>100</c:v>
                </c:pt>
                <c:pt idx="3">
                  <c:v>100</c:v>
                </c:pt>
                <c:pt idx="4">
                  <c:v>100</c:v>
                </c:pt>
                <c:pt idx="5">
                  <c:v>100</c:v>
                </c:pt>
                <c:pt idx="6">
                  <c:v>100</c:v>
                </c:pt>
              </c:numCache>
            </c:numRef>
          </c:val>
          <c:extLst>
            <c:ext xmlns:c16="http://schemas.microsoft.com/office/drawing/2014/chart" uri="{C3380CC4-5D6E-409C-BE32-E72D297353CC}">
              <c16:uniqueId val="{00000001-A8DE-4309-928B-59C5953E0A8E}"/>
            </c:ext>
          </c:extLst>
        </c:ser>
        <c:ser>
          <c:idx val="2"/>
          <c:order val="5"/>
          <c:tx>
            <c:strRef>
              <c:f>Result!$S$32</c:f>
              <c:strCache>
                <c:ptCount val="1"/>
                <c:pt idx="0">
                  <c:v>B+</c:v>
                </c:pt>
              </c:strCache>
            </c:strRef>
          </c:tx>
          <c:spPr>
            <a:solidFill>
              <a:srgbClr val="FFFFCC"/>
            </a:solidFill>
            <a:ln w="12700">
              <a:solidFill>
                <a:srgbClr val="000000"/>
              </a:solidFill>
              <a:prstDash val="solid"/>
            </a:ln>
          </c:spPr>
          <c:cat>
            <c:numRef>
              <c:f>Result!$T$24:$U$24</c:f>
              <c:numCache>
                <c:formatCode>General</c:formatCode>
                <c:ptCount val="2"/>
                <c:pt idx="0" formatCode="#,##0_);[Red]\(#,##0\)">
                  <c:v>0</c:v>
                </c:pt>
                <c:pt idx="1">
                  <c:v>0</c:v>
                </c:pt>
              </c:numCache>
            </c:numRef>
          </c:cat>
          <c:val>
            <c:numRef>
              <c:f>Result!$T$32:$Z$32</c:f>
              <c:numCache>
                <c:formatCode>General</c:formatCode>
                <c:ptCount val="7"/>
                <c:pt idx="0">
                  <c:v>0</c:v>
                </c:pt>
                <c:pt idx="1">
                  <c:v>25</c:v>
                </c:pt>
                <c:pt idx="2">
                  <c:v>50</c:v>
                </c:pt>
                <c:pt idx="3">
                  <c:v>75</c:v>
                </c:pt>
                <c:pt idx="4">
                  <c:v>100</c:v>
                </c:pt>
                <c:pt idx="5">
                  <c:v>100</c:v>
                </c:pt>
                <c:pt idx="6">
                  <c:v>100</c:v>
                </c:pt>
              </c:numCache>
            </c:numRef>
          </c:val>
          <c:extLst>
            <c:ext xmlns:c16="http://schemas.microsoft.com/office/drawing/2014/chart" uri="{C3380CC4-5D6E-409C-BE32-E72D297353CC}">
              <c16:uniqueId val="{00000002-A8DE-4309-928B-59C5953E0A8E}"/>
            </c:ext>
          </c:extLst>
        </c:ser>
        <c:ser>
          <c:idx val="1"/>
          <c:order val="6"/>
          <c:tx>
            <c:strRef>
              <c:f>Result!$S$34</c:f>
              <c:strCache>
                <c:ptCount val="1"/>
                <c:pt idx="0">
                  <c:v>B-</c:v>
                </c:pt>
              </c:strCache>
            </c:strRef>
          </c:tx>
          <c:spPr>
            <a:solidFill>
              <a:srgbClr val="FFFFFF"/>
            </a:solidFill>
            <a:ln w="12700">
              <a:solidFill>
                <a:srgbClr val="000000"/>
              </a:solidFill>
              <a:prstDash val="solid"/>
            </a:ln>
          </c:spPr>
          <c:cat>
            <c:numRef>
              <c:f>Result!$T$24:$U$24</c:f>
              <c:numCache>
                <c:formatCode>General</c:formatCode>
                <c:ptCount val="2"/>
                <c:pt idx="0" formatCode="#,##0_);[Red]\(#,##0\)">
                  <c:v>0</c:v>
                </c:pt>
                <c:pt idx="1">
                  <c:v>0</c:v>
                </c:pt>
              </c:numCache>
            </c:numRef>
          </c:cat>
          <c:val>
            <c:numRef>
              <c:f>Result!$T$34:$Z$34</c:f>
              <c:numCache>
                <c:formatCode>General</c:formatCode>
                <c:ptCount val="7"/>
                <c:pt idx="0">
                  <c:v>0</c:v>
                </c:pt>
                <c:pt idx="1">
                  <c:v>8.3333333333333339</c:v>
                </c:pt>
                <c:pt idx="2">
                  <c:v>16.666666666666668</c:v>
                </c:pt>
                <c:pt idx="3">
                  <c:v>25</c:v>
                </c:pt>
                <c:pt idx="4">
                  <c:v>33.333333333333336</c:v>
                </c:pt>
                <c:pt idx="5">
                  <c:v>41.666666666666671</c:v>
                </c:pt>
                <c:pt idx="6">
                  <c:v>50</c:v>
                </c:pt>
              </c:numCache>
            </c:numRef>
          </c:val>
          <c:extLst>
            <c:ext xmlns:c16="http://schemas.microsoft.com/office/drawing/2014/chart" uri="{C3380CC4-5D6E-409C-BE32-E72D297353CC}">
              <c16:uniqueId val="{00000003-A8DE-4309-928B-59C5953E0A8E}"/>
            </c:ext>
          </c:extLst>
        </c:ser>
        <c:ser>
          <c:idx val="0"/>
          <c:order val="7"/>
          <c:tx>
            <c:strRef>
              <c:f>Result!$S$33</c:f>
              <c:strCache>
                <c:ptCount val="1"/>
                <c:pt idx="0">
                  <c:v>B</c:v>
                </c:pt>
              </c:strCache>
            </c:strRef>
          </c:tx>
          <c:spPr>
            <a:noFill/>
            <a:ln w="12700">
              <a:solidFill>
                <a:srgbClr val="000000"/>
              </a:solidFill>
              <a:prstDash val="solid"/>
            </a:ln>
          </c:spPr>
          <c:cat>
            <c:numRef>
              <c:f>Result!$T$24:$U$24</c:f>
              <c:numCache>
                <c:formatCode>General</c:formatCode>
                <c:ptCount val="2"/>
                <c:pt idx="0" formatCode="#,##0_);[Red]\(#,##0\)">
                  <c:v>0</c:v>
                </c:pt>
                <c:pt idx="1">
                  <c:v>0</c:v>
                </c:pt>
              </c:numCache>
            </c:numRef>
          </c:cat>
          <c:val>
            <c:numRef>
              <c:f>Result!$T$33:$Z$33</c:f>
              <c:numCache>
                <c:formatCode>General</c:formatCode>
                <c:ptCount val="7"/>
                <c:pt idx="0">
                  <c:v>0</c:v>
                </c:pt>
                <c:pt idx="1">
                  <c:v>16.666666666666668</c:v>
                </c:pt>
                <c:pt idx="2">
                  <c:v>33.333333333333336</c:v>
                </c:pt>
                <c:pt idx="3">
                  <c:v>50</c:v>
                </c:pt>
                <c:pt idx="4">
                  <c:v>66.666666666666671</c:v>
                </c:pt>
                <c:pt idx="5">
                  <c:v>83.333333333333343</c:v>
                </c:pt>
                <c:pt idx="6">
                  <c:v>100</c:v>
                </c:pt>
              </c:numCache>
            </c:numRef>
          </c:val>
          <c:extLst>
            <c:ext xmlns:c16="http://schemas.microsoft.com/office/drawing/2014/chart" uri="{C3380CC4-5D6E-409C-BE32-E72D297353CC}">
              <c16:uniqueId val="{00000004-A8DE-4309-928B-59C5953E0A8E}"/>
            </c:ext>
          </c:extLst>
        </c:ser>
        <c:dLbls>
          <c:showLegendKey val="0"/>
          <c:showVal val="0"/>
          <c:showCatName val="0"/>
          <c:showSerName val="0"/>
          <c:showPercent val="0"/>
          <c:showBubbleSize val="0"/>
        </c:dLbls>
        <c:axId val="497766712"/>
        <c:axId val="497769848"/>
      </c:areaChart>
      <c:scatterChart>
        <c:scatterStyle val="lineMarker"/>
        <c:varyColors val="0"/>
        <c:ser>
          <c:idx val="7"/>
          <c:order val="0"/>
          <c:spPr>
            <a:ln w="25400">
              <a:solidFill>
                <a:srgbClr val="008000"/>
              </a:solidFill>
              <a:prstDash val="sysDash"/>
            </a:ln>
          </c:spPr>
          <c:marker>
            <c:symbol val="none"/>
          </c:marker>
          <c:dPt>
            <c:idx val="1"/>
            <c:bubble3D val="0"/>
            <c:spPr>
              <a:ln w="19050">
                <a:noFill/>
              </a:ln>
            </c:spPr>
            <c:extLst>
              <c:ext xmlns:c16="http://schemas.microsoft.com/office/drawing/2014/chart" uri="{C3380CC4-5D6E-409C-BE32-E72D297353CC}">
                <c16:uniqueId val="{00000006-A8DE-4309-928B-59C5953E0A8E}"/>
              </c:ext>
            </c:extLst>
          </c:dPt>
          <c:dLbls>
            <c:dLbl>
              <c:idx val="2"/>
              <c:layout>
                <c:manualLayout>
                  <c:x val="-2.3856744869349086E-3"/>
                  <c:y val="0.27926509186351711"/>
                </c:manualLayout>
              </c:layout>
              <c:spPr>
                <a:noFill/>
                <a:ln w="25400">
                  <a:noFill/>
                </a:ln>
              </c:spPr>
              <c:txPr>
                <a:bodyPr/>
                <a:lstStyle/>
                <a:p>
                  <a:pPr>
                    <a:defRPr sz="800" b="1" i="0" u="none" strike="noStrike" baseline="0">
                      <a:solidFill>
                        <a:srgbClr val="FF0000"/>
                      </a:solidFill>
                      <a:latin typeface="ＭＳ Ｐゴシック"/>
                      <a:ea typeface="ＭＳ Ｐゴシック"/>
                      <a:cs typeface="ＭＳ Ｐゴシック"/>
                    </a:defRPr>
                  </a:pPr>
                  <a:endParaRPr lang="ja-JP"/>
                </a:p>
              </c:txPr>
              <c:dLblPos val="r"/>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8DE-4309-928B-59C5953E0A8E}"/>
                </c:ext>
              </c:extLst>
            </c:dLbl>
            <c:dLbl>
              <c:idx val="3"/>
              <c:layout>
                <c:manualLayout>
                  <c:x val="-5.2504187829763476E-3"/>
                  <c:y val="-3.9632545931758544E-2"/>
                </c:manualLayout>
              </c:layout>
              <c:spPr>
                <a:noFill/>
                <a:ln w="25400">
                  <a:noFill/>
                </a:ln>
              </c:spPr>
              <c:txPr>
                <a:bodyPr/>
                <a:lstStyle/>
                <a:p>
                  <a:pPr>
                    <a:defRPr sz="800" b="1" i="0" u="none" strike="noStrike" baseline="0">
                      <a:solidFill>
                        <a:srgbClr val="FF0000"/>
                      </a:solidFill>
                      <a:latin typeface="ＭＳ Ｐゴシック"/>
                      <a:ea typeface="ＭＳ Ｐゴシック"/>
                      <a:cs typeface="ＭＳ Ｐゴシック"/>
                    </a:defRPr>
                  </a:pPr>
                  <a:endParaRPr lang="ja-JP"/>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8DE-4309-928B-59C5953E0A8E}"/>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howLeaderLines val="0"/>
              </c:ext>
            </c:extLst>
          </c:dLbls>
          <c:xVal>
            <c:numRef>
              <c:f>Result!$R$26:$U$26</c:f>
              <c:numCache>
                <c:formatCode>General</c:formatCode>
                <c:ptCount val="4"/>
                <c:pt idx="0">
                  <c:v>0</c:v>
                </c:pt>
                <c:pt idx="1">
                  <c:v>0</c:v>
                </c:pt>
                <c:pt idx="2" formatCode="#,##0_);[Red]\(#,##0\)">
                  <c:v>0</c:v>
                </c:pt>
                <c:pt idx="3">
                  <c:v>0.1</c:v>
                </c:pt>
              </c:numCache>
            </c:numRef>
          </c:xVal>
          <c:yVal>
            <c:numRef>
              <c:f>Result!$R$27:$U$27</c:f>
              <c:numCache>
                <c:formatCode>General</c:formatCode>
                <c:ptCount val="4"/>
                <c:pt idx="0">
                  <c:v>0</c:v>
                </c:pt>
                <c:pt idx="1">
                  <c:v>0</c:v>
                </c:pt>
                <c:pt idx="2">
                  <c:v>50.000000000000014</c:v>
                </c:pt>
                <c:pt idx="3" formatCode="#,##0_);[Red]\(#,##0\)">
                  <c:v>50.000000000000014</c:v>
                </c:pt>
              </c:numCache>
            </c:numRef>
          </c:yVal>
          <c:smooth val="0"/>
          <c:extLst>
            <c:ext xmlns:c16="http://schemas.microsoft.com/office/drawing/2014/chart" uri="{C3380CC4-5D6E-409C-BE32-E72D297353CC}">
              <c16:uniqueId val="{00000009-A8DE-4309-928B-59C5953E0A8E}"/>
            </c:ext>
          </c:extLst>
        </c:ser>
        <c:ser>
          <c:idx val="8"/>
          <c:order val="1"/>
          <c:spPr>
            <a:ln w="19050">
              <a:noFill/>
            </a:ln>
          </c:spPr>
          <c:marker>
            <c:symbol val="none"/>
          </c:marker>
          <c:dPt>
            <c:idx val="1"/>
            <c:marker>
              <c:symbol val="circle"/>
              <c:size val="6"/>
              <c:spPr>
                <a:solidFill>
                  <a:srgbClr val="008000"/>
                </a:solidFill>
                <a:ln>
                  <a:solidFill>
                    <a:srgbClr val="000000"/>
                  </a:solidFill>
                  <a:prstDash val="solid"/>
                </a:ln>
              </c:spPr>
            </c:marker>
            <c:bubble3D val="0"/>
            <c:extLst>
              <c:ext xmlns:c16="http://schemas.microsoft.com/office/drawing/2014/chart" uri="{C3380CC4-5D6E-409C-BE32-E72D297353CC}">
                <c16:uniqueId val="{0000000A-A8DE-4309-928B-59C5953E0A8E}"/>
              </c:ext>
            </c:extLst>
          </c:dPt>
          <c:dPt>
            <c:idx val="3"/>
            <c:marker>
              <c:symbol val="circle"/>
              <c:size val="6"/>
              <c:spPr>
                <a:solidFill>
                  <a:srgbClr val="008000"/>
                </a:solidFill>
                <a:ln>
                  <a:solidFill>
                    <a:srgbClr val="000000"/>
                  </a:solidFill>
                  <a:prstDash val="solid"/>
                </a:ln>
              </c:spPr>
            </c:marker>
            <c:bubble3D val="0"/>
            <c:extLst>
              <c:ext xmlns:c16="http://schemas.microsoft.com/office/drawing/2014/chart" uri="{C3380CC4-5D6E-409C-BE32-E72D297353CC}">
                <c16:uniqueId val="{0000000B-A8DE-4309-928B-59C5953E0A8E}"/>
              </c:ext>
            </c:extLst>
          </c:dPt>
          <c:xVal>
            <c:numRef>
              <c:f>Result!$R$26:$U$26</c:f>
              <c:numCache>
                <c:formatCode>General</c:formatCode>
                <c:ptCount val="4"/>
                <c:pt idx="0">
                  <c:v>0</c:v>
                </c:pt>
                <c:pt idx="1">
                  <c:v>0</c:v>
                </c:pt>
                <c:pt idx="2" formatCode="#,##0_);[Red]\(#,##0\)">
                  <c:v>0</c:v>
                </c:pt>
                <c:pt idx="3">
                  <c:v>0.1</c:v>
                </c:pt>
              </c:numCache>
            </c:numRef>
          </c:xVal>
          <c:yVal>
            <c:numRef>
              <c:f>Result!$R$27:$U$27</c:f>
              <c:numCache>
                <c:formatCode>General</c:formatCode>
                <c:ptCount val="4"/>
                <c:pt idx="0">
                  <c:v>0</c:v>
                </c:pt>
                <c:pt idx="1">
                  <c:v>0</c:v>
                </c:pt>
                <c:pt idx="2">
                  <c:v>50.000000000000014</c:v>
                </c:pt>
                <c:pt idx="3" formatCode="#,##0_);[Red]\(#,##0\)">
                  <c:v>50.000000000000014</c:v>
                </c:pt>
              </c:numCache>
            </c:numRef>
          </c:yVal>
          <c:smooth val="0"/>
          <c:extLst>
            <c:ext xmlns:c16="http://schemas.microsoft.com/office/drawing/2014/chart" uri="{C3380CC4-5D6E-409C-BE32-E72D297353CC}">
              <c16:uniqueId val="{0000000C-A8DE-4309-928B-59C5953E0A8E}"/>
            </c:ext>
          </c:extLst>
        </c:ser>
        <c:ser>
          <c:idx val="5"/>
          <c:order val="2"/>
          <c:tx>
            <c:strRef>
              <c:f>Result!$S$12</c:f>
              <c:strCache>
                <c:ptCount val="1"/>
                <c:pt idx="0">
                  <c:v>#VALUE!</c:v>
                </c:pt>
              </c:strCache>
            </c:strRef>
          </c:tx>
          <c:spPr>
            <a:ln w="12700">
              <a:solidFill>
                <a:srgbClr val="800000"/>
              </a:solidFill>
              <a:prstDash val="solid"/>
            </a:ln>
          </c:spPr>
          <c:marker>
            <c:symbol val="none"/>
          </c:marker>
          <c:dPt>
            <c:idx val="0"/>
            <c:marker>
              <c:symbol val="circle"/>
              <c:size val="20"/>
              <c:spPr>
                <a:noFill/>
                <a:ln>
                  <a:solidFill>
                    <a:srgbClr val="FF0000"/>
                  </a:solidFill>
                  <a:prstDash val="solid"/>
                </a:ln>
              </c:spPr>
            </c:marker>
            <c:bubble3D val="0"/>
            <c:extLst>
              <c:ext xmlns:c16="http://schemas.microsoft.com/office/drawing/2014/chart" uri="{C3380CC4-5D6E-409C-BE32-E72D297353CC}">
                <c16:uniqueId val="{0000000D-A8DE-4309-928B-59C5953E0A8E}"/>
              </c:ext>
            </c:extLst>
          </c:dPt>
          <c:dPt>
            <c:idx val="1"/>
            <c:marker>
              <c:symbol val="triangle"/>
              <c:size val="20"/>
              <c:spPr>
                <a:solidFill>
                  <a:srgbClr val="339966"/>
                </a:solidFill>
                <a:ln>
                  <a:solidFill>
                    <a:srgbClr val="000000"/>
                  </a:solidFill>
                  <a:prstDash val="solid"/>
                </a:ln>
              </c:spPr>
            </c:marker>
            <c:bubble3D val="0"/>
            <c:spPr>
              <a:ln w="19050">
                <a:noFill/>
              </a:ln>
            </c:spPr>
            <c:extLst>
              <c:ext xmlns:c16="http://schemas.microsoft.com/office/drawing/2014/chart" uri="{C3380CC4-5D6E-409C-BE32-E72D297353CC}">
                <c16:uniqueId val="{0000000F-A8DE-4309-928B-59C5953E0A8E}"/>
              </c:ext>
            </c:extLst>
          </c:dPt>
          <c:dPt>
            <c:idx val="2"/>
            <c:bubble3D val="0"/>
            <c:spPr>
              <a:ln w="38100">
                <a:solidFill>
                  <a:srgbClr val="008000"/>
                </a:solidFill>
                <a:prstDash val="solid"/>
              </a:ln>
            </c:spPr>
            <c:extLst>
              <c:ext xmlns:c16="http://schemas.microsoft.com/office/drawing/2014/chart" uri="{C3380CC4-5D6E-409C-BE32-E72D297353CC}">
                <c16:uniqueId val="{00000011-A8DE-4309-928B-59C5953E0A8E}"/>
              </c:ext>
            </c:extLst>
          </c:dPt>
          <c:dLbls>
            <c:dLbl>
              <c:idx val="1"/>
              <c:layout>
                <c:manualLayout>
                  <c:x val="-1.603755162004069E-2"/>
                  <c:y val="-5.0183727034120738E-2"/>
                </c:manualLayout>
              </c:layout>
              <c:spPr>
                <a:noFill/>
                <a:ln w="25400">
                  <a:noFill/>
                </a:ln>
              </c:spPr>
              <c:txPr>
                <a:bodyPr/>
                <a:lstStyle/>
                <a:p>
                  <a:pPr>
                    <a:defRPr sz="1875" b="1" i="0" u="none" strike="noStrike" baseline="0">
                      <a:solidFill>
                        <a:srgbClr val="FF0000"/>
                      </a:solidFill>
                      <a:latin typeface="ＭＳ Ｐゴシック"/>
                      <a:ea typeface="ＭＳ Ｐゴシック"/>
                      <a:cs typeface="ＭＳ Ｐゴシック"/>
                    </a:defRPr>
                  </a:pPr>
                  <a:endParaRPr lang="ja-JP"/>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F-A8DE-4309-928B-59C5953E0A8E}"/>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howLeaderLines val="0"/>
              </c:ext>
            </c:extLst>
          </c:dLbls>
          <c:xVal>
            <c:numRef>
              <c:f>Result!$S$24:$U$24</c:f>
              <c:numCache>
                <c:formatCode>#,##0_);[Red]\(#,##0\)</c:formatCode>
                <c:ptCount val="3"/>
                <c:pt idx="1">
                  <c:v>0</c:v>
                </c:pt>
                <c:pt idx="2" formatCode="General">
                  <c:v>0</c:v>
                </c:pt>
              </c:numCache>
            </c:numRef>
          </c:xVal>
          <c:yVal>
            <c:numRef>
              <c:f>Result!$S$25:$U$25</c:f>
              <c:numCache>
                <c:formatCode>#,##0_);[Red]\(#,##0\)</c:formatCode>
                <c:ptCount val="3"/>
                <c:pt idx="1">
                  <c:v>50.000000000000014</c:v>
                </c:pt>
                <c:pt idx="2" formatCode="General">
                  <c:v>0</c:v>
                </c:pt>
              </c:numCache>
            </c:numRef>
          </c:yVal>
          <c:smooth val="0"/>
          <c:extLst>
            <c:ext xmlns:c16="http://schemas.microsoft.com/office/drawing/2014/chart" uri="{C3380CC4-5D6E-409C-BE32-E72D297353CC}">
              <c16:uniqueId val="{00000012-A8DE-4309-928B-59C5953E0A8E}"/>
            </c:ext>
          </c:extLst>
        </c:ser>
        <c:dLbls>
          <c:showLegendKey val="0"/>
          <c:showVal val="0"/>
          <c:showCatName val="0"/>
          <c:showSerName val="0"/>
          <c:showPercent val="0"/>
          <c:showBubbleSize val="0"/>
        </c:dLbls>
        <c:axId val="497764752"/>
        <c:axId val="497764360"/>
      </c:scatterChart>
      <c:catAx>
        <c:axId val="497766712"/>
        <c:scaling>
          <c:orientation val="minMax"/>
        </c:scaling>
        <c:delete val="0"/>
        <c:axPos val="b"/>
        <c:numFmt formatCode="#,##0_);[Red]\(#,##0\)" sourceLinked="1"/>
        <c:majorTickMark val="none"/>
        <c:minorTickMark val="none"/>
        <c:tickLblPos val="none"/>
        <c:spPr>
          <a:ln w="3175">
            <a:solidFill>
              <a:srgbClr val="000000"/>
            </a:solidFill>
            <a:prstDash val="solid"/>
          </a:ln>
        </c:spPr>
        <c:crossAx val="497769848"/>
        <c:crosses val="autoZero"/>
        <c:auto val="0"/>
        <c:lblAlgn val="ctr"/>
        <c:lblOffset val="100"/>
        <c:tickLblSkip val="50"/>
        <c:tickMarkSkip val="50"/>
        <c:noMultiLvlLbl val="0"/>
      </c:catAx>
      <c:valAx>
        <c:axId val="497769848"/>
        <c:scaling>
          <c:orientation val="minMax"/>
          <c:max val="100"/>
          <c:min val="0"/>
        </c:scaling>
        <c:delete val="0"/>
        <c:axPos val="l"/>
        <c:numFmt formatCode="General" sourceLinked="1"/>
        <c:majorTickMark val="none"/>
        <c:minorTickMark val="none"/>
        <c:tickLblPos val="nextTo"/>
        <c:spPr>
          <a:ln w="3175">
            <a:solidFill>
              <a:srgbClr val="000000"/>
            </a:solidFill>
            <a:prstDash val="solid"/>
          </a:ln>
        </c:spPr>
        <c:txPr>
          <a:bodyPr rot="0" vert="horz"/>
          <a:lstStyle/>
          <a:p>
            <a:pPr>
              <a:defRPr sz="1000" b="0" i="0" u="none" strike="noStrike" baseline="0">
                <a:solidFill>
                  <a:srgbClr val="000000"/>
                </a:solidFill>
                <a:latin typeface="ＭＳ Ｐゴシック"/>
                <a:ea typeface="ＭＳ Ｐゴシック"/>
                <a:cs typeface="ＭＳ Ｐゴシック"/>
              </a:defRPr>
            </a:pPr>
            <a:endParaRPr lang="ja-JP"/>
          </a:p>
        </c:txPr>
        <c:crossAx val="497766712"/>
        <c:crosses val="autoZero"/>
        <c:crossBetween val="midCat"/>
        <c:majorUnit val="50"/>
      </c:valAx>
      <c:valAx>
        <c:axId val="497764752"/>
        <c:scaling>
          <c:orientation val="minMax"/>
          <c:max val="100"/>
          <c:min val="0"/>
        </c:scaling>
        <c:delete val="0"/>
        <c:axPos val="t"/>
        <c:numFmt formatCode="General" sourceLinked="1"/>
        <c:majorTickMark val="none"/>
        <c:minorTickMark val="none"/>
        <c:tickLblPos val="low"/>
        <c:spPr>
          <a:ln w="3175">
            <a:solidFill>
              <a:srgbClr val="000000"/>
            </a:solidFill>
            <a:prstDash val="solid"/>
          </a:ln>
        </c:spPr>
        <c:txPr>
          <a:bodyPr rot="0" vert="horz"/>
          <a:lstStyle/>
          <a:p>
            <a:pPr>
              <a:defRPr sz="1000" b="0" i="0" u="none" strike="noStrike" baseline="0">
                <a:solidFill>
                  <a:srgbClr val="000000"/>
                </a:solidFill>
                <a:latin typeface="ＭＳ Ｐゴシック"/>
                <a:ea typeface="ＭＳ Ｐゴシック"/>
                <a:cs typeface="ＭＳ Ｐゴシック"/>
              </a:defRPr>
            </a:pPr>
            <a:endParaRPr lang="ja-JP"/>
          </a:p>
        </c:txPr>
        <c:crossAx val="497764360"/>
        <c:crosses val="max"/>
        <c:crossBetween val="midCat"/>
        <c:majorUnit val="50"/>
      </c:valAx>
      <c:valAx>
        <c:axId val="497764360"/>
        <c:scaling>
          <c:orientation val="minMax"/>
          <c:max val="100"/>
        </c:scaling>
        <c:delete val="0"/>
        <c:axPos val="r"/>
        <c:numFmt formatCode="General" sourceLinked="1"/>
        <c:majorTickMark val="in"/>
        <c:minorTickMark val="none"/>
        <c:tickLblPos val="none"/>
        <c:spPr>
          <a:ln w="3175">
            <a:solidFill>
              <a:srgbClr val="000000"/>
            </a:solidFill>
            <a:prstDash val="solid"/>
          </a:ln>
        </c:spPr>
        <c:crossAx val="497764752"/>
        <c:crosses val="max"/>
        <c:crossBetween val="midCat"/>
        <c:majorUnit val="50"/>
      </c:valAx>
      <c:spPr>
        <a:solidFill>
          <a:srgbClr val="C0C0C0"/>
        </a:solidFill>
        <a:ln w="12700">
          <a:solidFill>
            <a:srgbClr val="808080"/>
          </a:solidFill>
          <a:prstDash val="solid"/>
        </a:ln>
      </c:spPr>
    </c:plotArea>
    <c:plotVisOnly val="0"/>
    <c:dispBlanksAs val="gap"/>
    <c:showDLblsOverMax val="0"/>
  </c:chart>
  <c:spPr>
    <a:noFill/>
    <a:ln w="635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c:printSettings>
  <c:userShapes r:id="rId1"/>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8185941043083901E-2"/>
          <c:y val="0.17850336642702272"/>
          <c:w val="0.89773059352285123"/>
          <c:h val="0.6654627410704097"/>
        </c:manualLayout>
      </c:layout>
      <c:barChart>
        <c:barDir val="bar"/>
        <c:grouping val="stacked"/>
        <c:varyColors val="0"/>
        <c:ser>
          <c:idx val="0"/>
          <c:order val="0"/>
          <c:tx>
            <c:strRef>
              <c:f>Result!$S$39</c:f>
              <c:strCache>
                <c:ptCount val="1"/>
                <c:pt idx="0">
                  <c:v>Construction</c:v>
                </c:pt>
              </c:strCache>
            </c:strRef>
          </c:tx>
          <c:spPr>
            <a:solidFill>
              <a:srgbClr val="9999FF"/>
            </a:solidFill>
            <a:ln w="12700">
              <a:solidFill>
                <a:srgbClr val="000000"/>
              </a:solidFill>
              <a:prstDash val="solid"/>
            </a:ln>
          </c:spPr>
          <c:invertIfNegative val="0"/>
          <c:dPt>
            <c:idx val="0"/>
            <c:invertIfNegative val="0"/>
            <c:bubble3D val="0"/>
            <c:spPr>
              <a:solidFill>
                <a:srgbClr val="9999FF"/>
              </a:solidFill>
              <a:ln w="12700">
                <a:solidFill>
                  <a:srgbClr val="000000"/>
                </a:solidFill>
                <a:prstDash val="sysDash"/>
              </a:ln>
            </c:spPr>
            <c:extLst>
              <c:ext xmlns:c16="http://schemas.microsoft.com/office/drawing/2014/chart" uri="{C3380CC4-5D6E-409C-BE32-E72D297353CC}">
                <c16:uniqueId val="{00000001-360D-482A-981F-5741A522B593}"/>
              </c:ext>
            </c:extLst>
          </c:dPt>
          <c:val>
            <c:numRef>
              <c:f>Result!$S$40:$S$43</c:f>
              <c:numCache>
                <c:formatCode>#,##0.0;[Red]\-#,##0.0</c:formatCode>
                <c:ptCount val="4"/>
                <c:pt idx="0">
                  <c:v>18.22</c:v>
                </c:pt>
                <c:pt idx="1">
                  <c:v>18.22</c:v>
                </c:pt>
              </c:numCache>
            </c:numRef>
          </c:val>
          <c:extLst>
            <c:ext xmlns:c16="http://schemas.microsoft.com/office/drawing/2014/chart" uri="{C3380CC4-5D6E-409C-BE32-E72D297353CC}">
              <c16:uniqueId val="{00000002-360D-482A-981F-5741A522B593}"/>
            </c:ext>
          </c:extLst>
        </c:ser>
        <c:ser>
          <c:idx val="1"/>
          <c:order val="1"/>
          <c:tx>
            <c:strRef>
              <c:f>Result!$T$39</c:f>
              <c:strCache>
                <c:ptCount val="1"/>
                <c:pt idx="0">
                  <c:v>Repair, renewal/demolition</c:v>
                </c:pt>
              </c:strCache>
            </c:strRef>
          </c:tx>
          <c:spPr>
            <a:solidFill>
              <a:srgbClr val="99CC00"/>
            </a:solidFill>
            <a:ln w="12700">
              <a:solidFill>
                <a:srgbClr val="000000"/>
              </a:solidFill>
              <a:prstDash val="solid"/>
            </a:ln>
          </c:spPr>
          <c:invertIfNegative val="0"/>
          <c:dPt>
            <c:idx val="0"/>
            <c:invertIfNegative val="0"/>
            <c:bubble3D val="0"/>
            <c:spPr>
              <a:solidFill>
                <a:srgbClr val="99CC00"/>
              </a:solidFill>
              <a:ln w="12700">
                <a:solidFill>
                  <a:srgbClr val="000000"/>
                </a:solidFill>
                <a:prstDash val="sysDash"/>
              </a:ln>
            </c:spPr>
            <c:extLst>
              <c:ext xmlns:c16="http://schemas.microsoft.com/office/drawing/2014/chart" uri="{C3380CC4-5D6E-409C-BE32-E72D297353CC}">
                <c16:uniqueId val="{00000004-360D-482A-981F-5741A522B593}"/>
              </c:ext>
            </c:extLst>
          </c:dPt>
          <c:val>
            <c:numRef>
              <c:f>Result!$T$40:$T$43</c:f>
              <c:numCache>
                <c:formatCode>#,##0.0;[Red]\-#,##0.0</c:formatCode>
                <c:ptCount val="4"/>
                <c:pt idx="0">
                  <c:v>20.11</c:v>
                </c:pt>
                <c:pt idx="1">
                  <c:v>20.11</c:v>
                </c:pt>
              </c:numCache>
            </c:numRef>
          </c:val>
          <c:extLst>
            <c:ext xmlns:c16="http://schemas.microsoft.com/office/drawing/2014/chart" uri="{C3380CC4-5D6E-409C-BE32-E72D297353CC}">
              <c16:uniqueId val="{00000005-360D-482A-981F-5741A522B593}"/>
            </c:ext>
          </c:extLst>
        </c:ser>
        <c:ser>
          <c:idx val="2"/>
          <c:order val="2"/>
          <c:tx>
            <c:strRef>
              <c:f>Result!$U$39</c:f>
              <c:strCache>
                <c:ptCount val="1"/>
                <c:pt idx="0">
                  <c:v>Operation</c:v>
                </c:pt>
              </c:strCache>
            </c:strRef>
          </c:tx>
          <c:spPr>
            <a:solidFill>
              <a:srgbClr val="FFFFCC"/>
            </a:solidFill>
            <a:ln w="12700">
              <a:solidFill>
                <a:srgbClr val="000000"/>
              </a:solidFill>
              <a:prstDash val="solid"/>
            </a:ln>
          </c:spPr>
          <c:invertIfNegative val="0"/>
          <c:dPt>
            <c:idx val="0"/>
            <c:invertIfNegative val="0"/>
            <c:bubble3D val="0"/>
            <c:spPr>
              <a:solidFill>
                <a:srgbClr val="FFFFCC"/>
              </a:solidFill>
              <a:ln w="12700">
                <a:solidFill>
                  <a:srgbClr val="000000"/>
                </a:solidFill>
                <a:prstDash val="sysDash"/>
              </a:ln>
            </c:spPr>
            <c:extLst>
              <c:ext xmlns:c16="http://schemas.microsoft.com/office/drawing/2014/chart" uri="{C3380CC4-5D6E-409C-BE32-E72D297353CC}">
                <c16:uniqueId val="{00000007-360D-482A-981F-5741A522B593}"/>
              </c:ext>
            </c:extLst>
          </c:dPt>
          <c:val>
            <c:numRef>
              <c:f>Result!$U$40:$U$43</c:f>
              <c:numCache>
                <c:formatCode>#,##0.0;[Red]\-#,##0.0</c:formatCode>
                <c:ptCount val="4"/>
                <c:pt idx="0">
                  <c:v>0</c:v>
                </c:pt>
                <c:pt idx="1">
                  <c:v>0</c:v>
                </c:pt>
              </c:numCache>
            </c:numRef>
          </c:val>
          <c:extLst>
            <c:ext xmlns:c16="http://schemas.microsoft.com/office/drawing/2014/chart" uri="{C3380CC4-5D6E-409C-BE32-E72D297353CC}">
              <c16:uniqueId val="{00000008-360D-482A-981F-5741A522B593}"/>
            </c:ext>
          </c:extLst>
        </c:ser>
        <c:ser>
          <c:idx val="3"/>
          <c:order val="3"/>
          <c:tx>
            <c:strRef>
              <c:f>Result!$V$39</c:f>
              <c:strCache>
                <c:ptCount val="1"/>
                <c:pt idx="0">
                  <c:v>On-site</c:v>
                </c:pt>
              </c:strCache>
            </c:strRef>
          </c:tx>
          <c:spPr>
            <a:solidFill>
              <a:srgbClr val="C0C0C0"/>
            </a:solidFill>
            <a:ln w="12700">
              <a:solidFill>
                <a:srgbClr val="000000"/>
              </a:solidFill>
              <a:prstDash val="solid"/>
            </a:ln>
          </c:spPr>
          <c:invertIfNegative val="0"/>
          <c:val>
            <c:numRef>
              <c:f>Result!$V$40:$V$43</c:f>
              <c:numCache>
                <c:formatCode>#,##0.0;[Red]\-#,##0.0</c:formatCode>
                <c:ptCount val="4"/>
                <c:pt idx="2">
                  <c:v>0</c:v>
                </c:pt>
              </c:numCache>
            </c:numRef>
          </c:val>
          <c:extLst>
            <c:ext xmlns:c16="http://schemas.microsoft.com/office/drawing/2014/chart" uri="{C3380CC4-5D6E-409C-BE32-E72D297353CC}">
              <c16:uniqueId val="{00000009-360D-482A-981F-5741A522B593}"/>
            </c:ext>
          </c:extLst>
        </c:ser>
        <c:ser>
          <c:idx val="4"/>
          <c:order val="4"/>
          <c:tx>
            <c:strRef>
              <c:f>Result!$W$39</c:f>
              <c:strCache>
                <c:ptCount val="1"/>
                <c:pt idx="0">
                  <c:v>Off-site</c:v>
                </c:pt>
              </c:strCache>
            </c:strRef>
          </c:tx>
          <c:spPr>
            <a:pattFill prst="pct60">
              <a:fgClr>
                <a:srgbClr val="C0C0C0"/>
              </a:fgClr>
              <a:bgClr>
                <a:srgbClr val="FFFFFF"/>
              </a:bgClr>
            </a:pattFill>
            <a:ln w="12700">
              <a:solidFill>
                <a:srgbClr val="000000"/>
              </a:solidFill>
              <a:prstDash val="solid"/>
            </a:ln>
          </c:spPr>
          <c:invertIfNegative val="0"/>
          <c:val>
            <c:numRef>
              <c:f>Result!$W$40:$W$43</c:f>
              <c:numCache>
                <c:formatCode>#,##0.0;[Red]\-#,##0.0</c:formatCode>
                <c:ptCount val="4"/>
                <c:pt idx="3">
                  <c:v>0</c:v>
                </c:pt>
              </c:numCache>
            </c:numRef>
          </c:val>
          <c:extLst>
            <c:ext xmlns:c16="http://schemas.microsoft.com/office/drawing/2014/chart" uri="{C3380CC4-5D6E-409C-BE32-E72D297353CC}">
              <c16:uniqueId val="{0000000A-360D-482A-981F-5741A522B593}"/>
            </c:ext>
          </c:extLst>
        </c:ser>
        <c:ser>
          <c:idx val="5"/>
          <c:order val="5"/>
          <c:tx>
            <c:strRef>
              <c:f>Result!$X$39</c:f>
              <c:strCache>
                <c:ptCount val="1"/>
              </c:strCache>
            </c:strRef>
          </c:tx>
          <c:spPr>
            <a:pattFill prst="pct60">
              <a:fgClr>
                <a:srgbClr val="C0C0C0"/>
              </a:fgClr>
              <a:bgClr>
                <a:schemeClr val="bg1"/>
              </a:bgClr>
            </a:pattFill>
            <a:ln w="12700">
              <a:solidFill>
                <a:srgbClr val="000000"/>
              </a:solidFill>
              <a:prstDash val="sysDash"/>
            </a:ln>
          </c:spPr>
          <c:invertIfNegative val="0"/>
          <c:val>
            <c:numRef>
              <c:f>Result!$X$40:$X$43</c:f>
              <c:numCache>
                <c:formatCode>#,##0.0;[Red]\-#,##0.0</c:formatCode>
                <c:ptCount val="4"/>
                <c:pt idx="3">
                  <c:v>0</c:v>
                </c:pt>
              </c:numCache>
            </c:numRef>
          </c:val>
          <c:extLst>
            <c:ext xmlns:c16="http://schemas.microsoft.com/office/drawing/2014/chart" uri="{C3380CC4-5D6E-409C-BE32-E72D297353CC}">
              <c16:uniqueId val="{00000006-4251-4A7D-8C4C-8BC9628EA4EC}"/>
            </c:ext>
          </c:extLst>
        </c:ser>
        <c:dLbls>
          <c:showLegendKey val="0"/>
          <c:showVal val="0"/>
          <c:showCatName val="0"/>
          <c:showSerName val="0"/>
          <c:showPercent val="0"/>
          <c:showBubbleSize val="0"/>
        </c:dLbls>
        <c:gapWidth val="50"/>
        <c:overlap val="100"/>
        <c:axId val="497769064"/>
        <c:axId val="497762792"/>
      </c:barChart>
      <c:catAx>
        <c:axId val="497769064"/>
        <c:scaling>
          <c:orientation val="maxMin"/>
        </c:scaling>
        <c:delete val="1"/>
        <c:axPos val="l"/>
        <c:majorTickMark val="out"/>
        <c:minorTickMark val="none"/>
        <c:tickLblPos val="nextTo"/>
        <c:crossAx val="497762792"/>
        <c:crosses val="autoZero"/>
        <c:auto val="1"/>
        <c:lblAlgn val="ctr"/>
        <c:lblOffset val="100"/>
        <c:noMultiLvlLbl val="0"/>
      </c:catAx>
      <c:valAx>
        <c:axId val="497762792"/>
        <c:scaling>
          <c:orientation val="minMax"/>
        </c:scaling>
        <c:delete val="0"/>
        <c:axPos val="b"/>
        <c:majorGridlines>
          <c:spPr>
            <a:ln w="3175">
              <a:solidFill>
                <a:srgbClr val="000000"/>
              </a:solidFill>
              <a:prstDash val="solid"/>
            </a:ln>
          </c:spPr>
        </c:majorGridlines>
        <c:numFmt formatCode="#,##0" sourceLinked="0"/>
        <c:majorTickMark val="in"/>
        <c:minorTickMark val="none"/>
        <c:tickLblPos val="nextTo"/>
        <c:spPr>
          <a:ln w="6350">
            <a:noFill/>
          </a:ln>
        </c:spPr>
        <c:txPr>
          <a:bodyPr rot="0" vert="horz"/>
          <a:lstStyle/>
          <a:p>
            <a:pPr>
              <a:defRPr sz="1000" b="0" i="0" u="none" strike="noStrike" baseline="0">
                <a:solidFill>
                  <a:srgbClr val="000000"/>
                </a:solidFill>
                <a:latin typeface="ＭＳ Ｐゴシック"/>
                <a:ea typeface="ＭＳ Ｐゴシック"/>
                <a:cs typeface="ＭＳ Ｐゴシック"/>
              </a:defRPr>
            </a:pPr>
            <a:endParaRPr lang="ja-JP"/>
          </a:p>
        </c:txPr>
        <c:crossAx val="497769064"/>
        <c:crosses val="max"/>
        <c:crossBetween val="between"/>
      </c:valAx>
      <c:spPr>
        <a:noFill/>
        <a:ln w="3175">
          <a:solidFill>
            <a:srgbClr val="000000"/>
          </a:solidFill>
          <a:prstDash val="solid"/>
        </a:ln>
      </c:spPr>
    </c:plotArea>
    <c:legend>
      <c:legendPos val="t"/>
      <c:legendEntry>
        <c:idx val="5"/>
        <c:delete val="1"/>
      </c:legendEntry>
      <c:layout>
        <c:manualLayout>
          <c:xMode val="edge"/>
          <c:yMode val="edge"/>
          <c:x val="2.1115865627529096E-2"/>
          <c:y val="0"/>
          <c:w val="0.97888413437247068"/>
          <c:h val="0.1651111111111111"/>
        </c:manualLayout>
      </c:layout>
      <c:overlay val="0"/>
      <c:spPr>
        <a:noFill/>
        <a:ln w="25400">
          <a:noFill/>
        </a:ln>
      </c:spPr>
      <c:txPr>
        <a:bodyPr/>
        <a:lstStyle/>
        <a:p>
          <a:pPr>
            <a:defRPr sz="700" b="1" i="0" u="none" strike="noStrike" baseline="0">
              <a:solidFill>
                <a:srgbClr val="000000"/>
              </a:solidFill>
              <a:latin typeface="ＭＳ Ｐゴシック"/>
              <a:ea typeface="ＭＳ Ｐゴシック"/>
              <a:cs typeface="ＭＳ Ｐゴシック"/>
            </a:defRPr>
          </a:pPr>
          <a:endParaRPr lang="ja-JP"/>
        </a:p>
      </c:txPr>
    </c:legend>
    <c:plotVisOnly val="0"/>
    <c:dispBlanksAs val="gap"/>
    <c:showDLblsOverMax val="0"/>
  </c:chart>
  <c:spPr>
    <a:noFill/>
    <a:ln w="6350">
      <a:noFill/>
    </a:ln>
  </c:spPr>
  <c:txPr>
    <a:bodyPr/>
    <a:lstStyle/>
    <a:p>
      <a:pPr>
        <a:defRPr sz="5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verticalDpi="300"/>
  </c:printSettings>
  <c:userShapes r:id="rId1"/>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28247475238434699"/>
          <c:y val="0.15329607545758628"/>
          <c:w val="0.58871122288522471"/>
          <c:h val="0.69303904556320084"/>
        </c:manualLayout>
      </c:layout>
      <c:radarChart>
        <c:radarStyle val="filled"/>
        <c:varyColors val="0"/>
        <c:ser>
          <c:idx val="5"/>
          <c:order val="0"/>
          <c:spPr>
            <a:blipFill dpi="0" rotWithShape="0">
              <a:blip xmlns:r="http://schemas.openxmlformats.org/officeDocument/2006/relationships" r:embed="rId1"/>
              <a:srcRect/>
              <a:stretch>
                <a:fillRect/>
              </a:stretch>
            </a:blip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Result!$W$8:$W$13</c:f>
              <c:numCache>
                <c:formatCode>General</c:formatCode>
                <c:ptCount val="6"/>
                <c:pt idx="0">
                  <c:v>5</c:v>
                </c:pt>
                <c:pt idx="1">
                  <c:v>5</c:v>
                </c:pt>
                <c:pt idx="2">
                  <c:v>5</c:v>
                </c:pt>
                <c:pt idx="3">
                  <c:v>5</c:v>
                </c:pt>
                <c:pt idx="4">
                  <c:v>5</c:v>
                </c:pt>
                <c:pt idx="5">
                  <c:v>5</c:v>
                </c:pt>
              </c:numCache>
            </c:numRef>
          </c:val>
          <c:extLst>
            <c:ext xmlns:c16="http://schemas.microsoft.com/office/drawing/2014/chart" uri="{C3380CC4-5D6E-409C-BE32-E72D297353CC}">
              <c16:uniqueId val="{0000000A-68A1-48EF-A51F-AEF137ADD00C}"/>
            </c:ext>
          </c:extLst>
        </c:ser>
        <c:ser>
          <c:idx val="6"/>
          <c:order val="1"/>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Result!$X$8:$X$13</c:f>
              <c:numCache>
                <c:formatCode>General</c:formatCode>
                <c:ptCount val="6"/>
                <c:pt idx="0">
                  <c:v>4</c:v>
                </c:pt>
                <c:pt idx="1">
                  <c:v>4</c:v>
                </c:pt>
                <c:pt idx="2">
                  <c:v>4</c:v>
                </c:pt>
                <c:pt idx="3">
                  <c:v>4</c:v>
                </c:pt>
                <c:pt idx="4">
                  <c:v>4</c:v>
                </c:pt>
                <c:pt idx="5">
                  <c:v>4</c:v>
                </c:pt>
              </c:numCache>
            </c:numRef>
          </c:val>
          <c:extLst>
            <c:ext xmlns:c16="http://schemas.microsoft.com/office/drawing/2014/chart" uri="{C3380CC4-5D6E-409C-BE32-E72D297353CC}">
              <c16:uniqueId val="{0000000B-68A1-48EF-A51F-AEF137ADD00C}"/>
            </c:ext>
          </c:extLst>
        </c:ser>
        <c:ser>
          <c:idx val="7"/>
          <c:order val="2"/>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Result!$Y$8:$Y$13</c:f>
              <c:numCache>
                <c:formatCode>General</c:formatCode>
                <c:ptCount val="6"/>
                <c:pt idx="0">
                  <c:v>2</c:v>
                </c:pt>
                <c:pt idx="1">
                  <c:v>2</c:v>
                </c:pt>
                <c:pt idx="2">
                  <c:v>2</c:v>
                </c:pt>
                <c:pt idx="3">
                  <c:v>2</c:v>
                </c:pt>
                <c:pt idx="4">
                  <c:v>2</c:v>
                </c:pt>
                <c:pt idx="5">
                  <c:v>2</c:v>
                </c:pt>
              </c:numCache>
            </c:numRef>
          </c:val>
          <c:extLst>
            <c:ext xmlns:c16="http://schemas.microsoft.com/office/drawing/2014/chart" uri="{C3380CC4-5D6E-409C-BE32-E72D297353CC}">
              <c16:uniqueId val="{0000000C-68A1-48EF-A51F-AEF137ADD00C}"/>
            </c:ext>
          </c:extLst>
        </c:ser>
        <c:ser>
          <c:idx val="8"/>
          <c:order val="3"/>
          <c:spPr>
            <a:pattFill prst="pct50">
              <a:fgClr>
                <a:srgbClr val="CCCCFF"/>
              </a:fgClr>
              <a:bgClr>
                <a:srgbClr val="FFFFFF"/>
              </a:bgClr>
            </a:patt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Result!$Z$8:$Z$13</c:f>
              <c:numCache>
                <c:formatCode>General</c:formatCode>
                <c:ptCount val="6"/>
                <c:pt idx="0">
                  <c:v>3</c:v>
                </c:pt>
                <c:pt idx="1">
                  <c:v>3</c:v>
                </c:pt>
                <c:pt idx="2">
                  <c:v>0</c:v>
                </c:pt>
                <c:pt idx="3">
                  <c:v>3</c:v>
                </c:pt>
                <c:pt idx="4">
                  <c:v>4</c:v>
                </c:pt>
                <c:pt idx="5">
                  <c:v>3</c:v>
                </c:pt>
              </c:numCache>
            </c:numRef>
          </c:val>
          <c:extLst>
            <c:ext xmlns:c16="http://schemas.microsoft.com/office/drawing/2014/chart" uri="{C3380CC4-5D6E-409C-BE32-E72D297353CC}">
              <c16:uniqueId val="{0000000D-68A1-48EF-A51F-AEF137ADD00C}"/>
            </c:ext>
          </c:extLst>
        </c:ser>
        <c:ser>
          <c:idx val="9"/>
          <c:order val="4"/>
          <c:spPr>
            <a:noFill/>
            <a:ln w="12700">
              <a:solidFill>
                <a:srgbClr val="FF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Result!$AA$8:$AA$13</c:f>
              <c:numCache>
                <c:formatCode>General</c:formatCode>
                <c:ptCount val="6"/>
                <c:pt idx="0">
                  <c:v>3</c:v>
                </c:pt>
                <c:pt idx="1">
                  <c:v>3</c:v>
                </c:pt>
                <c:pt idx="2">
                  <c:v>3</c:v>
                </c:pt>
                <c:pt idx="3">
                  <c:v>3</c:v>
                </c:pt>
                <c:pt idx="4">
                  <c:v>3</c:v>
                </c:pt>
                <c:pt idx="5">
                  <c:v>3</c:v>
                </c:pt>
              </c:numCache>
            </c:numRef>
          </c:val>
          <c:extLst>
            <c:ext xmlns:c16="http://schemas.microsoft.com/office/drawing/2014/chart" uri="{C3380CC4-5D6E-409C-BE32-E72D297353CC}">
              <c16:uniqueId val="{0000000E-68A1-48EF-A51F-AEF137ADD00C}"/>
            </c:ext>
          </c:extLst>
        </c:ser>
        <c:ser>
          <c:idx val="0"/>
          <c:order val="5"/>
          <c:spPr>
            <a:blipFill dpi="0" rotWithShape="0">
              <a:blip xmlns:r="http://schemas.openxmlformats.org/officeDocument/2006/relationships" r:embed="rId1"/>
              <a:srcRect/>
              <a:stretch>
                <a:fillRect/>
              </a:stretch>
            </a:blip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Result!$W$8:$W$13</c:f>
              <c:numCache>
                <c:formatCode>General</c:formatCode>
                <c:ptCount val="6"/>
                <c:pt idx="0">
                  <c:v>5</c:v>
                </c:pt>
                <c:pt idx="1">
                  <c:v>5</c:v>
                </c:pt>
                <c:pt idx="2">
                  <c:v>5</c:v>
                </c:pt>
                <c:pt idx="3">
                  <c:v>5</c:v>
                </c:pt>
                <c:pt idx="4">
                  <c:v>5</c:v>
                </c:pt>
                <c:pt idx="5">
                  <c:v>5</c:v>
                </c:pt>
              </c:numCache>
            </c:numRef>
          </c:val>
          <c:extLst>
            <c:ext xmlns:c16="http://schemas.microsoft.com/office/drawing/2014/chart" uri="{C3380CC4-5D6E-409C-BE32-E72D297353CC}">
              <c16:uniqueId val="{00000001-68A1-48EF-A51F-AEF137ADD00C}"/>
            </c:ext>
          </c:extLst>
        </c:ser>
        <c:ser>
          <c:idx val="1"/>
          <c:order val="6"/>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Result!$X$8:$X$13</c:f>
              <c:numCache>
                <c:formatCode>General</c:formatCode>
                <c:ptCount val="6"/>
                <c:pt idx="0">
                  <c:v>4</c:v>
                </c:pt>
                <c:pt idx="1">
                  <c:v>4</c:v>
                </c:pt>
                <c:pt idx="2">
                  <c:v>4</c:v>
                </c:pt>
                <c:pt idx="3">
                  <c:v>4</c:v>
                </c:pt>
                <c:pt idx="4">
                  <c:v>4</c:v>
                </c:pt>
                <c:pt idx="5">
                  <c:v>4</c:v>
                </c:pt>
              </c:numCache>
            </c:numRef>
          </c:val>
          <c:extLst>
            <c:ext xmlns:c16="http://schemas.microsoft.com/office/drawing/2014/chart" uri="{C3380CC4-5D6E-409C-BE32-E72D297353CC}">
              <c16:uniqueId val="{00000003-68A1-48EF-A51F-AEF137ADD00C}"/>
            </c:ext>
          </c:extLst>
        </c:ser>
        <c:ser>
          <c:idx val="2"/>
          <c:order val="7"/>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Result!$Y$8:$Y$13</c:f>
              <c:numCache>
                <c:formatCode>General</c:formatCode>
                <c:ptCount val="6"/>
                <c:pt idx="0">
                  <c:v>2</c:v>
                </c:pt>
                <c:pt idx="1">
                  <c:v>2</c:v>
                </c:pt>
                <c:pt idx="2">
                  <c:v>2</c:v>
                </c:pt>
                <c:pt idx="3">
                  <c:v>2</c:v>
                </c:pt>
                <c:pt idx="4">
                  <c:v>2</c:v>
                </c:pt>
                <c:pt idx="5">
                  <c:v>2</c:v>
                </c:pt>
              </c:numCache>
            </c:numRef>
          </c:val>
          <c:extLst>
            <c:ext xmlns:c16="http://schemas.microsoft.com/office/drawing/2014/chart" uri="{C3380CC4-5D6E-409C-BE32-E72D297353CC}">
              <c16:uniqueId val="{00000005-68A1-48EF-A51F-AEF137ADD00C}"/>
            </c:ext>
          </c:extLst>
        </c:ser>
        <c:ser>
          <c:idx val="3"/>
          <c:order val="8"/>
          <c:spPr>
            <a:pattFill prst="pct50">
              <a:fgClr>
                <a:srgbClr val="CCCCFF"/>
              </a:fgClr>
              <a:bgClr>
                <a:srgbClr val="FFFFFF"/>
              </a:bgClr>
            </a:patt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Result!$Z$8:$Z$13</c:f>
              <c:numCache>
                <c:formatCode>General</c:formatCode>
                <c:ptCount val="6"/>
                <c:pt idx="0">
                  <c:v>3</c:v>
                </c:pt>
                <c:pt idx="1">
                  <c:v>3</c:v>
                </c:pt>
                <c:pt idx="2">
                  <c:v>0</c:v>
                </c:pt>
                <c:pt idx="3">
                  <c:v>3</c:v>
                </c:pt>
                <c:pt idx="4">
                  <c:v>4</c:v>
                </c:pt>
                <c:pt idx="5">
                  <c:v>3</c:v>
                </c:pt>
              </c:numCache>
            </c:numRef>
          </c:val>
          <c:extLst>
            <c:ext xmlns:c16="http://schemas.microsoft.com/office/drawing/2014/chart" uri="{C3380CC4-5D6E-409C-BE32-E72D297353CC}">
              <c16:uniqueId val="{00000007-68A1-48EF-A51F-AEF137ADD00C}"/>
            </c:ext>
          </c:extLst>
        </c:ser>
        <c:ser>
          <c:idx val="4"/>
          <c:order val="9"/>
          <c:spPr>
            <a:noFill/>
            <a:ln w="12700">
              <a:solidFill>
                <a:srgbClr val="FF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Result!$AA$8:$AA$13</c:f>
              <c:numCache>
                <c:formatCode>General</c:formatCode>
                <c:ptCount val="6"/>
                <c:pt idx="0">
                  <c:v>3</c:v>
                </c:pt>
                <c:pt idx="1">
                  <c:v>3</c:v>
                </c:pt>
                <c:pt idx="2">
                  <c:v>3</c:v>
                </c:pt>
                <c:pt idx="3">
                  <c:v>3</c:v>
                </c:pt>
                <c:pt idx="4">
                  <c:v>3</c:v>
                </c:pt>
                <c:pt idx="5">
                  <c:v>3</c:v>
                </c:pt>
              </c:numCache>
            </c:numRef>
          </c:val>
          <c:extLst>
            <c:ext xmlns:c16="http://schemas.microsoft.com/office/drawing/2014/chart" uri="{C3380CC4-5D6E-409C-BE32-E72D297353CC}">
              <c16:uniqueId val="{00000009-68A1-48EF-A51F-AEF137ADD00C}"/>
            </c:ext>
          </c:extLst>
        </c:ser>
        <c:dLbls>
          <c:showLegendKey val="0"/>
          <c:showVal val="0"/>
          <c:showCatName val="0"/>
          <c:showSerName val="0"/>
          <c:showPercent val="0"/>
          <c:showBubbleSize val="0"/>
        </c:dLbls>
        <c:axId val="497763576"/>
        <c:axId val="497763968"/>
      </c:radarChart>
      <c:catAx>
        <c:axId val="497763576"/>
        <c:scaling>
          <c:orientation val="minMax"/>
        </c:scaling>
        <c:delete val="0"/>
        <c:axPos val="b"/>
        <c:majorGridlines>
          <c:spPr>
            <a:ln w="3175">
              <a:solidFill>
                <a:srgbClr val="000000"/>
              </a:solidFill>
              <a:prstDash val="solid"/>
            </a:ln>
          </c:spPr>
        </c:majorGridlines>
        <c:numFmt formatCode="General" sourceLinked="1"/>
        <c:majorTickMark val="out"/>
        <c:minorTickMark val="none"/>
        <c:tickLblPos val="nextTo"/>
        <c:txPr>
          <a:bodyPr rot="0" vert="horz"/>
          <a:lstStyle/>
          <a:p>
            <a:pPr>
              <a:defRPr sz="900" b="1"/>
            </a:pPr>
            <a:endParaRPr lang="ja-JP"/>
          </a:p>
        </c:txPr>
        <c:crossAx val="497763968"/>
        <c:crosses val="autoZero"/>
        <c:auto val="0"/>
        <c:lblAlgn val="ctr"/>
        <c:lblOffset val="100"/>
        <c:noMultiLvlLbl val="0"/>
      </c:catAx>
      <c:valAx>
        <c:axId val="497763968"/>
        <c:scaling>
          <c:orientation val="minMax"/>
          <c:max val="5"/>
          <c:min val="1"/>
        </c:scaling>
        <c:delete val="0"/>
        <c:axPos val="l"/>
        <c:majorGridlines>
          <c:spPr>
            <a:ln w="3175">
              <a:solidFill>
                <a:srgbClr val="000000"/>
              </a:solidFill>
              <a:prstDash val="solid"/>
            </a:ln>
          </c:spPr>
        </c:majorGridlines>
        <c:numFmt formatCode="#,##0_);[Red]\(#,##0\)" sourceLinked="0"/>
        <c:majorTickMark val="cross"/>
        <c:minorTickMark val="none"/>
        <c:tickLblPos val="nextTo"/>
        <c:spPr>
          <a:ln w="3175">
            <a:solidFill>
              <a:srgbClr val="000000"/>
            </a:solidFill>
            <a:prstDash val="solid"/>
          </a:ln>
        </c:spPr>
        <c:txPr>
          <a:bodyPr rot="0" vert="horz"/>
          <a:lstStyle/>
          <a:p>
            <a:pPr>
              <a:defRPr/>
            </a:pPr>
            <a:endParaRPr lang="ja-JP"/>
          </a:p>
        </c:txPr>
        <c:crossAx val="497763576"/>
        <c:crosses val="autoZero"/>
        <c:crossBetween val="between"/>
        <c:majorUnit val="1"/>
      </c:valAx>
      <c:spPr>
        <a:noFill/>
        <a:ln w="25400">
          <a:noFill/>
        </a:ln>
      </c:spPr>
    </c:plotArea>
    <c:plotVisOnly val="0"/>
    <c:dispBlanksAs val="gap"/>
    <c:showDLblsOverMax val="0"/>
  </c:chart>
  <c:spPr>
    <a:noFill/>
    <a:ln w="6350">
      <a:noFill/>
    </a:ln>
  </c:spPr>
  <c:txPr>
    <a:bodyPr/>
    <a:lstStyle/>
    <a:p>
      <a:pPr>
        <a:defRPr sz="825" b="0" i="0" u="none" strike="noStrike" baseline="0">
          <a:solidFill>
            <a:srgbClr val="000000"/>
          </a:solidFill>
          <a:latin typeface="Arial" panose="020B0604020202020204" pitchFamily="34" charset="0"/>
          <a:ea typeface="ＭＳ Ｐゴシック"/>
          <a:cs typeface="Arial" panose="020B0604020202020204" pitchFamily="34" charset="0"/>
        </a:defRPr>
      </a:pPr>
      <a:endParaRPr lang="ja-JP"/>
    </a:p>
  </c:txPr>
  <c:printSettings>
    <c:headerFooter alignWithMargins="0"/>
    <c:pageMargins b="1" l="0.75" r="0.75" t="1" header="0.51200000000000001" footer="0.51200000000000001"/>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924969694061724E-2"/>
          <c:y val="8.4337597472695883E-2"/>
          <c:w val="0.90462555408004719"/>
          <c:h val="0.72289369262310754"/>
        </c:manualLayout>
      </c:layout>
      <c:barChart>
        <c:barDir val="col"/>
        <c:grouping val="clustered"/>
        <c:varyColors val="0"/>
        <c:ser>
          <c:idx val="0"/>
          <c:order val="0"/>
          <c:spPr>
            <a:solidFill>
              <a:srgbClr val="FFFF99"/>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0E6A-448D-A061-6B1AC43DBF35}"/>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0E6A-448D-A061-6B1AC43DBF35}"/>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0E6A-448D-A061-6B1AC43DBF35}"/>
                </c:ext>
              </c:extLst>
            </c:dLbl>
            <c:dLbl>
              <c:idx val="3"/>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3-0E6A-448D-A061-6B1AC43DBF35}"/>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Result!$R$49:$R$52</c:f>
              <c:strCache>
                <c:ptCount val="4"/>
                <c:pt idx="0">
                  <c:v>音環境</c:v>
                </c:pt>
                <c:pt idx="1">
                  <c:v>温熱環境</c:v>
                </c:pt>
                <c:pt idx="2">
                  <c:v>光・視環境</c:v>
                </c:pt>
                <c:pt idx="3">
                  <c:v>空気質環境</c:v>
                </c:pt>
              </c:strCache>
            </c:strRef>
          </c:cat>
          <c:val>
            <c:numRef>
              <c:f>Result!$S$49:$S$52</c:f>
              <c:numCache>
                <c:formatCode>0.0;_Ā</c:formatCode>
                <c:ptCount val="4"/>
                <c:pt idx="0">
                  <c:v>3</c:v>
                </c:pt>
                <c:pt idx="1">
                  <c:v>3</c:v>
                </c:pt>
                <c:pt idx="2">
                  <c:v>3</c:v>
                </c:pt>
                <c:pt idx="3">
                  <c:v>3</c:v>
                </c:pt>
              </c:numCache>
            </c:numRef>
          </c:val>
          <c:extLst>
            <c:ext xmlns:c16="http://schemas.microsoft.com/office/drawing/2014/chart" uri="{C3380CC4-5D6E-409C-BE32-E72D297353CC}">
              <c16:uniqueId val="{00000004-405E-47B9-A2D6-4659CA624BB6}"/>
            </c:ext>
          </c:extLst>
        </c:ser>
        <c:dLbls>
          <c:showLegendKey val="0"/>
          <c:showVal val="1"/>
          <c:showCatName val="0"/>
          <c:showSerName val="0"/>
          <c:showPercent val="0"/>
          <c:showBubbleSize val="0"/>
        </c:dLbls>
        <c:gapWidth val="40"/>
        <c:axId val="499214320"/>
        <c:axId val="499214712"/>
      </c:barChart>
      <c:catAx>
        <c:axId val="499214320"/>
        <c:scaling>
          <c:orientation val="minMax"/>
        </c:scaling>
        <c:delete val="0"/>
        <c:axPos val="b"/>
        <c:numFmt formatCode="General" sourceLinked="1"/>
        <c:majorTickMark val="none"/>
        <c:minorTickMark val="none"/>
        <c:tickLblPos val="none"/>
        <c:spPr>
          <a:ln w="3175">
            <a:solidFill>
              <a:srgbClr val="000000"/>
            </a:solidFill>
            <a:prstDash val="solid"/>
          </a:ln>
        </c:spPr>
        <c:crossAx val="499214712"/>
        <c:crossesAt val="0"/>
        <c:auto val="1"/>
        <c:lblAlgn val="ctr"/>
        <c:lblOffset val="100"/>
        <c:tickMarkSkip val="1"/>
        <c:noMultiLvlLbl val="0"/>
      </c:catAx>
      <c:valAx>
        <c:axId val="499214712"/>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499214320"/>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c:printSettings>
  <c:userShapes r:id="rId1"/>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524115755627015E-2"/>
          <c:y val="8.4337597472695883E-2"/>
          <c:w val="0.91639871382636651"/>
          <c:h val="0.72891780672830009"/>
        </c:manualLayout>
      </c:layout>
      <c:barChart>
        <c:barDir val="col"/>
        <c:grouping val="clustered"/>
        <c:varyColors val="0"/>
        <c:ser>
          <c:idx val="0"/>
          <c:order val="0"/>
          <c:spPr>
            <a:solidFill>
              <a:srgbClr val="FFFF99"/>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83C6-43E4-90AD-D03883AE763C}"/>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83C6-43E4-90AD-D03883AE763C}"/>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83C6-43E4-90AD-D03883AE763C}"/>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Result!$U$49:$U$51</c:f>
              <c:strCache>
                <c:ptCount val="3"/>
                <c:pt idx="0">
                  <c:v>機能性</c:v>
                </c:pt>
                <c:pt idx="1">
                  <c:v>耐用性・信頼性</c:v>
                </c:pt>
                <c:pt idx="2">
                  <c:v>対応性･更新性</c:v>
                </c:pt>
              </c:strCache>
            </c:strRef>
          </c:cat>
          <c:val>
            <c:numRef>
              <c:f>Result!$V$49:$V$51</c:f>
              <c:numCache>
                <c:formatCode>0.0_ </c:formatCode>
                <c:ptCount val="3"/>
                <c:pt idx="0">
                  <c:v>3</c:v>
                </c:pt>
                <c:pt idx="1">
                  <c:v>3</c:v>
                </c:pt>
                <c:pt idx="2">
                  <c:v>3</c:v>
                </c:pt>
              </c:numCache>
            </c:numRef>
          </c:val>
          <c:extLst>
            <c:ext xmlns:c16="http://schemas.microsoft.com/office/drawing/2014/chart" uri="{C3380CC4-5D6E-409C-BE32-E72D297353CC}">
              <c16:uniqueId val="{00000003-6165-49E8-80D1-BCE8CE6D7210}"/>
            </c:ext>
          </c:extLst>
        </c:ser>
        <c:dLbls>
          <c:showLegendKey val="0"/>
          <c:showVal val="1"/>
          <c:showCatName val="0"/>
          <c:showSerName val="0"/>
          <c:showPercent val="0"/>
          <c:showBubbleSize val="0"/>
        </c:dLbls>
        <c:gapWidth val="70"/>
        <c:axId val="499218240"/>
        <c:axId val="499215496"/>
      </c:barChart>
      <c:catAx>
        <c:axId val="499218240"/>
        <c:scaling>
          <c:orientation val="minMax"/>
        </c:scaling>
        <c:delete val="0"/>
        <c:axPos val="b"/>
        <c:numFmt formatCode="General" sourceLinked="1"/>
        <c:majorTickMark val="none"/>
        <c:minorTickMark val="none"/>
        <c:tickLblPos val="none"/>
        <c:spPr>
          <a:ln w="3175">
            <a:solidFill>
              <a:srgbClr val="000000"/>
            </a:solidFill>
            <a:prstDash val="solid"/>
          </a:ln>
        </c:spPr>
        <c:crossAx val="499215496"/>
        <c:crossesAt val="0"/>
        <c:auto val="1"/>
        <c:lblAlgn val="ctr"/>
        <c:lblOffset val="100"/>
        <c:tickMarkSkip val="1"/>
        <c:noMultiLvlLbl val="0"/>
      </c:catAx>
      <c:valAx>
        <c:axId val="499215496"/>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499218240"/>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524115755627015E-2"/>
          <c:y val="8.4337597472695883E-2"/>
          <c:w val="0.91639871382636651"/>
          <c:h val="0.72891780672830009"/>
        </c:manualLayout>
      </c:layout>
      <c:barChart>
        <c:barDir val="col"/>
        <c:grouping val="clustered"/>
        <c:varyColors val="0"/>
        <c:ser>
          <c:idx val="0"/>
          <c:order val="0"/>
          <c:spPr>
            <a:solidFill>
              <a:srgbClr val="FFFF99"/>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AAB9-47DC-9D21-91CF4C510622}"/>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AAB9-47DC-9D21-91CF4C510622}"/>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AAB9-47DC-9D21-91CF4C510622}"/>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Result!$X$49:$X$51</c:f>
              <c:strCache>
                <c:ptCount val="3"/>
                <c:pt idx="0">
                  <c:v>生物資源</c:v>
                </c:pt>
                <c:pt idx="1">
                  <c:v>まちなみ景観</c:v>
                </c:pt>
                <c:pt idx="2">
                  <c:v>地域性・文化</c:v>
                </c:pt>
              </c:strCache>
            </c:strRef>
          </c:cat>
          <c:val>
            <c:numRef>
              <c:f>Result!$Y$49:$Y$51</c:f>
              <c:numCache>
                <c:formatCode>0.0_ </c:formatCode>
                <c:ptCount val="3"/>
                <c:pt idx="0">
                  <c:v>3</c:v>
                </c:pt>
                <c:pt idx="1">
                  <c:v>3</c:v>
                </c:pt>
                <c:pt idx="2">
                  <c:v>3</c:v>
                </c:pt>
              </c:numCache>
            </c:numRef>
          </c:val>
          <c:extLst>
            <c:ext xmlns:c16="http://schemas.microsoft.com/office/drawing/2014/chart" uri="{C3380CC4-5D6E-409C-BE32-E72D297353CC}">
              <c16:uniqueId val="{00000003-F9F5-4C38-9702-E05E90AB7917}"/>
            </c:ext>
          </c:extLst>
        </c:ser>
        <c:dLbls>
          <c:showLegendKey val="0"/>
          <c:showVal val="1"/>
          <c:showCatName val="0"/>
          <c:showSerName val="0"/>
          <c:showPercent val="0"/>
          <c:showBubbleSize val="0"/>
        </c:dLbls>
        <c:gapWidth val="70"/>
        <c:axId val="499219024"/>
        <c:axId val="499216280"/>
      </c:barChart>
      <c:catAx>
        <c:axId val="499219024"/>
        <c:scaling>
          <c:orientation val="minMax"/>
        </c:scaling>
        <c:delete val="0"/>
        <c:axPos val="b"/>
        <c:numFmt formatCode="General" sourceLinked="1"/>
        <c:majorTickMark val="none"/>
        <c:minorTickMark val="none"/>
        <c:tickLblPos val="none"/>
        <c:spPr>
          <a:ln w="3175">
            <a:solidFill>
              <a:srgbClr val="000000"/>
            </a:solidFill>
            <a:prstDash val="solid"/>
          </a:ln>
        </c:spPr>
        <c:crossAx val="499216280"/>
        <c:crossesAt val="0"/>
        <c:auto val="1"/>
        <c:lblAlgn val="ctr"/>
        <c:lblOffset val="100"/>
        <c:tickMarkSkip val="1"/>
        <c:noMultiLvlLbl val="0"/>
      </c:catAx>
      <c:valAx>
        <c:axId val="499216280"/>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499219024"/>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924969694061724E-2"/>
          <c:y val="8.4337597472695883E-2"/>
          <c:w val="0.90462555408004719"/>
          <c:h val="0.72289369262310754"/>
        </c:manualLayout>
      </c:layout>
      <c:barChart>
        <c:barDir val="col"/>
        <c:grouping val="clustered"/>
        <c:varyColors val="0"/>
        <c:ser>
          <c:idx val="0"/>
          <c:order val="0"/>
          <c:spPr>
            <a:solidFill>
              <a:srgbClr val="99CC00"/>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4ABB-4024-A0E7-9F793CE81995}"/>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4ABB-4024-A0E7-9F793CE81995}"/>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4ABB-4024-A0E7-9F793CE81995}"/>
                </c:ext>
              </c:extLst>
            </c:dLbl>
            <c:dLbl>
              <c:idx val="3"/>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3-4ABB-4024-A0E7-9F793CE81995}"/>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Result!$R$60:$R$63</c:f>
              <c:strCache>
                <c:ptCount val="4"/>
                <c:pt idx="0">
                  <c:v>熱負荷抑制</c:v>
                </c:pt>
                <c:pt idx="1">
                  <c:v>自然ｴﾈﾙｷﾞｰ</c:v>
                </c:pt>
                <c:pt idx="2">
                  <c:v>設備の効率的利用</c:v>
                </c:pt>
                <c:pt idx="3">
                  <c:v>運用ﾏﾈｼﾞﾒﾝﾄ</c:v>
                </c:pt>
              </c:strCache>
            </c:strRef>
          </c:cat>
          <c:val>
            <c:numRef>
              <c:f>Result!$S$60:$S$63</c:f>
              <c:numCache>
                <c:formatCode>#,##0.0;[Red]\-#,##0.0</c:formatCode>
                <c:ptCount val="4"/>
                <c:pt idx="0">
                  <c:v>3</c:v>
                </c:pt>
                <c:pt idx="1">
                  <c:v>3</c:v>
                </c:pt>
                <c:pt idx="2">
                  <c:v>5</c:v>
                </c:pt>
                <c:pt idx="3">
                  <c:v>3</c:v>
                </c:pt>
              </c:numCache>
            </c:numRef>
          </c:val>
          <c:extLst>
            <c:ext xmlns:c16="http://schemas.microsoft.com/office/drawing/2014/chart" uri="{C3380CC4-5D6E-409C-BE32-E72D297353CC}">
              <c16:uniqueId val="{00000004-78D1-4A53-ADE6-7CBB0B3152F8}"/>
            </c:ext>
          </c:extLst>
        </c:ser>
        <c:dLbls>
          <c:showLegendKey val="0"/>
          <c:showVal val="1"/>
          <c:showCatName val="0"/>
          <c:showSerName val="0"/>
          <c:showPercent val="0"/>
          <c:showBubbleSize val="0"/>
        </c:dLbls>
        <c:gapWidth val="40"/>
        <c:axId val="499217064"/>
        <c:axId val="499219416"/>
      </c:barChart>
      <c:catAx>
        <c:axId val="499217064"/>
        <c:scaling>
          <c:orientation val="minMax"/>
        </c:scaling>
        <c:delete val="0"/>
        <c:axPos val="b"/>
        <c:numFmt formatCode="General" sourceLinked="1"/>
        <c:majorTickMark val="none"/>
        <c:minorTickMark val="none"/>
        <c:tickLblPos val="none"/>
        <c:spPr>
          <a:ln w="3175">
            <a:solidFill>
              <a:srgbClr val="000000"/>
            </a:solidFill>
            <a:prstDash val="solid"/>
          </a:ln>
        </c:spPr>
        <c:crossAx val="499219416"/>
        <c:crossesAt val="0"/>
        <c:auto val="1"/>
        <c:lblAlgn val="ctr"/>
        <c:lblOffset val="100"/>
        <c:tickMarkSkip val="1"/>
        <c:noMultiLvlLbl val="0"/>
      </c:catAx>
      <c:valAx>
        <c:axId val="499219416"/>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499217064"/>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c:printSettings>
  <c:userShapes r:id="rId1"/>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524115755627015E-2"/>
          <c:y val="8.4337597472695883E-2"/>
          <c:w val="0.91639871382636651"/>
          <c:h val="0.72891780672830009"/>
        </c:manualLayout>
      </c:layout>
      <c:barChart>
        <c:barDir val="col"/>
        <c:grouping val="clustered"/>
        <c:varyColors val="0"/>
        <c:ser>
          <c:idx val="0"/>
          <c:order val="0"/>
          <c:spPr>
            <a:solidFill>
              <a:srgbClr val="99CC00"/>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8F86-457F-AAC9-32B4411E2739}"/>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8F86-457F-AAC9-32B4411E2739}"/>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8F86-457F-AAC9-32B4411E2739}"/>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Result!$U$60:$U$62</c:f>
              <c:strCache>
                <c:ptCount val="3"/>
                <c:pt idx="0">
                  <c:v>水資源</c:v>
                </c:pt>
                <c:pt idx="1">
                  <c:v>非再生性材料の削減</c:v>
                </c:pt>
                <c:pt idx="2">
                  <c:v>汚染物質回避</c:v>
                </c:pt>
              </c:strCache>
            </c:strRef>
          </c:cat>
          <c:val>
            <c:numRef>
              <c:f>Result!$V$60:$V$62</c:f>
              <c:numCache>
                <c:formatCode>0.0_ </c:formatCode>
                <c:ptCount val="3"/>
                <c:pt idx="0">
                  <c:v>3</c:v>
                </c:pt>
                <c:pt idx="1">
                  <c:v>3</c:v>
                </c:pt>
                <c:pt idx="2">
                  <c:v>3</c:v>
                </c:pt>
              </c:numCache>
            </c:numRef>
          </c:val>
          <c:extLst>
            <c:ext xmlns:c16="http://schemas.microsoft.com/office/drawing/2014/chart" uri="{C3380CC4-5D6E-409C-BE32-E72D297353CC}">
              <c16:uniqueId val="{00000003-947B-48B2-A3E8-F566772275B2}"/>
            </c:ext>
          </c:extLst>
        </c:ser>
        <c:dLbls>
          <c:showLegendKey val="0"/>
          <c:showVal val="1"/>
          <c:showCatName val="0"/>
          <c:showSerName val="0"/>
          <c:showPercent val="0"/>
          <c:showBubbleSize val="0"/>
        </c:dLbls>
        <c:gapWidth val="70"/>
        <c:axId val="499215888"/>
        <c:axId val="499216672"/>
      </c:barChart>
      <c:catAx>
        <c:axId val="499215888"/>
        <c:scaling>
          <c:orientation val="minMax"/>
        </c:scaling>
        <c:delete val="0"/>
        <c:axPos val="b"/>
        <c:numFmt formatCode="General" sourceLinked="1"/>
        <c:majorTickMark val="none"/>
        <c:minorTickMark val="none"/>
        <c:tickLblPos val="none"/>
        <c:spPr>
          <a:ln w="3175">
            <a:solidFill>
              <a:srgbClr val="000000"/>
            </a:solidFill>
            <a:prstDash val="solid"/>
          </a:ln>
        </c:spPr>
        <c:crossAx val="499216672"/>
        <c:crossesAt val="0"/>
        <c:auto val="1"/>
        <c:lblAlgn val="ctr"/>
        <c:lblOffset val="100"/>
        <c:tickMarkSkip val="1"/>
        <c:noMultiLvlLbl val="0"/>
      </c:catAx>
      <c:valAx>
        <c:axId val="499216672"/>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499215888"/>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3236870310825297E-2"/>
          <c:y val="4.4176706827309238E-2"/>
          <c:w val="0.91639871382636651"/>
          <c:h val="0.72891780672830009"/>
        </c:manualLayout>
      </c:layout>
      <c:barChart>
        <c:barDir val="col"/>
        <c:grouping val="clustered"/>
        <c:varyColors val="0"/>
        <c:ser>
          <c:idx val="0"/>
          <c:order val="0"/>
          <c:spPr>
            <a:solidFill>
              <a:srgbClr val="99CC00"/>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27E4-43F9-B33C-827EBB8611EE}"/>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27E4-43F9-B33C-827EBB8611EE}"/>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27E4-43F9-B33C-827EBB8611EE}"/>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Result!$X$60:$X$62</c:f>
              <c:strCache>
                <c:ptCount val="3"/>
                <c:pt idx="0">
                  <c:v>地球温暖化への配慮</c:v>
                </c:pt>
                <c:pt idx="1">
                  <c:v>地域環境への配慮</c:v>
                </c:pt>
                <c:pt idx="2">
                  <c:v>周辺環境への配慮</c:v>
                </c:pt>
              </c:strCache>
            </c:strRef>
          </c:cat>
          <c:val>
            <c:numRef>
              <c:f>Result!$Y$60:$Y$62</c:f>
              <c:numCache>
                <c:formatCode>0.0_ </c:formatCode>
                <c:ptCount val="3"/>
                <c:pt idx="0">
                  <c:v>0</c:v>
                </c:pt>
                <c:pt idx="1">
                  <c:v>3</c:v>
                </c:pt>
                <c:pt idx="2">
                  <c:v>3</c:v>
                </c:pt>
              </c:numCache>
            </c:numRef>
          </c:val>
          <c:extLst>
            <c:ext xmlns:c16="http://schemas.microsoft.com/office/drawing/2014/chart" uri="{C3380CC4-5D6E-409C-BE32-E72D297353CC}">
              <c16:uniqueId val="{00000003-7CA3-4C1A-BBB2-F23CFC385DBE}"/>
            </c:ext>
          </c:extLst>
        </c:ser>
        <c:dLbls>
          <c:showLegendKey val="0"/>
          <c:showVal val="1"/>
          <c:showCatName val="0"/>
          <c:showSerName val="0"/>
          <c:showPercent val="0"/>
          <c:showBubbleSize val="0"/>
        </c:dLbls>
        <c:gapWidth val="70"/>
        <c:axId val="499219808"/>
        <c:axId val="499212752"/>
      </c:barChart>
      <c:catAx>
        <c:axId val="499219808"/>
        <c:scaling>
          <c:orientation val="minMax"/>
        </c:scaling>
        <c:delete val="0"/>
        <c:axPos val="b"/>
        <c:numFmt formatCode="General" sourceLinked="1"/>
        <c:majorTickMark val="none"/>
        <c:minorTickMark val="none"/>
        <c:tickLblPos val="none"/>
        <c:spPr>
          <a:ln w="3175">
            <a:solidFill>
              <a:srgbClr val="000000"/>
            </a:solidFill>
            <a:prstDash val="solid"/>
          </a:ln>
        </c:spPr>
        <c:crossAx val="499212752"/>
        <c:crossesAt val="0"/>
        <c:auto val="1"/>
        <c:lblAlgn val="ctr"/>
        <c:lblOffset val="100"/>
        <c:tickMarkSkip val="1"/>
        <c:noMultiLvlLbl val="0"/>
      </c:catAx>
      <c:valAx>
        <c:axId val="499212752"/>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499219808"/>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20430161159487251"/>
          <c:y val="0.17088634000188513"/>
          <c:w val="0.58871122288522471"/>
          <c:h val="0.69303904556320084"/>
        </c:manualLayout>
      </c:layout>
      <c:radarChart>
        <c:radarStyle val="filled"/>
        <c:varyColors val="0"/>
        <c:ser>
          <c:idx val="5"/>
          <c:order val="0"/>
          <c:spPr>
            <a:blipFill dpi="0" rotWithShape="0">
              <a:blip xmlns:r="http://schemas.openxmlformats.org/officeDocument/2006/relationships" r:embed="rId1"/>
              <a:srcRect/>
              <a:stretch>
                <a:fillRect/>
              </a:stretch>
            </a:blip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Result!$W$8:$W$13</c:f>
              <c:numCache>
                <c:formatCode>General</c:formatCode>
                <c:ptCount val="6"/>
                <c:pt idx="0">
                  <c:v>5</c:v>
                </c:pt>
                <c:pt idx="1">
                  <c:v>5</c:v>
                </c:pt>
                <c:pt idx="2">
                  <c:v>5</c:v>
                </c:pt>
                <c:pt idx="3">
                  <c:v>5</c:v>
                </c:pt>
                <c:pt idx="4">
                  <c:v>5</c:v>
                </c:pt>
                <c:pt idx="5">
                  <c:v>5</c:v>
                </c:pt>
              </c:numCache>
            </c:numRef>
          </c:val>
          <c:extLst>
            <c:ext xmlns:c16="http://schemas.microsoft.com/office/drawing/2014/chart" uri="{C3380CC4-5D6E-409C-BE32-E72D297353CC}">
              <c16:uniqueId val="{00000000-40BC-41AB-9161-7B3F3280C2A9}"/>
            </c:ext>
          </c:extLst>
        </c:ser>
        <c:ser>
          <c:idx val="6"/>
          <c:order val="1"/>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Result!$X$8:$X$13</c:f>
              <c:numCache>
                <c:formatCode>General</c:formatCode>
                <c:ptCount val="6"/>
                <c:pt idx="0">
                  <c:v>4</c:v>
                </c:pt>
                <c:pt idx="1">
                  <c:v>4</c:v>
                </c:pt>
                <c:pt idx="2">
                  <c:v>4</c:v>
                </c:pt>
                <c:pt idx="3">
                  <c:v>4</c:v>
                </c:pt>
                <c:pt idx="4">
                  <c:v>4</c:v>
                </c:pt>
                <c:pt idx="5">
                  <c:v>4</c:v>
                </c:pt>
              </c:numCache>
            </c:numRef>
          </c:val>
          <c:extLst>
            <c:ext xmlns:c16="http://schemas.microsoft.com/office/drawing/2014/chart" uri="{C3380CC4-5D6E-409C-BE32-E72D297353CC}">
              <c16:uniqueId val="{00000001-40BC-41AB-9161-7B3F3280C2A9}"/>
            </c:ext>
          </c:extLst>
        </c:ser>
        <c:ser>
          <c:idx val="7"/>
          <c:order val="2"/>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Result!$Y$8:$Y$13</c:f>
              <c:numCache>
                <c:formatCode>General</c:formatCode>
                <c:ptCount val="6"/>
                <c:pt idx="0">
                  <c:v>2</c:v>
                </c:pt>
                <c:pt idx="1">
                  <c:v>2</c:v>
                </c:pt>
                <c:pt idx="2">
                  <c:v>2</c:v>
                </c:pt>
                <c:pt idx="3">
                  <c:v>2</c:v>
                </c:pt>
                <c:pt idx="4">
                  <c:v>2</c:v>
                </c:pt>
                <c:pt idx="5">
                  <c:v>2</c:v>
                </c:pt>
              </c:numCache>
            </c:numRef>
          </c:val>
          <c:extLst>
            <c:ext xmlns:c16="http://schemas.microsoft.com/office/drawing/2014/chart" uri="{C3380CC4-5D6E-409C-BE32-E72D297353CC}">
              <c16:uniqueId val="{00000002-40BC-41AB-9161-7B3F3280C2A9}"/>
            </c:ext>
          </c:extLst>
        </c:ser>
        <c:ser>
          <c:idx val="8"/>
          <c:order val="3"/>
          <c:spPr>
            <a:pattFill prst="pct50">
              <a:fgClr>
                <a:srgbClr val="CCCCFF"/>
              </a:fgClr>
              <a:bgClr>
                <a:srgbClr val="FFFFFF"/>
              </a:bgClr>
            </a:patt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Result!$Z$8:$Z$13</c:f>
              <c:numCache>
                <c:formatCode>General</c:formatCode>
                <c:ptCount val="6"/>
                <c:pt idx="0">
                  <c:v>3</c:v>
                </c:pt>
                <c:pt idx="1">
                  <c:v>3</c:v>
                </c:pt>
                <c:pt idx="2">
                  <c:v>0</c:v>
                </c:pt>
                <c:pt idx="3">
                  <c:v>3</c:v>
                </c:pt>
                <c:pt idx="4">
                  <c:v>4</c:v>
                </c:pt>
                <c:pt idx="5">
                  <c:v>3</c:v>
                </c:pt>
              </c:numCache>
            </c:numRef>
          </c:val>
          <c:extLst>
            <c:ext xmlns:c16="http://schemas.microsoft.com/office/drawing/2014/chart" uri="{C3380CC4-5D6E-409C-BE32-E72D297353CC}">
              <c16:uniqueId val="{00000003-40BC-41AB-9161-7B3F3280C2A9}"/>
            </c:ext>
          </c:extLst>
        </c:ser>
        <c:ser>
          <c:idx val="9"/>
          <c:order val="4"/>
          <c:spPr>
            <a:noFill/>
            <a:ln w="12700">
              <a:solidFill>
                <a:srgbClr val="FF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Result!$AA$8:$AA$13</c:f>
              <c:numCache>
                <c:formatCode>General</c:formatCode>
                <c:ptCount val="6"/>
                <c:pt idx="0">
                  <c:v>3</c:v>
                </c:pt>
                <c:pt idx="1">
                  <c:v>3</c:v>
                </c:pt>
                <c:pt idx="2">
                  <c:v>3</c:v>
                </c:pt>
                <c:pt idx="3">
                  <c:v>3</c:v>
                </c:pt>
                <c:pt idx="4">
                  <c:v>3</c:v>
                </c:pt>
                <c:pt idx="5">
                  <c:v>3</c:v>
                </c:pt>
              </c:numCache>
            </c:numRef>
          </c:val>
          <c:extLst>
            <c:ext xmlns:c16="http://schemas.microsoft.com/office/drawing/2014/chart" uri="{C3380CC4-5D6E-409C-BE32-E72D297353CC}">
              <c16:uniqueId val="{00000004-40BC-41AB-9161-7B3F3280C2A9}"/>
            </c:ext>
          </c:extLst>
        </c:ser>
        <c:ser>
          <c:idx val="0"/>
          <c:order val="5"/>
          <c:spPr>
            <a:blipFill dpi="0" rotWithShape="0">
              <a:blip xmlns:r="http://schemas.openxmlformats.org/officeDocument/2006/relationships" r:embed="rId1"/>
              <a:srcRect/>
              <a:stretch>
                <a:fillRect/>
              </a:stretch>
            </a:blip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Result!$W$8:$W$13</c:f>
              <c:numCache>
                <c:formatCode>General</c:formatCode>
                <c:ptCount val="6"/>
                <c:pt idx="0">
                  <c:v>5</c:v>
                </c:pt>
                <c:pt idx="1">
                  <c:v>5</c:v>
                </c:pt>
                <c:pt idx="2">
                  <c:v>5</c:v>
                </c:pt>
                <c:pt idx="3">
                  <c:v>5</c:v>
                </c:pt>
                <c:pt idx="4">
                  <c:v>5</c:v>
                </c:pt>
                <c:pt idx="5">
                  <c:v>5</c:v>
                </c:pt>
              </c:numCache>
            </c:numRef>
          </c:val>
          <c:extLst>
            <c:ext xmlns:c16="http://schemas.microsoft.com/office/drawing/2014/chart" uri="{C3380CC4-5D6E-409C-BE32-E72D297353CC}">
              <c16:uniqueId val="{00000005-40BC-41AB-9161-7B3F3280C2A9}"/>
            </c:ext>
          </c:extLst>
        </c:ser>
        <c:ser>
          <c:idx val="1"/>
          <c:order val="6"/>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Result!$X$8:$X$13</c:f>
              <c:numCache>
                <c:formatCode>General</c:formatCode>
                <c:ptCount val="6"/>
                <c:pt idx="0">
                  <c:v>4</c:v>
                </c:pt>
                <c:pt idx="1">
                  <c:v>4</c:v>
                </c:pt>
                <c:pt idx="2">
                  <c:v>4</c:v>
                </c:pt>
                <c:pt idx="3">
                  <c:v>4</c:v>
                </c:pt>
                <c:pt idx="4">
                  <c:v>4</c:v>
                </c:pt>
                <c:pt idx="5">
                  <c:v>4</c:v>
                </c:pt>
              </c:numCache>
            </c:numRef>
          </c:val>
          <c:extLst>
            <c:ext xmlns:c16="http://schemas.microsoft.com/office/drawing/2014/chart" uri="{C3380CC4-5D6E-409C-BE32-E72D297353CC}">
              <c16:uniqueId val="{00000006-40BC-41AB-9161-7B3F3280C2A9}"/>
            </c:ext>
          </c:extLst>
        </c:ser>
        <c:ser>
          <c:idx val="2"/>
          <c:order val="7"/>
          <c:spPr>
            <a:no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Result!$Y$8:$Y$13</c:f>
              <c:numCache>
                <c:formatCode>General</c:formatCode>
                <c:ptCount val="6"/>
                <c:pt idx="0">
                  <c:v>2</c:v>
                </c:pt>
                <c:pt idx="1">
                  <c:v>2</c:v>
                </c:pt>
                <c:pt idx="2">
                  <c:v>2</c:v>
                </c:pt>
                <c:pt idx="3">
                  <c:v>2</c:v>
                </c:pt>
                <c:pt idx="4">
                  <c:v>2</c:v>
                </c:pt>
                <c:pt idx="5">
                  <c:v>2</c:v>
                </c:pt>
              </c:numCache>
            </c:numRef>
          </c:val>
          <c:extLst>
            <c:ext xmlns:c16="http://schemas.microsoft.com/office/drawing/2014/chart" uri="{C3380CC4-5D6E-409C-BE32-E72D297353CC}">
              <c16:uniqueId val="{00000007-40BC-41AB-9161-7B3F3280C2A9}"/>
            </c:ext>
          </c:extLst>
        </c:ser>
        <c:ser>
          <c:idx val="3"/>
          <c:order val="8"/>
          <c:spPr>
            <a:pattFill prst="pct50">
              <a:fgClr>
                <a:srgbClr val="CCCCFF"/>
              </a:fgClr>
              <a:bgClr>
                <a:srgbClr val="FFFFFF"/>
              </a:bgClr>
            </a:pattFill>
            <a:ln w="12700">
              <a:solidFill>
                <a:srgbClr val="00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Result!$Z$8:$Z$13</c:f>
              <c:numCache>
                <c:formatCode>General</c:formatCode>
                <c:ptCount val="6"/>
                <c:pt idx="0">
                  <c:v>3</c:v>
                </c:pt>
                <c:pt idx="1">
                  <c:v>3</c:v>
                </c:pt>
                <c:pt idx="2">
                  <c:v>0</c:v>
                </c:pt>
                <c:pt idx="3">
                  <c:v>3</c:v>
                </c:pt>
                <c:pt idx="4">
                  <c:v>4</c:v>
                </c:pt>
                <c:pt idx="5">
                  <c:v>3</c:v>
                </c:pt>
              </c:numCache>
            </c:numRef>
          </c:val>
          <c:extLst>
            <c:ext xmlns:c16="http://schemas.microsoft.com/office/drawing/2014/chart" uri="{C3380CC4-5D6E-409C-BE32-E72D297353CC}">
              <c16:uniqueId val="{00000008-40BC-41AB-9161-7B3F3280C2A9}"/>
            </c:ext>
          </c:extLst>
        </c:ser>
        <c:ser>
          <c:idx val="4"/>
          <c:order val="9"/>
          <c:spPr>
            <a:noFill/>
            <a:ln w="12700">
              <a:solidFill>
                <a:srgbClr val="FF0000"/>
              </a:solidFill>
              <a:prstDash val="solid"/>
            </a:ln>
          </c:spPr>
          <c:cat>
            <c:strRef>
              <c:f>Result!$V$8:$V$13</c:f>
              <c:strCache>
                <c:ptCount val="6"/>
                <c:pt idx="0">
                  <c:v>Q2 Quality of Service</c:v>
                </c:pt>
                <c:pt idx="1">
                  <c:v>Q3 Outdoor 
Environment 
on Site</c:v>
                </c:pt>
                <c:pt idx="2">
                  <c:v>LR3 Off-site 
Environment</c:v>
                </c:pt>
                <c:pt idx="3">
                  <c:v>LR2 Resources &amp; Materials</c:v>
                </c:pt>
                <c:pt idx="4">
                  <c:v>LR1 Energy</c:v>
                </c:pt>
                <c:pt idx="5">
                  <c:v>Q1 Indoor 
Environment</c:v>
                </c:pt>
              </c:strCache>
            </c:strRef>
          </c:cat>
          <c:val>
            <c:numRef>
              <c:f>Result!$AA$8:$AA$13</c:f>
              <c:numCache>
                <c:formatCode>General</c:formatCode>
                <c:ptCount val="6"/>
                <c:pt idx="0">
                  <c:v>3</c:v>
                </c:pt>
                <c:pt idx="1">
                  <c:v>3</c:v>
                </c:pt>
                <c:pt idx="2">
                  <c:v>3</c:v>
                </c:pt>
                <c:pt idx="3">
                  <c:v>3</c:v>
                </c:pt>
                <c:pt idx="4">
                  <c:v>3</c:v>
                </c:pt>
                <c:pt idx="5">
                  <c:v>3</c:v>
                </c:pt>
              </c:numCache>
            </c:numRef>
          </c:val>
          <c:extLst>
            <c:ext xmlns:c16="http://schemas.microsoft.com/office/drawing/2014/chart" uri="{C3380CC4-5D6E-409C-BE32-E72D297353CC}">
              <c16:uniqueId val="{00000009-40BC-41AB-9161-7B3F3280C2A9}"/>
            </c:ext>
          </c:extLst>
        </c:ser>
        <c:dLbls>
          <c:showLegendKey val="0"/>
          <c:showVal val="0"/>
          <c:showCatName val="0"/>
          <c:showSerName val="0"/>
          <c:showPercent val="0"/>
          <c:showBubbleSize val="0"/>
        </c:dLbls>
        <c:axId val="499213928"/>
        <c:axId val="500320096"/>
      </c:radarChart>
      <c:catAx>
        <c:axId val="499213928"/>
        <c:scaling>
          <c:orientation val="minMax"/>
        </c:scaling>
        <c:delete val="0"/>
        <c:axPos val="b"/>
        <c:majorGridlines>
          <c:spPr>
            <a:ln w="3175">
              <a:solidFill>
                <a:srgbClr val="000000"/>
              </a:solidFill>
              <a:prstDash val="solid"/>
            </a:ln>
          </c:spPr>
        </c:majorGridlines>
        <c:numFmt formatCode="General" sourceLinked="1"/>
        <c:majorTickMark val="out"/>
        <c:minorTickMark val="none"/>
        <c:tickLblPos val="nextTo"/>
        <c:txPr>
          <a:bodyPr rot="0" vert="horz"/>
          <a:lstStyle/>
          <a:p>
            <a:pPr>
              <a:defRPr sz="900" b="1" i="0" u="none" strike="noStrike" baseline="0">
                <a:solidFill>
                  <a:srgbClr val="000000"/>
                </a:solidFill>
                <a:latin typeface="ＭＳ Ｐゴシック"/>
                <a:ea typeface="ＭＳ Ｐゴシック"/>
                <a:cs typeface="ＭＳ Ｐゴシック"/>
              </a:defRPr>
            </a:pPr>
            <a:endParaRPr lang="ja-JP"/>
          </a:p>
        </c:txPr>
        <c:crossAx val="500320096"/>
        <c:crosses val="autoZero"/>
        <c:auto val="0"/>
        <c:lblAlgn val="ctr"/>
        <c:lblOffset val="100"/>
        <c:noMultiLvlLbl val="0"/>
      </c:catAx>
      <c:valAx>
        <c:axId val="500320096"/>
        <c:scaling>
          <c:orientation val="minMax"/>
          <c:max val="5"/>
          <c:min val="1"/>
        </c:scaling>
        <c:delete val="0"/>
        <c:axPos val="l"/>
        <c:majorGridlines>
          <c:spPr>
            <a:ln w="3175">
              <a:solidFill>
                <a:srgbClr val="000000"/>
              </a:solidFill>
              <a:prstDash val="solid"/>
            </a:ln>
          </c:spPr>
        </c:majorGridlines>
        <c:numFmt formatCode="#,##0_);[Red]\(#,##0\)" sourceLinked="0"/>
        <c:majorTickMark val="cross"/>
        <c:minorTickMark val="none"/>
        <c:tickLblPos val="nextTo"/>
        <c:spPr>
          <a:ln w="3175">
            <a:solidFill>
              <a:srgbClr val="000000"/>
            </a:solidFill>
            <a:prstDash val="solid"/>
          </a:ln>
        </c:spPr>
        <c:txPr>
          <a:bodyPr rot="0" vert="horz"/>
          <a:lstStyle/>
          <a:p>
            <a:pPr>
              <a:defRPr sz="825" b="0" i="0" u="none" strike="noStrike" baseline="0">
                <a:solidFill>
                  <a:srgbClr val="000000"/>
                </a:solidFill>
                <a:latin typeface="ＭＳ Ｐゴシック"/>
                <a:ea typeface="ＭＳ Ｐゴシック"/>
                <a:cs typeface="ＭＳ Ｐゴシック"/>
              </a:defRPr>
            </a:pPr>
            <a:endParaRPr lang="ja-JP"/>
          </a:p>
        </c:txPr>
        <c:crossAx val="499213928"/>
        <c:crosses val="autoZero"/>
        <c:crossBetween val="between"/>
        <c:majorUnit val="1"/>
      </c:valAx>
      <c:spPr>
        <a:noFill/>
        <a:ln w="25400">
          <a:noFill/>
        </a:ln>
      </c:spPr>
    </c:plotArea>
    <c:plotVisOnly val="0"/>
    <c:dispBlanksAs val="gap"/>
    <c:showDLblsOverMax val="0"/>
  </c:chart>
  <c:spPr>
    <a:solidFill>
      <a:schemeClr val="bg1"/>
    </a:solidFill>
    <a:ln w="6350">
      <a:noFill/>
    </a:ln>
  </c:spPr>
  <c:txPr>
    <a:bodyPr/>
    <a:lstStyle/>
    <a:p>
      <a:pPr>
        <a:defRPr sz="825"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6891891891891893E-2"/>
          <c:y val="5.6818497084167946E-2"/>
          <c:w val="0.96283783783783783"/>
          <c:h val="0.84091375684568559"/>
        </c:manualLayout>
      </c:layout>
      <c:barChart>
        <c:barDir val="bar"/>
        <c:grouping val="percentStacked"/>
        <c:varyColors val="0"/>
        <c:ser>
          <c:idx val="0"/>
          <c:order val="0"/>
          <c:spPr>
            <a:blipFill dpi="0" rotWithShape="0">
              <a:blip xmlns:r="http://schemas.openxmlformats.org/officeDocument/2006/relationships" r:embed="rId1"/>
              <a:srcRect/>
              <a:stretch>
                <a:fillRect/>
              </a:stretch>
            </a:blipFill>
            <a:ln w="25400">
              <a:noFill/>
            </a:ln>
          </c:spPr>
          <c:invertIfNegative val="0"/>
          <c:pictureOptions>
            <c:pictureFormat val="stackScale"/>
            <c:pictureStackUnit val="20"/>
          </c:pictureOptions>
          <c:cat>
            <c:strRef>
              <c:f>'Result(2-3SDGs)'!$R$13</c:f>
              <c:strCache>
                <c:ptCount val="1"/>
                <c:pt idx="0">
                  <c:v>Rank(red star)</c:v>
                </c:pt>
              </c:strCache>
            </c:strRef>
          </c:cat>
          <c:val>
            <c:numRef>
              <c:f>'Result(2-3SDGs)'!$S$13</c:f>
              <c:numCache>
                <c:formatCode>#,##0.0;[Red]\-#,##0.0</c:formatCode>
                <c:ptCount val="1"/>
                <c:pt idx="0">
                  <c:v>0</c:v>
                </c:pt>
              </c:numCache>
            </c:numRef>
          </c:val>
          <c:extLst>
            <c:ext xmlns:c16="http://schemas.microsoft.com/office/drawing/2014/chart" uri="{C3380CC4-5D6E-409C-BE32-E72D297353CC}">
              <c16:uniqueId val="{00000000-02C1-464F-9B7E-4D84975A5A6C}"/>
            </c:ext>
          </c:extLst>
        </c:ser>
        <c:ser>
          <c:idx val="1"/>
          <c:order val="1"/>
          <c:spPr>
            <a:blipFill dpi="0" rotWithShape="0">
              <a:blip xmlns:r="http://schemas.openxmlformats.org/officeDocument/2006/relationships" r:embed="rId2"/>
              <a:srcRect/>
              <a:stretch>
                <a:fillRect/>
              </a:stretch>
            </a:blipFill>
            <a:ln w="25400">
              <a:noFill/>
            </a:ln>
          </c:spPr>
          <c:invertIfNegative val="0"/>
          <c:pictureOptions>
            <c:pictureFormat val="stackScale"/>
            <c:pictureStackUnit val="20"/>
          </c:pictureOptions>
          <c:cat>
            <c:strRef>
              <c:f>'Result(2-3SDGs)'!$R$13</c:f>
              <c:strCache>
                <c:ptCount val="1"/>
                <c:pt idx="0">
                  <c:v>Rank(red star)</c:v>
                </c:pt>
              </c:strCache>
            </c:strRef>
          </c:cat>
          <c:val>
            <c:numRef>
              <c:f>'Result(2-3SDGs)'!$S$14</c:f>
              <c:numCache>
                <c:formatCode>#,##0.0;[Red]\-#,##0.0</c:formatCode>
                <c:ptCount val="1"/>
                <c:pt idx="0">
                  <c:v>0</c:v>
                </c:pt>
              </c:numCache>
            </c:numRef>
          </c:val>
          <c:extLst>
            <c:ext xmlns:c16="http://schemas.microsoft.com/office/drawing/2014/chart" uri="{C3380CC4-5D6E-409C-BE32-E72D297353CC}">
              <c16:uniqueId val="{00000001-02C1-464F-9B7E-4D84975A5A6C}"/>
            </c:ext>
          </c:extLst>
        </c:ser>
        <c:dLbls>
          <c:showLegendKey val="0"/>
          <c:showVal val="0"/>
          <c:showCatName val="0"/>
          <c:showSerName val="0"/>
          <c:showPercent val="0"/>
          <c:showBubbleSize val="0"/>
        </c:dLbls>
        <c:gapWidth val="50"/>
        <c:overlap val="100"/>
        <c:axId val="500316568"/>
        <c:axId val="500318920"/>
      </c:barChart>
      <c:catAx>
        <c:axId val="500316568"/>
        <c:scaling>
          <c:orientation val="minMax"/>
        </c:scaling>
        <c:delete val="1"/>
        <c:axPos val="l"/>
        <c:numFmt formatCode="General" sourceLinked="1"/>
        <c:majorTickMark val="out"/>
        <c:minorTickMark val="none"/>
        <c:tickLblPos val="nextTo"/>
        <c:crossAx val="500318920"/>
        <c:crosses val="autoZero"/>
        <c:auto val="1"/>
        <c:lblAlgn val="ctr"/>
        <c:lblOffset val="100"/>
        <c:noMultiLvlLbl val="0"/>
      </c:catAx>
      <c:valAx>
        <c:axId val="500318920"/>
        <c:scaling>
          <c:orientation val="minMax"/>
        </c:scaling>
        <c:delete val="1"/>
        <c:axPos val="b"/>
        <c:numFmt formatCode="0%" sourceLinked="1"/>
        <c:majorTickMark val="out"/>
        <c:minorTickMark val="none"/>
        <c:tickLblPos val="nextTo"/>
        <c:crossAx val="500316568"/>
        <c:crosses val="autoZero"/>
        <c:crossBetween val="between"/>
      </c:valAx>
      <c:spPr>
        <a:noFill/>
        <a:ln w="25400">
          <a:noFill/>
        </a:ln>
      </c:spPr>
    </c:plotArea>
    <c:plotVisOnly val="0"/>
    <c:dispBlanksAs val="gap"/>
    <c:showDLblsOverMax val="0"/>
  </c:chart>
  <c:spPr>
    <a:noFill/>
    <a:ln w="6350">
      <a:noFill/>
    </a:ln>
  </c:spPr>
  <c:txPr>
    <a:bodyPr/>
    <a:lstStyle/>
    <a:p>
      <a:pPr>
        <a:defRPr sz="2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6891891891891893E-2"/>
          <c:y val="5.6818497084167946E-2"/>
          <c:w val="0.96283783783783783"/>
          <c:h val="0.84091375684568559"/>
        </c:manualLayout>
      </c:layout>
      <c:barChart>
        <c:barDir val="bar"/>
        <c:grouping val="percentStacked"/>
        <c:varyColors val="0"/>
        <c:ser>
          <c:idx val="0"/>
          <c:order val="0"/>
          <c:spPr>
            <a:blipFill dpi="0" rotWithShape="0">
              <a:blip xmlns:r="http://schemas.openxmlformats.org/officeDocument/2006/relationships" r:embed="rId1"/>
              <a:srcRect/>
              <a:stretch>
                <a:fillRect/>
              </a:stretch>
            </a:blipFill>
            <a:ln w="25400">
              <a:noFill/>
            </a:ln>
          </c:spPr>
          <c:invertIfNegative val="0"/>
          <c:pictureOptions>
            <c:pictureFormat val="stackScale"/>
            <c:pictureStackUnit val="20"/>
          </c:pictureOptions>
          <c:dPt>
            <c:idx val="0"/>
            <c:invertIfNegative val="0"/>
            <c:bubble3D val="0"/>
            <c:spPr>
              <a:blipFill dpi="0" rotWithShape="0">
                <a:blip xmlns:r="http://schemas.openxmlformats.org/officeDocument/2006/relationships" r:embed="rId2"/>
                <a:srcRect/>
                <a:stretch>
                  <a:fillRect/>
                </a:stretch>
              </a:blipFill>
              <a:ln w="25400">
                <a:noFill/>
              </a:ln>
            </c:spPr>
            <c:pictureOptions>
              <c:pictureFormat val="stackScale"/>
              <c:pictureStackUnit val="20"/>
            </c:pictureOptions>
            <c:extLst>
              <c:ext xmlns:c16="http://schemas.microsoft.com/office/drawing/2014/chart" uri="{C3380CC4-5D6E-409C-BE32-E72D297353CC}">
                <c16:uniqueId val="{00000001-6B5E-46C5-843C-FE3490B94332}"/>
              </c:ext>
            </c:extLst>
          </c:dPt>
          <c:cat>
            <c:strRef>
              <c:f>'Result(2-3SDGs)'!$R$36</c:f>
              <c:strCache>
                <c:ptCount val="1"/>
                <c:pt idx="0">
                  <c:v>Rank(green star)</c:v>
                </c:pt>
              </c:strCache>
            </c:strRef>
          </c:cat>
          <c:val>
            <c:numRef>
              <c:f>'Result(2-3SDGs)'!$S$36</c:f>
              <c:numCache>
                <c:formatCode>#,##0.0;[Red]\-#,##0.0</c:formatCode>
                <c:ptCount val="1"/>
                <c:pt idx="0">
                  <c:v>0</c:v>
                </c:pt>
              </c:numCache>
            </c:numRef>
          </c:val>
          <c:extLst>
            <c:ext xmlns:c16="http://schemas.microsoft.com/office/drawing/2014/chart" uri="{C3380CC4-5D6E-409C-BE32-E72D297353CC}">
              <c16:uniqueId val="{00000002-6B5E-46C5-843C-FE3490B94332}"/>
            </c:ext>
          </c:extLst>
        </c:ser>
        <c:ser>
          <c:idx val="1"/>
          <c:order val="1"/>
          <c:spPr>
            <a:blipFill dpi="0" rotWithShape="0">
              <a:blip xmlns:r="http://schemas.openxmlformats.org/officeDocument/2006/relationships" r:embed="rId3"/>
              <a:srcRect/>
              <a:stretch>
                <a:fillRect/>
              </a:stretch>
            </a:blipFill>
            <a:ln w="25400">
              <a:noFill/>
            </a:ln>
          </c:spPr>
          <c:invertIfNegative val="0"/>
          <c:pictureOptions>
            <c:pictureFormat val="stackScale"/>
            <c:pictureStackUnit val="20"/>
          </c:pictureOptions>
          <c:cat>
            <c:strRef>
              <c:f>'Result(2-3SDGs)'!$R$36</c:f>
              <c:strCache>
                <c:ptCount val="1"/>
                <c:pt idx="0">
                  <c:v>Rank(green star)</c:v>
                </c:pt>
              </c:strCache>
            </c:strRef>
          </c:cat>
          <c:val>
            <c:numRef>
              <c:f>'Result(2-3SDGs)'!$S$37</c:f>
              <c:numCache>
                <c:formatCode>#,##0.0;[Red]\-#,##0.0</c:formatCode>
                <c:ptCount val="1"/>
                <c:pt idx="0">
                  <c:v>0</c:v>
                </c:pt>
              </c:numCache>
            </c:numRef>
          </c:val>
          <c:extLst>
            <c:ext xmlns:c16="http://schemas.microsoft.com/office/drawing/2014/chart" uri="{C3380CC4-5D6E-409C-BE32-E72D297353CC}">
              <c16:uniqueId val="{00000003-6B5E-46C5-843C-FE3490B94332}"/>
            </c:ext>
          </c:extLst>
        </c:ser>
        <c:dLbls>
          <c:showLegendKey val="0"/>
          <c:showVal val="0"/>
          <c:showCatName val="0"/>
          <c:showSerName val="0"/>
          <c:showPercent val="0"/>
          <c:showBubbleSize val="0"/>
        </c:dLbls>
        <c:gapWidth val="50"/>
        <c:overlap val="100"/>
        <c:axId val="500319704"/>
        <c:axId val="500321664"/>
      </c:barChart>
      <c:catAx>
        <c:axId val="500319704"/>
        <c:scaling>
          <c:orientation val="minMax"/>
        </c:scaling>
        <c:delete val="1"/>
        <c:axPos val="l"/>
        <c:numFmt formatCode="General" sourceLinked="1"/>
        <c:majorTickMark val="out"/>
        <c:minorTickMark val="none"/>
        <c:tickLblPos val="nextTo"/>
        <c:crossAx val="500321664"/>
        <c:crosses val="autoZero"/>
        <c:auto val="1"/>
        <c:lblAlgn val="ctr"/>
        <c:lblOffset val="100"/>
        <c:noMultiLvlLbl val="0"/>
      </c:catAx>
      <c:valAx>
        <c:axId val="500321664"/>
        <c:scaling>
          <c:orientation val="minMax"/>
        </c:scaling>
        <c:delete val="1"/>
        <c:axPos val="b"/>
        <c:numFmt formatCode="0%" sourceLinked="1"/>
        <c:majorTickMark val="out"/>
        <c:minorTickMark val="none"/>
        <c:tickLblPos val="nextTo"/>
        <c:crossAx val="500319704"/>
        <c:crosses val="autoZero"/>
        <c:crossBetween val="between"/>
      </c:valAx>
      <c:spPr>
        <a:noFill/>
        <a:ln w="25400">
          <a:noFill/>
        </a:ln>
      </c:spPr>
    </c:plotArea>
    <c:plotVisOnly val="0"/>
    <c:dispBlanksAs val="gap"/>
    <c:showDLblsOverMax val="0"/>
  </c:chart>
  <c:spPr>
    <a:noFill/>
    <a:ln w="6350">
      <a:noFill/>
    </a:ln>
  </c:spPr>
  <c:txPr>
    <a:bodyPr/>
    <a:lstStyle/>
    <a:p>
      <a:pPr>
        <a:defRPr sz="2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9795221843003413"/>
          <c:y val="9.8425196850393706E-2"/>
          <c:w val="0.69965870307167233"/>
          <c:h val="0.70078740157480313"/>
        </c:manualLayout>
      </c:layout>
      <c:areaChart>
        <c:grouping val="standard"/>
        <c:varyColors val="0"/>
        <c:ser>
          <c:idx val="4"/>
          <c:order val="3"/>
          <c:tx>
            <c:strRef>
              <c:f>'Result(2-3SDGs)'!$S$30</c:f>
              <c:strCache>
                <c:ptCount val="1"/>
                <c:pt idx="0">
                  <c:v>S</c:v>
                </c:pt>
              </c:strCache>
            </c:strRef>
          </c:tx>
          <c:spPr>
            <a:pattFill prst="pct70">
              <a:fgClr>
                <a:srgbClr val="339966"/>
              </a:fgClr>
              <a:bgClr>
                <a:srgbClr val="FFFFFF"/>
              </a:bgClr>
            </a:pattFill>
            <a:ln w="12700">
              <a:solidFill>
                <a:srgbClr val="000000"/>
              </a:solidFill>
              <a:prstDash val="solid"/>
            </a:ln>
          </c:spPr>
          <c:cat>
            <c:numRef>
              <c:f>'Result(2-3SDGs)'!$T$24:$U$24</c:f>
              <c:numCache>
                <c:formatCode>General</c:formatCode>
                <c:ptCount val="2"/>
                <c:pt idx="0" formatCode="#,##0_);[Red]\(#,##0\)">
                  <c:v>0</c:v>
                </c:pt>
                <c:pt idx="1">
                  <c:v>0</c:v>
                </c:pt>
              </c:numCache>
            </c:numRef>
          </c:cat>
          <c:val>
            <c:numRef>
              <c:f>'Result(2-3SDGs)'!$T$30:$Z$30</c:f>
              <c:numCache>
                <c:formatCode>General</c:formatCode>
                <c:ptCount val="7"/>
                <c:pt idx="0">
                  <c:v>100</c:v>
                </c:pt>
                <c:pt idx="1">
                  <c:v>100</c:v>
                </c:pt>
                <c:pt idx="2">
                  <c:v>100</c:v>
                </c:pt>
                <c:pt idx="3">
                  <c:v>100</c:v>
                </c:pt>
                <c:pt idx="4">
                  <c:v>100</c:v>
                </c:pt>
                <c:pt idx="5">
                  <c:v>100</c:v>
                </c:pt>
                <c:pt idx="6">
                  <c:v>100</c:v>
                </c:pt>
              </c:numCache>
            </c:numRef>
          </c:val>
          <c:extLst>
            <c:ext xmlns:c16="http://schemas.microsoft.com/office/drawing/2014/chart" uri="{C3380CC4-5D6E-409C-BE32-E72D297353CC}">
              <c16:uniqueId val="{00000000-F416-481D-ABE7-C132EAE86441}"/>
            </c:ext>
          </c:extLst>
        </c:ser>
        <c:ser>
          <c:idx val="3"/>
          <c:order val="4"/>
          <c:tx>
            <c:strRef>
              <c:f>'Result(2-3SDGs)'!$S$31</c:f>
              <c:strCache>
                <c:ptCount val="1"/>
                <c:pt idx="0">
                  <c:v>A</c:v>
                </c:pt>
              </c:strCache>
            </c:strRef>
          </c:tx>
          <c:spPr>
            <a:pattFill prst="pct90">
              <a:fgClr>
                <a:srgbClr val="CCFFCC"/>
              </a:fgClr>
              <a:bgClr>
                <a:srgbClr val="FFFFFF"/>
              </a:bgClr>
            </a:pattFill>
            <a:ln w="12700">
              <a:solidFill>
                <a:srgbClr val="000000"/>
              </a:solidFill>
              <a:prstDash val="solid"/>
            </a:ln>
          </c:spPr>
          <c:cat>
            <c:numRef>
              <c:f>'Result(2-3SDGs)'!$T$24:$U$24</c:f>
              <c:numCache>
                <c:formatCode>General</c:formatCode>
                <c:ptCount val="2"/>
                <c:pt idx="0" formatCode="#,##0_);[Red]\(#,##0\)">
                  <c:v>0</c:v>
                </c:pt>
                <c:pt idx="1">
                  <c:v>0</c:v>
                </c:pt>
              </c:numCache>
            </c:numRef>
          </c:cat>
          <c:val>
            <c:numRef>
              <c:f>'Result(2-3SDGs)'!$T$31:$Z$31</c:f>
              <c:numCache>
                <c:formatCode>General</c:formatCode>
                <c:ptCount val="7"/>
                <c:pt idx="0">
                  <c:v>50</c:v>
                </c:pt>
                <c:pt idx="1">
                  <c:v>50</c:v>
                </c:pt>
                <c:pt idx="2">
                  <c:v>100</c:v>
                </c:pt>
                <c:pt idx="3">
                  <c:v>100</c:v>
                </c:pt>
                <c:pt idx="4">
                  <c:v>100</c:v>
                </c:pt>
                <c:pt idx="5">
                  <c:v>100</c:v>
                </c:pt>
                <c:pt idx="6">
                  <c:v>100</c:v>
                </c:pt>
              </c:numCache>
            </c:numRef>
          </c:val>
          <c:extLst>
            <c:ext xmlns:c16="http://schemas.microsoft.com/office/drawing/2014/chart" uri="{C3380CC4-5D6E-409C-BE32-E72D297353CC}">
              <c16:uniqueId val="{00000001-F416-481D-ABE7-C132EAE86441}"/>
            </c:ext>
          </c:extLst>
        </c:ser>
        <c:ser>
          <c:idx val="2"/>
          <c:order val="5"/>
          <c:tx>
            <c:strRef>
              <c:f>'Result(2-3SDGs)'!$S$32</c:f>
              <c:strCache>
                <c:ptCount val="1"/>
                <c:pt idx="0">
                  <c:v>B+</c:v>
                </c:pt>
              </c:strCache>
            </c:strRef>
          </c:tx>
          <c:spPr>
            <a:solidFill>
              <a:srgbClr val="FFFFCC"/>
            </a:solidFill>
            <a:ln w="12700">
              <a:solidFill>
                <a:srgbClr val="000000"/>
              </a:solidFill>
              <a:prstDash val="solid"/>
            </a:ln>
          </c:spPr>
          <c:cat>
            <c:numRef>
              <c:f>'Result(2-3SDGs)'!$T$24:$U$24</c:f>
              <c:numCache>
                <c:formatCode>General</c:formatCode>
                <c:ptCount val="2"/>
                <c:pt idx="0" formatCode="#,##0_);[Red]\(#,##0\)">
                  <c:v>0</c:v>
                </c:pt>
                <c:pt idx="1">
                  <c:v>0</c:v>
                </c:pt>
              </c:numCache>
            </c:numRef>
          </c:cat>
          <c:val>
            <c:numRef>
              <c:f>'Result(2-3SDGs)'!$T$32:$Z$32</c:f>
              <c:numCache>
                <c:formatCode>General</c:formatCode>
                <c:ptCount val="7"/>
                <c:pt idx="0">
                  <c:v>0</c:v>
                </c:pt>
                <c:pt idx="1">
                  <c:v>25</c:v>
                </c:pt>
                <c:pt idx="2">
                  <c:v>50</c:v>
                </c:pt>
                <c:pt idx="3">
                  <c:v>75</c:v>
                </c:pt>
                <c:pt idx="4">
                  <c:v>100</c:v>
                </c:pt>
                <c:pt idx="5">
                  <c:v>100</c:v>
                </c:pt>
                <c:pt idx="6">
                  <c:v>100</c:v>
                </c:pt>
              </c:numCache>
            </c:numRef>
          </c:val>
          <c:extLst>
            <c:ext xmlns:c16="http://schemas.microsoft.com/office/drawing/2014/chart" uri="{C3380CC4-5D6E-409C-BE32-E72D297353CC}">
              <c16:uniqueId val="{00000002-F416-481D-ABE7-C132EAE86441}"/>
            </c:ext>
          </c:extLst>
        </c:ser>
        <c:ser>
          <c:idx val="1"/>
          <c:order val="6"/>
          <c:tx>
            <c:strRef>
              <c:f>'Result(2-3SDGs)'!$S$34</c:f>
              <c:strCache>
                <c:ptCount val="1"/>
                <c:pt idx="0">
                  <c:v>B-</c:v>
                </c:pt>
              </c:strCache>
            </c:strRef>
          </c:tx>
          <c:spPr>
            <a:solidFill>
              <a:srgbClr val="FFFFFF"/>
            </a:solidFill>
            <a:ln w="12700">
              <a:solidFill>
                <a:srgbClr val="000000"/>
              </a:solidFill>
              <a:prstDash val="solid"/>
            </a:ln>
          </c:spPr>
          <c:cat>
            <c:numRef>
              <c:f>'Result(2-3SDGs)'!$T$24:$U$24</c:f>
              <c:numCache>
                <c:formatCode>General</c:formatCode>
                <c:ptCount val="2"/>
                <c:pt idx="0" formatCode="#,##0_);[Red]\(#,##0\)">
                  <c:v>0</c:v>
                </c:pt>
                <c:pt idx="1">
                  <c:v>0</c:v>
                </c:pt>
              </c:numCache>
            </c:numRef>
          </c:cat>
          <c:val>
            <c:numRef>
              <c:f>'Result(2-3SDGs)'!$T$34:$Z$34</c:f>
              <c:numCache>
                <c:formatCode>General</c:formatCode>
                <c:ptCount val="7"/>
                <c:pt idx="0">
                  <c:v>0</c:v>
                </c:pt>
                <c:pt idx="1">
                  <c:v>8.3333333333333339</c:v>
                </c:pt>
                <c:pt idx="2">
                  <c:v>16.666666666666668</c:v>
                </c:pt>
                <c:pt idx="3">
                  <c:v>25</c:v>
                </c:pt>
                <c:pt idx="4">
                  <c:v>33.333333333333336</c:v>
                </c:pt>
                <c:pt idx="5">
                  <c:v>41.666666666666671</c:v>
                </c:pt>
                <c:pt idx="6">
                  <c:v>50</c:v>
                </c:pt>
              </c:numCache>
            </c:numRef>
          </c:val>
          <c:extLst>
            <c:ext xmlns:c16="http://schemas.microsoft.com/office/drawing/2014/chart" uri="{C3380CC4-5D6E-409C-BE32-E72D297353CC}">
              <c16:uniqueId val="{00000003-F416-481D-ABE7-C132EAE86441}"/>
            </c:ext>
          </c:extLst>
        </c:ser>
        <c:ser>
          <c:idx val="0"/>
          <c:order val="7"/>
          <c:tx>
            <c:strRef>
              <c:f>'Result(2-3SDGs)'!$S$33</c:f>
              <c:strCache>
                <c:ptCount val="1"/>
                <c:pt idx="0">
                  <c:v>B</c:v>
                </c:pt>
              </c:strCache>
            </c:strRef>
          </c:tx>
          <c:spPr>
            <a:noFill/>
            <a:ln w="12700">
              <a:solidFill>
                <a:srgbClr val="000000"/>
              </a:solidFill>
              <a:prstDash val="solid"/>
            </a:ln>
          </c:spPr>
          <c:cat>
            <c:numRef>
              <c:f>'Result(2-3SDGs)'!$T$24:$U$24</c:f>
              <c:numCache>
                <c:formatCode>General</c:formatCode>
                <c:ptCount val="2"/>
                <c:pt idx="0" formatCode="#,##0_);[Red]\(#,##0\)">
                  <c:v>0</c:v>
                </c:pt>
                <c:pt idx="1">
                  <c:v>0</c:v>
                </c:pt>
              </c:numCache>
            </c:numRef>
          </c:cat>
          <c:val>
            <c:numRef>
              <c:f>'Result(2-3SDGs)'!$T$33:$Z$33</c:f>
              <c:numCache>
                <c:formatCode>General</c:formatCode>
                <c:ptCount val="7"/>
                <c:pt idx="0">
                  <c:v>0</c:v>
                </c:pt>
                <c:pt idx="1">
                  <c:v>16.666666666666668</c:v>
                </c:pt>
                <c:pt idx="2">
                  <c:v>33.333333333333336</c:v>
                </c:pt>
                <c:pt idx="3">
                  <c:v>50</c:v>
                </c:pt>
                <c:pt idx="4">
                  <c:v>66.666666666666671</c:v>
                </c:pt>
                <c:pt idx="5">
                  <c:v>83.333333333333343</c:v>
                </c:pt>
                <c:pt idx="6">
                  <c:v>100</c:v>
                </c:pt>
              </c:numCache>
            </c:numRef>
          </c:val>
          <c:extLst>
            <c:ext xmlns:c16="http://schemas.microsoft.com/office/drawing/2014/chart" uri="{C3380CC4-5D6E-409C-BE32-E72D297353CC}">
              <c16:uniqueId val="{00000004-F416-481D-ABE7-C132EAE86441}"/>
            </c:ext>
          </c:extLst>
        </c:ser>
        <c:dLbls>
          <c:showLegendKey val="0"/>
          <c:showVal val="0"/>
          <c:showCatName val="0"/>
          <c:showSerName val="0"/>
          <c:showPercent val="0"/>
          <c:showBubbleSize val="0"/>
        </c:dLbls>
        <c:axId val="500314216"/>
        <c:axId val="500325192"/>
      </c:areaChart>
      <c:scatterChart>
        <c:scatterStyle val="lineMarker"/>
        <c:varyColors val="0"/>
        <c:ser>
          <c:idx val="7"/>
          <c:order val="0"/>
          <c:spPr>
            <a:ln w="25400">
              <a:solidFill>
                <a:srgbClr val="008000"/>
              </a:solidFill>
              <a:prstDash val="sysDash"/>
            </a:ln>
          </c:spPr>
          <c:marker>
            <c:symbol val="none"/>
          </c:marker>
          <c:dPt>
            <c:idx val="1"/>
            <c:bubble3D val="0"/>
            <c:spPr>
              <a:ln w="19050">
                <a:noFill/>
              </a:ln>
            </c:spPr>
            <c:extLst>
              <c:ext xmlns:c16="http://schemas.microsoft.com/office/drawing/2014/chart" uri="{C3380CC4-5D6E-409C-BE32-E72D297353CC}">
                <c16:uniqueId val="{00000006-F416-481D-ABE7-C132EAE86441}"/>
              </c:ext>
            </c:extLst>
          </c:dPt>
          <c:dLbls>
            <c:dLbl>
              <c:idx val="2"/>
              <c:layout>
                <c:manualLayout>
                  <c:x val="-2.3856744869349086E-3"/>
                  <c:y val="0.27926509186351711"/>
                </c:manualLayout>
              </c:layout>
              <c:spPr>
                <a:noFill/>
                <a:ln w="25400">
                  <a:noFill/>
                </a:ln>
              </c:spPr>
              <c:txPr>
                <a:bodyPr/>
                <a:lstStyle/>
                <a:p>
                  <a:pPr>
                    <a:defRPr sz="800" b="1" i="0" u="none" strike="noStrike" baseline="0">
                      <a:solidFill>
                        <a:srgbClr val="FF0000"/>
                      </a:solidFill>
                      <a:latin typeface="ＭＳ Ｐゴシック"/>
                      <a:ea typeface="ＭＳ Ｐゴシック"/>
                      <a:cs typeface="ＭＳ Ｐゴシック"/>
                    </a:defRPr>
                  </a:pPr>
                  <a:endParaRPr lang="ja-JP"/>
                </a:p>
              </c:txPr>
              <c:dLblPos val="r"/>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416-481D-ABE7-C132EAE86441}"/>
                </c:ext>
              </c:extLst>
            </c:dLbl>
            <c:dLbl>
              <c:idx val="3"/>
              <c:layout>
                <c:manualLayout>
                  <c:x val="-5.2504187829763476E-3"/>
                  <c:y val="-3.9632545931758544E-2"/>
                </c:manualLayout>
              </c:layout>
              <c:spPr>
                <a:noFill/>
                <a:ln w="25400">
                  <a:noFill/>
                </a:ln>
              </c:spPr>
              <c:txPr>
                <a:bodyPr/>
                <a:lstStyle/>
                <a:p>
                  <a:pPr>
                    <a:defRPr sz="800" b="1" i="0" u="none" strike="noStrike" baseline="0">
                      <a:solidFill>
                        <a:srgbClr val="FF0000"/>
                      </a:solidFill>
                      <a:latin typeface="ＭＳ Ｐゴシック"/>
                      <a:ea typeface="ＭＳ Ｐゴシック"/>
                      <a:cs typeface="ＭＳ Ｐゴシック"/>
                    </a:defRPr>
                  </a:pPr>
                  <a:endParaRPr lang="ja-JP"/>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F416-481D-ABE7-C132EAE86441}"/>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howLeaderLines val="0"/>
              </c:ext>
            </c:extLst>
          </c:dLbls>
          <c:xVal>
            <c:numRef>
              <c:f>'Result(2-3SDGs)'!$R$26:$U$26</c:f>
              <c:numCache>
                <c:formatCode>General</c:formatCode>
                <c:ptCount val="4"/>
                <c:pt idx="0">
                  <c:v>0</c:v>
                </c:pt>
                <c:pt idx="1">
                  <c:v>0</c:v>
                </c:pt>
                <c:pt idx="2" formatCode="#,##0_);[Red]\(#,##0\)">
                  <c:v>0</c:v>
                </c:pt>
                <c:pt idx="3">
                  <c:v>0.1</c:v>
                </c:pt>
              </c:numCache>
            </c:numRef>
          </c:xVal>
          <c:yVal>
            <c:numRef>
              <c:f>'Result(2-3SDGs)'!$R$27:$U$27</c:f>
              <c:numCache>
                <c:formatCode>General</c:formatCode>
                <c:ptCount val="4"/>
                <c:pt idx="0">
                  <c:v>0</c:v>
                </c:pt>
                <c:pt idx="1">
                  <c:v>0</c:v>
                </c:pt>
                <c:pt idx="2">
                  <c:v>50.000000000000014</c:v>
                </c:pt>
                <c:pt idx="3" formatCode="#,##0_);[Red]\(#,##0\)">
                  <c:v>50.000000000000014</c:v>
                </c:pt>
              </c:numCache>
            </c:numRef>
          </c:yVal>
          <c:smooth val="0"/>
          <c:extLst>
            <c:ext xmlns:c16="http://schemas.microsoft.com/office/drawing/2014/chart" uri="{C3380CC4-5D6E-409C-BE32-E72D297353CC}">
              <c16:uniqueId val="{00000009-F416-481D-ABE7-C132EAE86441}"/>
            </c:ext>
          </c:extLst>
        </c:ser>
        <c:ser>
          <c:idx val="8"/>
          <c:order val="1"/>
          <c:spPr>
            <a:ln w="19050">
              <a:noFill/>
            </a:ln>
          </c:spPr>
          <c:marker>
            <c:symbol val="none"/>
          </c:marker>
          <c:dPt>
            <c:idx val="1"/>
            <c:marker>
              <c:symbol val="circle"/>
              <c:size val="6"/>
              <c:spPr>
                <a:solidFill>
                  <a:srgbClr val="008000"/>
                </a:solidFill>
                <a:ln>
                  <a:solidFill>
                    <a:srgbClr val="000000"/>
                  </a:solidFill>
                  <a:prstDash val="solid"/>
                </a:ln>
              </c:spPr>
            </c:marker>
            <c:bubble3D val="0"/>
            <c:extLst>
              <c:ext xmlns:c16="http://schemas.microsoft.com/office/drawing/2014/chart" uri="{C3380CC4-5D6E-409C-BE32-E72D297353CC}">
                <c16:uniqueId val="{0000000A-F416-481D-ABE7-C132EAE86441}"/>
              </c:ext>
            </c:extLst>
          </c:dPt>
          <c:dPt>
            <c:idx val="3"/>
            <c:marker>
              <c:symbol val="circle"/>
              <c:size val="6"/>
              <c:spPr>
                <a:solidFill>
                  <a:srgbClr val="008000"/>
                </a:solidFill>
                <a:ln>
                  <a:solidFill>
                    <a:srgbClr val="000000"/>
                  </a:solidFill>
                  <a:prstDash val="solid"/>
                </a:ln>
              </c:spPr>
            </c:marker>
            <c:bubble3D val="0"/>
            <c:extLst>
              <c:ext xmlns:c16="http://schemas.microsoft.com/office/drawing/2014/chart" uri="{C3380CC4-5D6E-409C-BE32-E72D297353CC}">
                <c16:uniqueId val="{0000000B-F416-481D-ABE7-C132EAE86441}"/>
              </c:ext>
            </c:extLst>
          </c:dPt>
          <c:xVal>
            <c:numRef>
              <c:f>'Result(2-3SDGs)'!$R$26:$U$26</c:f>
              <c:numCache>
                <c:formatCode>General</c:formatCode>
                <c:ptCount val="4"/>
                <c:pt idx="0">
                  <c:v>0</c:v>
                </c:pt>
                <c:pt idx="1">
                  <c:v>0</c:v>
                </c:pt>
                <c:pt idx="2" formatCode="#,##0_);[Red]\(#,##0\)">
                  <c:v>0</c:v>
                </c:pt>
                <c:pt idx="3">
                  <c:v>0.1</c:v>
                </c:pt>
              </c:numCache>
            </c:numRef>
          </c:xVal>
          <c:yVal>
            <c:numRef>
              <c:f>'Result(2-3SDGs)'!$R$27:$U$27</c:f>
              <c:numCache>
                <c:formatCode>General</c:formatCode>
                <c:ptCount val="4"/>
                <c:pt idx="0">
                  <c:v>0</c:v>
                </c:pt>
                <c:pt idx="1">
                  <c:v>0</c:v>
                </c:pt>
                <c:pt idx="2">
                  <c:v>50.000000000000014</c:v>
                </c:pt>
                <c:pt idx="3" formatCode="#,##0_);[Red]\(#,##0\)">
                  <c:v>50.000000000000014</c:v>
                </c:pt>
              </c:numCache>
            </c:numRef>
          </c:yVal>
          <c:smooth val="0"/>
          <c:extLst>
            <c:ext xmlns:c16="http://schemas.microsoft.com/office/drawing/2014/chart" uri="{C3380CC4-5D6E-409C-BE32-E72D297353CC}">
              <c16:uniqueId val="{0000000C-F416-481D-ABE7-C132EAE86441}"/>
            </c:ext>
          </c:extLst>
        </c:ser>
        <c:ser>
          <c:idx val="5"/>
          <c:order val="2"/>
          <c:tx>
            <c:strRef>
              <c:f>'Result(2-3SDGs)'!$S$12</c:f>
              <c:strCache>
                <c:ptCount val="1"/>
                <c:pt idx="0">
                  <c:v>#VALUE!</c:v>
                </c:pt>
              </c:strCache>
            </c:strRef>
          </c:tx>
          <c:spPr>
            <a:ln w="12700">
              <a:solidFill>
                <a:srgbClr val="800000"/>
              </a:solidFill>
              <a:prstDash val="solid"/>
            </a:ln>
          </c:spPr>
          <c:marker>
            <c:symbol val="none"/>
          </c:marker>
          <c:dPt>
            <c:idx val="0"/>
            <c:marker>
              <c:symbol val="circle"/>
              <c:size val="20"/>
              <c:spPr>
                <a:noFill/>
                <a:ln>
                  <a:solidFill>
                    <a:srgbClr val="FF0000"/>
                  </a:solidFill>
                  <a:prstDash val="solid"/>
                </a:ln>
              </c:spPr>
            </c:marker>
            <c:bubble3D val="0"/>
            <c:extLst>
              <c:ext xmlns:c16="http://schemas.microsoft.com/office/drawing/2014/chart" uri="{C3380CC4-5D6E-409C-BE32-E72D297353CC}">
                <c16:uniqueId val="{0000000D-F416-481D-ABE7-C132EAE86441}"/>
              </c:ext>
            </c:extLst>
          </c:dPt>
          <c:dPt>
            <c:idx val="1"/>
            <c:marker>
              <c:symbol val="triangle"/>
              <c:size val="20"/>
              <c:spPr>
                <a:solidFill>
                  <a:srgbClr val="339966"/>
                </a:solidFill>
                <a:ln>
                  <a:solidFill>
                    <a:srgbClr val="000000"/>
                  </a:solidFill>
                  <a:prstDash val="solid"/>
                </a:ln>
              </c:spPr>
            </c:marker>
            <c:bubble3D val="0"/>
            <c:spPr>
              <a:ln w="19050">
                <a:noFill/>
              </a:ln>
            </c:spPr>
            <c:extLst>
              <c:ext xmlns:c16="http://schemas.microsoft.com/office/drawing/2014/chart" uri="{C3380CC4-5D6E-409C-BE32-E72D297353CC}">
                <c16:uniqueId val="{0000000F-F416-481D-ABE7-C132EAE86441}"/>
              </c:ext>
            </c:extLst>
          </c:dPt>
          <c:dPt>
            <c:idx val="2"/>
            <c:bubble3D val="0"/>
            <c:spPr>
              <a:ln w="38100">
                <a:solidFill>
                  <a:srgbClr val="008000"/>
                </a:solidFill>
                <a:prstDash val="solid"/>
              </a:ln>
            </c:spPr>
            <c:extLst>
              <c:ext xmlns:c16="http://schemas.microsoft.com/office/drawing/2014/chart" uri="{C3380CC4-5D6E-409C-BE32-E72D297353CC}">
                <c16:uniqueId val="{00000011-F416-481D-ABE7-C132EAE86441}"/>
              </c:ext>
            </c:extLst>
          </c:dPt>
          <c:dLbls>
            <c:dLbl>
              <c:idx val="1"/>
              <c:layout>
                <c:manualLayout>
                  <c:x val="-1.603755162004069E-2"/>
                  <c:y val="-5.0183727034120738E-2"/>
                </c:manualLayout>
              </c:layout>
              <c:spPr>
                <a:noFill/>
                <a:ln w="25400">
                  <a:noFill/>
                </a:ln>
              </c:spPr>
              <c:txPr>
                <a:bodyPr/>
                <a:lstStyle/>
                <a:p>
                  <a:pPr>
                    <a:defRPr sz="1875" b="1" i="0" u="none" strike="noStrike" baseline="0">
                      <a:solidFill>
                        <a:srgbClr val="FF0000"/>
                      </a:solidFill>
                      <a:latin typeface="ＭＳ Ｐゴシック"/>
                      <a:ea typeface="ＭＳ Ｐゴシック"/>
                      <a:cs typeface="ＭＳ Ｐゴシック"/>
                    </a:defRPr>
                  </a:pPr>
                  <a:endParaRPr lang="ja-JP"/>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F-F416-481D-ABE7-C132EAE86441}"/>
                </c:ext>
              </c:extLst>
            </c:dLbl>
            <c:spPr>
              <a:noFill/>
              <a:ln>
                <a:noFill/>
              </a:ln>
              <a:effectLst/>
            </c:spPr>
            <c:showLegendKey val="0"/>
            <c:showVal val="0"/>
            <c:showCatName val="0"/>
            <c:showSerName val="0"/>
            <c:showPercent val="0"/>
            <c:showBubbleSize val="0"/>
            <c:extLst>
              <c:ext xmlns:c15="http://schemas.microsoft.com/office/drawing/2012/chart" uri="{CE6537A1-D6FC-4f65-9D91-7224C49458BB}">
                <c15:showLeaderLines val="0"/>
              </c:ext>
            </c:extLst>
          </c:dLbls>
          <c:xVal>
            <c:numRef>
              <c:f>'Result(2-3SDGs)'!$S$24:$U$24</c:f>
              <c:numCache>
                <c:formatCode>#,##0_);[Red]\(#,##0\)</c:formatCode>
                <c:ptCount val="3"/>
                <c:pt idx="1">
                  <c:v>0</c:v>
                </c:pt>
                <c:pt idx="2" formatCode="General">
                  <c:v>0</c:v>
                </c:pt>
              </c:numCache>
            </c:numRef>
          </c:xVal>
          <c:yVal>
            <c:numRef>
              <c:f>'Result(2-3SDGs)'!$S$25:$U$25</c:f>
              <c:numCache>
                <c:formatCode>#,##0_);[Red]\(#,##0\)</c:formatCode>
                <c:ptCount val="3"/>
                <c:pt idx="1">
                  <c:v>50.000000000000014</c:v>
                </c:pt>
                <c:pt idx="2" formatCode="General">
                  <c:v>0</c:v>
                </c:pt>
              </c:numCache>
            </c:numRef>
          </c:yVal>
          <c:smooth val="0"/>
          <c:extLst>
            <c:ext xmlns:c16="http://schemas.microsoft.com/office/drawing/2014/chart" uri="{C3380CC4-5D6E-409C-BE32-E72D297353CC}">
              <c16:uniqueId val="{00000012-F416-481D-ABE7-C132EAE86441}"/>
            </c:ext>
          </c:extLst>
        </c:ser>
        <c:dLbls>
          <c:showLegendKey val="0"/>
          <c:showVal val="0"/>
          <c:showCatName val="0"/>
          <c:showSerName val="0"/>
          <c:showPercent val="0"/>
          <c:showBubbleSize val="0"/>
        </c:dLbls>
        <c:axId val="500324800"/>
        <c:axId val="500314608"/>
      </c:scatterChart>
      <c:catAx>
        <c:axId val="500314216"/>
        <c:scaling>
          <c:orientation val="minMax"/>
        </c:scaling>
        <c:delete val="0"/>
        <c:axPos val="b"/>
        <c:numFmt formatCode="#,##0_);[Red]\(#,##0\)" sourceLinked="1"/>
        <c:majorTickMark val="none"/>
        <c:minorTickMark val="none"/>
        <c:tickLblPos val="none"/>
        <c:spPr>
          <a:ln w="3175">
            <a:solidFill>
              <a:srgbClr val="000000"/>
            </a:solidFill>
            <a:prstDash val="solid"/>
          </a:ln>
        </c:spPr>
        <c:crossAx val="500325192"/>
        <c:crosses val="autoZero"/>
        <c:auto val="0"/>
        <c:lblAlgn val="ctr"/>
        <c:lblOffset val="100"/>
        <c:tickLblSkip val="50"/>
        <c:tickMarkSkip val="50"/>
        <c:noMultiLvlLbl val="0"/>
      </c:catAx>
      <c:valAx>
        <c:axId val="500325192"/>
        <c:scaling>
          <c:orientation val="minMax"/>
          <c:max val="100"/>
          <c:min val="0"/>
        </c:scaling>
        <c:delete val="0"/>
        <c:axPos val="l"/>
        <c:numFmt formatCode="General" sourceLinked="1"/>
        <c:majorTickMark val="none"/>
        <c:minorTickMark val="none"/>
        <c:tickLblPos val="nextTo"/>
        <c:spPr>
          <a:ln w="3175">
            <a:solidFill>
              <a:srgbClr val="000000"/>
            </a:solidFill>
            <a:prstDash val="solid"/>
          </a:ln>
        </c:spPr>
        <c:txPr>
          <a:bodyPr rot="0" vert="horz"/>
          <a:lstStyle/>
          <a:p>
            <a:pPr>
              <a:defRPr sz="1000" b="0" i="0" u="none" strike="noStrike" baseline="0">
                <a:solidFill>
                  <a:srgbClr val="000000"/>
                </a:solidFill>
                <a:latin typeface="ＭＳ Ｐゴシック"/>
                <a:ea typeface="ＭＳ Ｐゴシック"/>
                <a:cs typeface="ＭＳ Ｐゴシック"/>
              </a:defRPr>
            </a:pPr>
            <a:endParaRPr lang="ja-JP"/>
          </a:p>
        </c:txPr>
        <c:crossAx val="500314216"/>
        <c:crosses val="autoZero"/>
        <c:crossBetween val="midCat"/>
        <c:majorUnit val="50"/>
      </c:valAx>
      <c:valAx>
        <c:axId val="500324800"/>
        <c:scaling>
          <c:orientation val="minMax"/>
          <c:max val="100"/>
          <c:min val="0"/>
        </c:scaling>
        <c:delete val="0"/>
        <c:axPos val="t"/>
        <c:numFmt formatCode="General" sourceLinked="1"/>
        <c:majorTickMark val="none"/>
        <c:minorTickMark val="none"/>
        <c:tickLblPos val="low"/>
        <c:spPr>
          <a:ln w="3175">
            <a:solidFill>
              <a:srgbClr val="000000"/>
            </a:solidFill>
            <a:prstDash val="solid"/>
          </a:ln>
        </c:spPr>
        <c:txPr>
          <a:bodyPr rot="0" vert="horz"/>
          <a:lstStyle/>
          <a:p>
            <a:pPr>
              <a:defRPr sz="1000" b="0" i="0" u="none" strike="noStrike" baseline="0">
                <a:solidFill>
                  <a:srgbClr val="000000"/>
                </a:solidFill>
                <a:latin typeface="ＭＳ Ｐゴシック"/>
                <a:ea typeface="ＭＳ Ｐゴシック"/>
                <a:cs typeface="ＭＳ Ｐゴシック"/>
              </a:defRPr>
            </a:pPr>
            <a:endParaRPr lang="ja-JP"/>
          </a:p>
        </c:txPr>
        <c:crossAx val="500314608"/>
        <c:crosses val="max"/>
        <c:crossBetween val="midCat"/>
        <c:majorUnit val="50"/>
      </c:valAx>
      <c:valAx>
        <c:axId val="500314608"/>
        <c:scaling>
          <c:orientation val="minMax"/>
          <c:max val="100"/>
        </c:scaling>
        <c:delete val="0"/>
        <c:axPos val="r"/>
        <c:numFmt formatCode="General" sourceLinked="1"/>
        <c:majorTickMark val="in"/>
        <c:minorTickMark val="none"/>
        <c:tickLblPos val="none"/>
        <c:spPr>
          <a:ln w="3175">
            <a:solidFill>
              <a:srgbClr val="000000"/>
            </a:solidFill>
            <a:prstDash val="solid"/>
          </a:ln>
        </c:spPr>
        <c:crossAx val="500324800"/>
        <c:crosses val="max"/>
        <c:crossBetween val="midCat"/>
        <c:majorUnit val="50"/>
      </c:valAx>
      <c:spPr>
        <a:solidFill>
          <a:srgbClr val="C0C0C0"/>
        </a:solidFill>
        <a:ln w="12700">
          <a:solidFill>
            <a:srgbClr val="808080"/>
          </a:solidFill>
          <a:prstDash val="solid"/>
        </a:ln>
      </c:spPr>
    </c:plotArea>
    <c:plotVisOnly val="0"/>
    <c:dispBlanksAs val="gap"/>
    <c:showDLblsOverMax val="0"/>
  </c:chart>
  <c:spPr>
    <a:noFill/>
    <a:ln w="635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c:printSettings>
  <c:userShapes r:id="rId1"/>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8268029528676891E-2"/>
          <c:y val="0.16440829511695654"/>
          <c:w val="0.89773059352285123"/>
          <c:h val="0.67979637160739526"/>
        </c:manualLayout>
      </c:layout>
      <c:barChart>
        <c:barDir val="bar"/>
        <c:grouping val="stacked"/>
        <c:varyColors val="0"/>
        <c:ser>
          <c:idx val="0"/>
          <c:order val="0"/>
          <c:tx>
            <c:strRef>
              <c:f>'Result(2-3SDGs)'!$S$39</c:f>
              <c:strCache>
                <c:ptCount val="1"/>
                <c:pt idx="0">
                  <c:v>Construction</c:v>
                </c:pt>
              </c:strCache>
            </c:strRef>
          </c:tx>
          <c:spPr>
            <a:solidFill>
              <a:srgbClr val="9999FF"/>
            </a:solidFill>
            <a:ln w="12700">
              <a:solidFill>
                <a:srgbClr val="000000"/>
              </a:solidFill>
              <a:prstDash val="solid"/>
            </a:ln>
          </c:spPr>
          <c:invertIfNegative val="0"/>
          <c:dPt>
            <c:idx val="0"/>
            <c:invertIfNegative val="0"/>
            <c:bubble3D val="0"/>
            <c:spPr>
              <a:solidFill>
                <a:srgbClr val="9999FF"/>
              </a:solidFill>
              <a:ln w="12700">
                <a:solidFill>
                  <a:srgbClr val="000000"/>
                </a:solidFill>
                <a:prstDash val="sysDash"/>
              </a:ln>
            </c:spPr>
            <c:extLst>
              <c:ext xmlns:c16="http://schemas.microsoft.com/office/drawing/2014/chart" uri="{C3380CC4-5D6E-409C-BE32-E72D297353CC}">
                <c16:uniqueId val="{00000001-5DBA-4C74-85E2-5D23E0D3FE32}"/>
              </c:ext>
            </c:extLst>
          </c:dPt>
          <c:val>
            <c:numRef>
              <c:f>'Result(2-3SDGs)'!$S$40:$S$43</c:f>
              <c:numCache>
                <c:formatCode>General</c:formatCode>
                <c:ptCount val="4"/>
                <c:pt idx="0">
                  <c:v>18.22</c:v>
                </c:pt>
                <c:pt idx="1">
                  <c:v>18.22</c:v>
                </c:pt>
                <c:pt idx="2">
                  <c:v>0</c:v>
                </c:pt>
                <c:pt idx="3">
                  <c:v>0</c:v>
                </c:pt>
              </c:numCache>
            </c:numRef>
          </c:val>
          <c:extLst>
            <c:ext xmlns:c16="http://schemas.microsoft.com/office/drawing/2014/chart" uri="{C3380CC4-5D6E-409C-BE32-E72D297353CC}">
              <c16:uniqueId val="{00000002-5DBA-4C74-85E2-5D23E0D3FE32}"/>
            </c:ext>
          </c:extLst>
        </c:ser>
        <c:ser>
          <c:idx val="1"/>
          <c:order val="1"/>
          <c:tx>
            <c:strRef>
              <c:f>'Result(2-3SDGs)'!$T$39</c:f>
              <c:strCache>
                <c:ptCount val="1"/>
                <c:pt idx="0">
                  <c:v>Repair, renewal/demolition</c:v>
                </c:pt>
              </c:strCache>
            </c:strRef>
          </c:tx>
          <c:spPr>
            <a:solidFill>
              <a:srgbClr val="99CC00"/>
            </a:solidFill>
            <a:ln w="12700">
              <a:solidFill>
                <a:srgbClr val="000000"/>
              </a:solidFill>
              <a:prstDash val="solid"/>
            </a:ln>
          </c:spPr>
          <c:invertIfNegative val="0"/>
          <c:dPt>
            <c:idx val="0"/>
            <c:invertIfNegative val="0"/>
            <c:bubble3D val="0"/>
            <c:spPr>
              <a:solidFill>
                <a:srgbClr val="99CC00"/>
              </a:solidFill>
              <a:ln w="12700">
                <a:solidFill>
                  <a:srgbClr val="000000"/>
                </a:solidFill>
                <a:prstDash val="sysDash"/>
              </a:ln>
            </c:spPr>
            <c:extLst>
              <c:ext xmlns:c16="http://schemas.microsoft.com/office/drawing/2014/chart" uri="{C3380CC4-5D6E-409C-BE32-E72D297353CC}">
                <c16:uniqueId val="{00000004-5DBA-4C74-85E2-5D23E0D3FE32}"/>
              </c:ext>
            </c:extLst>
          </c:dPt>
          <c:val>
            <c:numRef>
              <c:f>'Result(2-3SDGs)'!$T$40:$T$43</c:f>
              <c:numCache>
                <c:formatCode>General</c:formatCode>
                <c:ptCount val="4"/>
                <c:pt idx="0">
                  <c:v>20.11</c:v>
                </c:pt>
                <c:pt idx="1">
                  <c:v>20.11</c:v>
                </c:pt>
                <c:pt idx="2">
                  <c:v>0</c:v>
                </c:pt>
                <c:pt idx="3">
                  <c:v>0</c:v>
                </c:pt>
              </c:numCache>
            </c:numRef>
          </c:val>
          <c:extLst>
            <c:ext xmlns:c16="http://schemas.microsoft.com/office/drawing/2014/chart" uri="{C3380CC4-5D6E-409C-BE32-E72D297353CC}">
              <c16:uniqueId val="{00000005-5DBA-4C74-85E2-5D23E0D3FE32}"/>
            </c:ext>
          </c:extLst>
        </c:ser>
        <c:ser>
          <c:idx val="2"/>
          <c:order val="2"/>
          <c:tx>
            <c:strRef>
              <c:f>'Result(2-3SDGs)'!$U$39</c:f>
              <c:strCache>
                <c:ptCount val="1"/>
                <c:pt idx="0">
                  <c:v>Operation</c:v>
                </c:pt>
              </c:strCache>
            </c:strRef>
          </c:tx>
          <c:spPr>
            <a:solidFill>
              <a:srgbClr val="FFFFCC"/>
            </a:solidFill>
            <a:ln w="12700">
              <a:solidFill>
                <a:srgbClr val="000000"/>
              </a:solidFill>
              <a:prstDash val="solid"/>
            </a:ln>
          </c:spPr>
          <c:invertIfNegative val="0"/>
          <c:dPt>
            <c:idx val="0"/>
            <c:invertIfNegative val="0"/>
            <c:bubble3D val="0"/>
            <c:spPr>
              <a:solidFill>
                <a:srgbClr val="FFFFCC"/>
              </a:solidFill>
              <a:ln w="12700">
                <a:solidFill>
                  <a:srgbClr val="000000"/>
                </a:solidFill>
                <a:prstDash val="sysDash"/>
              </a:ln>
            </c:spPr>
            <c:extLst>
              <c:ext xmlns:c16="http://schemas.microsoft.com/office/drawing/2014/chart" uri="{C3380CC4-5D6E-409C-BE32-E72D297353CC}">
                <c16:uniqueId val="{00000007-5DBA-4C74-85E2-5D23E0D3FE32}"/>
              </c:ext>
            </c:extLst>
          </c:dPt>
          <c:val>
            <c:numRef>
              <c:f>'Result(2-3SDGs)'!$U$40:$U$43</c:f>
              <c:numCache>
                <c:formatCode>General</c:formatCode>
                <c:ptCount val="4"/>
                <c:pt idx="0">
                  <c:v>0</c:v>
                </c:pt>
                <c:pt idx="1">
                  <c:v>0</c:v>
                </c:pt>
                <c:pt idx="2">
                  <c:v>0</c:v>
                </c:pt>
                <c:pt idx="3">
                  <c:v>0</c:v>
                </c:pt>
              </c:numCache>
            </c:numRef>
          </c:val>
          <c:extLst>
            <c:ext xmlns:c16="http://schemas.microsoft.com/office/drawing/2014/chart" uri="{C3380CC4-5D6E-409C-BE32-E72D297353CC}">
              <c16:uniqueId val="{00000008-5DBA-4C74-85E2-5D23E0D3FE32}"/>
            </c:ext>
          </c:extLst>
        </c:ser>
        <c:ser>
          <c:idx val="3"/>
          <c:order val="3"/>
          <c:tx>
            <c:strRef>
              <c:f>'Result(2-3SDGs)'!$V$39</c:f>
              <c:strCache>
                <c:ptCount val="1"/>
                <c:pt idx="0">
                  <c:v>On-site</c:v>
                </c:pt>
              </c:strCache>
            </c:strRef>
          </c:tx>
          <c:spPr>
            <a:solidFill>
              <a:srgbClr val="C0C0C0"/>
            </a:solidFill>
            <a:ln w="12700">
              <a:solidFill>
                <a:srgbClr val="000000"/>
              </a:solidFill>
              <a:prstDash val="solid"/>
            </a:ln>
          </c:spPr>
          <c:invertIfNegative val="0"/>
          <c:val>
            <c:numRef>
              <c:f>'Result(2-3SDGs)'!$V$40:$V$43</c:f>
              <c:numCache>
                <c:formatCode>General</c:formatCode>
                <c:ptCount val="4"/>
                <c:pt idx="0">
                  <c:v>0</c:v>
                </c:pt>
                <c:pt idx="1">
                  <c:v>0</c:v>
                </c:pt>
                <c:pt idx="2">
                  <c:v>0</c:v>
                </c:pt>
                <c:pt idx="3">
                  <c:v>0</c:v>
                </c:pt>
              </c:numCache>
            </c:numRef>
          </c:val>
          <c:extLst>
            <c:ext xmlns:c16="http://schemas.microsoft.com/office/drawing/2014/chart" uri="{C3380CC4-5D6E-409C-BE32-E72D297353CC}">
              <c16:uniqueId val="{00000009-5DBA-4C74-85E2-5D23E0D3FE32}"/>
            </c:ext>
          </c:extLst>
        </c:ser>
        <c:ser>
          <c:idx val="4"/>
          <c:order val="4"/>
          <c:tx>
            <c:strRef>
              <c:f>'Result(2-3SDGs)'!$W$39</c:f>
              <c:strCache>
                <c:ptCount val="1"/>
                <c:pt idx="0">
                  <c:v>Off-site</c:v>
                </c:pt>
              </c:strCache>
            </c:strRef>
          </c:tx>
          <c:spPr>
            <a:pattFill prst="pct60">
              <a:fgClr>
                <a:srgbClr val="C0C0C0"/>
              </a:fgClr>
              <a:bgClr>
                <a:srgbClr val="FFFFFF"/>
              </a:bgClr>
            </a:pattFill>
            <a:ln w="12700">
              <a:solidFill>
                <a:srgbClr val="000000"/>
              </a:solidFill>
              <a:prstDash val="solid"/>
            </a:ln>
          </c:spPr>
          <c:invertIfNegative val="0"/>
          <c:val>
            <c:numRef>
              <c:f>'Result(2-3SDGs)'!$W$40:$W$43</c:f>
              <c:numCache>
                <c:formatCode>General</c:formatCode>
                <c:ptCount val="4"/>
                <c:pt idx="0">
                  <c:v>0</c:v>
                </c:pt>
                <c:pt idx="1">
                  <c:v>0</c:v>
                </c:pt>
                <c:pt idx="2">
                  <c:v>0</c:v>
                </c:pt>
                <c:pt idx="3">
                  <c:v>0</c:v>
                </c:pt>
              </c:numCache>
            </c:numRef>
          </c:val>
          <c:extLst>
            <c:ext xmlns:c16="http://schemas.microsoft.com/office/drawing/2014/chart" uri="{C3380CC4-5D6E-409C-BE32-E72D297353CC}">
              <c16:uniqueId val="{0000000A-5DBA-4C74-85E2-5D23E0D3FE32}"/>
            </c:ext>
          </c:extLst>
        </c:ser>
        <c:ser>
          <c:idx val="5"/>
          <c:order val="5"/>
          <c:tx>
            <c:strRef>
              <c:f>'Result(2-3SDGs)'!$X$39</c:f>
              <c:strCache>
                <c:ptCount val="1"/>
              </c:strCache>
            </c:strRef>
          </c:tx>
          <c:spPr>
            <a:pattFill prst="pct60">
              <a:fgClr>
                <a:srgbClr val="C0C0C0"/>
              </a:fgClr>
              <a:bgClr>
                <a:schemeClr val="bg1"/>
              </a:bgClr>
            </a:pattFill>
            <a:ln w="12700">
              <a:solidFill>
                <a:srgbClr val="000000"/>
              </a:solidFill>
              <a:prstDash val="sysDash"/>
            </a:ln>
          </c:spPr>
          <c:invertIfNegative val="0"/>
          <c:val>
            <c:numRef>
              <c:f>'Result(2-3SDGs)'!$X$40:$X$43</c:f>
              <c:numCache>
                <c:formatCode>General</c:formatCode>
                <c:ptCount val="4"/>
                <c:pt idx="0">
                  <c:v>0</c:v>
                </c:pt>
                <c:pt idx="1">
                  <c:v>0</c:v>
                </c:pt>
                <c:pt idx="2">
                  <c:v>0</c:v>
                </c:pt>
                <c:pt idx="3">
                  <c:v>0</c:v>
                </c:pt>
              </c:numCache>
            </c:numRef>
          </c:val>
          <c:extLst>
            <c:ext xmlns:c16="http://schemas.microsoft.com/office/drawing/2014/chart" uri="{C3380CC4-5D6E-409C-BE32-E72D297353CC}">
              <c16:uniqueId val="{00000006-82C4-40E1-AF09-9CB2151AFA18}"/>
            </c:ext>
          </c:extLst>
        </c:ser>
        <c:dLbls>
          <c:showLegendKey val="0"/>
          <c:showVal val="0"/>
          <c:showCatName val="0"/>
          <c:showSerName val="0"/>
          <c:showPercent val="0"/>
          <c:showBubbleSize val="0"/>
        </c:dLbls>
        <c:gapWidth val="50"/>
        <c:overlap val="100"/>
        <c:axId val="500315000"/>
        <c:axId val="500315392"/>
      </c:barChart>
      <c:catAx>
        <c:axId val="500315000"/>
        <c:scaling>
          <c:orientation val="maxMin"/>
        </c:scaling>
        <c:delete val="1"/>
        <c:axPos val="l"/>
        <c:majorTickMark val="out"/>
        <c:minorTickMark val="none"/>
        <c:tickLblPos val="nextTo"/>
        <c:crossAx val="500315392"/>
        <c:crosses val="autoZero"/>
        <c:auto val="1"/>
        <c:lblAlgn val="ctr"/>
        <c:lblOffset val="100"/>
        <c:noMultiLvlLbl val="0"/>
      </c:catAx>
      <c:valAx>
        <c:axId val="500315392"/>
        <c:scaling>
          <c:orientation val="minMax"/>
        </c:scaling>
        <c:delete val="0"/>
        <c:axPos val="b"/>
        <c:majorGridlines>
          <c:spPr>
            <a:ln w="3175">
              <a:solidFill>
                <a:srgbClr val="000000"/>
              </a:solidFill>
              <a:prstDash val="solid"/>
            </a:ln>
          </c:spPr>
        </c:majorGridlines>
        <c:numFmt formatCode="#,##0" sourceLinked="0"/>
        <c:majorTickMark val="in"/>
        <c:minorTickMark val="none"/>
        <c:tickLblPos val="nextTo"/>
        <c:spPr>
          <a:ln w="6350">
            <a:noFill/>
          </a:ln>
        </c:spPr>
        <c:txPr>
          <a:bodyPr rot="0" vert="horz"/>
          <a:lstStyle/>
          <a:p>
            <a:pPr>
              <a:defRPr sz="1000" b="0" i="0" u="none" strike="noStrike" baseline="0">
                <a:solidFill>
                  <a:srgbClr val="000000"/>
                </a:solidFill>
                <a:latin typeface="ＭＳ Ｐゴシック"/>
                <a:ea typeface="ＭＳ Ｐゴシック"/>
                <a:cs typeface="ＭＳ Ｐゴシック"/>
              </a:defRPr>
            </a:pPr>
            <a:endParaRPr lang="ja-JP"/>
          </a:p>
        </c:txPr>
        <c:crossAx val="500315000"/>
        <c:crosses val="max"/>
        <c:crossBetween val="between"/>
      </c:valAx>
      <c:spPr>
        <a:noFill/>
        <a:ln w="3175">
          <a:solidFill>
            <a:srgbClr val="000000"/>
          </a:solidFill>
          <a:prstDash val="solid"/>
        </a:ln>
      </c:spPr>
    </c:plotArea>
    <c:legend>
      <c:legendPos val="t"/>
      <c:legendEntry>
        <c:idx val="5"/>
        <c:delete val="1"/>
      </c:legendEntry>
      <c:layout>
        <c:manualLayout>
          <c:xMode val="edge"/>
          <c:yMode val="edge"/>
          <c:x val="3.3242273287267664E-2"/>
          <c:y val="0"/>
          <c:w val="0.9667577267127323"/>
          <c:h val="0.14403674540682412"/>
        </c:manualLayout>
      </c:layout>
      <c:overlay val="0"/>
      <c:spPr>
        <a:noFill/>
        <a:ln w="25400">
          <a:noFill/>
        </a:ln>
      </c:spPr>
      <c:txPr>
        <a:bodyPr/>
        <a:lstStyle/>
        <a:p>
          <a:pPr>
            <a:defRPr sz="700" b="0" i="0" u="none" strike="noStrike" baseline="0">
              <a:solidFill>
                <a:srgbClr val="000000"/>
              </a:solidFill>
              <a:latin typeface="ＭＳ Ｐゴシック"/>
              <a:ea typeface="ＭＳ Ｐゴシック"/>
              <a:cs typeface="ＭＳ Ｐゴシック"/>
            </a:defRPr>
          </a:pPr>
          <a:endParaRPr lang="ja-JP"/>
        </a:p>
      </c:txPr>
    </c:legend>
    <c:plotVisOnly val="0"/>
    <c:dispBlanksAs val="gap"/>
    <c:showDLblsOverMax val="0"/>
  </c:chart>
  <c:spPr>
    <a:noFill/>
    <a:ln w="6350">
      <a:noFill/>
    </a:ln>
  </c:spPr>
  <c:txPr>
    <a:bodyPr/>
    <a:lstStyle/>
    <a:p>
      <a:pPr>
        <a:defRPr sz="5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verticalDpi="300"/>
  </c:printSettings>
  <c:userShapes r:id="rId1"/>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924969694061724E-2"/>
          <c:y val="8.4337597472695883E-2"/>
          <c:w val="0.90462555408004719"/>
          <c:h val="0.72289369262310754"/>
        </c:manualLayout>
      </c:layout>
      <c:barChart>
        <c:barDir val="col"/>
        <c:grouping val="clustered"/>
        <c:varyColors val="0"/>
        <c:ser>
          <c:idx val="0"/>
          <c:order val="0"/>
          <c:spPr>
            <a:solidFill>
              <a:srgbClr val="FFFF99"/>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7686-4F85-8417-9B126781CD9F}"/>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7686-4F85-8417-9B126781CD9F}"/>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7686-4F85-8417-9B126781CD9F}"/>
                </c:ext>
              </c:extLst>
            </c:dLbl>
            <c:dLbl>
              <c:idx val="3"/>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3-7686-4F85-8417-9B126781CD9F}"/>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'Result(2-3SDGs)'!$R$49:$R$52</c:f>
              <c:strCache>
                <c:ptCount val="4"/>
                <c:pt idx="0">
                  <c:v>音環境</c:v>
                </c:pt>
                <c:pt idx="1">
                  <c:v>温熱環境</c:v>
                </c:pt>
                <c:pt idx="2">
                  <c:v>光・視環境</c:v>
                </c:pt>
                <c:pt idx="3">
                  <c:v>空気質環境</c:v>
                </c:pt>
              </c:strCache>
            </c:strRef>
          </c:cat>
          <c:val>
            <c:numRef>
              <c:f>'Result(2-3SDGs)'!$S$49:$S$52</c:f>
              <c:numCache>
                <c:formatCode>0.0;_Ā</c:formatCode>
                <c:ptCount val="4"/>
                <c:pt idx="0">
                  <c:v>3</c:v>
                </c:pt>
                <c:pt idx="1">
                  <c:v>3</c:v>
                </c:pt>
                <c:pt idx="2">
                  <c:v>3</c:v>
                </c:pt>
                <c:pt idx="3">
                  <c:v>3</c:v>
                </c:pt>
              </c:numCache>
            </c:numRef>
          </c:val>
          <c:extLst>
            <c:ext xmlns:c16="http://schemas.microsoft.com/office/drawing/2014/chart" uri="{C3380CC4-5D6E-409C-BE32-E72D297353CC}">
              <c16:uniqueId val="{00000004-2F4E-42FF-8951-C5C9A27D8354}"/>
            </c:ext>
          </c:extLst>
        </c:ser>
        <c:dLbls>
          <c:showLegendKey val="0"/>
          <c:showVal val="1"/>
          <c:showCatName val="0"/>
          <c:showSerName val="0"/>
          <c:showPercent val="0"/>
          <c:showBubbleSize val="0"/>
        </c:dLbls>
        <c:gapWidth val="40"/>
        <c:axId val="500316960"/>
        <c:axId val="500324016"/>
      </c:barChart>
      <c:catAx>
        <c:axId val="500316960"/>
        <c:scaling>
          <c:orientation val="minMax"/>
        </c:scaling>
        <c:delete val="0"/>
        <c:axPos val="b"/>
        <c:numFmt formatCode="General" sourceLinked="1"/>
        <c:majorTickMark val="none"/>
        <c:minorTickMark val="none"/>
        <c:tickLblPos val="none"/>
        <c:spPr>
          <a:ln w="3175">
            <a:solidFill>
              <a:srgbClr val="000000"/>
            </a:solidFill>
            <a:prstDash val="solid"/>
          </a:ln>
        </c:spPr>
        <c:crossAx val="500324016"/>
        <c:crossesAt val="0"/>
        <c:auto val="1"/>
        <c:lblAlgn val="ctr"/>
        <c:lblOffset val="100"/>
        <c:tickMarkSkip val="1"/>
        <c:noMultiLvlLbl val="0"/>
      </c:catAx>
      <c:valAx>
        <c:axId val="500324016"/>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500316960"/>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c:printSettings>
  <c:userShapes r:id="rId1"/>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524115755627015E-2"/>
          <c:y val="8.4337597472695883E-2"/>
          <c:w val="0.91639871382636651"/>
          <c:h val="0.72891780672830009"/>
        </c:manualLayout>
      </c:layout>
      <c:barChart>
        <c:barDir val="col"/>
        <c:grouping val="clustered"/>
        <c:varyColors val="0"/>
        <c:ser>
          <c:idx val="0"/>
          <c:order val="0"/>
          <c:spPr>
            <a:solidFill>
              <a:srgbClr val="FFFF99"/>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D4B8-4E13-9A84-D48F10329DCA}"/>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D4B8-4E13-9A84-D48F10329DCA}"/>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D4B8-4E13-9A84-D48F10329DCA}"/>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'Result(2-3SDGs)'!$U$49:$U$51</c:f>
              <c:strCache>
                <c:ptCount val="3"/>
                <c:pt idx="0">
                  <c:v>機能性</c:v>
                </c:pt>
                <c:pt idx="1">
                  <c:v>耐用性・信頼性</c:v>
                </c:pt>
                <c:pt idx="2">
                  <c:v>対応性･更新性</c:v>
                </c:pt>
              </c:strCache>
            </c:strRef>
          </c:cat>
          <c:val>
            <c:numRef>
              <c:f>'Result(2-3SDGs)'!$V$49:$V$51</c:f>
              <c:numCache>
                <c:formatCode>0.0_ </c:formatCode>
                <c:ptCount val="3"/>
                <c:pt idx="0">
                  <c:v>3</c:v>
                </c:pt>
                <c:pt idx="1">
                  <c:v>3</c:v>
                </c:pt>
                <c:pt idx="2">
                  <c:v>3</c:v>
                </c:pt>
              </c:numCache>
            </c:numRef>
          </c:val>
          <c:extLst>
            <c:ext xmlns:c16="http://schemas.microsoft.com/office/drawing/2014/chart" uri="{C3380CC4-5D6E-409C-BE32-E72D297353CC}">
              <c16:uniqueId val="{00000003-2925-479E-81FA-49F5E5E34060}"/>
            </c:ext>
          </c:extLst>
        </c:ser>
        <c:dLbls>
          <c:showLegendKey val="0"/>
          <c:showVal val="1"/>
          <c:showCatName val="0"/>
          <c:showSerName val="0"/>
          <c:showPercent val="0"/>
          <c:showBubbleSize val="0"/>
        </c:dLbls>
        <c:gapWidth val="70"/>
        <c:axId val="500324408"/>
        <c:axId val="500315784"/>
      </c:barChart>
      <c:catAx>
        <c:axId val="500324408"/>
        <c:scaling>
          <c:orientation val="minMax"/>
        </c:scaling>
        <c:delete val="0"/>
        <c:axPos val="b"/>
        <c:numFmt formatCode="General" sourceLinked="1"/>
        <c:majorTickMark val="none"/>
        <c:minorTickMark val="none"/>
        <c:tickLblPos val="none"/>
        <c:spPr>
          <a:ln w="3175">
            <a:solidFill>
              <a:srgbClr val="000000"/>
            </a:solidFill>
            <a:prstDash val="solid"/>
          </a:ln>
        </c:spPr>
        <c:crossAx val="500315784"/>
        <c:crossesAt val="0"/>
        <c:auto val="1"/>
        <c:lblAlgn val="ctr"/>
        <c:lblOffset val="100"/>
        <c:tickMarkSkip val="1"/>
        <c:noMultiLvlLbl val="0"/>
      </c:catAx>
      <c:valAx>
        <c:axId val="500315784"/>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500324408"/>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524115755627015E-2"/>
          <c:y val="8.4337597472695883E-2"/>
          <c:w val="0.91639871382636651"/>
          <c:h val="0.72891780672830009"/>
        </c:manualLayout>
      </c:layout>
      <c:barChart>
        <c:barDir val="col"/>
        <c:grouping val="clustered"/>
        <c:varyColors val="0"/>
        <c:ser>
          <c:idx val="0"/>
          <c:order val="0"/>
          <c:spPr>
            <a:solidFill>
              <a:srgbClr val="FFFF99"/>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707A-4156-AB8B-2F56060CE804}"/>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707A-4156-AB8B-2F56060CE804}"/>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707A-4156-AB8B-2F56060CE804}"/>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'Result(2-3SDGs)'!$X$49:$X$51</c:f>
              <c:strCache>
                <c:ptCount val="3"/>
                <c:pt idx="0">
                  <c:v>生物資源</c:v>
                </c:pt>
                <c:pt idx="1">
                  <c:v>まちなみ景観</c:v>
                </c:pt>
                <c:pt idx="2">
                  <c:v>地域性・文化</c:v>
                </c:pt>
              </c:strCache>
            </c:strRef>
          </c:cat>
          <c:val>
            <c:numRef>
              <c:f>'Result(2-3SDGs)'!$Y$49:$Y$51</c:f>
              <c:numCache>
                <c:formatCode>0.0_ </c:formatCode>
                <c:ptCount val="3"/>
                <c:pt idx="0">
                  <c:v>3</c:v>
                </c:pt>
                <c:pt idx="1">
                  <c:v>3</c:v>
                </c:pt>
                <c:pt idx="2">
                  <c:v>3</c:v>
                </c:pt>
              </c:numCache>
            </c:numRef>
          </c:val>
          <c:extLst>
            <c:ext xmlns:c16="http://schemas.microsoft.com/office/drawing/2014/chart" uri="{C3380CC4-5D6E-409C-BE32-E72D297353CC}">
              <c16:uniqueId val="{00000003-CD42-4B9F-A974-E9B2AAA2DE14}"/>
            </c:ext>
          </c:extLst>
        </c:ser>
        <c:dLbls>
          <c:showLegendKey val="0"/>
          <c:showVal val="1"/>
          <c:showCatName val="0"/>
          <c:showSerName val="0"/>
          <c:showPercent val="0"/>
          <c:showBubbleSize val="0"/>
        </c:dLbls>
        <c:gapWidth val="70"/>
        <c:axId val="500317352"/>
        <c:axId val="500325584"/>
      </c:barChart>
      <c:catAx>
        <c:axId val="500317352"/>
        <c:scaling>
          <c:orientation val="minMax"/>
        </c:scaling>
        <c:delete val="0"/>
        <c:axPos val="b"/>
        <c:numFmt formatCode="General" sourceLinked="1"/>
        <c:majorTickMark val="none"/>
        <c:minorTickMark val="none"/>
        <c:tickLblPos val="none"/>
        <c:spPr>
          <a:ln w="3175">
            <a:solidFill>
              <a:srgbClr val="000000"/>
            </a:solidFill>
            <a:prstDash val="solid"/>
          </a:ln>
        </c:spPr>
        <c:crossAx val="500325584"/>
        <c:crossesAt val="0"/>
        <c:auto val="1"/>
        <c:lblAlgn val="ctr"/>
        <c:lblOffset val="100"/>
        <c:tickMarkSkip val="1"/>
        <c:noMultiLvlLbl val="0"/>
      </c:catAx>
      <c:valAx>
        <c:axId val="500325584"/>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500317352"/>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0924969694061724E-2"/>
          <c:y val="8.4337597472695883E-2"/>
          <c:w val="0.90462555408004719"/>
          <c:h val="0.72289369262310754"/>
        </c:manualLayout>
      </c:layout>
      <c:barChart>
        <c:barDir val="col"/>
        <c:grouping val="clustered"/>
        <c:varyColors val="0"/>
        <c:ser>
          <c:idx val="0"/>
          <c:order val="0"/>
          <c:spPr>
            <a:solidFill>
              <a:srgbClr val="99CC00"/>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FC50-41AE-BA08-40061B45CBAD}"/>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FC50-41AE-BA08-40061B45CBAD}"/>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FC50-41AE-BA08-40061B45CBAD}"/>
                </c:ext>
              </c:extLst>
            </c:dLbl>
            <c:dLbl>
              <c:idx val="3"/>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3-FC50-41AE-BA08-40061B45CBAD}"/>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'Result(2-3SDGs)'!$R$60:$R$63</c:f>
              <c:strCache>
                <c:ptCount val="4"/>
                <c:pt idx="0">
                  <c:v>熱負荷抑制</c:v>
                </c:pt>
                <c:pt idx="1">
                  <c:v>自然ｴﾈﾙｷﾞｰ</c:v>
                </c:pt>
                <c:pt idx="2">
                  <c:v>設備の効率的利用</c:v>
                </c:pt>
                <c:pt idx="3">
                  <c:v>運用ﾏﾈｼﾞﾒﾝﾄ</c:v>
                </c:pt>
              </c:strCache>
            </c:strRef>
          </c:cat>
          <c:val>
            <c:numRef>
              <c:f>'Result(2-3SDGs)'!$S$60:$S$63</c:f>
              <c:numCache>
                <c:formatCode>#,##0.0;[Red]\-#,##0.0</c:formatCode>
                <c:ptCount val="4"/>
                <c:pt idx="0">
                  <c:v>3</c:v>
                </c:pt>
                <c:pt idx="1">
                  <c:v>3</c:v>
                </c:pt>
                <c:pt idx="2">
                  <c:v>5</c:v>
                </c:pt>
                <c:pt idx="3">
                  <c:v>3</c:v>
                </c:pt>
              </c:numCache>
            </c:numRef>
          </c:val>
          <c:extLst>
            <c:ext xmlns:c16="http://schemas.microsoft.com/office/drawing/2014/chart" uri="{C3380CC4-5D6E-409C-BE32-E72D297353CC}">
              <c16:uniqueId val="{00000004-4127-4ABB-BED8-F82DAE58AA45}"/>
            </c:ext>
          </c:extLst>
        </c:ser>
        <c:dLbls>
          <c:showLegendKey val="0"/>
          <c:showVal val="1"/>
          <c:showCatName val="0"/>
          <c:showSerName val="0"/>
          <c:showPercent val="0"/>
          <c:showBubbleSize val="0"/>
        </c:dLbls>
        <c:gapWidth val="40"/>
        <c:axId val="500322840"/>
        <c:axId val="500323624"/>
      </c:barChart>
      <c:catAx>
        <c:axId val="500322840"/>
        <c:scaling>
          <c:orientation val="minMax"/>
        </c:scaling>
        <c:delete val="0"/>
        <c:axPos val="b"/>
        <c:numFmt formatCode="General" sourceLinked="1"/>
        <c:majorTickMark val="none"/>
        <c:minorTickMark val="none"/>
        <c:tickLblPos val="none"/>
        <c:spPr>
          <a:ln w="3175">
            <a:solidFill>
              <a:srgbClr val="000000"/>
            </a:solidFill>
            <a:prstDash val="solid"/>
          </a:ln>
        </c:spPr>
        <c:crossAx val="500323624"/>
        <c:crossesAt val="0"/>
        <c:auto val="1"/>
        <c:lblAlgn val="ctr"/>
        <c:lblOffset val="100"/>
        <c:tickMarkSkip val="1"/>
        <c:noMultiLvlLbl val="0"/>
      </c:catAx>
      <c:valAx>
        <c:axId val="500323624"/>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500322840"/>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paperSize="9" orientation="landscape"/>
  </c:printSettings>
  <c:userShapes r:id="rId1"/>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7524115755627015E-2"/>
          <c:y val="8.4337597472695883E-2"/>
          <c:w val="0.91639871382636651"/>
          <c:h val="0.72891780672830009"/>
        </c:manualLayout>
      </c:layout>
      <c:barChart>
        <c:barDir val="col"/>
        <c:grouping val="clustered"/>
        <c:varyColors val="0"/>
        <c:ser>
          <c:idx val="0"/>
          <c:order val="0"/>
          <c:spPr>
            <a:solidFill>
              <a:srgbClr val="99CC00"/>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A132-4880-9574-6F05B119B647}"/>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A132-4880-9574-6F05B119B647}"/>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A132-4880-9574-6F05B119B647}"/>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'Result(2-3SDGs)'!$U$60:$U$62</c:f>
              <c:strCache>
                <c:ptCount val="3"/>
                <c:pt idx="0">
                  <c:v>水資源</c:v>
                </c:pt>
                <c:pt idx="1">
                  <c:v>非再生性材料の削減</c:v>
                </c:pt>
                <c:pt idx="2">
                  <c:v>汚染物質回避</c:v>
                </c:pt>
              </c:strCache>
            </c:strRef>
          </c:cat>
          <c:val>
            <c:numRef>
              <c:f>'Result(2-3SDGs)'!$V$60:$V$62</c:f>
              <c:numCache>
                <c:formatCode>0.0_ </c:formatCode>
                <c:ptCount val="3"/>
                <c:pt idx="0">
                  <c:v>3</c:v>
                </c:pt>
                <c:pt idx="1">
                  <c:v>3</c:v>
                </c:pt>
                <c:pt idx="2">
                  <c:v>3</c:v>
                </c:pt>
              </c:numCache>
            </c:numRef>
          </c:val>
          <c:extLst>
            <c:ext xmlns:c16="http://schemas.microsoft.com/office/drawing/2014/chart" uri="{C3380CC4-5D6E-409C-BE32-E72D297353CC}">
              <c16:uniqueId val="{00000003-8112-4A60-AC4D-C7E446ED05A3}"/>
            </c:ext>
          </c:extLst>
        </c:ser>
        <c:dLbls>
          <c:showLegendKey val="0"/>
          <c:showVal val="1"/>
          <c:showCatName val="0"/>
          <c:showSerName val="0"/>
          <c:showPercent val="0"/>
          <c:showBubbleSize val="0"/>
        </c:dLbls>
        <c:gapWidth val="70"/>
        <c:axId val="500317744"/>
        <c:axId val="500318136"/>
      </c:barChart>
      <c:catAx>
        <c:axId val="500317744"/>
        <c:scaling>
          <c:orientation val="minMax"/>
        </c:scaling>
        <c:delete val="0"/>
        <c:axPos val="b"/>
        <c:numFmt formatCode="General" sourceLinked="1"/>
        <c:majorTickMark val="none"/>
        <c:minorTickMark val="none"/>
        <c:tickLblPos val="none"/>
        <c:spPr>
          <a:ln w="3175">
            <a:solidFill>
              <a:srgbClr val="000000"/>
            </a:solidFill>
            <a:prstDash val="solid"/>
          </a:ln>
        </c:spPr>
        <c:crossAx val="500318136"/>
        <c:crossesAt val="0"/>
        <c:auto val="1"/>
        <c:lblAlgn val="ctr"/>
        <c:lblOffset val="100"/>
        <c:tickMarkSkip val="1"/>
        <c:noMultiLvlLbl val="0"/>
      </c:catAx>
      <c:valAx>
        <c:axId val="500318136"/>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500317744"/>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3236870310825297E-2"/>
          <c:y val="4.4176706827309238E-2"/>
          <c:w val="0.91639871382636651"/>
          <c:h val="0.72891780672830009"/>
        </c:manualLayout>
      </c:layout>
      <c:barChart>
        <c:barDir val="col"/>
        <c:grouping val="clustered"/>
        <c:varyColors val="0"/>
        <c:ser>
          <c:idx val="0"/>
          <c:order val="0"/>
          <c:spPr>
            <a:solidFill>
              <a:srgbClr val="99CC00"/>
            </a:solidFill>
            <a:ln w="12700">
              <a:solidFill>
                <a:srgbClr val="000000"/>
              </a:solidFill>
              <a:prstDash val="solid"/>
            </a:ln>
          </c:spPr>
          <c:invertIfNegative val="0"/>
          <c:dLbls>
            <c:dLbl>
              <c:idx val="0"/>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0-559D-4339-9E4C-E7D5225E61A8}"/>
                </c:ext>
              </c:extLst>
            </c:dLbl>
            <c:dLbl>
              <c:idx val="1"/>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1-559D-4339-9E4C-E7D5225E61A8}"/>
                </c:ext>
              </c:extLst>
            </c:dLbl>
            <c:dLbl>
              <c:idx val="2"/>
              <c:spPr>
                <a:noFill/>
                <a:ln w="25400">
                  <a:noFill/>
                </a:ln>
              </c:spPr>
              <c:txPr>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extLst>
                <c:ext xmlns:c16="http://schemas.microsoft.com/office/drawing/2014/chart" uri="{C3380CC4-5D6E-409C-BE32-E72D297353CC}">
                  <c16:uniqueId val="{00000002-559D-4339-9E4C-E7D5225E61A8}"/>
                </c:ext>
              </c:extLst>
            </c:dLbl>
            <c:spPr>
              <a:noFill/>
              <a:ln w="25400">
                <a:noFill/>
              </a:ln>
            </c:spPr>
            <c:txPr>
              <a:bodyPr wrap="square" lIns="38100" tIns="19050" rIns="38100" bIns="19050" anchor="ctr">
                <a:spAutoFit/>
              </a:bodyPr>
              <a:lstStyle/>
              <a:p>
                <a:pPr>
                  <a:defRPr sz="800" b="0" i="0" u="none" strike="noStrike" baseline="0">
                    <a:solidFill>
                      <a:srgbClr val="000000"/>
                    </a:solidFill>
                    <a:latin typeface="ＭＳ Ｐゴシック"/>
                    <a:ea typeface="ＭＳ Ｐゴシック"/>
                    <a:cs typeface="ＭＳ Ｐゴシック"/>
                  </a:defRPr>
                </a:pPr>
                <a:endParaRPr lang="ja-JP"/>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'Result(2-3SDGs)'!$X$60:$X$62</c:f>
              <c:strCache>
                <c:ptCount val="3"/>
                <c:pt idx="0">
                  <c:v>地球温暖化への配慮</c:v>
                </c:pt>
                <c:pt idx="1">
                  <c:v>地域環境への配慮</c:v>
                </c:pt>
                <c:pt idx="2">
                  <c:v>周辺環境への配慮</c:v>
                </c:pt>
              </c:strCache>
            </c:strRef>
          </c:cat>
          <c:val>
            <c:numRef>
              <c:f>'Result(2-3SDGs)'!$Y$60:$Y$62</c:f>
              <c:numCache>
                <c:formatCode>0.0_ </c:formatCode>
                <c:ptCount val="3"/>
                <c:pt idx="0">
                  <c:v>0</c:v>
                </c:pt>
                <c:pt idx="1">
                  <c:v>3</c:v>
                </c:pt>
                <c:pt idx="2">
                  <c:v>3</c:v>
                </c:pt>
              </c:numCache>
            </c:numRef>
          </c:val>
          <c:extLst>
            <c:ext xmlns:c16="http://schemas.microsoft.com/office/drawing/2014/chart" uri="{C3380CC4-5D6E-409C-BE32-E72D297353CC}">
              <c16:uniqueId val="{00000003-3FA9-4AD1-94BF-A5C129DCD8A1}"/>
            </c:ext>
          </c:extLst>
        </c:ser>
        <c:dLbls>
          <c:showLegendKey val="0"/>
          <c:showVal val="1"/>
          <c:showCatName val="0"/>
          <c:showSerName val="0"/>
          <c:showPercent val="0"/>
          <c:showBubbleSize val="0"/>
        </c:dLbls>
        <c:gapWidth val="70"/>
        <c:axId val="500328720"/>
        <c:axId val="500326760"/>
      </c:barChart>
      <c:catAx>
        <c:axId val="500328720"/>
        <c:scaling>
          <c:orientation val="minMax"/>
        </c:scaling>
        <c:delete val="0"/>
        <c:axPos val="b"/>
        <c:numFmt formatCode="General" sourceLinked="1"/>
        <c:majorTickMark val="none"/>
        <c:minorTickMark val="none"/>
        <c:tickLblPos val="none"/>
        <c:spPr>
          <a:ln w="3175">
            <a:solidFill>
              <a:srgbClr val="000000"/>
            </a:solidFill>
            <a:prstDash val="solid"/>
          </a:ln>
        </c:spPr>
        <c:crossAx val="500326760"/>
        <c:crossesAt val="0"/>
        <c:auto val="1"/>
        <c:lblAlgn val="ctr"/>
        <c:lblOffset val="100"/>
        <c:tickMarkSkip val="1"/>
        <c:noMultiLvlLbl val="0"/>
      </c:catAx>
      <c:valAx>
        <c:axId val="500326760"/>
        <c:scaling>
          <c:orientation val="minMax"/>
          <c:max val="5"/>
          <c:min val="1"/>
        </c:scaling>
        <c:delete val="0"/>
        <c:axPos val="l"/>
        <c:majorGridlines>
          <c:spPr>
            <a:ln w="3175">
              <a:solidFill>
                <a:srgbClr val="000000"/>
              </a:solidFill>
              <a:prstDash val="solid"/>
            </a:ln>
          </c:spPr>
        </c:majorGridlines>
        <c:numFmt formatCode="General" sourceLinked="0"/>
        <c:majorTickMark val="in"/>
        <c:minorTickMark val="none"/>
        <c:tickLblPos val="nextTo"/>
        <c:spPr>
          <a:ln w="3175">
            <a:solidFill>
              <a:srgbClr val="000000"/>
            </a:solidFill>
            <a:prstDash val="solid"/>
          </a:ln>
        </c:spPr>
        <c:txPr>
          <a:bodyPr rot="0" vert="horz"/>
          <a:lstStyle/>
          <a:p>
            <a:pPr>
              <a:defRPr sz="800" b="0" i="0" u="none" strike="noStrike" baseline="0">
                <a:solidFill>
                  <a:srgbClr val="000000"/>
                </a:solidFill>
                <a:latin typeface="ＭＳ Ｐゴシック"/>
                <a:ea typeface="ＭＳ Ｐゴシック"/>
                <a:cs typeface="ＭＳ Ｐゴシック"/>
              </a:defRPr>
            </a:pPr>
            <a:endParaRPr lang="ja-JP"/>
          </a:p>
        </c:txPr>
        <c:crossAx val="500328720"/>
        <c:crosses val="autoZero"/>
        <c:crossBetween val="between"/>
        <c:majorUnit val="1"/>
        <c:minorUnit val="0.1"/>
      </c:valAx>
      <c:spPr>
        <a:noFill/>
        <a:ln w="3175">
          <a:solidFill>
            <a:srgbClr val="000000"/>
          </a:solidFill>
          <a:prstDash val="solid"/>
        </a:ln>
      </c:spPr>
    </c:plotArea>
    <c:plotVisOnly val="0"/>
    <c:dispBlanksAs val="gap"/>
    <c:showDLblsOverMax val="0"/>
  </c:chart>
  <c:spPr>
    <a:noFill/>
    <a:ln w="6350">
      <a:noFill/>
    </a:ln>
  </c:spPr>
  <c:txPr>
    <a:bodyPr/>
    <a:lstStyle/>
    <a:p>
      <a:pPr>
        <a:defRPr sz="4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userShapes r:id="rId1"/>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1.6891891891891893E-2"/>
          <c:y val="5.6818497084167946E-2"/>
          <c:w val="0.96283783783783783"/>
          <c:h val="0.84091375684568559"/>
        </c:manualLayout>
      </c:layout>
      <c:barChart>
        <c:barDir val="bar"/>
        <c:grouping val="percentStacked"/>
        <c:varyColors val="0"/>
        <c:ser>
          <c:idx val="0"/>
          <c:order val="0"/>
          <c:spPr>
            <a:blipFill dpi="0" rotWithShape="0">
              <a:blip xmlns:r="http://schemas.openxmlformats.org/officeDocument/2006/relationships" r:embed="rId1"/>
              <a:srcRect/>
              <a:stretch>
                <a:fillRect/>
              </a:stretch>
            </a:blipFill>
            <a:ln w="25400">
              <a:noFill/>
            </a:ln>
          </c:spPr>
          <c:invertIfNegative val="0"/>
          <c:pictureOptions>
            <c:pictureFormat val="stackScale"/>
            <c:pictureStackUnit val="20"/>
          </c:pictureOptions>
          <c:dPt>
            <c:idx val="0"/>
            <c:invertIfNegative val="0"/>
            <c:bubble3D val="0"/>
            <c:extLst>
              <c:ext xmlns:c16="http://schemas.microsoft.com/office/drawing/2014/chart" uri="{C3380CC4-5D6E-409C-BE32-E72D297353CC}">
                <c16:uniqueId val="{00000000-FE21-4413-802C-83733D3B24D0}"/>
              </c:ext>
            </c:extLst>
          </c:dPt>
          <c:cat>
            <c:strRef>
              <c:f>'Result(2-3SDGs)'!$AH$44:$AJ$44</c:f>
              <c:strCache>
                <c:ptCount val="1"/>
                <c:pt idx="0">
                  <c:v>SDGs Rank(Ring)</c:v>
                </c:pt>
              </c:strCache>
            </c:strRef>
          </c:cat>
          <c:val>
            <c:numRef>
              <c:f>'Result(2-3SDGs)'!$AK$44</c:f>
              <c:numCache>
                <c:formatCode>0.00_ </c:formatCode>
                <c:ptCount val="1"/>
                <c:pt idx="0">
                  <c:v>0</c:v>
                </c:pt>
              </c:numCache>
            </c:numRef>
          </c:val>
          <c:extLst>
            <c:ext xmlns:c16="http://schemas.microsoft.com/office/drawing/2014/chart" uri="{C3380CC4-5D6E-409C-BE32-E72D297353CC}">
              <c16:uniqueId val="{00000001-FE21-4413-802C-83733D3B24D0}"/>
            </c:ext>
          </c:extLst>
        </c:ser>
        <c:ser>
          <c:idx val="1"/>
          <c:order val="1"/>
          <c:spPr>
            <a:blipFill dpi="0" rotWithShape="0">
              <a:blip xmlns:r="http://schemas.openxmlformats.org/officeDocument/2006/relationships" r:embed="rId2"/>
              <a:srcRect/>
              <a:stretch>
                <a:fillRect/>
              </a:stretch>
            </a:blipFill>
            <a:ln w="25400">
              <a:noFill/>
            </a:ln>
          </c:spPr>
          <c:invertIfNegative val="0"/>
          <c:pictureOptions>
            <c:pictureFormat val="stackScale"/>
            <c:pictureStackUnit val="20"/>
          </c:pictureOptions>
          <c:cat>
            <c:strRef>
              <c:f>'Result(2-3SDGs)'!$AH$44:$AJ$44</c:f>
              <c:strCache>
                <c:ptCount val="1"/>
                <c:pt idx="0">
                  <c:v>SDGs Rank(Ring)</c:v>
                </c:pt>
              </c:strCache>
            </c:strRef>
          </c:cat>
          <c:val>
            <c:numRef>
              <c:f>'Result(2-3SDGs)'!$AK$45</c:f>
              <c:numCache>
                <c:formatCode>0.00_ </c:formatCode>
                <c:ptCount val="1"/>
                <c:pt idx="0">
                  <c:v>0</c:v>
                </c:pt>
              </c:numCache>
            </c:numRef>
          </c:val>
          <c:extLst>
            <c:ext xmlns:c16="http://schemas.microsoft.com/office/drawing/2014/chart" uri="{C3380CC4-5D6E-409C-BE32-E72D297353CC}">
              <c16:uniqueId val="{00000002-FE21-4413-802C-83733D3B24D0}"/>
            </c:ext>
          </c:extLst>
        </c:ser>
        <c:dLbls>
          <c:showLegendKey val="0"/>
          <c:showVal val="0"/>
          <c:showCatName val="0"/>
          <c:showSerName val="0"/>
          <c:showPercent val="0"/>
          <c:showBubbleSize val="0"/>
        </c:dLbls>
        <c:gapWidth val="43"/>
        <c:overlap val="100"/>
        <c:axId val="500327544"/>
        <c:axId val="500328328"/>
      </c:barChart>
      <c:catAx>
        <c:axId val="500327544"/>
        <c:scaling>
          <c:orientation val="minMax"/>
        </c:scaling>
        <c:delete val="1"/>
        <c:axPos val="l"/>
        <c:numFmt formatCode="General" sourceLinked="1"/>
        <c:majorTickMark val="out"/>
        <c:minorTickMark val="none"/>
        <c:tickLblPos val="nextTo"/>
        <c:crossAx val="500328328"/>
        <c:crosses val="autoZero"/>
        <c:auto val="1"/>
        <c:lblAlgn val="ctr"/>
        <c:lblOffset val="100"/>
        <c:noMultiLvlLbl val="0"/>
      </c:catAx>
      <c:valAx>
        <c:axId val="500328328"/>
        <c:scaling>
          <c:orientation val="minMax"/>
        </c:scaling>
        <c:delete val="1"/>
        <c:axPos val="b"/>
        <c:numFmt formatCode="0%" sourceLinked="1"/>
        <c:majorTickMark val="out"/>
        <c:minorTickMark val="none"/>
        <c:tickLblPos val="nextTo"/>
        <c:crossAx val="500327544"/>
        <c:crosses val="autoZero"/>
        <c:crossBetween val="between"/>
      </c:valAx>
      <c:spPr>
        <a:noFill/>
        <a:ln w="25400">
          <a:noFill/>
        </a:ln>
      </c:spPr>
    </c:plotArea>
    <c:plotVisOnly val="0"/>
    <c:dispBlanksAs val="gap"/>
    <c:showDLblsOverMax val="0"/>
  </c:chart>
  <c:spPr>
    <a:noFill/>
    <a:ln w="6350">
      <a:noFill/>
    </a:ln>
  </c:spPr>
  <c:txPr>
    <a:bodyPr/>
    <a:lstStyle/>
    <a:p>
      <a:pPr>
        <a:defRPr sz="250" b="0" i="0" u="none" strike="noStrike" baseline="0">
          <a:solidFill>
            <a:srgbClr val="000000"/>
          </a:solidFill>
          <a:latin typeface="ＭＳ Ｐゴシック"/>
          <a:ea typeface="ＭＳ Ｐゴシック"/>
          <a:cs typeface="ＭＳ Ｐゴシック"/>
        </a:defRPr>
      </a:pPr>
      <a:endParaRPr lang="ja-JP"/>
    </a:p>
  </c:txPr>
  <c:printSettings>
    <c:headerFooter alignWithMargins="0"/>
    <c:pageMargins b="1" l="0.75" r="0.75" t="1" header="0.51200000000000001" footer="0.51200000000000001"/>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9064552062081378E-2"/>
          <c:y val="5.8544476200853235E-2"/>
          <c:w val="0.87281289836788878"/>
          <c:h val="0.85108414144546607"/>
        </c:manualLayout>
      </c:layout>
      <c:barChart>
        <c:barDir val="bar"/>
        <c:grouping val="clustered"/>
        <c:varyColors val="0"/>
        <c:ser>
          <c:idx val="0"/>
          <c:order val="0"/>
          <c:tx>
            <c:strRef>
              <c:f>'Result(2-3SDGs)'!$AD$39</c:f>
              <c:strCache>
                <c:ptCount val="1"/>
                <c:pt idx="0">
                  <c:v>スコア</c:v>
                </c:pt>
              </c:strCache>
            </c:strRef>
          </c:tx>
          <c:spPr>
            <a:solidFill>
              <a:schemeClr val="accent1"/>
            </a:solidFill>
            <a:ln w="6350">
              <a:solidFill>
                <a:sysClr val="windowText" lastClr="000000"/>
              </a:solidFill>
            </a:ln>
            <a:effectLst/>
          </c:spPr>
          <c:invertIfNegative val="0"/>
          <c:dPt>
            <c:idx val="0"/>
            <c:invertIfNegative val="0"/>
            <c:bubble3D val="0"/>
            <c:spPr>
              <a:solidFill>
                <a:srgbClr val="4C9F38"/>
              </a:solidFill>
              <a:ln w="6350">
                <a:solidFill>
                  <a:sysClr val="windowText" lastClr="000000"/>
                </a:solidFill>
              </a:ln>
              <a:effectLst/>
            </c:spPr>
            <c:extLst>
              <c:ext xmlns:c16="http://schemas.microsoft.com/office/drawing/2014/chart" uri="{C3380CC4-5D6E-409C-BE32-E72D297353CC}">
                <c16:uniqueId val="{00000001-C9BB-4EC3-9E2F-3DAAC84ECA88}"/>
              </c:ext>
            </c:extLst>
          </c:dPt>
          <c:dPt>
            <c:idx val="1"/>
            <c:invertIfNegative val="0"/>
            <c:bubble3D val="0"/>
            <c:spPr>
              <a:solidFill>
                <a:srgbClr val="C5192D"/>
              </a:solidFill>
              <a:ln w="6350">
                <a:solidFill>
                  <a:sysClr val="windowText" lastClr="000000"/>
                </a:solidFill>
              </a:ln>
              <a:effectLst/>
            </c:spPr>
            <c:extLst>
              <c:ext xmlns:c16="http://schemas.microsoft.com/office/drawing/2014/chart" uri="{C3380CC4-5D6E-409C-BE32-E72D297353CC}">
                <c16:uniqueId val="{00000003-C9BB-4EC3-9E2F-3DAAC84ECA88}"/>
              </c:ext>
            </c:extLst>
          </c:dPt>
          <c:dPt>
            <c:idx val="2"/>
            <c:invertIfNegative val="0"/>
            <c:bubble3D val="0"/>
            <c:spPr>
              <a:solidFill>
                <a:srgbClr val="FF3A21"/>
              </a:solidFill>
              <a:ln w="6350">
                <a:solidFill>
                  <a:sysClr val="windowText" lastClr="000000"/>
                </a:solidFill>
              </a:ln>
              <a:effectLst/>
            </c:spPr>
            <c:extLst>
              <c:ext xmlns:c16="http://schemas.microsoft.com/office/drawing/2014/chart" uri="{C3380CC4-5D6E-409C-BE32-E72D297353CC}">
                <c16:uniqueId val="{00000005-C9BB-4EC3-9E2F-3DAAC84ECA88}"/>
              </c:ext>
            </c:extLst>
          </c:dPt>
          <c:dPt>
            <c:idx val="3"/>
            <c:invertIfNegative val="0"/>
            <c:bubble3D val="0"/>
            <c:spPr>
              <a:solidFill>
                <a:srgbClr val="26BDE2"/>
              </a:solidFill>
              <a:ln w="6350">
                <a:solidFill>
                  <a:sysClr val="windowText" lastClr="000000"/>
                </a:solidFill>
              </a:ln>
              <a:effectLst/>
            </c:spPr>
            <c:extLst>
              <c:ext xmlns:c16="http://schemas.microsoft.com/office/drawing/2014/chart" uri="{C3380CC4-5D6E-409C-BE32-E72D297353CC}">
                <c16:uniqueId val="{00000007-C9BB-4EC3-9E2F-3DAAC84ECA88}"/>
              </c:ext>
            </c:extLst>
          </c:dPt>
          <c:dPt>
            <c:idx val="4"/>
            <c:invertIfNegative val="0"/>
            <c:bubble3D val="0"/>
            <c:spPr>
              <a:solidFill>
                <a:srgbClr val="FCC30B"/>
              </a:solidFill>
              <a:ln w="6350">
                <a:solidFill>
                  <a:sysClr val="windowText" lastClr="000000"/>
                </a:solidFill>
              </a:ln>
              <a:effectLst/>
            </c:spPr>
            <c:extLst>
              <c:ext xmlns:c16="http://schemas.microsoft.com/office/drawing/2014/chart" uri="{C3380CC4-5D6E-409C-BE32-E72D297353CC}">
                <c16:uniqueId val="{00000009-C9BB-4EC3-9E2F-3DAAC84ECA88}"/>
              </c:ext>
            </c:extLst>
          </c:dPt>
          <c:dPt>
            <c:idx val="5"/>
            <c:invertIfNegative val="0"/>
            <c:bubble3D val="0"/>
            <c:spPr>
              <a:solidFill>
                <a:srgbClr val="A21942"/>
              </a:solidFill>
              <a:ln w="6350">
                <a:solidFill>
                  <a:sysClr val="windowText" lastClr="000000"/>
                </a:solidFill>
              </a:ln>
              <a:effectLst/>
            </c:spPr>
            <c:extLst>
              <c:ext xmlns:c16="http://schemas.microsoft.com/office/drawing/2014/chart" uri="{C3380CC4-5D6E-409C-BE32-E72D297353CC}">
                <c16:uniqueId val="{0000000B-C9BB-4EC3-9E2F-3DAAC84ECA88}"/>
              </c:ext>
            </c:extLst>
          </c:dPt>
          <c:dPt>
            <c:idx val="6"/>
            <c:invertIfNegative val="0"/>
            <c:bubble3D val="0"/>
            <c:spPr>
              <a:solidFill>
                <a:srgbClr val="FD6925"/>
              </a:solidFill>
              <a:ln w="6350">
                <a:solidFill>
                  <a:sysClr val="windowText" lastClr="000000"/>
                </a:solidFill>
              </a:ln>
              <a:effectLst/>
            </c:spPr>
            <c:extLst>
              <c:ext xmlns:c16="http://schemas.microsoft.com/office/drawing/2014/chart" uri="{C3380CC4-5D6E-409C-BE32-E72D297353CC}">
                <c16:uniqueId val="{0000000D-C9BB-4EC3-9E2F-3DAAC84ECA88}"/>
              </c:ext>
            </c:extLst>
          </c:dPt>
          <c:dPt>
            <c:idx val="7"/>
            <c:invertIfNegative val="0"/>
            <c:bubble3D val="0"/>
            <c:spPr>
              <a:solidFill>
                <a:srgbClr val="FD9D24"/>
              </a:solidFill>
              <a:ln w="6350">
                <a:solidFill>
                  <a:sysClr val="windowText" lastClr="000000"/>
                </a:solidFill>
              </a:ln>
              <a:effectLst/>
            </c:spPr>
            <c:extLst>
              <c:ext xmlns:c16="http://schemas.microsoft.com/office/drawing/2014/chart" uri="{C3380CC4-5D6E-409C-BE32-E72D297353CC}">
                <c16:uniqueId val="{0000000F-C9BB-4EC3-9E2F-3DAAC84ECA88}"/>
              </c:ext>
            </c:extLst>
          </c:dPt>
          <c:dPt>
            <c:idx val="8"/>
            <c:invertIfNegative val="0"/>
            <c:bubble3D val="0"/>
            <c:spPr>
              <a:solidFill>
                <a:srgbClr val="BF8B2E"/>
              </a:solidFill>
              <a:ln w="6350">
                <a:solidFill>
                  <a:sysClr val="windowText" lastClr="000000"/>
                </a:solidFill>
              </a:ln>
              <a:effectLst/>
            </c:spPr>
            <c:extLst>
              <c:ext xmlns:c16="http://schemas.microsoft.com/office/drawing/2014/chart" uri="{C3380CC4-5D6E-409C-BE32-E72D297353CC}">
                <c16:uniqueId val="{00000011-C9BB-4EC3-9E2F-3DAAC84ECA88}"/>
              </c:ext>
            </c:extLst>
          </c:dPt>
          <c:dPt>
            <c:idx val="9"/>
            <c:invertIfNegative val="0"/>
            <c:bubble3D val="0"/>
            <c:spPr>
              <a:solidFill>
                <a:srgbClr val="3F7E44"/>
              </a:solidFill>
              <a:ln w="6350">
                <a:solidFill>
                  <a:sysClr val="windowText" lastClr="000000"/>
                </a:solidFill>
              </a:ln>
              <a:effectLst/>
            </c:spPr>
            <c:extLst>
              <c:ext xmlns:c16="http://schemas.microsoft.com/office/drawing/2014/chart" uri="{C3380CC4-5D6E-409C-BE32-E72D297353CC}">
                <c16:uniqueId val="{00000013-C9BB-4EC3-9E2F-3DAAC84ECA88}"/>
              </c:ext>
            </c:extLst>
          </c:dPt>
          <c:dPt>
            <c:idx val="10"/>
            <c:invertIfNegative val="0"/>
            <c:bubble3D val="0"/>
            <c:spPr>
              <a:solidFill>
                <a:srgbClr val="56C02B"/>
              </a:solidFill>
              <a:ln w="6350">
                <a:solidFill>
                  <a:sysClr val="windowText" lastClr="000000"/>
                </a:solidFill>
              </a:ln>
              <a:effectLst/>
            </c:spPr>
            <c:extLst>
              <c:ext xmlns:c16="http://schemas.microsoft.com/office/drawing/2014/chart" uri="{C3380CC4-5D6E-409C-BE32-E72D297353CC}">
                <c16:uniqueId val="{00000015-C9BB-4EC3-9E2F-3DAAC84ECA88}"/>
              </c:ext>
            </c:extLst>
          </c:dPt>
          <c:dPt>
            <c:idx val="11"/>
            <c:invertIfNegative val="0"/>
            <c:bubble3D val="0"/>
            <c:spPr>
              <a:solidFill>
                <a:srgbClr val="19486A"/>
              </a:solidFill>
              <a:ln w="6350">
                <a:solidFill>
                  <a:sysClr val="windowText" lastClr="000000"/>
                </a:solidFill>
              </a:ln>
              <a:effectLst/>
            </c:spPr>
            <c:extLst>
              <c:ext xmlns:c16="http://schemas.microsoft.com/office/drawing/2014/chart" uri="{C3380CC4-5D6E-409C-BE32-E72D297353CC}">
                <c16:uniqueId val="{00000017-C9BB-4EC3-9E2F-3DAAC84ECA88}"/>
              </c:ext>
            </c:extLst>
          </c:dPt>
          <c:cat>
            <c:strRef>
              <c:f>'Result(2-3SDGs)'!$AC$40:$AC$51</c:f>
              <c:strCache>
                <c:ptCount val="12"/>
                <c:pt idx="0">
                  <c:v>ゴール3</c:v>
                </c:pt>
                <c:pt idx="1">
                  <c:v>ゴール4</c:v>
                </c:pt>
                <c:pt idx="2">
                  <c:v>ゴール5</c:v>
                </c:pt>
                <c:pt idx="3">
                  <c:v>ゴール6</c:v>
                </c:pt>
                <c:pt idx="4">
                  <c:v>ゴール7</c:v>
                </c:pt>
                <c:pt idx="5">
                  <c:v>ゴール8</c:v>
                </c:pt>
                <c:pt idx="6">
                  <c:v>ゴール9</c:v>
                </c:pt>
                <c:pt idx="7">
                  <c:v>ゴール11</c:v>
                </c:pt>
                <c:pt idx="8">
                  <c:v>ゴール12</c:v>
                </c:pt>
                <c:pt idx="9">
                  <c:v>ゴール13</c:v>
                </c:pt>
                <c:pt idx="10">
                  <c:v>ゴール15</c:v>
                </c:pt>
                <c:pt idx="11">
                  <c:v>ゴール17</c:v>
                </c:pt>
              </c:strCache>
            </c:strRef>
          </c:cat>
          <c:val>
            <c:numRef>
              <c:f>'Result(2-3SDGs)'!$AD$40:$AD$51</c:f>
              <c:numCache>
                <c:formatCode>0.0_);[Red]\(0.0\)</c:formatCode>
                <c:ptCount val="12"/>
                <c:pt idx="0">
                  <c:v>2.1428571428571428</c:v>
                </c:pt>
                <c:pt idx="1">
                  <c:v>2</c:v>
                </c:pt>
                <c:pt idx="2">
                  <c:v>2</c:v>
                </c:pt>
                <c:pt idx="3">
                  <c:v>1.7857142857142858</c:v>
                </c:pt>
                <c:pt idx="4">
                  <c:v>0</c:v>
                </c:pt>
                <c:pt idx="5">
                  <c:v>2</c:v>
                </c:pt>
                <c:pt idx="6">
                  <c:v>1.75</c:v>
                </c:pt>
                <c:pt idx="7">
                  <c:v>1.8833333333333333</c:v>
                </c:pt>
                <c:pt idx="8">
                  <c:v>0</c:v>
                </c:pt>
                <c:pt idx="9">
                  <c:v>0</c:v>
                </c:pt>
                <c:pt idx="10">
                  <c:v>1.375</c:v>
                </c:pt>
                <c:pt idx="11">
                  <c:v>2.1666666666666665</c:v>
                </c:pt>
              </c:numCache>
            </c:numRef>
          </c:val>
          <c:extLst>
            <c:ext xmlns:c16="http://schemas.microsoft.com/office/drawing/2014/chart" uri="{C3380CC4-5D6E-409C-BE32-E72D297353CC}">
              <c16:uniqueId val="{00000018-C9BB-4EC3-9E2F-3DAAC84ECA88}"/>
            </c:ext>
          </c:extLst>
        </c:ser>
        <c:dLbls>
          <c:showLegendKey val="0"/>
          <c:showVal val="0"/>
          <c:showCatName val="0"/>
          <c:showSerName val="0"/>
          <c:showPercent val="0"/>
          <c:showBubbleSize val="0"/>
        </c:dLbls>
        <c:gapWidth val="0"/>
        <c:axId val="500327936"/>
        <c:axId val="500329896"/>
      </c:barChart>
      <c:catAx>
        <c:axId val="500327936"/>
        <c:scaling>
          <c:orientation val="maxMin"/>
        </c:scaling>
        <c:delete val="1"/>
        <c:axPos val="l"/>
        <c:numFmt formatCode="General" sourceLinked="1"/>
        <c:majorTickMark val="none"/>
        <c:minorTickMark val="none"/>
        <c:tickLblPos val="nextTo"/>
        <c:crossAx val="500329896"/>
        <c:crosses val="autoZero"/>
        <c:auto val="1"/>
        <c:lblAlgn val="ctr"/>
        <c:lblOffset val="100"/>
        <c:noMultiLvlLbl val="0"/>
      </c:catAx>
      <c:valAx>
        <c:axId val="500329896"/>
        <c:scaling>
          <c:orientation val="minMax"/>
          <c:max val="3"/>
          <c:min val="1"/>
        </c:scaling>
        <c:delete val="0"/>
        <c:axPos val="t"/>
        <c:majorGridlines>
          <c:spPr>
            <a:ln w="6350" cap="flat" cmpd="sng" algn="ctr">
              <a:solidFill>
                <a:sysClr val="windowText" lastClr="000000"/>
              </a:solidFill>
              <a:prstDash val="dash"/>
              <a:round/>
            </a:ln>
            <a:effectLst/>
          </c:spPr>
        </c:majorGridlines>
        <c:numFmt formatCode="#,##0_);[Red]\(#,##0\)" sourceLinked="0"/>
        <c:majorTickMark val="out"/>
        <c:minorTickMark val="none"/>
        <c:tickLblPos val="high"/>
        <c:spPr>
          <a:noFill/>
          <a:ln>
            <a:noFill/>
          </a:ln>
          <a:effectLst/>
        </c:spPr>
        <c:txPr>
          <a:bodyPr rot="-60000000" spcFirstLastPara="1" vertOverflow="ellipsis" vert="horz" wrap="square" anchor="b"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ja-JP"/>
          </a:p>
        </c:txPr>
        <c:crossAx val="500327936"/>
        <c:crosses val="autoZero"/>
        <c:crossBetween val="between"/>
        <c:majorUnit val="1"/>
      </c:valAx>
      <c:spPr>
        <a:noFill/>
        <a:ln w="9525">
          <a:solidFill>
            <a:sysClr val="windowText" lastClr="000000"/>
          </a:solidFill>
        </a:ln>
        <a:effectLst/>
      </c:spPr>
    </c:plotArea>
    <c:plotVisOnly val="0"/>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pPr>
      <a:endParaRPr lang="ja-JP"/>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Q$3" lockText="1"/>
</file>

<file path=xl/ctrlProps/ctrlProp2.xml><?xml version="1.0" encoding="utf-8"?>
<formControlPr xmlns="http://schemas.microsoft.com/office/spreadsheetml/2009/9/main" objectType="Radio" lockText="1"/>
</file>

<file path=xl/ctrlProps/ctrlProp3.xml><?xml version="1.0" encoding="utf-8"?>
<formControlPr xmlns="http://schemas.microsoft.com/office/spreadsheetml/2009/9/main" objectType="Radio" lockText="1"/>
</file>

<file path=xl/ctrlProps/ctrlProp4.xml><?xml version="1.0" encoding="utf-8"?>
<formControlPr xmlns="http://schemas.microsoft.com/office/spreadsheetml/2009/9/main" objectType="Radio" lockText="1"/>
</file>

<file path=xl/ctrlProps/ctrlProp5.xml><?xml version="1.0" encoding="utf-8"?>
<formControlPr xmlns="http://schemas.microsoft.com/office/spreadsheetml/2009/9/main" objectType="Radio" lockText="1"/>
</file>

<file path=xl/ctrlProps/ctrlProp6.xml><?xml version="1.0" encoding="utf-8"?>
<formControlPr xmlns="http://schemas.microsoft.com/office/spreadsheetml/2009/9/main" objectType="CheckBox" fmlaLink="$AK$9" lockText="1" noThreeD="1"/>
</file>

<file path=xl/ctrlProps/ctrlProp7.xml><?xml version="1.0" encoding="utf-8"?>
<formControlPr xmlns="http://schemas.microsoft.com/office/spreadsheetml/2009/9/main" objectType="CheckBox" fmlaLink="$AK$10" lockText="1" noThreeD="1"/>
</file>

<file path=xl/ctrlProps/ctrlProp8.xml><?xml version="1.0" encoding="utf-8"?>
<formControlPr xmlns="http://schemas.microsoft.com/office/spreadsheetml/2009/9/main" objectType="CheckBox" fmlaLink="$AK$11" lockText="1" noThreeD="1"/>
</file>

<file path=xl/ctrlProps/ctrlProp9.xml><?xml version="1.0" encoding="utf-8"?>
<formControlPr xmlns="http://schemas.microsoft.com/office/spreadsheetml/2009/9/main" objectType="CheckBox" fmlaLink="$AK$18" lockText="1" noThreeD="1"/>
</file>

<file path=xl/ctrlProps/ctrlProp10.xml><?xml version="1.0" encoding="utf-8"?>
<formControlPr xmlns="http://schemas.microsoft.com/office/spreadsheetml/2009/9/main" objectType="CheckBox" fmlaLink="$AK$19" lockText="1" noThreeD="1"/>
</file>

<file path=xl/ctrlProps/ctrlProp11.xml><?xml version="1.0" encoding="utf-8"?>
<formControlPr xmlns="http://schemas.microsoft.com/office/spreadsheetml/2009/9/main" objectType="CheckBox" fmlaLink="$AK$20" lockText="1" noThreeD="1"/>
</file>

<file path=xl/ctrlProps/ctrlProp12.xml><?xml version="1.0" encoding="utf-8"?>
<formControlPr xmlns="http://schemas.microsoft.com/office/spreadsheetml/2009/9/main" objectType="CheckBox" fmlaLink="$AK$21" lockText="1" noThreeD="1"/>
</file>

<file path=xl/ctrlProps/ctrlProp13.xml><?xml version="1.0" encoding="utf-8"?>
<formControlPr xmlns="http://schemas.microsoft.com/office/spreadsheetml/2009/9/main" objectType="CheckBox" fmlaLink="$AK$22" lockText="1" noThreeD="1"/>
</file>

<file path=xl/ctrlProps/ctrlProp14.xml><?xml version="1.0" encoding="utf-8"?>
<formControlPr xmlns="http://schemas.microsoft.com/office/spreadsheetml/2009/9/main" objectType="CheckBox" fmlaLink="$AK$23" lockText="1" noThreeD="1"/>
</file>

<file path=xl/ctrlProps/ctrlProp15.xml><?xml version="1.0" encoding="utf-8"?>
<formControlPr xmlns="http://schemas.microsoft.com/office/spreadsheetml/2009/9/main" objectType="CheckBox" fmlaLink="$AK$24" lockText="1" noThreeD="1"/>
</file>

<file path=xl/ctrlProps/ctrlProp16.xml><?xml version="1.0" encoding="utf-8"?>
<formControlPr xmlns="http://schemas.microsoft.com/office/spreadsheetml/2009/9/main" objectType="CheckBox" fmlaLink="$AK$25" lockText="1" noThreeD="1"/>
</file>

<file path=xl/ctrlProps/ctrlProp17.xml><?xml version="1.0" encoding="utf-8"?>
<formControlPr xmlns="http://schemas.microsoft.com/office/spreadsheetml/2009/9/main" objectType="CheckBox" fmlaLink="$AK$28" lockText="1" noThreeD="1"/>
</file>

<file path=xl/ctrlProps/ctrlProp18.xml><?xml version="1.0" encoding="utf-8"?>
<formControlPr xmlns="http://schemas.microsoft.com/office/spreadsheetml/2009/9/main" objectType="CheckBox" fmlaLink="$AK$30" lockText="1" noThreeD="1"/>
</file>

<file path=xl/ctrlProps/ctrlProp19.xml><?xml version="1.0" encoding="utf-8"?>
<formControlPr xmlns="http://schemas.microsoft.com/office/spreadsheetml/2009/9/main" objectType="CheckBox" fmlaLink="$AK$31" lockText="1" noThreeD="1"/>
</file>

<file path=xl/ctrlProps/ctrlProp20.xml><?xml version="1.0" encoding="utf-8"?>
<formControlPr xmlns="http://schemas.microsoft.com/office/spreadsheetml/2009/9/main" objectType="CheckBox" fmlaLink="$AK$32" lockText="1" noThreeD="1"/>
</file>

<file path=xl/ctrlProps/ctrlProp21.xml><?xml version="1.0" encoding="utf-8"?>
<formControlPr xmlns="http://schemas.microsoft.com/office/spreadsheetml/2009/9/main" objectType="CheckBox" fmlaLink="$AK$33" lockText="1" noThreeD="1"/>
</file>

<file path=xl/ctrlProps/ctrlProp22.xml><?xml version="1.0" encoding="utf-8"?>
<formControlPr xmlns="http://schemas.microsoft.com/office/spreadsheetml/2009/9/main" objectType="CheckBox" fmlaLink="$AK$34" lockText="1" noThreeD="1"/>
</file>

<file path=xl/ctrlProps/ctrlProp23.xml><?xml version="1.0" encoding="utf-8"?>
<formControlPr xmlns="http://schemas.microsoft.com/office/spreadsheetml/2009/9/main" objectType="CheckBox" fmlaLink="$AK$35" lockText="1" noThreeD="1"/>
</file>

<file path=xl/ctrlProps/ctrlProp24.xml><?xml version="1.0" encoding="utf-8"?>
<formControlPr xmlns="http://schemas.microsoft.com/office/spreadsheetml/2009/9/main" objectType="CheckBox" fmlaLink="$AK$36" lockText="1" noThreeD="1"/>
</file>

<file path=xl/ctrlProps/ctrlProp25.xml><?xml version="1.0" encoding="utf-8"?>
<formControlPr xmlns="http://schemas.microsoft.com/office/spreadsheetml/2009/9/main" objectType="CheckBox" fmlaLink="$AK$37" lockText="1" noThreeD="1"/>
</file>

<file path=xl/ctrlProps/ctrlProp26.xml><?xml version="1.0" encoding="utf-8"?>
<formControlPr xmlns="http://schemas.microsoft.com/office/spreadsheetml/2009/9/main" objectType="CheckBox" fmlaLink="$AK$38" lockText="1" noThreeD="1"/>
</file>

<file path=xl/ctrlProps/ctrlProp27.xml><?xml version="1.0" encoding="utf-8"?>
<formControlPr xmlns="http://schemas.microsoft.com/office/spreadsheetml/2009/9/main" objectType="CheckBox" fmlaLink="$AK$39" lockText="1" noThreeD="1"/>
</file>

<file path=xl/ctrlProps/ctrlProp28.xml><?xml version="1.0" encoding="utf-8"?>
<formControlPr xmlns="http://schemas.microsoft.com/office/spreadsheetml/2009/9/main" objectType="CheckBox" fmlaLink="$AK$40" lockText="1" noThreeD="1"/>
</file>

<file path=xl/ctrlProps/ctrlProp29.xml><?xml version="1.0" encoding="utf-8"?>
<formControlPr xmlns="http://schemas.microsoft.com/office/spreadsheetml/2009/9/main" objectType="CheckBox" fmlaLink="$AK$41" lockText="1" noThreeD="1"/>
</file>

<file path=xl/ctrlProps/ctrlProp30.xml><?xml version="1.0" encoding="utf-8"?>
<formControlPr xmlns="http://schemas.microsoft.com/office/spreadsheetml/2009/9/main" objectType="CheckBox" fmlaLink="$AK$42" lockText="1" noThreeD="1"/>
</file>

<file path=xl/ctrlProps/ctrlProp31.xml><?xml version="1.0" encoding="utf-8"?>
<formControlPr xmlns="http://schemas.microsoft.com/office/spreadsheetml/2009/9/main" objectType="CheckBox" fmlaLink="$AK$43" lockText="1" noThreeD="1"/>
</file>

<file path=xl/ctrlProps/ctrlProp32.xml><?xml version="1.0" encoding="utf-8"?>
<formControlPr xmlns="http://schemas.microsoft.com/office/spreadsheetml/2009/9/main" objectType="CheckBox" fmlaLink="$AK$44" lockText="1" noThreeD="1"/>
</file>

<file path=xl/ctrlProps/ctrlProp33.xml><?xml version="1.0" encoding="utf-8"?>
<formControlPr xmlns="http://schemas.microsoft.com/office/spreadsheetml/2009/9/main" objectType="CheckBox" fmlaLink="$AK$47" lockText="1" noThreeD="1"/>
</file>

<file path=xl/ctrlProps/ctrlProp34.xml><?xml version="1.0" encoding="utf-8"?>
<formControlPr xmlns="http://schemas.microsoft.com/office/spreadsheetml/2009/9/main" objectType="CheckBox" fmlaLink="$AK$48" lockText="1" noThreeD="1"/>
</file>

<file path=xl/ctrlProps/ctrlProp35.xml><?xml version="1.0" encoding="utf-8"?>
<formControlPr xmlns="http://schemas.microsoft.com/office/spreadsheetml/2009/9/main" objectType="CheckBox" fmlaLink="$AK$49" lockText="1" noThreeD="1"/>
</file>

<file path=xl/ctrlProps/ctrlProp36.xml><?xml version="1.0" encoding="utf-8"?>
<formControlPr xmlns="http://schemas.microsoft.com/office/spreadsheetml/2009/9/main" objectType="CheckBox" fmlaLink="$AK$50" lockText="1" noThreeD="1"/>
</file>

<file path=xl/ctrlProps/ctrlProp37.xml><?xml version="1.0" encoding="utf-8"?>
<formControlPr xmlns="http://schemas.microsoft.com/office/spreadsheetml/2009/9/main" objectType="CheckBox" fmlaLink="$AK$53" lockText="1" noThreeD="1"/>
</file>

<file path=xl/ctrlProps/ctrlProp38.xml><?xml version="1.0" encoding="utf-8"?>
<formControlPr xmlns="http://schemas.microsoft.com/office/spreadsheetml/2009/9/main" objectType="CheckBox" fmlaLink="$AK$54" lockText="1" noThreeD="1"/>
</file>

<file path=xl/ctrlProps/ctrlProp39.xml><?xml version="1.0" encoding="utf-8"?>
<formControlPr xmlns="http://schemas.microsoft.com/office/spreadsheetml/2009/9/main" objectType="CheckBox" fmlaLink="$AK$55" lockText="1" noThreeD="1"/>
</file>

<file path=xl/ctrlProps/ctrlProp40.xml><?xml version="1.0" encoding="utf-8"?>
<formControlPr xmlns="http://schemas.microsoft.com/office/spreadsheetml/2009/9/main" objectType="CheckBox" fmlaLink="$AK$56" lockText="1" noThreeD="1"/>
</file>

<file path=xl/ctrlProps/ctrlProp41.xml><?xml version="1.0" encoding="utf-8"?>
<formControlPr xmlns="http://schemas.microsoft.com/office/spreadsheetml/2009/9/main" objectType="CheckBox" fmlaLink="$AK$57" lockText="1" noThreeD="1"/>
</file>

<file path=xl/ctrlProps/ctrlProp42.xml><?xml version="1.0" encoding="utf-8"?>
<formControlPr xmlns="http://schemas.microsoft.com/office/spreadsheetml/2009/9/main" objectType="CheckBox" fmlaLink="$AK$58" lockText="1" noThreeD="1"/>
</file>

<file path=xl/ctrlProps/ctrlProp43.xml><?xml version="1.0" encoding="utf-8"?>
<formControlPr xmlns="http://schemas.microsoft.com/office/spreadsheetml/2009/9/main" objectType="CheckBox" fmlaLink="$AK$59" lockText="1" noThreeD="1"/>
</file>

<file path=xl/ctrlProps/ctrlProp44.xml><?xml version="1.0" encoding="utf-8"?>
<formControlPr xmlns="http://schemas.microsoft.com/office/spreadsheetml/2009/9/main" objectType="CheckBox" fmlaLink="$AK$60" lockText="1" noThreeD="1"/>
</file>

<file path=xl/ctrlProps/ctrlProp45.xml><?xml version="1.0" encoding="utf-8"?>
<formControlPr xmlns="http://schemas.microsoft.com/office/spreadsheetml/2009/9/main" objectType="CheckBox" fmlaLink="$AK$61" lockText="1" noThreeD="1"/>
</file>

<file path=xl/ctrlProps/ctrlProp46.xml><?xml version="1.0" encoding="utf-8"?>
<formControlPr xmlns="http://schemas.microsoft.com/office/spreadsheetml/2009/9/main" objectType="CheckBox" fmlaLink="$AK$62" lockText="1" noThreeD="1"/>
</file>

<file path=xl/ctrlProps/ctrlProp47.xml><?xml version="1.0" encoding="utf-8"?>
<formControlPr xmlns="http://schemas.microsoft.com/office/spreadsheetml/2009/9/main" objectType="CheckBox" fmlaLink="$AK$63" lockText="1" noThreeD="1"/>
</file>

<file path=xl/ctrlProps/ctrlProp48.xml><?xml version="1.0" encoding="utf-8"?>
<formControlPr xmlns="http://schemas.microsoft.com/office/spreadsheetml/2009/9/main" objectType="CheckBox" fmlaLink="$AK$65" lockText="1" noThreeD="1"/>
</file>

<file path=xl/ctrlProps/ctrlProp49.xml><?xml version="1.0" encoding="utf-8"?>
<formControlPr xmlns="http://schemas.microsoft.com/office/spreadsheetml/2009/9/main" objectType="CheckBox" fmlaLink="$AK$67" lockText="1" noThreeD="1"/>
</file>

<file path=xl/ctrlProps/ctrlProp50.xml><?xml version="1.0" encoding="utf-8"?>
<formControlPr xmlns="http://schemas.microsoft.com/office/spreadsheetml/2009/9/main" objectType="CheckBox" fmlaLink="$AK$68" lockText="1" noThreeD="1"/>
</file>

<file path=xl/ctrlProps/ctrlProp51.xml><?xml version="1.0" encoding="utf-8"?>
<formControlPr xmlns="http://schemas.microsoft.com/office/spreadsheetml/2009/9/main" objectType="CheckBox" fmlaLink="$AK$69" lockText="1" noThreeD="1"/>
</file>

<file path=xl/ctrlProps/ctrlProp52.xml><?xml version="1.0" encoding="utf-8"?>
<formControlPr xmlns="http://schemas.microsoft.com/office/spreadsheetml/2009/9/main" objectType="CheckBox" fmlaLink="$AK$70" lockText="1" noThreeD="1"/>
</file>

<file path=xl/ctrlProps/ctrlProp53.xml><?xml version="1.0" encoding="utf-8"?>
<formControlPr xmlns="http://schemas.microsoft.com/office/spreadsheetml/2009/9/main" objectType="CheckBox" fmlaLink="$AK$71" lockText="1" noThreeD="1"/>
</file>

<file path=xl/ctrlProps/ctrlProp54.xml><?xml version="1.0" encoding="utf-8"?>
<formControlPr xmlns="http://schemas.microsoft.com/office/spreadsheetml/2009/9/main" objectType="CheckBox" fmlaLink="$AK$72" lockText="1" noThreeD="1"/>
</file>

<file path=xl/ctrlProps/ctrlProp55.xml><?xml version="1.0" encoding="utf-8"?>
<formControlPr xmlns="http://schemas.microsoft.com/office/spreadsheetml/2009/9/main" objectType="CheckBox" fmlaLink="$AK$73" lockText="1" noThreeD="1"/>
</file>

<file path=xl/ctrlProps/ctrlProp56.xml><?xml version="1.0" encoding="utf-8"?>
<formControlPr xmlns="http://schemas.microsoft.com/office/spreadsheetml/2009/9/main" objectType="CheckBox" fmlaLink="$AK$74" lockText="1" noThreeD="1"/>
</file>

<file path=xl/ctrlProps/ctrlProp57.xml><?xml version="1.0" encoding="utf-8"?>
<formControlPr xmlns="http://schemas.microsoft.com/office/spreadsheetml/2009/9/main" objectType="CheckBox" fmlaLink="$AK$75" lockText="1" noThreeD="1"/>
</file>

<file path=xl/ctrlProps/ctrlProp58.xml><?xml version="1.0" encoding="utf-8"?>
<formControlPr xmlns="http://schemas.microsoft.com/office/spreadsheetml/2009/9/main" objectType="CheckBox" fmlaLink="$AK$76" lockText="1" noThreeD="1"/>
</file>

<file path=xl/ctrlProps/ctrlProp59.xml><?xml version="1.0" encoding="utf-8"?>
<formControlPr xmlns="http://schemas.microsoft.com/office/spreadsheetml/2009/9/main" objectType="CheckBox" fmlaLink="$AK$77" lockText="1" noThreeD="1"/>
</file>

<file path=xl/ctrlProps/ctrlProp60.xml><?xml version="1.0" encoding="utf-8"?>
<formControlPr xmlns="http://schemas.microsoft.com/office/spreadsheetml/2009/9/main" objectType="CheckBox" fmlaLink="$AK$78" lockText="1" noThreeD="1"/>
</file>

<file path=xl/ctrlProps/ctrlProp61.xml><?xml version="1.0" encoding="utf-8"?>
<formControlPr xmlns="http://schemas.microsoft.com/office/spreadsheetml/2009/9/main" objectType="CheckBox" fmlaLink="$AK$79" lockText="1" noThreeD="1"/>
</file>

<file path=xl/ctrlProps/ctrlProp62.xml><?xml version="1.0" encoding="utf-8"?>
<formControlPr xmlns="http://schemas.microsoft.com/office/spreadsheetml/2009/9/main" objectType="CheckBox" fmlaLink="$AK$80" lockText="1" noThreeD="1"/>
</file>

<file path=xl/ctrlProps/ctrlProp63.xml><?xml version="1.0" encoding="utf-8"?>
<formControlPr xmlns="http://schemas.microsoft.com/office/spreadsheetml/2009/9/main" objectType="CheckBox" fmlaLink="$AK$81" lockText="1" noThreeD="1"/>
</file>

<file path=xl/ctrlProps/ctrlProp64.xml><?xml version="1.0" encoding="utf-8"?>
<formControlPr xmlns="http://schemas.microsoft.com/office/spreadsheetml/2009/9/main" objectType="CheckBox" fmlaLink="$AK$85" lockText="1" noThreeD="1"/>
</file>

<file path=xl/ctrlProps/ctrlProp65.xml><?xml version="1.0" encoding="utf-8"?>
<formControlPr xmlns="http://schemas.microsoft.com/office/spreadsheetml/2009/9/main" objectType="CheckBox" fmlaLink="$AK$86" lockText="1" noThreeD="1"/>
</file>

<file path=xl/ctrlProps/ctrlProp66.xml><?xml version="1.0" encoding="utf-8"?>
<formControlPr xmlns="http://schemas.microsoft.com/office/spreadsheetml/2009/9/main" objectType="CheckBox" fmlaLink="$AK$87" lockText="1" noThreeD="1"/>
</file>

<file path=xl/ctrlProps/ctrlProp67.xml><?xml version="1.0" encoding="utf-8"?>
<formControlPr xmlns="http://schemas.microsoft.com/office/spreadsheetml/2009/9/main" objectType="CheckBox" fmlaLink="$AK$88" lockText="1" noThreeD="1"/>
</file>

<file path=xl/ctrlProps/ctrlProp68.xml><?xml version="1.0" encoding="utf-8"?>
<formControlPr xmlns="http://schemas.microsoft.com/office/spreadsheetml/2009/9/main" objectType="CheckBox" fmlaLink="$AK$89" lockText="1" noThreeD="1"/>
</file>

<file path=xl/ctrlProps/ctrlProp69.xml><?xml version="1.0" encoding="utf-8"?>
<formControlPr xmlns="http://schemas.microsoft.com/office/spreadsheetml/2009/9/main" objectType="CheckBox" fmlaLink="$AK$90" lockText="1" noThreeD="1"/>
</file>

<file path=xl/ctrlProps/ctrlProp70.xml><?xml version="1.0" encoding="utf-8"?>
<formControlPr xmlns="http://schemas.microsoft.com/office/spreadsheetml/2009/9/main" objectType="CheckBox" fmlaLink="$AK$93" lockText="1" noThreeD="1"/>
</file>

<file path=xl/ctrlProps/ctrlProp71.xml><?xml version="1.0" encoding="utf-8"?>
<formControlPr xmlns="http://schemas.microsoft.com/office/spreadsheetml/2009/9/main" objectType="CheckBox" fmlaLink="$AK$94" lockText="1" noThreeD="1"/>
</file>

<file path=xl/ctrlProps/ctrlProp72.xml><?xml version="1.0" encoding="utf-8"?>
<formControlPr xmlns="http://schemas.microsoft.com/office/spreadsheetml/2009/9/main" objectType="CheckBox" fmlaLink="$AK$95" lockText="1" noThreeD="1"/>
</file>

<file path=xl/ctrlProps/ctrlProp73.xml><?xml version="1.0" encoding="utf-8"?>
<formControlPr xmlns="http://schemas.microsoft.com/office/spreadsheetml/2009/9/main" objectType="CheckBox" fmlaLink="$AK$96" lockText="1" noThreeD="1"/>
</file>

<file path=xl/ctrlProps/ctrlProp74.xml><?xml version="1.0" encoding="utf-8"?>
<formControlPr xmlns="http://schemas.microsoft.com/office/spreadsheetml/2009/9/main" objectType="CheckBox" fmlaLink="$AK$97" lockText="1" noThreeD="1"/>
</file>

<file path=xl/ctrlProps/ctrlProp75.xml><?xml version="1.0" encoding="utf-8"?>
<formControlPr xmlns="http://schemas.microsoft.com/office/spreadsheetml/2009/9/main" objectType="CheckBox" fmlaLink="$AK$98" lockText="1" noThreeD="1"/>
</file>

<file path=xl/ctrlProps/ctrlProp76.xml><?xml version="1.0" encoding="utf-8"?>
<formControlPr xmlns="http://schemas.microsoft.com/office/spreadsheetml/2009/9/main" objectType="CheckBox" fmlaLink="$AK$99" lockText="1" noThreeD="1"/>
</file>

<file path=xl/ctrlProps/ctrlProp77.xml><?xml version="1.0" encoding="utf-8"?>
<formControlPr xmlns="http://schemas.microsoft.com/office/spreadsheetml/2009/9/main" objectType="CheckBox" fmlaLink="$AK$100" lockText="1" noThreeD="1"/>
</file>

<file path=xl/ctrlProps/ctrlProp78.xml><?xml version="1.0" encoding="utf-8"?>
<formControlPr xmlns="http://schemas.microsoft.com/office/spreadsheetml/2009/9/main" objectType="CheckBox" fmlaLink="$AK$102" lockText="1" noThreeD="1"/>
</file>

<file path=xl/ctrlProps/ctrlProp79.xml><?xml version="1.0" encoding="utf-8"?>
<formControlPr xmlns="http://schemas.microsoft.com/office/spreadsheetml/2009/9/main" objectType="CheckBox" fmlaLink="$AK$109" lockText="1" noThreeD="1"/>
</file>

<file path=xl/ctrlProps/ctrlProp80.xml><?xml version="1.0" encoding="utf-8"?>
<formControlPr xmlns="http://schemas.microsoft.com/office/spreadsheetml/2009/9/main" objectType="CheckBox" fmlaLink="$AK$110" lockText="1" noThreeD="1"/>
</file>

<file path=xl/ctrlProps/ctrlProp81.xml><?xml version="1.0" encoding="utf-8"?>
<formControlPr xmlns="http://schemas.microsoft.com/office/spreadsheetml/2009/9/main" objectType="CheckBox" fmlaLink="$AK$111" lockText="1" noThreeD="1"/>
</file>

<file path=xl/ctrlProps/ctrlProp82.xml><?xml version="1.0" encoding="utf-8"?>
<formControlPr xmlns="http://schemas.microsoft.com/office/spreadsheetml/2009/9/main" objectType="CheckBox" fmlaLink="$AK$112" lockText="1" noThreeD="1"/>
</file>

<file path=xl/ctrlProps/ctrlProp83.xml><?xml version="1.0" encoding="utf-8"?>
<formControlPr xmlns="http://schemas.microsoft.com/office/spreadsheetml/2009/9/main" objectType="CheckBox" fmlaLink="$AK$113" lockText="1" noThreeD="1"/>
</file>

<file path=xl/ctrlProps/ctrlProp84.xml><?xml version="1.0" encoding="utf-8"?>
<formControlPr xmlns="http://schemas.microsoft.com/office/spreadsheetml/2009/9/main" objectType="CheckBox" fmlaLink="$AK$114" lockText="1" noThreeD="1"/>
</file>

<file path=xl/ctrlProps/ctrlProp85.xml><?xml version="1.0" encoding="utf-8"?>
<formControlPr xmlns="http://schemas.microsoft.com/office/spreadsheetml/2009/9/main" objectType="CheckBox" fmlaLink="$AK$115" lockText="1" noThreeD="1"/>
</file>

<file path=xl/ctrlProps/ctrlProp86.xml><?xml version="1.0" encoding="utf-8"?>
<formControlPr xmlns="http://schemas.microsoft.com/office/spreadsheetml/2009/9/main" objectType="CheckBox" fmlaLink="$AK$116" lockText="1" noThreeD="1"/>
</file>

<file path=xl/ctrlProps/ctrlProp87.xml><?xml version="1.0" encoding="utf-8"?>
<formControlPr xmlns="http://schemas.microsoft.com/office/spreadsheetml/2009/9/main" objectType="CheckBox" fmlaLink="$AK$117" lockText="1" noThreeD="1"/>
</file>

<file path=xl/ctrlProps/ctrlProp88.xml><?xml version="1.0" encoding="utf-8"?>
<formControlPr xmlns="http://schemas.microsoft.com/office/spreadsheetml/2009/9/main" objectType="CheckBox" fmlaLink="$AK$118" lockText="1" noThreeD="1"/>
</file>

<file path=xl/ctrlProps/ctrlProp89.xml><?xml version="1.0" encoding="utf-8"?>
<formControlPr xmlns="http://schemas.microsoft.com/office/spreadsheetml/2009/9/main" objectType="CheckBox" fmlaLink="$AK$119" lockText="1" noThreeD="1"/>
</file>

<file path=xl/ctrlProps/ctrlProp90.xml><?xml version="1.0" encoding="utf-8"?>
<formControlPr xmlns="http://schemas.microsoft.com/office/spreadsheetml/2009/9/main" objectType="CheckBox" fmlaLink="$AK$120" lockText="1" noThreeD="1"/>
</file>

<file path=xl/ctrlProps/ctrlProp91.xml><?xml version="1.0" encoding="utf-8"?>
<formControlPr xmlns="http://schemas.microsoft.com/office/spreadsheetml/2009/9/main" objectType="CheckBox" fmlaLink="$AK$121" lockText="1" noThreeD="1"/>
</file>

<file path=xl/ctrlProps/ctrlProp92.xml><?xml version="1.0" encoding="utf-8"?>
<formControlPr xmlns="http://schemas.microsoft.com/office/spreadsheetml/2009/9/main" objectType="CheckBox" fmlaLink="$AK$122" lockText="1" noThreeD="1"/>
</file>

<file path=xl/ctrlProps/ctrlProp93.xml><?xml version="1.0" encoding="utf-8"?>
<formControlPr xmlns="http://schemas.microsoft.com/office/spreadsheetml/2009/9/main" objectType="CheckBox" fmlaLink="$AK$123" lockText="1" noThreeD="1"/>
</file>

<file path=xl/ctrlProps/ctrlProp94.xml><?xml version="1.0" encoding="utf-8"?>
<formControlPr xmlns="http://schemas.microsoft.com/office/spreadsheetml/2009/9/main" objectType="CheckBox" fmlaLink="$AK$124" lockText="1" noThreeD="1"/>
</file>

<file path=xl/ctrlProps/ctrlProp95.xml><?xml version="1.0" encoding="utf-8"?>
<formControlPr xmlns="http://schemas.microsoft.com/office/spreadsheetml/2009/9/main" objectType="CheckBox" fmlaLink="$AK$125" lockText="1" noThreeD="1"/>
</file>

<file path=xl/ctrlProps/ctrlProp96.xml><?xml version="1.0" encoding="utf-8"?>
<formControlPr xmlns="http://schemas.microsoft.com/office/spreadsheetml/2009/9/main" objectType="CheckBox" fmlaLink="$AK$128" lockText="1" noThreeD="1"/>
</file>

<file path=xl/ctrlProps/ctrlProp97.xml><?xml version="1.0" encoding="utf-8"?>
<formControlPr xmlns="http://schemas.microsoft.com/office/spreadsheetml/2009/9/main" objectType="CheckBox" fmlaLink="$AK$130" lockText="1" noThreeD="1"/>
</file>

<file path=xl/ctrlProps/ctrlProp98.xml><?xml version="1.0" encoding="utf-8"?>
<formControlPr xmlns="http://schemas.microsoft.com/office/spreadsheetml/2009/9/main" objectType="CheckBox" fmlaLink="$AK$131" lockText="1" noThreeD="1"/>
</file>

<file path=xl/ctrlProps/ctrlProp99.xml><?xml version="1.0" encoding="utf-8"?>
<formControlPr xmlns="http://schemas.microsoft.com/office/spreadsheetml/2009/9/main" objectType="CheckBox" fmlaLink="$AK$133" lockText="1" noThreeD="1"/>
</file>

<file path=xl/ctrlProps/ctrlProp100.xml><?xml version="1.0" encoding="utf-8"?>
<formControlPr xmlns="http://schemas.microsoft.com/office/spreadsheetml/2009/9/main" objectType="CheckBox" fmlaLink="$AK$134" lockText="1" noThreeD="1"/>
</file>

<file path=xl/ctrlProps/ctrlProp101.xml><?xml version="1.0" encoding="utf-8"?>
<formControlPr xmlns="http://schemas.microsoft.com/office/spreadsheetml/2009/9/main" objectType="CheckBox" fmlaLink="$AK$135" lockText="1" noThreeD="1"/>
</file>

<file path=xl/ctrlProps/ctrlProp102.xml><?xml version="1.0" encoding="utf-8"?>
<formControlPr xmlns="http://schemas.microsoft.com/office/spreadsheetml/2009/9/main" objectType="CheckBox" fmlaLink="$AK$136" lockText="1" noThreeD="1"/>
</file>

<file path=xl/ctrlProps/ctrlProp103.xml><?xml version="1.0" encoding="utf-8"?>
<formControlPr xmlns="http://schemas.microsoft.com/office/spreadsheetml/2009/9/main" objectType="CheckBox" fmlaLink="$AK$138" lockText="1" noThreeD="1"/>
</file>

<file path=xl/ctrlProps/ctrlProp104.xml><?xml version="1.0" encoding="utf-8"?>
<formControlPr xmlns="http://schemas.microsoft.com/office/spreadsheetml/2009/9/main" objectType="CheckBox" fmlaLink="$AK$139" lockText="1" noThreeD="1"/>
</file>

<file path=xl/ctrlProps/ctrlProp105.xml><?xml version="1.0" encoding="utf-8"?>
<formControlPr xmlns="http://schemas.microsoft.com/office/spreadsheetml/2009/9/main" objectType="CheckBox" fmlaLink="$AK$140" lockText="1" noThreeD="1"/>
</file>

<file path=xl/ctrlProps/ctrlProp106.xml><?xml version="1.0" encoding="utf-8"?>
<formControlPr xmlns="http://schemas.microsoft.com/office/spreadsheetml/2009/9/main" objectType="CheckBox" fmlaLink="$AK$141" lockText="1" noThreeD="1"/>
</file>

<file path=xl/ctrlProps/ctrlProp107.xml><?xml version="1.0" encoding="utf-8"?>
<formControlPr xmlns="http://schemas.microsoft.com/office/spreadsheetml/2009/9/main" objectType="CheckBox" fmlaLink="$AK$142" lockText="1" noThreeD="1"/>
</file>

<file path=xl/ctrlProps/ctrlProp108.xml><?xml version="1.0" encoding="utf-8"?>
<formControlPr xmlns="http://schemas.microsoft.com/office/spreadsheetml/2009/9/main" objectType="CheckBox" fmlaLink="$AK$143" lockText="1" noThreeD="1"/>
</file>

<file path=xl/ctrlProps/ctrlProp109.xml><?xml version="1.0" encoding="utf-8"?>
<formControlPr xmlns="http://schemas.microsoft.com/office/spreadsheetml/2009/9/main" objectType="CheckBox" fmlaLink="$AK$144" lockText="1" noThreeD="1"/>
</file>

<file path=xl/ctrlProps/ctrlProp110.xml><?xml version="1.0" encoding="utf-8"?>
<formControlPr xmlns="http://schemas.microsoft.com/office/spreadsheetml/2009/9/main" objectType="CheckBox" fmlaLink="$AK$145" lockText="1" noThreeD="1"/>
</file>

<file path=xl/ctrlProps/ctrlProp111.xml><?xml version="1.0" encoding="utf-8"?>
<formControlPr xmlns="http://schemas.microsoft.com/office/spreadsheetml/2009/9/main" objectType="CheckBox" fmlaLink="$AK$148" lockText="1" noThreeD="1"/>
</file>

<file path=xl/ctrlProps/ctrlProp112.xml><?xml version="1.0" encoding="utf-8"?>
<formControlPr xmlns="http://schemas.microsoft.com/office/spreadsheetml/2009/9/main" objectType="CheckBox" fmlaLink="$AK$149" lockText="1" noThreeD="1"/>
</file>

<file path=xl/ctrlProps/ctrlProp113.xml><?xml version="1.0" encoding="utf-8"?>
<formControlPr xmlns="http://schemas.microsoft.com/office/spreadsheetml/2009/9/main" objectType="CheckBox" fmlaLink="$AK$150" lockText="1" noThreeD="1"/>
</file>

<file path=xl/ctrlProps/ctrlProp114.xml><?xml version="1.0" encoding="utf-8"?>
<formControlPr xmlns="http://schemas.microsoft.com/office/spreadsheetml/2009/9/main" objectType="CheckBox" fmlaLink="$AK$151" lockText="1" noThreeD="1"/>
</file>

<file path=xl/ctrlProps/ctrlProp115.xml><?xml version="1.0" encoding="utf-8"?>
<formControlPr xmlns="http://schemas.microsoft.com/office/spreadsheetml/2009/9/main" objectType="CheckBox" fmlaLink="$AK$152" lockText="1" noThreeD="1"/>
</file>

<file path=xl/ctrlProps/ctrlProp116.xml><?xml version="1.0" encoding="utf-8"?>
<formControlPr xmlns="http://schemas.microsoft.com/office/spreadsheetml/2009/9/main" objectType="CheckBox" fmlaLink="$AK$153" lockText="1" noThreeD="1"/>
</file>

<file path=xl/ctrlProps/ctrlProp117.xml><?xml version="1.0" encoding="utf-8"?>
<formControlPr xmlns="http://schemas.microsoft.com/office/spreadsheetml/2009/9/main" objectType="CheckBox" fmlaLink="$AK$164" lockText="1" noThreeD="1"/>
</file>

<file path=xl/ctrlProps/ctrlProp118.xml><?xml version="1.0" encoding="utf-8"?>
<formControlPr xmlns="http://schemas.microsoft.com/office/spreadsheetml/2009/9/main" objectType="CheckBox" fmlaLink="$AK$165" lockText="1" noThreeD="1"/>
</file>

<file path=xl/ctrlProps/ctrlProp119.xml><?xml version="1.0" encoding="utf-8"?>
<formControlPr xmlns="http://schemas.microsoft.com/office/spreadsheetml/2009/9/main" objectType="CheckBox" fmlaLink="$AK$166" lockText="1" noThreeD="1"/>
</file>

<file path=xl/ctrlProps/ctrlProp120.xml><?xml version="1.0" encoding="utf-8"?>
<formControlPr xmlns="http://schemas.microsoft.com/office/spreadsheetml/2009/9/main" objectType="CheckBox" fmlaLink="$AK$154" lockText="1" noThreeD="1"/>
</file>

<file path=xl/ctrlProps/ctrlProp121.xml><?xml version="1.0" encoding="utf-8"?>
<formControlPr xmlns="http://schemas.microsoft.com/office/spreadsheetml/2009/9/main" objectType="CheckBox" fmlaLink="$AK$155" lockText="1" noThreeD="1"/>
</file>

<file path=xl/ctrlProps/ctrlProp122.xml><?xml version="1.0" encoding="utf-8"?>
<formControlPr xmlns="http://schemas.microsoft.com/office/spreadsheetml/2009/9/main" objectType="CheckBox" fmlaLink="$AK$156" lockText="1" noThreeD="1"/>
</file>

<file path=xl/ctrlProps/ctrlProp123.xml><?xml version="1.0" encoding="utf-8"?>
<formControlPr xmlns="http://schemas.microsoft.com/office/spreadsheetml/2009/9/main" objectType="CheckBox" fmlaLink="$AK$157" lockText="1" noThreeD="1"/>
</file>

<file path=xl/ctrlProps/ctrlProp124.xml><?xml version="1.0" encoding="utf-8"?>
<formControlPr xmlns="http://schemas.microsoft.com/office/spreadsheetml/2009/9/main" objectType="CheckBox" fmlaLink="$AK$158" lockText="1" noThreeD="1"/>
</file>

<file path=xl/ctrlProps/ctrlProp125.xml><?xml version="1.0" encoding="utf-8"?>
<formControlPr xmlns="http://schemas.microsoft.com/office/spreadsheetml/2009/9/main" objectType="CheckBox" fmlaLink="$AK$159" lockText="1" noThreeD="1"/>
</file>

<file path=xl/ctrlProps/ctrlProp126.xml><?xml version="1.0" encoding="utf-8"?>
<formControlPr xmlns="http://schemas.microsoft.com/office/spreadsheetml/2009/9/main" objectType="CheckBox" fmlaLink="$AK$160" lockText="1" noThreeD="1"/>
</file>

<file path=xl/ctrlProps/ctrlProp127.xml><?xml version="1.0" encoding="utf-8"?>
<formControlPr xmlns="http://schemas.microsoft.com/office/spreadsheetml/2009/9/main" objectType="CheckBox" fmlaLink="$AK$161" lockText="1" noThreeD="1"/>
</file>

<file path=xl/ctrlProps/ctrlProp128.xml><?xml version="1.0" encoding="utf-8"?>
<formControlPr xmlns="http://schemas.microsoft.com/office/spreadsheetml/2009/9/main" objectType="CheckBox" fmlaLink="$AK$162" lockText="1" noThreeD="1"/>
</file>

<file path=xl/ctrlProps/ctrlProp129.xml><?xml version="1.0" encoding="utf-8"?>
<formControlPr xmlns="http://schemas.microsoft.com/office/spreadsheetml/2009/9/main" objectType="CheckBox" fmlaLink="$AK$163" lockText="1" noThreeD="1"/>
</file>

<file path=xl/ctrlProps/ctrlProp130.xml><?xml version="1.0" encoding="utf-8"?>
<formControlPr xmlns="http://schemas.microsoft.com/office/spreadsheetml/2009/9/main" objectType="CheckBox" fmlaLink="$AK$167" lockText="1" noThreeD="1"/>
</file>

<file path=xl/ctrlProps/ctrlProp131.xml><?xml version="1.0" encoding="utf-8"?>
<formControlPr xmlns="http://schemas.microsoft.com/office/spreadsheetml/2009/9/main" objectType="CheckBox" fmlaLink="$AK$168" lockText="1" noThreeD="1"/>
</file>

<file path=xl/ctrlProps/ctrlProp132.xml><?xml version="1.0" encoding="utf-8"?>
<formControlPr xmlns="http://schemas.microsoft.com/office/spreadsheetml/2009/9/main" objectType="CheckBox" fmlaLink="$AK$170" lockText="1" noThreeD="1"/>
</file>

<file path=xl/ctrlProps/ctrlProp133.xml><?xml version="1.0" encoding="utf-8"?>
<formControlPr xmlns="http://schemas.microsoft.com/office/spreadsheetml/2009/9/main" objectType="CheckBox" fmlaLink="$AK$171" lockText="1" noThreeD="1"/>
</file>

<file path=xl/ctrlProps/ctrlProp134.xml><?xml version="1.0" encoding="utf-8"?>
<formControlPr xmlns="http://schemas.microsoft.com/office/spreadsheetml/2009/9/main" objectType="CheckBox" fmlaLink="$AK$174" lockText="1" noThreeD="1"/>
</file>

<file path=xl/ctrlProps/ctrlProp135.xml><?xml version="1.0" encoding="utf-8"?>
<formControlPr xmlns="http://schemas.microsoft.com/office/spreadsheetml/2009/9/main" objectType="CheckBox" fmlaLink="$AK$175" lockText="1" noThreeD="1"/>
</file>

<file path=xl/ctrlProps/ctrlProp136.xml><?xml version="1.0" encoding="utf-8"?>
<formControlPr xmlns="http://schemas.microsoft.com/office/spreadsheetml/2009/9/main" objectType="CheckBox" fmlaLink="$AK$176" lockText="1" noThreeD="1"/>
</file>

<file path=xl/ctrlProps/ctrlProp137.xml><?xml version="1.0" encoding="utf-8"?>
<formControlPr xmlns="http://schemas.microsoft.com/office/spreadsheetml/2009/9/main" objectType="CheckBox" fmlaLink="$AK$178" lockText="1" noThreeD="1"/>
</file>

<file path=xl/ctrlProps/ctrlProp138.xml><?xml version="1.0" encoding="utf-8"?>
<formControlPr xmlns="http://schemas.microsoft.com/office/spreadsheetml/2009/9/main" objectType="CheckBox" fmlaLink="$AK$179" lockText="1" noThreeD="1"/>
</file>

<file path=xl/ctrlProps/ctrlProp139.xml><?xml version="1.0" encoding="utf-8"?>
<formControlPr xmlns="http://schemas.microsoft.com/office/spreadsheetml/2009/9/main" objectType="CheckBox" fmlaLink="$AK$180" lockText="1" noThreeD="1"/>
</file>

<file path=xl/ctrlProps/ctrlProp140.xml><?xml version="1.0" encoding="utf-8"?>
<formControlPr xmlns="http://schemas.microsoft.com/office/spreadsheetml/2009/9/main" objectType="CheckBox" fmlaLink="$AK$181" lockText="1" noThreeD="1"/>
</file>

<file path=xl/ctrlProps/ctrlProp141.xml><?xml version="1.0" encoding="utf-8"?>
<formControlPr xmlns="http://schemas.microsoft.com/office/spreadsheetml/2009/9/main" objectType="CheckBox" fmlaLink="$AK$182" lockText="1" noThreeD="1"/>
</file>

<file path=xl/ctrlProps/ctrlProp142.xml><?xml version="1.0" encoding="utf-8"?>
<formControlPr xmlns="http://schemas.microsoft.com/office/spreadsheetml/2009/9/main" objectType="CheckBox" fmlaLink="$AK$183" lockText="1" noThreeD="1"/>
</file>

<file path=xl/ctrlProps/ctrlProp143.xml><?xml version="1.0" encoding="utf-8"?>
<formControlPr xmlns="http://schemas.microsoft.com/office/spreadsheetml/2009/9/main" objectType="CheckBox" fmlaLink="$AK$173" lockText="1" noThreeD="1"/>
</file>

<file path=xl/ctrlProps/ctrlProp144.xml><?xml version="1.0" encoding="utf-8"?>
<formControlPr xmlns="http://schemas.microsoft.com/office/spreadsheetml/2009/9/main" objectType="CheckBox" fmlaLink="$AK$185" lockText="1" noThreeD="1"/>
</file>

<file path=xl/ctrlProps/ctrlProp145.xml><?xml version="1.0" encoding="utf-8"?>
<formControlPr xmlns="http://schemas.microsoft.com/office/spreadsheetml/2009/9/main" objectType="CheckBox" fmlaLink="$AK$186" lockText="1" noThreeD="1"/>
</file>

<file path=xl/ctrlProps/ctrlProp146.xml><?xml version="1.0" encoding="utf-8"?>
<formControlPr xmlns="http://schemas.microsoft.com/office/spreadsheetml/2009/9/main" objectType="CheckBox" fmlaLink="$AK$187" lockText="1" noThreeD="1"/>
</file>

<file path=xl/ctrlProps/ctrlProp147.xml><?xml version="1.0" encoding="utf-8"?>
<formControlPr xmlns="http://schemas.microsoft.com/office/spreadsheetml/2009/9/main" objectType="CheckBox" fmlaLink="$AK$189" lockText="1" noThreeD="1"/>
</file>

<file path=xl/ctrlProps/ctrlProp148.xml><?xml version="1.0" encoding="utf-8"?>
<formControlPr xmlns="http://schemas.microsoft.com/office/spreadsheetml/2009/9/main" objectType="CheckBox" fmlaLink="$AK$193" lockText="1" noThreeD="1"/>
</file>

<file path=xl/ctrlProps/ctrlProp149.xml><?xml version="1.0" encoding="utf-8"?>
<formControlPr xmlns="http://schemas.microsoft.com/office/spreadsheetml/2009/9/main" objectType="Radio" firstButton="1" fmlaLink="$AB$22" lockText="1" noThreeD="1"/>
</file>

<file path=xl/ctrlProps/ctrlProp150.xml><?xml version="1.0" encoding="utf-8"?>
<formControlPr xmlns="http://schemas.microsoft.com/office/spreadsheetml/2009/9/main" objectType="Radio" lockText="1" noThreeD="1"/>
</file>

<file path=xl/ctrlProps/ctrlProp151.xml><?xml version="1.0" encoding="utf-8"?>
<formControlPr xmlns="http://schemas.microsoft.com/office/spreadsheetml/2009/9/main" objectType="Radio" checked="Checked" lockText="1" noThreeD="1"/>
</file>

<file path=xl/ctrlProps/ctrlProp152.xml><?xml version="1.0" encoding="utf-8"?>
<formControlPr xmlns="http://schemas.microsoft.com/office/spreadsheetml/2009/9/main" objectType="GBox" noThreeD="1"/>
</file>

<file path=xl/ctrlProps/ctrlProp153.xml><?xml version="1.0" encoding="utf-8"?>
<formControlPr xmlns="http://schemas.microsoft.com/office/spreadsheetml/2009/9/main" objectType="Radio" checked="Checked" firstButton="1" fmlaLink="$AB$24" lockText="1" noThreeD="1"/>
</file>

<file path=xl/ctrlProps/ctrlProp154.xml><?xml version="1.0" encoding="utf-8"?>
<formControlPr xmlns="http://schemas.microsoft.com/office/spreadsheetml/2009/9/main" objectType="Radio" lockText="1" noThreeD="1"/>
</file>

<file path=xl/ctrlProps/ctrlProp155.xml><?xml version="1.0" encoding="utf-8"?>
<formControlPr xmlns="http://schemas.microsoft.com/office/spreadsheetml/2009/9/main" objectType="Radio" lockText="1" noThreeD="1"/>
</file>

<file path=xl/ctrlProps/ctrlProp156.xml><?xml version="1.0" encoding="utf-8"?>
<formControlPr xmlns="http://schemas.microsoft.com/office/spreadsheetml/2009/9/main" objectType="GBox" noThreeD="1"/>
</file>

<file path=xl/ctrlProps/ctrlProp157.xml><?xml version="1.0" encoding="utf-8"?>
<formControlPr xmlns="http://schemas.microsoft.com/office/spreadsheetml/2009/9/main" objectType="Radio" checked="Checked" firstButton="1" fmlaLink="$AB$33" lockText="1" noThreeD="1"/>
</file>

<file path=xl/ctrlProps/ctrlProp158.xml><?xml version="1.0" encoding="utf-8"?>
<formControlPr xmlns="http://schemas.microsoft.com/office/spreadsheetml/2009/9/main" objectType="Radio" lockText="1" noThreeD="1"/>
</file>

<file path=xl/ctrlProps/ctrlProp159.xml><?xml version="1.0" encoding="utf-8"?>
<formControlPr xmlns="http://schemas.microsoft.com/office/spreadsheetml/2009/9/main" objectType="Radio" lockText="1" noThreeD="1"/>
</file>

<file path=xl/ctrlProps/ctrlProp160.xml><?xml version="1.0" encoding="utf-8"?>
<formControlPr xmlns="http://schemas.microsoft.com/office/spreadsheetml/2009/9/main" objectType="GBox" noThreeD="1"/>
</file>

<file path=xl/ctrlProps/ctrlProp161.xml><?xml version="1.0" encoding="utf-8"?>
<formControlPr xmlns="http://schemas.microsoft.com/office/spreadsheetml/2009/9/main" objectType="Radio" checked="Checked" firstButton="1" fmlaLink="$AB$40" lockText="1" noThreeD="1"/>
</file>

<file path=xl/ctrlProps/ctrlProp162.xml><?xml version="1.0" encoding="utf-8"?>
<formControlPr xmlns="http://schemas.microsoft.com/office/spreadsheetml/2009/9/main" objectType="Radio" lockText="1" noThreeD="1"/>
</file>

<file path=xl/ctrlProps/ctrlProp163.xml><?xml version="1.0" encoding="utf-8"?>
<formControlPr xmlns="http://schemas.microsoft.com/office/spreadsheetml/2009/9/main" objectType="Radio" lockText="1" noThreeD="1"/>
</file>

<file path=xl/ctrlProps/ctrlProp164.xml><?xml version="1.0" encoding="utf-8"?>
<formControlPr xmlns="http://schemas.microsoft.com/office/spreadsheetml/2009/9/main" objectType="GBox" noThreeD="1"/>
</file>

<file path=xl/ctrlProps/ctrlProp165.xml><?xml version="1.0" encoding="utf-8"?>
<formControlPr xmlns="http://schemas.microsoft.com/office/spreadsheetml/2009/9/main" objectType="Radio" checked="Checked" firstButton="1" fmlaLink="$AB$41" lockText="1" noThreeD="1"/>
</file>

<file path=xl/ctrlProps/ctrlProp166.xml><?xml version="1.0" encoding="utf-8"?>
<formControlPr xmlns="http://schemas.microsoft.com/office/spreadsheetml/2009/9/main" objectType="Radio" lockText="1" noThreeD="1"/>
</file>

<file path=xl/ctrlProps/ctrlProp167.xml><?xml version="1.0" encoding="utf-8"?>
<formControlPr xmlns="http://schemas.microsoft.com/office/spreadsheetml/2009/9/main" objectType="Radio" lockText="1" noThreeD="1"/>
</file>

<file path=xl/ctrlProps/ctrlProp168.xml><?xml version="1.0" encoding="utf-8"?>
<formControlPr xmlns="http://schemas.microsoft.com/office/spreadsheetml/2009/9/main" objectType="GBox" noThreeD="1"/>
</file>

<file path=xl/ctrlProps/ctrlProp169.xml><?xml version="1.0" encoding="utf-8"?>
<formControlPr xmlns="http://schemas.microsoft.com/office/spreadsheetml/2009/9/main" objectType="GBox" noThreeD="1"/>
</file>

<file path=xl/ctrlProps/ctrlProp170.xml><?xml version="1.0" encoding="utf-8"?>
<formControlPr xmlns="http://schemas.microsoft.com/office/spreadsheetml/2009/9/main" objectType="Radio" checked="Checked" firstButton="1" fmlaLink="$AB$42" lockText="1" noThreeD="1"/>
</file>

<file path=xl/ctrlProps/ctrlProp171.xml><?xml version="1.0" encoding="utf-8"?>
<formControlPr xmlns="http://schemas.microsoft.com/office/spreadsheetml/2009/9/main" objectType="Radio" lockText="1" noThreeD="1"/>
</file>

<file path=xl/ctrlProps/ctrlProp172.xml><?xml version="1.0" encoding="utf-8"?>
<formControlPr xmlns="http://schemas.microsoft.com/office/spreadsheetml/2009/9/main" objectType="Radio" lockText="1" noThreeD="1"/>
</file>

<file path=xl/ctrlProps/ctrlProp173.xml><?xml version="1.0" encoding="utf-8"?>
<formControlPr xmlns="http://schemas.microsoft.com/office/spreadsheetml/2009/9/main" objectType="GBox" noThreeD="1"/>
</file>

<file path=xl/ctrlProps/ctrlProp174.xml><?xml version="1.0" encoding="utf-8"?>
<formControlPr xmlns="http://schemas.microsoft.com/office/spreadsheetml/2009/9/main" objectType="Radio" checked="Checked" firstButton="1" fmlaLink="$AB$44" lockText="1" noThreeD="1"/>
</file>

<file path=xl/ctrlProps/ctrlProp175.xml><?xml version="1.0" encoding="utf-8"?>
<formControlPr xmlns="http://schemas.microsoft.com/office/spreadsheetml/2009/9/main" objectType="Radio" lockText="1" noThreeD="1"/>
</file>

<file path=xl/ctrlProps/ctrlProp176.xml><?xml version="1.0" encoding="utf-8"?>
<formControlPr xmlns="http://schemas.microsoft.com/office/spreadsheetml/2009/9/main" objectType="Radio" lockText="1" noThreeD="1"/>
</file>

<file path=xl/ctrlProps/ctrlProp177.xml><?xml version="1.0" encoding="utf-8"?>
<formControlPr xmlns="http://schemas.microsoft.com/office/spreadsheetml/2009/9/main" objectType="GBox" noThreeD="1"/>
</file>

<file path=xl/ctrlProps/ctrlProp178.xml><?xml version="1.0" encoding="utf-8"?>
<formControlPr xmlns="http://schemas.microsoft.com/office/spreadsheetml/2009/9/main" objectType="Radio" checked="Checked" firstButton="1" fmlaLink="$AB$47" lockText="1" noThreeD="1"/>
</file>

<file path=xl/ctrlProps/ctrlProp179.xml><?xml version="1.0" encoding="utf-8"?>
<formControlPr xmlns="http://schemas.microsoft.com/office/spreadsheetml/2009/9/main" objectType="Radio" lockText="1" noThreeD="1"/>
</file>

<file path=xl/ctrlProps/ctrlProp180.xml><?xml version="1.0" encoding="utf-8"?>
<formControlPr xmlns="http://schemas.microsoft.com/office/spreadsheetml/2009/9/main" objectType="Radio" lockText="1" noThreeD="1"/>
</file>

<file path=xl/ctrlProps/ctrlProp181.xml><?xml version="1.0" encoding="utf-8"?>
<formControlPr xmlns="http://schemas.microsoft.com/office/spreadsheetml/2009/9/main" objectType="GBox" noThreeD="1"/>
</file>

<file path=xl/ctrlProps/ctrlProp182.xml><?xml version="1.0" encoding="utf-8"?>
<formControlPr xmlns="http://schemas.microsoft.com/office/spreadsheetml/2009/9/main" objectType="Radio" firstButton="1" fmlaLink="$AB$59" lockText="1" noThreeD="1"/>
</file>

<file path=xl/ctrlProps/ctrlProp183.xml><?xml version="1.0" encoding="utf-8"?>
<formControlPr xmlns="http://schemas.microsoft.com/office/spreadsheetml/2009/9/main" objectType="Radio" checked="Checked" lockText="1" noThreeD="1"/>
</file>

<file path=xl/ctrlProps/ctrlProp184.xml><?xml version="1.0" encoding="utf-8"?>
<formControlPr xmlns="http://schemas.microsoft.com/office/spreadsheetml/2009/9/main" objectType="Radio" lockText="1" noThreeD="1"/>
</file>

<file path=xl/ctrlProps/ctrlProp185.xml><?xml version="1.0" encoding="utf-8"?>
<formControlPr xmlns="http://schemas.microsoft.com/office/spreadsheetml/2009/9/main" objectType="GBox" noThreeD="1"/>
</file>

<file path=xl/ctrlProps/ctrlProp186.xml><?xml version="1.0" encoding="utf-8"?>
<formControlPr xmlns="http://schemas.microsoft.com/office/spreadsheetml/2009/9/main" objectType="GBox" noThreeD="1"/>
</file>

<file path=xl/ctrlProps/ctrlProp187.xml><?xml version="1.0" encoding="utf-8"?>
<formControlPr xmlns="http://schemas.microsoft.com/office/spreadsheetml/2009/9/main" objectType="Radio" firstButton="1" fmlaLink="$AB$61" lockText="1" noThreeD="1"/>
</file>

<file path=xl/ctrlProps/ctrlProp188.xml><?xml version="1.0" encoding="utf-8"?>
<formControlPr xmlns="http://schemas.microsoft.com/office/spreadsheetml/2009/9/main" objectType="Radio" checked="Checked" lockText="1" noThreeD="1"/>
</file>

<file path=xl/ctrlProps/ctrlProp189.xml><?xml version="1.0" encoding="utf-8"?>
<formControlPr xmlns="http://schemas.microsoft.com/office/spreadsheetml/2009/9/main" objectType="Radio" lockText="1" noThreeD="1"/>
</file>

<file path=xl/ctrlProps/ctrlProp190.xml><?xml version="1.0" encoding="utf-8"?>
<formControlPr xmlns="http://schemas.microsoft.com/office/spreadsheetml/2009/9/main" objectType="GBox" noThreeD="1"/>
</file>

<file path=xl/ctrlProps/ctrlProp191.xml><?xml version="1.0" encoding="utf-8"?>
<formControlPr xmlns="http://schemas.microsoft.com/office/spreadsheetml/2009/9/main" objectType="Radio" checked="Checked" firstButton="1" fmlaLink="$AB$85" lockText="1" noThreeD="1"/>
</file>

<file path=xl/ctrlProps/ctrlProp192.xml><?xml version="1.0" encoding="utf-8"?>
<formControlPr xmlns="http://schemas.microsoft.com/office/spreadsheetml/2009/9/main" objectType="Radio" lockText="1" noThreeD="1"/>
</file>

<file path=xl/ctrlProps/ctrlProp193.xml><?xml version="1.0" encoding="utf-8"?>
<formControlPr xmlns="http://schemas.microsoft.com/office/spreadsheetml/2009/9/main" objectType="Radio" lockText="1" noThreeD="1"/>
</file>

<file path=xl/ctrlProps/ctrlProp194.xml><?xml version="1.0" encoding="utf-8"?>
<formControlPr xmlns="http://schemas.microsoft.com/office/spreadsheetml/2009/9/main" objectType="GBox" noThreeD="1"/>
</file>

<file path=xl/ctrlProps/ctrlProp195.xml><?xml version="1.0" encoding="utf-8"?>
<formControlPr xmlns="http://schemas.microsoft.com/office/spreadsheetml/2009/9/main" objectType="Radio" firstButton="1" fmlaLink="$AB$86" lockText="1" noThreeD="1"/>
</file>

<file path=xl/ctrlProps/ctrlProp196.xml><?xml version="1.0" encoding="utf-8"?>
<formControlPr xmlns="http://schemas.microsoft.com/office/spreadsheetml/2009/9/main" objectType="Radio" lockText="1" noThreeD="1"/>
</file>

<file path=xl/ctrlProps/ctrlProp197.xml><?xml version="1.0" encoding="utf-8"?>
<formControlPr xmlns="http://schemas.microsoft.com/office/spreadsheetml/2009/9/main" objectType="Radio" checked="Checked" lockText="1" noThreeD="1"/>
</file>

<file path=xl/ctrlProps/ctrlProp198.xml><?xml version="1.0" encoding="utf-8"?>
<formControlPr xmlns="http://schemas.microsoft.com/office/spreadsheetml/2009/9/main" objectType="GBox" noThreeD="1"/>
</file>

<file path=xl/ctrlProps/ctrlProp199.xml><?xml version="1.0" encoding="utf-8"?>
<formControlPr xmlns="http://schemas.microsoft.com/office/spreadsheetml/2009/9/main" objectType="Radio" checked="Checked" firstButton="1" fmlaLink="$AB$88" lockText="1" noThreeD="1"/>
</file>

<file path=xl/ctrlProps/ctrlProp200.xml><?xml version="1.0" encoding="utf-8"?>
<formControlPr xmlns="http://schemas.microsoft.com/office/spreadsheetml/2009/9/main" objectType="Radio" lockText="1" noThreeD="1"/>
</file>

<file path=xl/ctrlProps/ctrlProp201.xml><?xml version="1.0" encoding="utf-8"?>
<formControlPr xmlns="http://schemas.microsoft.com/office/spreadsheetml/2009/9/main" objectType="Radio" lockText="1" noThreeD="1"/>
</file>

<file path=xl/ctrlProps/ctrlProp202.xml><?xml version="1.0" encoding="utf-8"?>
<formControlPr xmlns="http://schemas.microsoft.com/office/spreadsheetml/2009/9/main" objectType="GBox" noThreeD="1"/>
</file>

<file path=xl/ctrlProps/ctrlProp203.xml><?xml version="1.0" encoding="utf-8"?>
<formControlPr xmlns="http://schemas.microsoft.com/office/spreadsheetml/2009/9/main" objectType="Radio" checked="Checked" firstButton="1" fmlaLink="$AB$89" lockText="1" noThreeD="1"/>
</file>

<file path=xl/ctrlProps/ctrlProp204.xml><?xml version="1.0" encoding="utf-8"?>
<formControlPr xmlns="http://schemas.microsoft.com/office/spreadsheetml/2009/9/main" objectType="Radio" lockText="1" noThreeD="1"/>
</file>

<file path=xl/ctrlProps/ctrlProp205.xml><?xml version="1.0" encoding="utf-8"?>
<formControlPr xmlns="http://schemas.microsoft.com/office/spreadsheetml/2009/9/main" objectType="Radio" lockText="1" noThreeD="1"/>
</file>

<file path=xl/ctrlProps/ctrlProp206.xml><?xml version="1.0" encoding="utf-8"?>
<formControlPr xmlns="http://schemas.microsoft.com/office/spreadsheetml/2009/9/main" objectType="GBox" noThreeD="1"/>
</file>

<file path=xl/ctrlProps/ctrlProp207.xml><?xml version="1.0" encoding="utf-8"?>
<formControlPr xmlns="http://schemas.microsoft.com/office/spreadsheetml/2009/9/main" objectType="Radio" firstButton="1" fmlaLink="$AB$100" lockText="1" noThreeD="1"/>
</file>

<file path=xl/ctrlProps/ctrlProp208.xml><?xml version="1.0" encoding="utf-8"?>
<formControlPr xmlns="http://schemas.microsoft.com/office/spreadsheetml/2009/9/main" objectType="Radio" checked="Checked" lockText="1" noThreeD="1"/>
</file>

<file path=xl/ctrlProps/ctrlProp209.xml><?xml version="1.0" encoding="utf-8"?>
<formControlPr xmlns="http://schemas.microsoft.com/office/spreadsheetml/2009/9/main" objectType="Radio" lockText="1" noThreeD="1"/>
</file>

<file path=xl/ctrlProps/ctrlProp210.xml><?xml version="1.0" encoding="utf-8"?>
<formControlPr xmlns="http://schemas.microsoft.com/office/spreadsheetml/2009/9/main" objectType="GBox" noThreeD="1"/>
</file>

<file path=xl/ctrlProps/ctrlProp211.xml><?xml version="1.0" encoding="utf-8"?>
<formControlPr xmlns="http://schemas.microsoft.com/office/spreadsheetml/2009/9/main" objectType="Radio" firstButton="1" fmlaLink="$AB$136" lockText="1" noThreeD="1"/>
</file>

<file path=xl/ctrlProps/ctrlProp212.xml><?xml version="1.0" encoding="utf-8"?>
<formControlPr xmlns="http://schemas.microsoft.com/office/spreadsheetml/2009/9/main" objectType="Radio" lockText="1" noThreeD="1"/>
</file>

<file path=xl/ctrlProps/ctrlProp213.xml><?xml version="1.0" encoding="utf-8"?>
<formControlPr xmlns="http://schemas.microsoft.com/office/spreadsheetml/2009/9/main" objectType="Radio" checked="Checked" lockText="1" noThreeD="1"/>
</file>

<file path=xl/ctrlProps/ctrlProp214.xml><?xml version="1.0" encoding="utf-8"?>
<formControlPr xmlns="http://schemas.microsoft.com/office/spreadsheetml/2009/9/main" objectType="GBox" noThreeD="1"/>
</file>

<file path=xl/ctrlProps/ctrlProp215.xml><?xml version="1.0" encoding="utf-8"?>
<formControlPr xmlns="http://schemas.microsoft.com/office/spreadsheetml/2009/9/main" objectType="Radio" firstButton="1" fmlaLink="$AB$154" lockText="1" noThreeD="1"/>
</file>

<file path=xl/ctrlProps/ctrlProp216.xml><?xml version="1.0" encoding="utf-8"?>
<formControlPr xmlns="http://schemas.microsoft.com/office/spreadsheetml/2009/9/main" objectType="Radio" lockText="1" noThreeD="1"/>
</file>

<file path=xl/ctrlProps/ctrlProp217.xml><?xml version="1.0" encoding="utf-8"?>
<formControlPr xmlns="http://schemas.microsoft.com/office/spreadsheetml/2009/9/main" objectType="Radio" checked="Checked" lockText="1" noThreeD="1"/>
</file>

<file path=xl/ctrlProps/ctrlProp218.xml><?xml version="1.0" encoding="utf-8"?>
<formControlPr xmlns="http://schemas.microsoft.com/office/spreadsheetml/2009/9/main" objectType="GBox" noThreeD="1"/>
</file>

<file path=xl/ctrlProps/ctrlProp219.xml><?xml version="1.0" encoding="utf-8"?>
<formControlPr xmlns="http://schemas.microsoft.com/office/spreadsheetml/2009/9/main" objectType="Radio" checked="Checked" firstButton="1" fmlaLink="$AB$189" lockText="1" noThreeD="1"/>
</file>

<file path=xl/ctrlProps/ctrlProp220.xml><?xml version="1.0" encoding="utf-8"?>
<formControlPr xmlns="http://schemas.microsoft.com/office/spreadsheetml/2009/9/main" objectType="Radio" lockText="1" noThreeD="1"/>
</file>

<file path=xl/ctrlProps/ctrlProp221.xml><?xml version="1.0" encoding="utf-8"?>
<formControlPr xmlns="http://schemas.microsoft.com/office/spreadsheetml/2009/9/main" objectType="Radio" lockText="1" noThreeD="1"/>
</file>

<file path=xl/ctrlProps/ctrlProp222.xml><?xml version="1.0" encoding="utf-8"?>
<formControlPr xmlns="http://schemas.microsoft.com/office/spreadsheetml/2009/9/main" objectType="GBox" noThreeD="1"/>
</file>

<file path=xl/ctrlProps/ctrlProp223.xml><?xml version="1.0" encoding="utf-8"?>
<formControlPr xmlns="http://schemas.microsoft.com/office/spreadsheetml/2009/9/main" objectType="CheckBox" fmlaLink="$AK$13" lockText="1" noThreeD="1"/>
</file>

<file path=xl/ctrlProps/ctrlProp224.xml><?xml version="1.0" encoding="utf-8"?>
<formControlPr xmlns="http://schemas.microsoft.com/office/spreadsheetml/2009/9/main" objectType="CheckBox" fmlaLink="$AK$14" lockText="1" noThreeD="1"/>
</file>

<file path=xl/ctrlProps/ctrlProp225.xml><?xml version="1.0" encoding="utf-8"?>
<formControlPr xmlns="http://schemas.microsoft.com/office/spreadsheetml/2009/9/main" objectType="CheckBox" fmlaLink="$AK$15" lockText="1" noThreeD="1"/>
</file>

<file path=xl/ctrlProps/ctrlProp226.xml><?xml version="1.0" encoding="utf-8"?>
<formControlPr xmlns="http://schemas.microsoft.com/office/spreadsheetml/2009/9/main" objectType="CheckBox" fmlaLink="$AK$16" lockText="1" noThreeD="1"/>
</file>

<file path=xl/ctrlProps/ctrlProp227.xml><?xml version="1.0" encoding="utf-8"?>
<formControlPr xmlns="http://schemas.microsoft.com/office/spreadsheetml/2009/9/main" objectType="CheckBox" fmlaLink="$AK$17" lockText="1" noThreeD="1"/>
</file>

<file path=xl/ctrlProps/ctrlProp228.xml><?xml version="1.0" encoding="utf-8"?>
<formControlPr xmlns="http://schemas.microsoft.com/office/spreadsheetml/2009/9/main" objectType="CheckBox" fmlaLink="$AK$45" lockText="1" noThreeD="1"/>
</file>

<file path=xl/ctrlProps/ctrlProp229.xml><?xml version="1.0" encoding="utf-8"?>
<formControlPr xmlns="http://schemas.microsoft.com/office/spreadsheetml/2009/9/main" objectType="CheckBox" fmlaLink="$AK$46" lockText="1" noThreeD="1"/>
</file>

<file path=xl/ctrlProps/ctrlProp230.xml><?xml version="1.0" encoding="utf-8"?>
<formControlPr xmlns="http://schemas.microsoft.com/office/spreadsheetml/2009/9/main" objectType="Radio" firstButton="1" fmlaLink="$AB$46" lockText="1" noThreeD="1"/>
</file>

<file path=xl/ctrlProps/ctrlProp231.xml><?xml version="1.0" encoding="utf-8"?>
<formControlPr xmlns="http://schemas.microsoft.com/office/spreadsheetml/2009/9/main" objectType="Radio" lockText="1" noThreeD="1"/>
</file>

<file path=xl/ctrlProps/ctrlProp232.xml><?xml version="1.0" encoding="utf-8"?>
<formControlPr xmlns="http://schemas.microsoft.com/office/spreadsheetml/2009/9/main" objectType="Radio" checked="Checked" lockText="1" noThreeD="1"/>
</file>

<file path=xl/ctrlProps/ctrlProp233.xml><?xml version="1.0" encoding="utf-8"?>
<formControlPr xmlns="http://schemas.microsoft.com/office/spreadsheetml/2009/9/main" objectType="GBox" noThreeD="1"/>
</file>

<file path=xl/ctrlProps/ctrlProp234.xml><?xml version="1.0" encoding="utf-8"?>
<formControlPr xmlns="http://schemas.microsoft.com/office/spreadsheetml/2009/9/main" objectType="CheckBox" fmlaLink="$AK$54" lockText="1" noThreeD="1"/>
</file>

<file path=xl/ctrlProps/ctrlProp235.xml><?xml version="1.0" encoding="utf-8"?>
<formControlPr xmlns="http://schemas.microsoft.com/office/spreadsheetml/2009/9/main" objectType="CheckBox" fmlaLink="$AK$53" lockText="1" noThreeD="1"/>
</file>

<file path=xl/ctrlProps/ctrlProp236.xml><?xml version="1.0" encoding="utf-8"?>
<formControlPr xmlns="http://schemas.microsoft.com/office/spreadsheetml/2009/9/main" objectType="CheckBox" fmlaLink="$AK$51" lockText="1" noThreeD="1"/>
</file>

<file path=xl/ctrlProps/ctrlProp237.xml><?xml version="1.0" encoding="utf-8"?>
<formControlPr xmlns="http://schemas.microsoft.com/office/spreadsheetml/2009/9/main" objectType="Radio" checked="Checked" firstButton="1" fmlaLink="$AB$51" lockText="1" noThreeD="1"/>
</file>

<file path=xl/ctrlProps/ctrlProp238.xml><?xml version="1.0" encoding="utf-8"?>
<formControlPr xmlns="http://schemas.microsoft.com/office/spreadsheetml/2009/9/main" objectType="Radio" lockText="1" noThreeD="1"/>
</file>

<file path=xl/ctrlProps/ctrlProp239.xml><?xml version="1.0" encoding="utf-8"?>
<formControlPr xmlns="http://schemas.microsoft.com/office/spreadsheetml/2009/9/main" objectType="Radio" lockText="1" noThreeD="1"/>
</file>

<file path=xl/ctrlProps/ctrlProp240.xml><?xml version="1.0" encoding="utf-8"?>
<formControlPr xmlns="http://schemas.microsoft.com/office/spreadsheetml/2009/9/main" objectType="GBox" noThreeD="1"/>
</file>

<file path=xl/ctrlProps/ctrlProp241.xml><?xml version="1.0" encoding="utf-8"?>
<formControlPr xmlns="http://schemas.microsoft.com/office/spreadsheetml/2009/9/main" objectType="CheckBox" fmlaLink="$AK$53" lockText="1" noThreeD="1"/>
</file>

<file path=xl/ctrlProps/ctrlProp242.xml><?xml version="1.0" encoding="utf-8"?>
<formControlPr xmlns="http://schemas.microsoft.com/office/spreadsheetml/2009/9/main" objectType="CheckBox" fmlaLink="$AK$52" lockText="1" noThreeD="1"/>
</file>

<file path=xl/ctrlProps/ctrlProp243.xml><?xml version="1.0" encoding="utf-8"?>
<formControlPr xmlns="http://schemas.microsoft.com/office/spreadsheetml/2009/9/main" objectType="Radio" checked="Checked" firstButton="1" fmlaLink="$AB$52" lockText="1" noThreeD="1"/>
</file>

<file path=xl/ctrlProps/ctrlProp244.xml><?xml version="1.0" encoding="utf-8"?>
<formControlPr xmlns="http://schemas.microsoft.com/office/spreadsheetml/2009/9/main" objectType="Radio" lockText="1" noThreeD="1"/>
</file>

<file path=xl/ctrlProps/ctrlProp245.xml><?xml version="1.0" encoding="utf-8"?>
<formControlPr xmlns="http://schemas.microsoft.com/office/spreadsheetml/2009/9/main" objectType="Radio" lockText="1" noThreeD="1"/>
</file>

<file path=xl/ctrlProps/ctrlProp246.xml><?xml version="1.0" encoding="utf-8"?>
<formControlPr xmlns="http://schemas.microsoft.com/office/spreadsheetml/2009/9/main" objectType="GBox" noThreeD="1"/>
</file>

<file path=xl/ctrlProps/ctrlProp247.xml><?xml version="1.0" encoding="utf-8"?>
<formControlPr xmlns="http://schemas.microsoft.com/office/spreadsheetml/2009/9/main" objectType="CheckBox" fmlaLink="$AK$66" lockText="1" noThreeD="1"/>
</file>

<file path=xl/ctrlProps/ctrlProp248.xml><?xml version="1.0" encoding="utf-8"?>
<formControlPr xmlns="http://schemas.microsoft.com/office/spreadsheetml/2009/9/main" objectType="Radio" firstButton="1" fmlaLink="$AB$66" lockText="1" noThreeD="1"/>
</file>

<file path=xl/ctrlProps/ctrlProp249.xml><?xml version="1.0" encoding="utf-8"?>
<formControlPr xmlns="http://schemas.microsoft.com/office/spreadsheetml/2009/9/main" objectType="Radio" lockText="1" noThreeD="1"/>
</file>

<file path=xl/ctrlProps/ctrlProp250.xml><?xml version="1.0" encoding="utf-8"?>
<formControlPr xmlns="http://schemas.microsoft.com/office/spreadsheetml/2009/9/main" objectType="Radio" checked="Checked" lockText="1" noThreeD="1"/>
</file>

<file path=xl/ctrlProps/ctrlProp251.xml><?xml version="1.0" encoding="utf-8"?>
<formControlPr xmlns="http://schemas.microsoft.com/office/spreadsheetml/2009/9/main" objectType="GBox" noThreeD="1"/>
</file>

<file path=xl/ctrlProps/ctrlProp252.xml><?xml version="1.0" encoding="utf-8"?>
<formControlPr xmlns="http://schemas.microsoft.com/office/spreadsheetml/2009/9/main" objectType="CheckBox" fmlaLink="$AK$82" lockText="1" noThreeD="1"/>
</file>

<file path=xl/ctrlProps/ctrlProp253.xml><?xml version="1.0" encoding="utf-8"?>
<formControlPr xmlns="http://schemas.microsoft.com/office/spreadsheetml/2009/9/main" objectType="CheckBox" fmlaLink="$AK$83" lockText="1" noThreeD="1"/>
</file>

<file path=xl/ctrlProps/ctrlProp254.xml><?xml version="1.0" encoding="utf-8"?>
<formControlPr xmlns="http://schemas.microsoft.com/office/spreadsheetml/2009/9/main" objectType="CheckBox" fmlaLink="$AK$84" lockText="1" noThreeD="1"/>
</file>

<file path=xl/ctrlProps/ctrlProp255.xml><?xml version="1.0" encoding="utf-8"?>
<formControlPr xmlns="http://schemas.microsoft.com/office/spreadsheetml/2009/9/main" objectType="CheckBox" fmlaLink="$AK$92" lockText="1" noThreeD="1"/>
</file>

<file path=xl/ctrlProps/ctrlProp256.xml><?xml version="1.0" encoding="utf-8"?>
<formControlPr xmlns="http://schemas.microsoft.com/office/spreadsheetml/2009/9/main" objectType="CheckBox" fmlaLink="$AK$132" lockText="1" noThreeD="1"/>
</file>

<file path=xl/ctrlProps/ctrlProp257.xml><?xml version="1.0" encoding="utf-8"?>
<formControlPr xmlns="http://schemas.microsoft.com/office/spreadsheetml/2009/9/main" objectType="CheckBox" fmlaLink="$AK$146" lockText="1" noThreeD="1"/>
</file>

<file path=xl/ctrlProps/ctrlProp258.xml><?xml version="1.0" encoding="utf-8"?>
<formControlPr xmlns="http://schemas.microsoft.com/office/spreadsheetml/2009/9/main" objectType="CheckBox" fmlaLink="$AK$147" lockText="1" noThreeD="1"/>
</file>

<file path=xl/ctrlProps/ctrlProp259.xml><?xml version="1.0" encoding="utf-8"?>
<formControlPr xmlns="http://schemas.microsoft.com/office/spreadsheetml/2009/9/main" objectType="CheckBox" fmlaLink="$AK$91" lockText="1" noThreeD="1"/>
</file>

<file path=xl/ctrlProps/ctrlProp260.xml><?xml version="1.0" encoding="utf-8"?>
<formControlPr xmlns="http://schemas.microsoft.com/office/spreadsheetml/2009/9/main" objectType="CheckBox" fmlaLink="$AK$172" lockText="1" noThreeD="1"/>
</file>

<file path=xl/ctrlProps/ctrlProp261.xml><?xml version="1.0" encoding="utf-8"?>
<formControlPr xmlns="http://schemas.microsoft.com/office/spreadsheetml/2009/9/main" objectType="CheckBox" fmlaLink="$AK$108" lockText="1" noThreeD="1"/>
</file>

<file path=xl/ctrlProps/ctrlProp262.xml><?xml version="1.0" encoding="utf-8"?>
<formControlPr xmlns="http://schemas.microsoft.com/office/spreadsheetml/2009/9/main" objectType="CheckBox" fmlaLink="$AK$64" lockText="1" noThreeD="1"/>
</file>

<file path=xl/ctrlProps/ctrlProp263.xml><?xml version="1.0" encoding="utf-8"?>
<formControlPr xmlns="http://schemas.microsoft.com/office/spreadsheetml/2009/9/main" objectType="CheckBox" fmlaLink="$AK$169" lockText="1" noThreeD="1"/>
</file>

<file path=xl/ctrlProps/ctrlProp264.xml><?xml version="1.0" encoding="utf-8"?>
<formControlPr xmlns="http://schemas.microsoft.com/office/spreadsheetml/2009/9/main" objectType="CheckBox" fmlaLink="$AK$191" lockText="1" noThreeD="1"/>
</file>

<file path=xl/ctrlProps/ctrlProp265.xml><?xml version="1.0" encoding="utf-8"?>
<formControlPr xmlns="http://schemas.microsoft.com/office/spreadsheetml/2009/9/main" objectType="CheckBox" fmlaLink="$AK$195" lockText="1" noThreeD="1"/>
</file>

<file path=xl/ctrlProps/ctrlProp266.xml><?xml version="1.0" encoding="utf-8"?>
<formControlPr xmlns="http://schemas.microsoft.com/office/spreadsheetml/2009/9/main" objectType="CheckBox" fmlaLink="$AK$196" lockText="1" noThreeD="1"/>
</file>

<file path=xl/ctrlProps/ctrlProp267.xml><?xml version="1.0" encoding="utf-8"?>
<formControlPr xmlns="http://schemas.microsoft.com/office/spreadsheetml/2009/9/main" objectType="Radio" firstButton="1" fmlaLink="$AB$196" lockText="1" noThreeD="1"/>
</file>

<file path=xl/ctrlProps/ctrlProp268.xml><?xml version="1.0" encoding="utf-8"?>
<formControlPr xmlns="http://schemas.microsoft.com/office/spreadsheetml/2009/9/main" objectType="Radio" lockText="1" noThreeD="1"/>
</file>

<file path=xl/ctrlProps/ctrlProp269.xml><?xml version="1.0" encoding="utf-8"?>
<formControlPr xmlns="http://schemas.microsoft.com/office/spreadsheetml/2009/9/main" objectType="Radio" checked="Checked" lockText="1" noThreeD="1"/>
</file>

<file path=xl/ctrlProps/ctrlProp270.xml><?xml version="1.0" encoding="utf-8"?>
<formControlPr xmlns="http://schemas.microsoft.com/office/spreadsheetml/2009/9/main" objectType="GBox" noThreeD="1"/>
</file>

<file path=xl/ctrlProps/ctrlProp271.xml><?xml version="1.0" encoding="utf-8"?>
<formControlPr xmlns="http://schemas.microsoft.com/office/spreadsheetml/2009/9/main" objectType="CheckBox" fmlaLink="$AK$197" lockText="1" noThreeD="1"/>
</file>

<file path=xl/ctrlProps/ctrlProp272.xml><?xml version="1.0" encoding="utf-8"?>
<formControlPr xmlns="http://schemas.microsoft.com/office/spreadsheetml/2009/9/main" objectType="Radio" firstButton="1" fmlaLink="$AB$197" lockText="1" noThreeD="1"/>
</file>

<file path=xl/ctrlProps/ctrlProp273.xml><?xml version="1.0" encoding="utf-8"?>
<formControlPr xmlns="http://schemas.microsoft.com/office/spreadsheetml/2009/9/main" objectType="Radio" lockText="1" noThreeD="1"/>
</file>

<file path=xl/ctrlProps/ctrlProp274.xml><?xml version="1.0" encoding="utf-8"?>
<formControlPr xmlns="http://schemas.microsoft.com/office/spreadsheetml/2009/9/main" objectType="Radio" checked="Checked" lockText="1" noThreeD="1"/>
</file>

<file path=xl/ctrlProps/ctrlProp275.xml><?xml version="1.0" encoding="utf-8"?>
<formControlPr xmlns="http://schemas.microsoft.com/office/spreadsheetml/2009/9/main" objectType="GBox" noThreeD="1"/>
</file>

<file path=xl/ctrlProps/ctrlProp276.xml><?xml version="1.0" encoding="utf-8"?>
<formControlPr xmlns="http://schemas.microsoft.com/office/spreadsheetml/2009/9/main" objectType="Radio" firstButton="1" fmlaLink="$AB$195" lockText="1" noThreeD="1"/>
</file>

<file path=xl/ctrlProps/ctrlProp277.xml><?xml version="1.0" encoding="utf-8"?>
<formControlPr xmlns="http://schemas.microsoft.com/office/spreadsheetml/2009/9/main" objectType="Radio" lockText="1" noThreeD="1"/>
</file>

<file path=xl/ctrlProps/ctrlProp278.xml><?xml version="1.0" encoding="utf-8"?>
<formControlPr xmlns="http://schemas.microsoft.com/office/spreadsheetml/2009/9/main" objectType="Radio" checked="Checked" lockText="1" noThreeD="1"/>
</file>

<file path=xl/ctrlProps/ctrlProp279.xml><?xml version="1.0" encoding="utf-8"?>
<formControlPr xmlns="http://schemas.microsoft.com/office/spreadsheetml/2009/9/main" objectType="GBox" noThreeD="1"/>
</file>

<file path=xl/ctrlProps/ctrlProp280.xml><?xml version="1.0" encoding="utf-8"?>
<formControlPr xmlns="http://schemas.microsoft.com/office/spreadsheetml/2009/9/main" objectType="GBox" noThreeD="1"/>
</file>

<file path=xl/ctrlProps/ctrlProp281.xml><?xml version="1.0" encoding="utf-8"?>
<formControlPr xmlns="http://schemas.microsoft.com/office/spreadsheetml/2009/9/main" objectType="GBox" noThreeD="1"/>
</file>

<file path=xl/ctrlProps/ctrlProp282.xml><?xml version="1.0" encoding="utf-8"?>
<formControlPr xmlns="http://schemas.microsoft.com/office/spreadsheetml/2009/9/main" objectType="Radio" firstButton="1" fmlaLink="$AB$172" lockText="1" noThreeD="1"/>
</file>

<file path=xl/ctrlProps/ctrlProp283.xml><?xml version="1.0" encoding="utf-8"?>
<formControlPr xmlns="http://schemas.microsoft.com/office/spreadsheetml/2009/9/main" objectType="Radio" checked="Checked" lockText="1" noThreeD="1"/>
</file>

<file path=xl/ctrlProps/ctrlProp284.xml><?xml version="1.0" encoding="utf-8"?>
<formControlPr xmlns="http://schemas.microsoft.com/office/spreadsheetml/2009/9/main" objectType="Radio" lockText="1" noThreeD="1"/>
</file>

<file path=xl/ctrlProps/ctrlProp285.xml><?xml version="1.0" encoding="utf-8"?>
<formControlPr xmlns="http://schemas.microsoft.com/office/spreadsheetml/2009/9/main" objectType="GBox" noThreeD="1"/>
</file>

<file path=xl/ctrlProps/ctrlProp286.xml><?xml version="1.0" encoding="utf-8"?>
<formControlPr xmlns="http://schemas.microsoft.com/office/spreadsheetml/2009/9/main" objectType="Radio" firstButton="1" fmlaLink="$AB$169" lockText="1" noThreeD="1"/>
</file>

<file path=xl/ctrlProps/ctrlProp287.xml><?xml version="1.0" encoding="utf-8"?>
<formControlPr xmlns="http://schemas.microsoft.com/office/spreadsheetml/2009/9/main" objectType="Radio" lockText="1" noThreeD="1"/>
</file>

<file path=xl/ctrlProps/ctrlProp288.xml><?xml version="1.0" encoding="utf-8"?>
<formControlPr xmlns="http://schemas.microsoft.com/office/spreadsheetml/2009/9/main" objectType="Radio" checked="Checked" lockText="1" noThreeD="1"/>
</file>

<file path=xl/ctrlProps/ctrlProp289.xml><?xml version="1.0" encoding="utf-8"?>
<formControlPr xmlns="http://schemas.microsoft.com/office/spreadsheetml/2009/9/main" objectType="GBox" noThreeD="1"/>
</file>

<file path=xl/ctrlProps/ctrlProp290.xml><?xml version="1.0" encoding="utf-8"?>
<formControlPr xmlns="http://schemas.microsoft.com/office/spreadsheetml/2009/9/main" objectType="Radio" firstButton="1" fmlaLink="$AB$108" lockText="1" noThreeD="1"/>
</file>

<file path=xl/ctrlProps/ctrlProp291.xml><?xml version="1.0" encoding="utf-8"?>
<formControlPr xmlns="http://schemas.microsoft.com/office/spreadsheetml/2009/9/main" objectType="Radio" lockText="1" noThreeD="1"/>
</file>

<file path=xl/ctrlProps/ctrlProp292.xml><?xml version="1.0" encoding="utf-8"?>
<formControlPr xmlns="http://schemas.microsoft.com/office/spreadsheetml/2009/9/main" objectType="Radio" checked="Checked" lockText="1" noThreeD="1"/>
</file>

<file path=xl/ctrlProps/ctrlProp293.xml><?xml version="1.0" encoding="utf-8"?>
<formControlPr xmlns="http://schemas.microsoft.com/office/spreadsheetml/2009/9/main" objectType="GBox" noThreeD="1"/>
</file>

<file path=xl/ctrlProps/ctrlProp294.xml><?xml version="1.0" encoding="utf-8"?>
<formControlPr xmlns="http://schemas.microsoft.com/office/spreadsheetml/2009/9/main" objectType="GBox" noThreeD="1"/>
</file>

<file path=xl/ctrlProps/ctrlProp295.xml><?xml version="1.0" encoding="utf-8"?>
<formControlPr xmlns="http://schemas.microsoft.com/office/spreadsheetml/2009/9/main" objectType="CheckBox" fmlaLink="$AK$188" lockText="1" noThreeD="1"/>
</file>

<file path=xl/ctrlProps/ctrlProp296.xml><?xml version="1.0" encoding="utf-8"?>
<formControlPr xmlns="http://schemas.microsoft.com/office/spreadsheetml/2009/9/main" objectType="CheckBox" fmlaLink="$AK$137" lockText="1" noThreeD="1"/>
</file>

<file path=xl/ctrlProps/ctrlProp297.xml><?xml version="1.0" encoding="utf-8"?>
<formControlPr xmlns="http://schemas.microsoft.com/office/spreadsheetml/2009/9/main" objectType="CheckBox" fmlaLink="$AK$192" lockText="1" noThreeD="1"/>
</file>

<file path=xl/ctrlProps/ctrlProp298.xml><?xml version="1.0" encoding="utf-8"?>
<formControlPr xmlns="http://schemas.microsoft.com/office/spreadsheetml/2009/9/main" objectType="Radio" checked="Checked" firstButton="1" fmlaLink="$AB$99" lockText="1" noThreeD="1"/>
</file>

<file path=xl/ctrlProps/ctrlProp299.xml><?xml version="1.0" encoding="utf-8"?>
<formControlPr xmlns="http://schemas.microsoft.com/office/spreadsheetml/2009/9/main" objectType="Radio" lockText="1" noThreeD="1"/>
</file>

<file path=xl/ctrlProps/ctrlProp300.xml><?xml version="1.0" encoding="utf-8"?>
<formControlPr xmlns="http://schemas.microsoft.com/office/spreadsheetml/2009/9/main" objectType="Radio" lockText="1" noThreeD="1"/>
</file>

<file path=xl/ctrlProps/ctrlProp301.xml><?xml version="1.0" encoding="utf-8"?>
<formControlPr xmlns="http://schemas.microsoft.com/office/spreadsheetml/2009/9/main" objectType="GBox" noThreeD="1"/>
</file>

<file path=xl/ctrlProps/ctrlProp302.xml><?xml version="1.0" encoding="utf-8"?>
<formControlPr xmlns="http://schemas.microsoft.com/office/spreadsheetml/2009/9/main" objectType="Radio" firstButton="1" fmlaLink="$AB$91" lockText="1" noThreeD="1"/>
</file>

<file path=xl/ctrlProps/ctrlProp303.xml><?xml version="1.0" encoding="utf-8"?>
<formControlPr xmlns="http://schemas.microsoft.com/office/spreadsheetml/2009/9/main" objectType="Radio" lockText="1" noThreeD="1"/>
</file>

<file path=xl/ctrlProps/ctrlProp304.xml><?xml version="1.0" encoding="utf-8"?>
<formControlPr xmlns="http://schemas.microsoft.com/office/spreadsheetml/2009/9/main" objectType="Radio" checked="Checked" lockText="1" noThreeD="1"/>
</file>

<file path=xl/ctrlProps/ctrlProp305.xml><?xml version="1.0" encoding="utf-8"?>
<formControlPr xmlns="http://schemas.microsoft.com/office/spreadsheetml/2009/9/main" objectType="GBox" noThreeD="1"/>
</file>

<file path=xl/ctrlProps/ctrlProp306.xml><?xml version="1.0" encoding="utf-8"?>
<formControlPr xmlns="http://schemas.microsoft.com/office/spreadsheetml/2009/9/main" objectType="Radio" checked="Checked" firstButton="1" fmlaLink="$AB$64" lockText="1" noThreeD="1"/>
</file>

<file path=xl/ctrlProps/ctrlProp307.xml><?xml version="1.0" encoding="utf-8"?>
<formControlPr xmlns="http://schemas.microsoft.com/office/spreadsheetml/2009/9/main" objectType="Radio" lockText="1" noThreeD="1"/>
</file>

<file path=xl/ctrlProps/ctrlProp308.xml><?xml version="1.0" encoding="utf-8"?>
<formControlPr xmlns="http://schemas.microsoft.com/office/spreadsheetml/2009/9/main" objectType="Radio" lockText="1" noThreeD="1"/>
</file>

<file path=xl/ctrlProps/ctrlProp309.xml><?xml version="1.0" encoding="utf-8"?>
<formControlPr xmlns="http://schemas.microsoft.com/office/spreadsheetml/2009/9/main" objectType="GBox" noThreeD="1"/>
</file>

<file path=xl/ctrlProps/ctrlProp310.xml><?xml version="1.0" encoding="utf-8"?>
<formControlPr xmlns="http://schemas.microsoft.com/office/spreadsheetml/2009/9/main" objectType="CheckBox" fmlaLink="$AK$194" lockText="1" noThreeD="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image" Target="../media/image7.png"/><Relationship Id="rId3" Type="http://schemas.openxmlformats.org/officeDocument/2006/relationships/chart" Target="../charts/chart3.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image" Target="../media/image11.png"/><Relationship Id="rId2" Type="http://schemas.openxmlformats.org/officeDocument/2006/relationships/chart" Target="../charts/chart2.xml"/><Relationship Id="rId16" Type="http://schemas.openxmlformats.org/officeDocument/2006/relationships/image" Target="../media/image10.png"/><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5" Type="http://schemas.openxmlformats.org/officeDocument/2006/relationships/chart" Target="../charts/chart5.xml"/><Relationship Id="rId15" Type="http://schemas.openxmlformats.org/officeDocument/2006/relationships/image" Target="../media/image9.png"/><Relationship Id="rId10" Type="http://schemas.openxmlformats.org/officeDocument/2006/relationships/chart" Target="../charts/chart10.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image" Target="../media/image8.png"/></Relationships>
</file>

<file path=xl/drawings/_rels/drawing11.xml.rels><?xml version="1.0" encoding="UTF-8" standalone="yes"?>
<Relationships xmlns="http://schemas.openxmlformats.org/package/2006/relationships"><Relationship Id="rId8" Type="http://schemas.openxmlformats.org/officeDocument/2006/relationships/chart" Target="../charts/chart20.xml"/><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8.png"/><Relationship Id="rId3" Type="http://schemas.openxmlformats.org/officeDocument/2006/relationships/chart" Target="../charts/chart15.xml"/><Relationship Id="rId21" Type="http://schemas.openxmlformats.org/officeDocument/2006/relationships/image" Target="../media/image23.png"/><Relationship Id="rId7" Type="http://schemas.openxmlformats.org/officeDocument/2006/relationships/chart" Target="../charts/chart19.xml"/><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7.png"/><Relationship Id="rId2" Type="http://schemas.openxmlformats.org/officeDocument/2006/relationships/chart" Target="../charts/chart14.xml"/><Relationship Id="rId16" Type="http://schemas.openxmlformats.org/officeDocument/2006/relationships/image" Target="../media/image18.png"/><Relationship Id="rId20" Type="http://schemas.openxmlformats.org/officeDocument/2006/relationships/image" Target="../media/image22.png"/><Relationship Id="rId29" Type="http://schemas.openxmlformats.org/officeDocument/2006/relationships/image" Target="../media/image11.png"/><Relationship Id="rId1" Type="http://schemas.openxmlformats.org/officeDocument/2006/relationships/chart" Target="../charts/chart13.xml"/><Relationship Id="rId6" Type="http://schemas.openxmlformats.org/officeDocument/2006/relationships/chart" Target="../charts/chart18.xml"/><Relationship Id="rId11" Type="http://schemas.openxmlformats.org/officeDocument/2006/relationships/chart" Target="../charts/chart23.xml"/><Relationship Id="rId24" Type="http://schemas.openxmlformats.org/officeDocument/2006/relationships/chart" Target="../charts/chart24.xml"/><Relationship Id="rId5" Type="http://schemas.openxmlformats.org/officeDocument/2006/relationships/chart" Target="../charts/chart17.xml"/><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10.png"/><Relationship Id="rId10" Type="http://schemas.openxmlformats.org/officeDocument/2006/relationships/chart" Target="../charts/chart22.xml"/><Relationship Id="rId19" Type="http://schemas.openxmlformats.org/officeDocument/2006/relationships/image" Target="../media/image21.png"/><Relationship Id="rId4" Type="http://schemas.openxmlformats.org/officeDocument/2006/relationships/chart" Target="../charts/chart16.xml"/><Relationship Id="rId9" Type="http://schemas.openxmlformats.org/officeDocument/2006/relationships/chart" Target="../charts/chart21.xml"/><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9.png"/></Relationships>
</file>

<file path=xl/drawings/_rels/drawing22.xml.rels><?xml version="1.0" encoding="UTF-8" standalone="yes"?>
<Relationships xmlns="http://schemas.openxmlformats.org/package/2006/relationships"><Relationship Id="rId8" Type="http://schemas.openxmlformats.org/officeDocument/2006/relationships/image" Target="../media/image33.jpg"/><Relationship Id="rId13" Type="http://schemas.openxmlformats.org/officeDocument/2006/relationships/image" Target="../media/image38.jpeg"/><Relationship Id="rId3" Type="http://schemas.openxmlformats.org/officeDocument/2006/relationships/image" Target="../media/image28.jpg"/><Relationship Id="rId7" Type="http://schemas.openxmlformats.org/officeDocument/2006/relationships/image" Target="../media/image32.jpg"/><Relationship Id="rId12" Type="http://schemas.openxmlformats.org/officeDocument/2006/relationships/image" Target="../media/image37.jpeg"/><Relationship Id="rId17" Type="http://schemas.openxmlformats.org/officeDocument/2006/relationships/image" Target="../media/image42.jpg"/><Relationship Id="rId2" Type="http://schemas.openxmlformats.org/officeDocument/2006/relationships/image" Target="../media/image27.jpg"/><Relationship Id="rId16" Type="http://schemas.openxmlformats.org/officeDocument/2006/relationships/image" Target="../media/image41.jpeg"/><Relationship Id="rId1" Type="http://schemas.openxmlformats.org/officeDocument/2006/relationships/image" Target="../media/image26.jpg"/><Relationship Id="rId6" Type="http://schemas.openxmlformats.org/officeDocument/2006/relationships/image" Target="../media/image31.jpg"/><Relationship Id="rId11" Type="http://schemas.openxmlformats.org/officeDocument/2006/relationships/image" Target="../media/image36.jpeg"/><Relationship Id="rId5" Type="http://schemas.openxmlformats.org/officeDocument/2006/relationships/image" Target="../media/image30.jpg"/><Relationship Id="rId15" Type="http://schemas.openxmlformats.org/officeDocument/2006/relationships/image" Target="../media/image40.jpeg"/><Relationship Id="rId10" Type="http://schemas.openxmlformats.org/officeDocument/2006/relationships/image" Target="../media/image35.jpeg"/><Relationship Id="rId4" Type="http://schemas.openxmlformats.org/officeDocument/2006/relationships/image" Target="../media/image29.jpg"/><Relationship Id="rId9" Type="http://schemas.openxmlformats.org/officeDocument/2006/relationships/image" Target="../media/image34.jpeg"/><Relationship Id="rId14" Type="http://schemas.openxmlformats.org/officeDocument/2006/relationships/image" Target="../media/image39.jpeg"/></Relationships>
</file>

<file path=xl/drawings/drawing1.xml><?xml version="1.0" encoding="utf-8"?>
<xdr:wsDr xmlns:xdr="http://schemas.openxmlformats.org/drawingml/2006/spreadsheetDrawing" xmlns:a="http://schemas.openxmlformats.org/drawingml/2006/main">
  <xdr:twoCellAnchor editAs="oneCell">
    <xdr:from>
      <xdr:col>0</xdr:col>
      <xdr:colOff>91440</xdr:colOff>
      <xdr:row>1</xdr:row>
      <xdr:rowOff>90887</xdr:rowOff>
    </xdr:from>
    <xdr:to>
      <xdr:col>6</xdr:col>
      <xdr:colOff>53340</xdr:colOff>
      <xdr:row>3</xdr:row>
      <xdr:rowOff>57151</xdr:rowOff>
    </xdr:to>
    <xdr:pic>
      <xdr:nvPicPr>
        <xdr:cNvPr id="4" name="図 3">
          <a:extLst>
            <a:ext uri="{FF2B5EF4-FFF2-40B4-BE49-F238E27FC236}">
              <a16:creationId xmlns:a16="http://schemas.microsoft.com/office/drawing/2014/main" id="{DEAAFECC-1530-EEDB-F9D0-618672E0A2A7}"/>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1668" t="35638" r="8234" b="53545"/>
        <a:stretch>
          <a:fillRect/>
        </a:stretch>
      </xdr:blipFill>
      <xdr:spPr>
        <a:xfrm>
          <a:off x="91440" y="189947"/>
          <a:ext cx="5593080" cy="6101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619125</xdr:colOff>
      <xdr:row>23</xdr:row>
      <xdr:rowOff>0</xdr:rowOff>
    </xdr:from>
    <xdr:to>
      <xdr:col>6</xdr:col>
      <xdr:colOff>485775</xdr:colOff>
      <xdr:row>27</xdr:row>
      <xdr:rowOff>9525</xdr:rowOff>
    </xdr:to>
    <xdr:graphicFrame macro="">
      <xdr:nvGraphicFramePr>
        <xdr:cNvPr id="44" name="Chart 123">
          <a:extLst>
            <a:ext uri="{FF2B5EF4-FFF2-40B4-BE49-F238E27FC236}">
              <a16:creationId xmlns:a16="http://schemas.microsoft.com/office/drawing/2014/main" id="{00000000-0008-0000-0200-00002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0</xdr:col>
      <xdr:colOff>40005</xdr:colOff>
      <xdr:row>23</xdr:row>
      <xdr:rowOff>188595</xdr:rowOff>
    </xdr:from>
    <xdr:ext cx="560410" cy="219419"/>
    <xdr:sp macro="" textlink="">
      <xdr:nvSpPr>
        <xdr:cNvPr id="45" name="Text Box 39">
          <a:extLst>
            <a:ext uri="{FF2B5EF4-FFF2-40B4-BE49-F238E27FC236}">
              <a16:creationId xmlns:a16="http://schemas.microsoft.com/office/drawing/2014/main" id="{00000000-0008-0000-0200-00002D000000}"/>
            </a:ext>
          </a:extLst>
        </xdr:cNvPr>
        <xdr:cNvSpPr txBox="1">
          <a:spLocks noChangeArrowheads="1"/>
        </xdr:cNvSpPr>
      </xdr:nvSpPr>
      <xdr:spPr bwMode="auto">
        <a:xfrm>
          <a:off x="40005" y="3846195"/>
          <a:ext cx="560410" cy="219419"/>
        </a:xfrm>
        <a:prstGeom prst="rect">
          <a:avLst/>
        </a:prstGeom>
        <a:noFill/>
        <a:ln w="9525">
          <a:noFill/>
          <a:miter lim="800000"/>
          <a:headEnd/>
          <a:tailEnd/>
        </a:ln>
      </xdr:spPr>
      <xdr:txBody>
        <a:bodyPr wrap="none" lIns="27432" tIns="27432" rIns="0" bIns="0" anchor="t" upright="1">
          <a:spAutoFit/>
        </a:bodyPr>
        <a:lstStyle/>
        <a:p>
          <a:pPr algn="l" rtl="1">
            <a:defRPr sz="1000"/>
          </a:pPr>
          <a:r>
            <a:rPr lang="en-US" altLang="ja-JP" sz="1300" b="1" i="0" strike="noStrike">
              <a:solidFill>
                <a:srgbClr val="000000"/>
              </a:solidFill>
              <a:latin typeface="Arial"/>
              <a:cs typeface="Arial"/>
            </a:rPr>
            <a:t>BEE = </a:t>
          </a:r>
        </a:p>
      </xdr:txBody>
    </xdr:sp>
    <xdr:clientData/>
  </xdr:oneCellAnchor>
  <xdr:twoCellAnchor>
    <xdr:from>
      <xdr:col>1</xdr:col>
      <xdr:colOff>76200</xdr:colOff>
      <xdr:row>25</xdr:row>
      <xdr:rowOff>180975</xdr:rowOff>
    </xdr:from>
    <xdr:to>
      <xdr:col>7</xdr:col>
      <xdr:colOff>9525</xdr:colOff>
      <xdr:row>27</xdr:row>
      <xdr:rowOff>19050</xdr:rowOff>
    </xdr:to>
    <xdr:sp macro="" textlink="">
      <xdr:nvSpPr>
        <xdr:cNvPr id="46" name="Text Box 129">
          <a:extLst>
            <a:ext uri="{FF2B5EF4-FFF2-40B4-BE49-F238E27FC236}">
              <a16:creationId xmlns:a16="http://schemas.microsoft.com/office/drawing/2014/main" id="{00000000-0008-0000-0200-00002E000000}"/>
            </a:ext>
          </a:extLst>
        </xdr:cNvPr>
        <xdr:cNvSpPr txBox="1">
          <a:spLocks noChangeArrowheads="1"/>
        </xdr:cNvSpPr>
      </xdr:nvSpPr>
      <xdr:spPr bwMode="auto">
        <a:xfrm>
          <a:off x="133350" y="4295775"/>
          <a:ext cx="3238500" cy="219075"/>
        </a:xfrm>
        <a:prstGeom prst="rect">
          <a:avLst/>
        </a:prstGeom>
        <a:noFill/>
        <a:ln w="9525">
          <a:noFill/>
          <a:miter lim="800000"/>
          <a:headEnd/>
          <a:tailEnd/>
        </a:ln>
      </xdr:spPr>
      <xdr:txBody>
        <a:bodyPr vertOverflow="clip" wrap="square" lIns="27432" tIns="18288" rIns="0" bIns="0" anchor="t" upright="1"/>
        <a:lstStyle/>
        <a:p>
          <a:pPr algn="l" rtl="1">
            <a:defRPr sz="1000"/>
          </a:pPr>
          <a:r>
            <a:rPr lang="en-US" altLang="ja-JP" sz="950" b="0" i="0" strike="noStrike">
              <a:solidFill>
                <a:srgbClr val="000000"/>
              </a:solidFill>
              <a:latin typeface="ＭＳ Ｐゴシック"/>
              <a:ea typeface="ＭＳ Ｐゴシック"/>
            </a:rPr>
            <a:t>S: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A: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B</a:t>
          </a:r>
          <a:r>
            <a:rPr lang="en-US" altLang="ja-JP" sz="950" b="0" i="0" strike="noStrike" baseline="30000">
              <a:solidFill>
                <a:srgbClr val="000000"/>
              </a:solidFill>
              <a:latin typeface="ＭＳ Ｐゴシック"/>
              <a:ea typeface="ＭＳ Ｐゴシック"/>
            </a:rPr>
            <a:t>+</a:t>
          </a:r>
          <a:r>
            <a:rPr lang="en-US" altLang="ja-JP" sz="950" b="0" i="0" strike="noStrike">
              <a:solidFill>
                <a:srgbClr val="000000"/>
              </a:solidFill>
              <a:latin typeface="ＭＳ Ｐゴシック"/>
              <a:ea typeface="ＭＳ Ｐゴシック"/>
            </a:rPr>
            <a:t>: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B</a:t>
          </a:r>
          <a:r>
            <a:rPr lang="en-US" altLang="ja-JP" sz="950" b="0" i="0" strike="noStrike" baseline="30000">
              <a:solidFill>
                <a:srgbClr val="000000"/>
              </a:solidFill>
              <a:latin typeface="ＭＳ Ｐゴシック"/>
              <a:ea typeface="ＭＳ Ｐゴシック"/>
            </a:rPr>
            <a:t>-</a:t>
          </a:r>
          <a:r>
            <a:rPr lang="en-US" altLang="ja-JP" sz="950" b="0" i="0" strike="noStrike">
              <a:solidFill>
                <a:srgbClr val="000000"/>
              </a:solidFill>
              <a:latin typeface="ＭＳ Ｐゴシック"/>
              <a:ea typeface="ＭＳ Ｐゴシック"/>
            </a:rPr>
            <a:t>: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C: </a:t>
          </a:r>
          <a:r>
            <a:rPr lang="en-US" altLang="ja-JP" sz="950" b="0" i="0" strike="noStrike">
              <a:solidFill>
                <a:srgbClr val="333333"/>
              </a:solidFill>
              <a:latin typeface="ＭＳ Ｐゴシック"/>
              <a:ea typeface="ＭＳ Ｐゴシック"/>
            </a:rPr>
            <a:t>★</a:t>
          </a:r>
        </a:p>
      </xdr:txBody>
    </xdr:sp>
    <xdr:clientData/>
  </xdr:twoCellAnchor>
  <xdr:twoCellAnchor>
    <xdr:from>
      <xdr:col>7</xdr:col>
      <xdr:colOff>19050</xdr:colOff>
      <xdr:row>26</xdr:row>
      <xdr:rowOff>0</xdr:rowOff>
    </xdr:from>
    <xdr:to>
      <xdr:col>11</xdr:col>
      <xdr:colOff>95250</xdr:colOff>
      <xdr:row>27</xdr:row>
      <xdr:rowOff>26670</xdr:rowOff>
    </xdr:to>
    <xdr:sp macro="" textlink="">
      <xdr:nvSpPr>
        <xdr:cNvPr id="47" name="Text Box 129">
          <a:extLst>
            <a:ext uri="{FF2B5EF4-FFF2-40B4-BE49-F238E27FC236}">
              <a16:creationId xmlns:a16="http://schemas.microsoft.com/office/drawing/2014/main" id="{00000000-0008-0000-0200-00002F000000}"/>
            </a:ext>
          </a:extLst>
        </xdr:cNvPr>
        <xdr:cNvSpPr txBox="1">
          <a:spLocks noChangeArrowheads="1"/>
        </xdr:cNvSpPr>
      </xdr:nvSpPr>
      <xdr:spPr bwMode="auto">
        <a:xfrm>
          <a:off x="3028950" y="4257675"/>
          <a:ext cx="3095625" cy="217170"/>
        </a:xfrm>
        <a:prstGeom prst="rect">
          <a:avLst/>
        </a:prstGeom>
        <a:noFill/>
        <a:ln w="9525">
          <a:noFill/>
          <a:miter lim="800000"/>
          <a:headEnd/>
          <a:tailEnd/>
        </a:ln>
      </xdr:spPr>
      <xdr:txBody>
        <a:bodyPr vertOverflow="clip" wrap="square" lIns="27432" tIns="18288" rIns="0" bIns="0" anchor="t" upright="1"/>
        <a:lstStyle/>
        <a:p>
          <a:pPr algn="l" rtl="1">
            <a:defRPr sz="1000"/>
          </a:pPr>
          <a:r>
            <a:rPr lang="en-US" altLang="ja-JP" sz="800" b="0" i="0" strike="noStrike">
              <a:solidFill>
                <a:srgbClr val="000000"/>
              </a:solidFill>
              <a:latin typeface="ＭＳ Ｐゴシック"/>
              <a:ea typeface="ＭＳ Ｐゴシック"/>
            </a:rPr>
            <a:t>30%: </a:t>
          </a:r>
          <a:r>
            <a:rPr lang="en-US" altLang="ja-JP" sz="800" b="0" i="0" strike="noStrike">
              <a:solidFill>
                <a:srgbClr val="333333"/>
              </a:solidFill>
              <a:latin typeface="ＭＳ Ｐゴシック"/>
              <a:ea typeface="ＭＳ Ｐゴシック"/>
            </a:rPr>
            <a:t>☆☆☆☆☆  60%</a:t>
          </a:r>
          <a:r>
            <a:rPr lang="en-US" altLang="ja-JP" sz="800" b="0" i="0" strike="noStrike">
              <a:solidFill>
                <a:srgbClr val="000000"/>
              </a:solidFill>
              <a:latin typeface="ＭＳ Ｐゴシック"/>
              <a:ea typeface="ＭＳ Ｐゴシック"/>
            </a:rPr>
            <a:t>: </a:t>
          </a:r>
          <a:r>
            <a:rPr lang="en-US" altLang="ja-JP" sz="800" b="0" i="0" strike="noStrike">
              <a:solidFill>
                <a:srgbClr val="333333"/>
              </a:solidFill>
              <a:latin typeface="ＭＳ Ｐゴシック"/>
              <a:ea typeface="ＭＳ Ｐゴシック"/>
            </a:rPr>
            <a:t>☆☆☆☆  80%</a:t>
          </a:r>
          <a:r>
            <a:rPr lang="en-US" altLang="ja-JP" sz="800" b="0" i="0" strike="noStrike">
              <a:solidFill>
                <a:srgbClr val="000000"/>
              </a:solidFill>
              <a:latin typeface="ＭＳ Ｐゴシック"/>
              <a:ea typeface="ＭＳ Ｐゴシック"/>
            </a:rPr>
            <a:t>: ☆☆☆</a:t>
          </a:r>
          <a:r>
            <a:rPr lang="en-US" altLang="ja-JP" sz="800" b="0" i="0" strike="noStrike">
              <a:solidFill>
                <a:srgbClr val="333333"/>
              </a:solidFill>
              <a:latin typeface="ＭＳ Ｐゴシック"/>
              <a:ea typeface="ＭＳ Ｐゴシック"/>
            </a:rPr>
            <a:t> 100%</a:t>
          </a:r>
          <a:r>
            <a:rPr lang="en-US" altLang="ja-JP" sz="800" b="0" i="0" strike="noStrike">
              <a:solidFill>
                <a:srgbClr val="000000"/>
              </a:solidFill>
              <a:latin typeface="ＭＳ Ｐゴシック"/>
              <a:ea typeface="ＭＳ Ｐゴシック"/>
            </a:rPr>
            <a:t>: ☆☆</a:t>
          </a:r>
          <a:r>
            <a:rPr lang="en-US" altLang="ja-JP" sz="800" b="0" i="0" strike="noStrike">
              <a:solidFill>
                <a:srgbClr val="333333"/>
              </a:solidFill>
              <a:latin typeface="ＭＳ Ｐゴシック"/>
              <a:ea typeface="ＭＳ Ｐゴシック"/>
            </a:rPr>
            <a:t>  100% &lt;</a:t>
          </a:r>
          <a:r>
            <a:rPr lang="en-US" altLang="ja-JP" sz="800" b="0" i="0" strike="noStrike">
              <a:solidFill>
                <a:srgbClr val="000000"/>
              </a:solidFill>
              <a:latin typeface="ＭＳ Ｐゴシック"/>
              <a:ea typeface="ＭＳ Ｐゴシック"/>
            </a:rPr>
            <a:t> ☆</a:t>
          </a:r>
        </a:p>
      </xdr:txBody>
    </xdr:sp>
    <xdr:clientData/>
  </xdr:twoCellAnchor>
  <xdr:twoCellAnchor>
    <xdr:from>
      <xdr:col>7</xdr:col>
      <xdr:colOff>419100</xdr:colOff>
      <xdr:row>22</xdr:row>
      <xdr:rowOff>219075</xdr:rowOff>
    </xdr:from>
    <xdr:to>
      <xdr:col>10</xdr:col>
      <xdr:colOff>485775</xdr:colOff>
      <xdr:row>26</xdr:row>
      <xdr:rowOff>171450</xdr:rowOff>
    </xdr:to>
    <xdr:graphicFrame macro="">
      <xdr:nvGraphicFramePr>
        <xdr:cNvPr id="48" name="Chart 123">
          <a:extLst>
            <a:ext uri="{FF2B5EF4-FFF2-40B4-BE49-F238E27FC236}">
              <a16:creationId xmlns:a16="http://schemas.microsoft.com/office/drawing/2014/main" id="{00000000-0008-0000-0200-00003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2</xdr:col>
      <xdr:colOff>57150</xdr:colOff>
      <xdr:row>26</xdr:row>
      <xdr:rowOff>129540</xdr:rowOff>
    </xdr:from>
    <xdr:to>
      <xdr:col>6</xdr:col>
      <xdr:colOff>205740</xdr:colOff>
      <xdr:row>39</xdr:row>
      <xdr:rowOff>95250</xdr:rowOff>
    </xdr:to>
    <xdr:graphicFrame macro="">
      <xdr:nvGraphicFramePr>
        <xdr:cNvPr id="49" name="Chart 17">
          <a:extLst>
            <a:ext uri="{FF2B5EF4-FFF2-40B4-BE49-F238E27FC236}">
              <a16:creationId xmlns:a16="http://schemas.microsoft.com/office/drawing/2014/main" id="{00000000-0008-0000-0200-00003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782955</xdr:colOff>
      <xdr:row>26</xdr:row>
      <xdr:rowOff>171450</xdr:rowOff>
    </xdr:from>
    <xdr:to>
      <xdr:col>11</xdr:col>
      <xdr:colOff>0</xdr:colOff>
      <xdr:row>36</xdr:row>
      <xdr:rowOff>19050</xdr:rowOff>
    </xdr:to>
    <xdr:graphicFrame macro="">
      <xdr:nvGraphicFramePr>
        <xdr:cNvPr id="50" name="Chart 130">
          <a:extLst>
            <a:ext uri="{FF2B5EF4-FFF2-40B4-BE49-F238E27FC236}">
              <a16:creationId xmlns:a16="http://schemas.microsoft.com/office/drawing/2014/main" id="{00000000-0008-0000-02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697231</xdr:colOff>
      <xdr:row>35</xdr:row>
      <xdr:rowOff>85724</xdr:rowOff>
    </xdr:from>
    <xdr:to>
      <xdr:col>11</xdr:col>
      <xdr:colOff>135256</xdr:colOff>
      <xdr:row>36</xdr:row>
      <xdr:rowOff>72389</xdr:rowOff>
    </xdr:to>
    <xdr:sp macro="" textlink="">
      <xdr:nvSpPr>
        <xdr:cNvPr id="55" name="Text Box 45">
          <a:extLst>
            <a:ext uri="{FF2B5EF4-FFF2-40B4-BE49-F238E27FC236}">
              <a16:creationId xmlns:a16="http://schemas.microsoft.com/office/drawing/2014/main" id="{00000000-0008-0000-0200-000037000000}"/>
            </a:ext>
          </a:extLst>
        </xdr:cNvPr>
        <xdr:cNvSpPr txBox="1">
          <a:spLocks noChangeArrowheads="1"/>
        </xdr:cNvSpPr>
      </xdr:nvSpPr>
      <xdr:spPr bwMode="auto">
        <a:xfrm>
          <a:off x="5078731" y="6029324"/>
          <a:ext cx="1085850" cy="177165"/>
        </a:xfrm>
        <a:prstGeom prst="rect">
          <a:avLst/>
        </a:prstGeom>
        <a:noFill/>
        <a:ln w="9525">
          <a:noFill/>
          <a:miter lim="800000"/>
          <a:headEnd/>
          <a:tailEnd/>
        </a:ln>
      </xdr:spPr>
      <xdr:txBody>
        <a:bodyPr vertOverflow="clip" wrap="square" lIns="27432" tIns="18288" rIns="0" bIns="0" anchor="t" upright="1"/>
        <a:lstStyle/>
        <a:p>
          <a:pPr algn="l" rtl="1">
            <a:defRPr sz="1000"/>
          </a:pPr>
          <a:r>
            <a:rPr lang="ja-JP" altLang="en-US" sz="800" b="0" i="0" strike="noStrike">
              <a:solidFill>
                <a:srgbClr val="000000"/>
              </a:solidFill>
              <a:latin typeface="ＭＳ Ｐゴシック"/>
              <a:ea typeface="ＭＳ Ｐゴシック"/>
            </a:rPr>
            <a:t>（ </a:t>
          </a:r>
          <a:r>
            <a:rPr lang="en-US" altLang="ja-JP" sz="800" b="0" i="0" strike="noStrike">
              <a:solidFill>
                <a:srgbClr val="000000"/>
              </a:solidFill>
              <a:latin typeface="ＭＳ Ｐゴシック"/>
              <a:ea typeface="ＭＳ Ｐゴシック"/>
            </a:rPr>
            <a:t>kg-CO</a:t>
          </a:r>
          <a:r>
            <a:rPr lang="en-US" altLang="ja-JP" sz="800" b="0" i="0" strike="noStrike" baseline="-25000">
              <a:solidFill>
                <a:srgbClr val="000000"/>
              </a:solidFill>
              <a:latin typeface="ＭＳ Ｐゴシック"/>
              <a:ea typeface="ＭＳ Ｐゴシック"/>
            </a:rPr>
            <a:t>2eqe</a:t>
          </a:r>
          <a:r>
            <a:rPr lang="en-US" altLang="ja-JP" sz="800" b="0" i="0" strike="noStrike">
              <a:solidFill>
                <a:srgbClr val="000000"/>
              </a:solidFill>
              <a:latin typeface="ＭＳ Ｐゴシック"/>
              <a:ea typeface="ＭＳ Ｐゴシック"/>
            </a:rPr>
            <a:t>/yr-m</a:t>
          </a:r>
          <a:r>
            <a:rPr lang="en-US" altLang="ja-JP" sz="800" b="0" i="0" strike="noStrike" baseline="30000">
              <a:solidFill>
                <a:srgbClr val="000000"/>
              </a:solidFill>
              <a:latin typeface="ＭＳ Ｐゴシック"/>
              <a:ea typeface="ＭＳ Ｐゴシック"/>
            </a:rPr>
            <a:t>2 </a:t>
          </a:r>
          <a:r>
            <a:rPr lang="ja-JP" altLang="en-US" sz="800" b="0" i="0" strike="noStrike">
              <a:solidFill>
                <a:srgbClr val="000000"/>
              </a:solidFill>
              <a:latin typeface="ＭＳ Ｐゴシック"/>
              <a:ea typeface="ＭＳ Ｐゴシック"/>
            </a:rPr>
            <a:t>）</a:t>
          </a:r>
        </a:p>
      </xdr:txBody>
    </xdr:sp>
    <xdr:clientData/>
  </xdr:twoCellAnchor>
  <xdr:twoCellAnchor editAs="absolute">
    <xdr:from>
      <xdr:col>10</xdr:col>
      <xdr:colOff>398145</xdr:colOff>
      <xdr:row>23</xdr:row>
      <xdr:rowOff>87630</xdr:rowOff>
    </xdr:from>
    <xdr:to>
      <xdr:col>16384</xdr:col>
      <xdr:colOff>87630</xdr:colOff>
      <xdr:row>38</xdr:row>
      <xdr:rowOff>125730</xdr:rowOff>
    </xdr:to>
    <xdr:graphicFrame macro="">
      <xdr:nvGraphicFramePr>
        <xdr:cNvPr id="56" name="Chart 8">
          <a:extLst>
            <a:ext uri="{FF2B5EF4-FFF2-40B4-BE49-F238E27FC236}">
              <a16:creationId xmlns:a16="http://schemas.microsoft.com/office/drawing/2014/main" id="{00000000-0008-0000-0200-00003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9525</xdr:colOff>
      <xdr:row>42</xdr:row>
      <xdr:rowOff>114300</xdr:rowOff>
    </xdr:from>
    <xdr:to>
      <xdr:col>7</xdr:col>
      <xdr:colOff>0</xdr:colOff>
      <xdr:row>50</xdr:row>
      <xdr:rowOff>171450</xdr:rowOff>
    </xdr:to>
    <xdr:graphicFrame macro="">
      <xdr:nvGraphicFramePr>
        <xdr:cNvPr id="57" name="Chart 4">
          <a:extLst>
            <a:ext uri="{FF2B5EF4-FFF2-40B4-BE49-F238E27FC236}">
              <a16:creationId xmlns:a16="http://schemas.microsoft.com/office/drawing/2014/main" id="{00000000-0008-0000-0200-00003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238125</xdr:colOff>
      <xdr:row>42</xdr:row>
      <xdr:rowOff>104775</xdr:rowOff>
    </xdr:from>
    <xdr:to>
      <xdr:col>10</xdr:col>
      <xdr:colOff>752475</xdr:colOff>
      <xdr:row>50</xdr:row>
      <xdr:rowOff>161925</xdr:rowOff>
    </xdr:to>
    <xdr:graphicFrame macro="">
      <xdr:nvGraphicFramePr>
        <xdr:cNvPr id="59" name="Chart 15">
          <a:extLst>
            <a:ext uri="{FF2B5EF4-FFF2-40B4-BE49-F238E27FC236}">
              <a16:creationId xmlns:a16="http://schemas.microsoft.com/office/drawing/2014/main" id="{00000000-0008-0000-0200-00003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11</xdr:col>
      <xdr:colOff>209550</xdr:colOff>
      <xdr:row>42</xdr:row>
      <xdr:rowOff>104775</xdr:rowOff>
    </xdr:from>
    <xdr:to>
      <xdr:col>14</xdr:col>
      <xdr:colOff>714375</xdr:colOff>
      <xdr:row>50</xdr:row>
      <xdr:rowOff>161925</xdr:rowOff>
    </xdr:to>
    <xdr:graphicFrame macro="">
      <xdr:nvGraphicFramePr>
        <xdr:cNvPr id="60" name="Chart 15">
          <a:extLst>
            <a:ext uri="{FF2B5EF4-FFF2-40B4-BE49-F238E27FC236}">
              <a16:creationId xmlns:a16="http://schemas.microsoft.com/office/drawing/2014/main" id="{00000000-0008-0000-0200-00003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0</xdr:col>
      <xdr:colOff>47625</xdr:colOff>
      <xdr:row>53</xdr:row>
      <xdr:rowOff>152400</xdr:rowOff>
    </xdr:from>
    <xdr:to>
      <xdr:col>6</xdr:col>
      <xdr:colOff>476250</xdr:colOff>
      <xdr:row>61</xdr:row>
      <xdr:rowOff>161925</xdr:rowOff>
    </xdr:to>
    <xdr:graphicFrame macro="">
      <xdr:nvGraphicFramePr>
        <xdr:cNvPr id="61" name="Chart 4">
          <a:extLst>
            <a:ext uri="{FF2B5EF4-FFF2-40B4-BE49-F238E27FC236}">
              <a16:creationId xmlns:a16="http://schemas.microsoft.com/office/drawing/2014/main" id="{00000000-0008-0000-0200-00003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228600</xdr:colOff>
      <xdr:row>53</xdr:row>
      <xdr:rowOff>133350</xdr:rowOff>
    </xdr:from>
    <xdr:to>
      <xdr:col>10</xdr:col>
      <xdr:colOff>742950</xdr:colOff>
      <xdr:row>61</xdr:row>
      <xdr:rowOff>142875</xdr:rowOff>
    </xdr:to>
    <xdr:graphicFrame macro="">
      <xdr:nvGraphicFramePr>
        <xdr:cNvPr id="63" name="Chart 15">
          <a:extLst>
            <a:ext uri="{FF2B5EF4-FFF2-40B4-BE49-F238E27FC236}">
              <a16:creationId xmlns:a16="http://schemas.microsoft.com/office/drawing/2014/main" id="{00000000-0008-0000-0200-00003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11</xdr:col>
      <xdr:colOff>219075</xdr:colOff>
      <xdr:row>54</xdr:row>
      <xdr:rowOff>0</xdr:rowOff>
    </xdr:from>
    <xdr:to>
      <xdr:col>14</xdr:col>
      <xdr:colOff>723900</xdr:colOff>
      <xdr:row>62</xdr:row>
      <xdr:rowOff>0</xdr:rowOff>
    </xdr:to>
    <xdr:graphicFrame macro="">
      <xdr:nvGraphicFramePr>
        <xdr:cNvPr id="64" name="Chart 15">
          <a:extLst>
            <a:ext uri="{FF2B5EF4-FFF2-40B4-BE49-F238E27FC236}">
              <a16:creationId xmlns:a16="http://schemas.microsoft.com/office/drawing/2014/main" id="{00000000-0008-0000-0200-00004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absolute">
    <xdr:from>
      <xdr:col>16384</xdr:col>
      <xdr:colOff>663775</xdr:colOff>
      <xdr:row>23</xdr:row>
      <xdr:rowOff>54309</xdr:rowOff>
    </xdr:from>
    <xdr:to>
      <xdr:col>16384</xdr:col>
      <xdr:colOff>665558</xdr:colOff>
      <xdr:row>39</xdr:row>
      <xdr:rowOff>16239</xdr:rowOff>
    </xdr:to>
    <xdr:graphicFrame macro="">
      <xdr:nvGraphicFramePr>
        <xdr:cNvPr id="62" name="Chart 8">
          <a:extLst>
            <a:ext uri="{FF2B5EF4-FFF2-40B4-BE49-F238E27FC236}">
              <a16:creationId xmlns:a16="http://schemas.microsoft.com/office/drawing/2014/main" id="{00000000-0008-0000-0200-00003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xdr:col>
      <xdr:colOff>139065</xdr:colOff>
      <xdr:row>28</xdr:row>
      <xdr:rowOff>5715</xdr:rowOff>
    </xdr:from>
    <xdr:to>
      <xdr:col>2</xdr:col>
      <xdr:colOff>266905</xdr:colOff>
      <xdr:row>37</xdr:row>
      <xdr:rowOff>131979</xdr:rowOff>
    </xdr:to>
    <xdr:sp macro="" textlink="">
      <xdr:nvSpPr>
        <xdr:cNvPr id="4" name="Text Box 1">
          <a:extLst>
            <a:ext uri="{FF2B5EF4-FFF2-40B4-BE49-F238E27FC236}">
              <a16:creationId xmlns:a16="http://schemas.microsoft.com/office/drawing/2014/main" id="{00000000-0008-0000-0200-000004000000}"/>
            </a:ext>
          </a:extLst>
        </xdr:cNvPr>
        <xdr:cNvSpPr txBox="1">
          <a:spLocks noChangeArrowheads="1"/>
        </xdr:cNvSpPr>
      </xdr:nvSpPr>
      <xdr:spPr bwMode="auto">
        <a:xfrm>
          <a:off x="196215" y="4644390"/>
          <a:ext cx="270715" cy="1840764"/>
        </a:xfrm>
        <a:prstGeom prst="rect">
          <a:avLst/>
        </a:prstGeom>
        <a:noFill/>
        <a:ln w="1">
          <a:noFill/>
          <a:miter lim="800000"/>
          <a:headEnd/>
          <a:tailEnd/>
        </a:ln>
        <a:effectLst/>
      </xdr:spPr>
      <xdr:txBody>
        <a:bodyPr vert="vert270" wrap="square" lIns="36576" tIns="18288" rIns="36576" bIns="18288"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Environmental Quality Q</a:t>
          </a:r>
          <a:endParaRPr lang="ja-JP" altLang="en-US" sz="1100" b="1" i="0" strike="noStrike">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twoCellAnchor>
    <xdr:from>
      <xdr:col>2</xdr:col>
      <xdr:colOff>590550</xdr:colOff>
      <xdr:row>37</xdr:row>
      <xdr:rowOff>133350</xdr:rowOff>
    </xdr:from>
    <xdr:to>
      <xdr:col>5</xdr:col>
      <xdr:colOff>275182</xdr:colOff>
      <xdr:row>38</xdr:row>
      <xdr:rowOff>181271</xdr:rowOff>
    </xdr:to>
    <xdr:sp macro="" textlink="">
      <xdr:nvSpPr>
        <xdr:cNvPr id="5" name="Text Box 2">
          <a:extLst>
            <a:ext uri="{FF2B5EF4-FFF2-40B4-BE49-F238E27FC236}">
              <a16:creationId xmlns:a16="http://schemas.microsoft.com/office/drawing/2014/main" id="{00000000-0008-0000-0200-000005000000}"/>
            </a:ext>
          </a:extLst>
        </xdr:cNvPr>
        <xdr:cNvSpPr txBox="1">
          <a:spLocks noChangeArrowheads="1"/>
        </xdr:cNvSpPr>
      </xdr:nvSpPr>
      <xdr:spPr bwMode="auto">
        <a:xfrm>
          <a:off x="790575" y="6486525"/>
          <a:ext cx="1627732" cy="238421"/>
        </a:xfrm>
        <a:prstGeom prst="rect">
          <a:avLst/>
        </a:prstGeom>
        <a:noFill/>
        <a:ln w="1">
          <a:noFill/>
          <a:miter lim="800000"/>
          <a:headEnd/>
          <a:tailEnd/>
        </a:ln>
        <a:effectLst/>
      </xdr:spPr>
      <xdr:txBody>
        <a:bodyPr wrap="square" lIns="36576" tIns="18288" rIns="36576" bIns="18288"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Environmental</a:t>
          </a:r>
          <a:r>
            <a:rPr lang="en-US" altLang="ja-JP" sz="1100" b="1" i="0" strike="noStrike" baseline="0">
              <a:solidFill>
                <a:srgbClr val="000000"/>
              </a:solidFill>
              <a:latin typeface="Arial" panose="020B0604020202020204" pitchFamily="34" charset="0"/>
              <a:ea typeface="ＭＳ Ｐゴシック"/>
              <a:cs typeface="Arial" panose="020B0604020202020204" pitchFamily="34" charset="0"/>
            </a:rPr>
            <a:t> Load L</a:t>
          </a:r>
          <a:endParaRPr lang="en-US" altLang="ja-JP" sz="1100" b="1" i="0" strike="noStrike">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twoCellAnchor>
    <xdr:from>
      <xdr:col>7</xdr:col>
      <xdr:colOff>1</xdr:colOff>
      <xdr:row>28</xdr:row>
      <xdr:rowOff>0</xdr:rowOff>
    </xdr:from>
    <xdr:to>
      <xdr:col>7</xdr:col>
      <xdr:colOff>876301</xdr:colOff>
      <xdr:row>29</xdr:row>
      <xdr:rowOff>38101</xdr:rowOff>
    </xdr:to>
    <xdr:sp macro="" textlink="">
      <xdr:nvSpPr>
        <xdr:cNvPr id="6" name="Text Box 131">
          <a:extLst>
            <a:ext uri="{FF2B5EF4-FFF2-40B4-BE49-F238E27FC236}">
              <a16:creationId xmlns:a16="http://schemas.microsoft.com/office/drawing/2014/main" id="{00000000-0008-0000-0200-000006000000}"/>
            </a:ext>
          </a:extLst>
        </xdr:cNvPr>
        <xdr:cNvSpPr txBox="1">
          <a:spLocks noChangeArrowheads="1"/>
        </xdr:cNvSpPr>
      </xdr:nvSpPr>
      <xdr:spPr bwMode="auto">
        <a:xfrm>
          <a:off x="3009901" y="4638675"/>
          <a:ext cx="876300" cy="228601"/>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Arial" panose="020B0604020202020204" pitchFamily="34" charset="0"/>
              <a:ea typeface="+mn-ea"/>
              <a:cs typeface="Arial" panose="020B0604020202020204" pitchFamily="34" charset="0"/>
            </a:rPr>
            <a:t>1.Reference value</a:t>
          </a:r>
          <a:endParaRPr lang="ja-JP" altLang="ja-JP" sz="400">
            <a:effectLst/>
            <a:latin typeface="Arial" panose="020B0604020202020204" pitchFamily="34" charset="0"/>
            <a:cs typeface="Arial" panose="020B0604020202020204" pitchFamily="34" charset="0"/>
          </a:endParaRPr>
        </a:p>
      </xdr:txBody>
    </xdr:sp>
    <xdr:clientData/>
  </xdr:twoCellAnchor>
  <xdr:twoCellAnchor>
    <xdr:from>
      <xdr:col>7</xdr:col>
      <xdr:colOff>9526</xdr:colOff>
      <xdr:row>29</xdr:row>
      <xdr:rowOff>28574</xdr:rowOff>
    </xdr:from>
    <xdr:to>
      <xdr:col>7</xdr:col>
      <xdr:colOff>885826</xdr:colOff>
      <xdr:row>31</xdr:row>
      <xdr:rowOff>9524</xdr:rowOff>
    </xdr:to>
    <xdr:sp macro="" textlink="">
      <xdr:nvSpPr>
        <xdr:cNvPr id="7" name="Text Box 46">
          <a:extLst>
            <a:ext uri="{FF2B5EF4-FFF2-40B4-BE49-F238E27FC236}">
              <a16:creationId xmlns:a16="http://schemas.microsoft.com/office/drawing/2014/main" id="{00000000-0008-0000-0200-000007000000}"/>
            </a:ext>
          </a:extLst>
        </xdr:cNvPr>
        <xdr:cNvSpPr txBox="1">
          <a:spLocks noChangeArrowheads="1"/>
        </xdr:cNvSpPr>
      </xdr:nvSpPr>
      <xdr:spPr bwMode="auto">
        <a:xfrm>
          <a:off x="3019426" y="4857749"/>
          <a:ext cx="876300" cy="361950"/>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mn-lt"/>
              <a:ea typeface="+mn-ea"/>
              <a:cs typeface="+mn-cs"/>
            </a:rPr>
            <a:t>2.Building-related   </a:t>
          </a:r>
        </a:p>
        <a:p>
          <a:pPr algn="l" rtl="1"/>
          <a:r>
            <a:rPr lang="en-US" altLang="ja-JP" sz="800" b="0" i="0">
              <a:effectLst/>
              <a:latin typeface="+mn-lt"/>
              <a:ea typeface="+mn-ea"/>
              <a:cs typeface="+mn-cs"/>
            </a:rPr>
            <a:t> initiatives</a:t>
          </a:r>
          <a:endParaRPr lang="ja-JP" altLang="ja-JP" sz="400">
            <a:effectLst/>
          </a:endParaRPr>
        </a:p>
      </xdr:txBody>
    </xdr:sp>
    <xdr:clientData/>
  </xdr:twoCellAnchor>
  <xdr:twoCellAnchor>
    <xdr:from>
      <xdr:col>7</xdr:col>
      <xdr:colOff>9525</xdr:colOff>
      <xdr:row>30</xdr:row>
      <xdr:rowOff>152400</xdr:rowOff>
    </xdr:from>
    <xdr:to>
      <xdr:col>8</xdr:col>
      <xdr:colOff>5714</xdr:colOff>
      <xdr:row>33</xdr:row>
      <xdr:rowOff>38100</xdr:rowOff>
    </xdr:to>
    <xdr:sp macro="" textlink="">
      <xdr:nvSpPr>
        <xdr:cNvPr id="8" name="Text Box 47">
          <a:extLst>
            <a:ext uri="{FF2B5EF4-FFF2-40B4-BE49-F238E27FC236}">
              <a16:creationId xmlns:a16="http://schemas.microsoft.com/office/drawing/2014/main" id="{00000000-0008-0000-0200-000008000000}"/>
            </a:ext>
          </a:extLst>
        </xdr:cNvPr>
        <xdr:cNvSpPr txBox="1">
          <a:spLocks noChangeArrowheads="1"/>
        </xdr:cNvSpPr>
      </xdr:nvSpPr>
      <xdr:spPr bwMode="auto">
        <a:xfrm>
          <a:off x="3019425" y="5172075"/>
          <a:ext cx="891539" cy="457200"/>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mn-lt"/>
              <a:ea typeface="+mn-ea"/>
              <a:cs typeface="+mn-cs"/>
            </a:rPr>
            <a:t>3.Above initiatives + other on-site measures</a:t>
          </a:r>
          <a:endParaRPr lang="ja-JP" altLang="en-US" sz="800" b="0" i="0" strike="noStrike">
            <a:solidFill>
              <a:srgbClr val="000000"/>
            </a:solidFill>
            <a:latin typeface="ＭＳ ゴシック"/>
            <a:ea typeface="ＭＳ ゴシック"/>
          </a:endParaRPr>
        </a:p>
        <a:p>
          <a:pPr algn="l" rtl="1">
            <a:defRPr sz="1000"/>
          </a:pPr>
          <a:endParaRPr lang="ja-JP" altLang="en-US" sz="800" b="0" i="0" strike="noStrike">
            <a:solidFill>
              <a:srgbClr val="000000"/>
            </a:solidFill>
            <a:latin typeface="ＭＳ ゴシック"/>
            <a:ea typeface="ＭＳ ゴシック"/>
          </a:endParaRPr>
        </a:p>
      </xdr:txBody>
    </xdr:sp>
    <xdr:clientData/>
  </xdr:twoCellAnchor>
  <xdr:twoCellAnchor>
    <xdr:from>
      <xdr:col>7</xdr:col>
      <xdr:colOff>0</xdr:colOff>
      <xdr:row>33</xdr:row>
      <xdr:rowOff>11429</xdr:rowOff>
    </xdr:from>
    <xdr:to>
      <xdr:col>8</xdr:col>
      <xdr:colOff>304800</xdr:colOff>
      <xdr:row>35</xdr:row>
      <xdr:rowOff>85724</xdr:rowOff>
    </xdr:to>
    <xdr:sp macro="" textlink="">
      <xdr:nvSpPr>
        <xdr:cNvPr id="9" name="Text Box 49">
          <a:extLst>
            <a:ext uri="{FF2B5EF4-FFF2-40B4-BE49-F238E27FC236}">
              <a16:creationId xmlns:a16="http://schemas.microsoft.com/office/drawing/2014/main" id="{00000000-0008-0000-0200-000009000000}"/>
            </a:ext>
          </a:extLst>
        </xdr:cNvPr>
        <xdr:cNvSpPr txBox="1">
          <a:spLocks noChangeArrowheads="1"/>
        </xdr:cNvSpPr>
      </xdr:nvSpPr>
      <xdr:spPr bwMode="auto">
        <a:xfrm>
          <a:off x="3009900" y="5602604"/>
          <a:ext cx="1200150" cy="455295"/>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mn-lt"/>
              <a:ea typeface="+mn-ea"/>
              <a:cs typeface="+mn-cs"/>
            </a:rPr>
            <a:t>4.Above initiatives +</a:t>
          </a:r>
          <a:br>
            <a:rPr lang="en-US" altLang="ja-JP" sz="800" b="0" i="0">
              <a:effectLst/>
              <a:latin typeface="+mn-lt"/>
              <a:ea typeface="+mn-ea"/>
              <a:cs typeface="+mn-cs"/>
            </a:rPr>
          </a:br>
          <a:r>
            <a:rPr lang="en-US" altLang="ja-JP" sz="800" b="0" i="0">
              <a:effectLst/>
              <a:latin typeface="+mn-lt"/>
              <a:ea typeface="+mn-ea"/>
              <a:cs typeface="+mn-cs"/>
            </a:rPr>
            <a:t> other off-site </a:t>
          </a:r>
          <a:br>
            <a:rPr lang="en-US" altLang="ja-JP" sz="800" b="0" i="0">
              <a:effectLst/>
              <a:latin typeface="+mn-lt"/>
              <a:ea typeface="+mn-ea"/>
              <a:cs typeface="+mn-cs"/>
            </a:rPr>
          </a:br>
          <a:r>
            <a:rPr lang="en-US" altLang="ja-JP" sz="800" b="0" i="0">
              <a:effectLst/>
              <a:latin typeface="+mn-lt"/>
              <a:ea typeface="+mn-ea"/>
              <a:cs typeface="+mn-cs"/>
            </a:rPr>
            <a:t> measures</a:t>
          </a:r>
          <a:endParaRPr lang="ja-JP" altLang="ja-JP" sz="400">
            <a:effectLst/>
          </a:endParaRPr>
        </a:p>
      </xdr:txBody>
    </xdr:sp>
    <xdr:clientData/>
  </xdr:twoCellAnchor>
  <xdr:twoCellAnchor>
    <xdr:from>
      <xdr:col>2</xdr:col>
      <xdr:colOff>200025</xdr:colOff>
      <xdr:row>49</xdr:row>
      <xdr:rowOff>69104</xdr:rowOff>
    </xdr:from>
    <xdr:to>
      <xdr:col>2</xdr:col>
      <xdr:colOff>752468</xdr:colOff>
      <xdr:row>50</xdr:row>
      <xdr:rowOff>171146</xdr:rowOff>
    </xdr:to>
    <xdr:sp macro="" textlink="">
      <xdr:nvSpPr>
        <xdr:cNvPr id="10" name="Rectangle 2">
          <a:extLst>
            <a:ext uri="{FF2B5EF4-FFF2-40B4-BE49-F238E27FC236}">
              <a16:creationId xmlns:a16="http://schemas.microsoft.com/office/drawing/2014/main" id="{00000000-0008-0000-0200-00000A000000}"/>
            </a:ext>
          </a:extLst>
        </xdr:cNvPr>
        <xdr:cNvSpPr>
          <a:spLocks noChangeArrowheads="1"/>
        </xdr:cNvSpPr>
      </xdr:nvSpPr>
      <xdr:spPr bwMode="auto">
        <a:xfrm>
          <a:off x="400050" y="8727329"/>
          <a:ext cx="552443" cy="292542"/>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Noise &amp;</a:t>
          </a:r>
        </a:p>
        <a:p>
          <a:pPr algn="l" rtl="1">
            <a:defRPr sz="1000"/>
          </a:pPr>
          <a:r>
            <a:rPr lang="en-US" altLang="ja-JP" sz="700" b="0" i="0" strike="noStrike">
              <a:solidFill>
                <a:srgbClr val="000000"/>
              </a:solidFill>
              <a:latin typeface="Arial"/>
              <a:cs typeface="Arial"/>
            </a:rPr>
            <a:t>Acoustics </a:t>
          </a:r>
        </a:p>
      </xdr:txBody>
    </xdr:sp>
    <xdr:clientData/>
  </xdr:twoCellAnchor>
  <xdr:twoCellAnchor>
    <xdr:from>
      <xdr:col>3</xdr:col>
      <xdr:colOff>75</xdr:colOff>
      <xdr:row>49</xdr:row>
      <xdr:rowOff>74758</xdr:rowOff>
    </xdr:from>
    <xdr:to>
      <xdr:col>4</xdr:col>
      <xdr:colOff>46282</xdr:colOff>
      <xdr:row>50</xdr:row>
      <xdr:rowOff>182447</xdr:rowOff>
    </xdr:to>
    <xdr:sp macro="" textlink="">
      <xdr:nvSpPr>
        <xdr:cNvPr id="11" name="Rectangle 3">
          <a:extLst>
            <a:ext uri="{FF2B5EF4-FFF2-40B4-BE49-F238E27FC236}">
              <a16:creationId xmlns:a16="http://schemas.microsoft.com/office/drawing/2014/main" id="{00000000-0008-0000-0200-00000B000000}"/>
            </a:ext>
          </a:extLst>
        </xdr:cNvPr>
        <xdr:cNvSpPr>
          <a:spLocks noChangeArrowheads="1"/>
        </xdr:cNvSpPr>
      </xdr:nvSpPr>
      <xdr:spPr bwMode="auto">
        <a:xfrm>
          <a:off x="1114500" y="8732983"/>
          <a:ext cx="408157" cy="29818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Thermal </a:t>
          </a:r>
        </a:p>
        <a:p>
          <a:pPr algn="l" rtl="1">
            <a:defRPr sz="1000"/>
          </a:pPr>
          <a:r>
            <a:rPr lang="en-US" altLang="ja-JP" sz="700" b="0" i="0" strike="noStrike">
              <a:solidFill>
                <a:srgbClr val="000000"/>
              </a:solidFill>
              <a:latin typeface="Arial"/>
              <a:cs typeface="Arial"/>
            </a:rPr>
            <a:t>Comfort</a:t>
          </a:r>
        </a:p>
      </xdr:txBody>
    </xdr:sp>
    <xdr:clientData/>
  </xdr:twoCellAnchor>
  <xdr:twoCellAnchor>
    <xdr:from>
      <xdr:col>4</xdr:col>
      <xdr:colOff>236704</xdr:colOff>
      <xdr:row>49</xdr:row>
      <xdr:rowOff>74758</xdr:rowOff>
    </xdr:from>
    <xdr:to>
      <xdr:col>5</xdr:col>
      <xdr:colOff>50825</xdr:colOff>
      <xdr:row>50</xdr:row>
      <xdr:rowOff>182447</xdr:rowOff>
    </xdr:to>
    <xdr:sp macro="" textlink="">
      <xdr:nvSpPr>
        <xdr:cNvPr id="12" name="Rectangle 4">
          <a:extLst>
            <a:ext uri="{FF2B5EF4-FFF2-40B4-BE49-F238E27FC236}">
              <a16:creationId xmlns:a16="http://schemas.microsoft.com/office/drawing/2014/main" id="{00000000-0008-0000-0200-00000C000000}"/>
            </a:ext>
          </a:extLst>
        </xdr:cNvPr>
        <xdr:cNvSpPr>
          <a:spLocks noChangeArrowheads="1"/>
        </xdr:cNvSpPr>
      </xdr:nvSpPr>
      <xdr:spPr bwMode="auto">
        <a:xfrm>
          <a:off x="1713079" y="8732983"/>
          <a:ext cx="480871" cy="29818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Lighting &amp;</a:t>
          </a:r>
        </a:p>
        <a:p>
          <a:pPr algn="l" rtl="1">
            <a:defRPr sz="1000"/>
          </a:pPr>
          <a:r>
            <a:rPr lang="en-US" altLang="ja-JP" sz="700" b="0" i="0" strike="noStrike">
              <a:solidFill>
                <a:srgbClr val="000000"/>
              </a:solidFill>
              <a:latin typeface="Arial"/>
              <a:cs typeface="Arial"/>
            </a:rPr>
            <a:t>Illumination</a:t>
          </a:r>
        </a:p>
      </xdr:txBody>
    </xdr:sp>
    <xdr:clientData/>
  </xdr:twoCellAnchor>
  <xdr:twoCellAnchor>
    <xdr:from>
      <xdr:col>5</xdr:col>
      <xdr:colOff>279675</xdr:colOff>
      <xdr:row>49</xdr:row>
      <xdr:rowOff>74758</xdr:rowOff>
    </xdr:from>
    <xdr:to>
      <xdr:col>6</xdr:col>
      <xdr:colOff>358581</xdr:colOff>
      <xdr:row>50</xdr:row>
      <xdr:rowOff>179359</xdr:rowOff>
    </xdr:to>
    <xdr:sp macro="" textlink="">
      <xdr:nvSpPr>
        <xdr:cNvPr id="13" name="Rectangle 5">
          <a:extLst>
            <a:ext uri="{FF2B5EF4-FFF2-40B4-BE49-F238E27FC236}">
              <a16:creationId xmlns:a16="http://schemas.microsoft.com/office/drawing/2014/main" id="{00000000-0008-0000-0200-00000D000000}"/>
            </a:ext>
          </a:extLst>
        </xdr:cNvPr>
        <xdr:cNvSpPr>
          <a:spLocks noChangeArrowheads="1"/>
        </xdr:cNvSpPr>
      </xdr:nvSpPr>
      <xdr:spPr bwMode="auto">
        <a:xfrm>
          <a:off x="2422800" y="8732983"/>
          <a:ext cx="507531" cy="29510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Air Quality</a:t>
          </a:r>
        </a:p>
      </xdr:txBody>
    </xdr:sp>
    <xdr:clientData/>
  </xdr:twoCellAnchor>
  <xdr:twoCellAnchor>
    <xdr:from>
      <xdr:col>7</xdr:col>
      <xdr:colOff>628922</xdr:colOff>
      <xdr:row>49</xdr:row>
      <xdr:rowOff>105299</xdr:rowOff>
    </xdr:from>
    <xdr:to>
      <xdr:col>8</xdr:col>
      <xdr:colOff>192035</xdr:colOff>
      <xdr:row>50</xdr:row>
      <xdr:rowOff>188018</xdr:rowOff>
    </xdr:to>
    <xdr:sp macro="" textlink="">
      <xdr:nvSpPr>
        <xdr:cNvPr id="14" name="Rectangle 2">
          <a:extLst>
            <a:ext uri="{FF2B5EF4-FFF2-40B4-BE49-F238E27FC236}">
              <a16:creationId xmlns:a16="http://schemas.microsoft.com/office/drawing/2014/main" id="{00000000-0008-0000-0200-00000E000000}"/>
            </a:ext>
          </a:extLst>
        </xdr:cNvPr>
        <xdr:cNvSpPr>
          <a:spLocks noChangeArrowheads="1"/>
        </xdr:cNvSpPr>
      </xdr:nvSpPr>
      <xdr:spPr bwMode="auto">
        <a:xfrm>
          <a:off x="3638822" y="8763524"/>
          <a:ext cx="458463" cy="27321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Service </a:t>
          </a:r>
        </a:p>
        <a:p>
          <a:pPr algn="l" rtl="1">
            <a:defRPr sz="1000"/>
          </a:pPr>
          <a:r>
            <a:rPr lang="en-US" altLang="ja-JP" sz="700" b="0" i="0" strike="noStrike">
              <a:solidFill>
                <a:srgbClr val="000000"/>
              </a:solidFill>
              <a:latin typeface="Arial"/>
              <a:cs typeface="Arial"/>
            </a:rPr>
            <a:t>Ability</a:t>
          </a:r>
        </a:p>
      </xdr:txBody>
    </xdr:sp>
    <xdr:clientData/>
  </xdr:twoCellAnchor>
  <xdr:twoCellAnchor>
    <xdr:from>
      <xdr:col>9</xdr:col>
      <xdr:colOff>3239</xdr:colOff>
      <xdr:row>49</xdr:row>
      <xdr:rowOff>103394</xdr:rowOff>
    </xdr:from>
    <xdr:to>
      <xdr:col>9</xdr:col>
      <xdr:colOff>587012</xdr:colOff>
      <xdr:row>50</xdr:row>
      <xdr:rowOff>188018</xdr:rowOff>
    </xdr:to>
    <xdr:sp macro="" textlink="">
      <xdr:nvSpPr>
        <xdr:cNvPr id="15" name="Rectangle 3">
          <a:extLst>
            <a:ext uri="{FF2B5EF4-FFF2-40B4-BE49-F238E27FC236}">
              <a16:creationId xmlns:a16="http://schemas.microsoft.com/office/drawing/2014/main" id="{00000000-0008-0000-0200-00000F000000}"/>
            </a:ext>
          </a:extLst>
        </xdr:cNvPr>
        <xdr:cNvSpPr>
          <a:spLocks noChangeArrowheads="1"/>
        </xdr:cNvSpPr>
      </xdr:nvSpPr>
      <xdr:spPr bwMode="auto">
        <a:xfrm>
          <a:off x="4384739" y="8761619"/>
          <a:ext cx="583773" cy="275124"/>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Durability </a:t>
          </a:r>
        </a:p>
        <a:p>
          <a:pPr algn="l" rtl="1">
            <a:defRPr sz="1000"/>
          </a:pPr>
          <a:r>
            <a:rPr lang="en-US" altLang="ja-JP" sz="700" b="0" i="0" strike="noStrike">
              <a:solidFill>
                <a:srgbClr val="000000"/>
              </a:solidFill>
              <a:latin typeface="Arial"/>
              <a:cs typeface="Arial"/>
            </a:rPr>
            <a:t>&amp; Reliability </a:t>
          </a:r>
        </a:p>
      </xdr:txBody>
    </xdr:sp>
    <xdr:clientData/>
  </xdr:twoCellAnchor>
  <xdr:twoCellAnchor>
    <xdr:from>
      <xdr:col>10</xdr:col>
      <xdr:colOff>20238</xdr:colOff>
      <xdr:row>49</xdr:row>
      <xdr:rowOff>105299</xdr:rowOff>
    </xdr:from>
    <xdr:to>
      <xdr:col>10</xdr:col>
      <xdr:colOff>628410</xdr:colOff>
      <xdr:row>50</xdr:row>
      <xdr:rowOff>188018</xdr:rowOff>
    </xdr:to>
    <xdr:sp macro="" textlink="">
      <xdr:nvSpPr>
        <xdr:cNvPr id="16" name="Rectangle 4">
          <a:extLst>
            <a:ext uri="{FF2B5EF4-FFF2-40B4-BE49-F238E27FC236}">
              <a16:creationId xmlns:a16="http://schemas.microsoft.com/office/drawing/2014/main" id="{00000000-0008-0000-0200-000010000000}"/>
            </a:ext>
          </a:extLst>
        </xdr:cNvPr>
        <xdr:cNvSpPr>
          <a:spLocks noChangeArrowheads="1"/>
        </xdr:cNvSpPr>
      </xdr:nvSpPr>
      <xdr:spPr bwMode="auto">
        <a:xfrm>
          <a:off x="5230413" y="8763524"/>
          <a:ext cx="608172" cy="27321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Flexibility </a:t>
          </a:r>
        </a:p>
        <a:p>
          <a:pPr algn="l" rtl="1">
            <a:defRPr sz="1000"/>
          </a:pPr>
          <a:r>
            <a:rPr lang="en-US" altLang="ja-JP" sz="700" b="0" i="0" strike="noStrike">
              <a:solidFill>
                <a:srgbClr val="000000"/>
              </a:solidFill>
              <a:latin typeface="Arial"/>
              <a:cs typeface="Arial"/>
            </a:rPr>
            <a:t>&amp; Adaptability</a:t>
          </a:r>
        </a:p>
      </xdr:txBody>
    </xdr:sp>
    <xdr:clientData/>
  </xdr:twoCellAnchor>
  <xdr:twoCellAnchor>
    <xdr:from>
      <xdr:col>11</xdr:col>
      <xdr:colOff>527413</xdr:colOff>
      <xdr:row>49</xdr:row>
      <xdr:rowOff>57674</xdr:rowOff>
    </xdr:from>
    <xdr:to>
      <xdr:col>12</xdr:col>
      <xdr:colOff>269631</xdr:colOff>
      <xdr:row>51</xdr:row>
      <xdr:rowOff>68344</xdr:rowOff>
    </xdr:to>
    <xdr:sp macro="" textlink="">
      <xdr:nvSpPr>
        <xdr:cNvPr id="17" name="Rectangle 3">
          <a:extLst>
            <a:ext uri="{FF2B5EF4-FFF2-40B4-BE49-F238E27FC236}">
              <a16:creationId xmlns:a16="http://schemas.microsoft.com/office/drawing/2014/main" id="{00000000-0008-0000-0200-000011000000}"/>
            </a:ext>
          </a:extLst>
        </xdr:cNvPr>
        <xdr:cNvSpPr>
          <a:spLocks noChangeArrowheads="1"/>
        </xdr:cNvSpPr>
      </xdr:nvSpPr>
      <xdr:spPr bwMode="auto">
        <a:xfrm>
          <a:off x="6556738" y="8715899"/>
          <a:ext cx="561368" cy="391670"/>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Preservation &amp; Creation of  Biotope</a:t>
          </a:r>
        </a:p>
      </xdr:txBody>
    </xdr:sp>
    <xdr:clientData/>
  </xdr:twoCellAnchor>
  <xdr:twoCellAnchor>
    <xdr:from>
      <xdr:col>12</xdr:col>
      <xdr:colOff>526705</xdr:colOff>
      <xdr:row>49</xdr:row>
      <xdr:rowOff>100965</xdr:rowOff>
    </xdr:from>
    <xdr:to>
      <xdr:col>13</xdr:col>
      <xdr:colOff>332014</xdr:colOff>
      <xdr:row>51</xdr:row>
      <xdr:rowOff>74251</xdr:rowOff>
    </xdr:to>
    <xdr:sp macro="" textlink="">
      <xdr:nvSpPr>
        <xdr:cNvPr id="18" name="Rectangle 4">
          <a:extLst>
            <a:ext uri="{FF2B5EF4-FFF2-40B4-BE49-F238E27FC236}">
              <a16:creationId xmlns:a16="http://schemas.microsoft.com/office/drawing/2014/main" id="{00000000-0008-0000-0200-000012000000}"/>
            </a:ext>
          </a:extLst>
        </xdr:cNvPr>
        <xdr:cNvSpPr>
          <a:spLocks noChangeArrowheads="1"/>
        </xdr:cNvSpPr>
      </xdr:nvSpPr>
      <xdr:spPr bwMode="auto">
        <a:xfrm>
          <a:off x="7375180" y="8759190"/>
          <a:ext cx="614934" cy="354286"/>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Townscape &amp; Landscape</a:t>
          </a:r>
        </a:p>
      </xdr:txBody>
    </xdr:sp>
    <xdr:clientData/>
  </xdr:twoCellAnchor>
  <xdr:twoCellAnchor>
    <xdr:from>
      <xdr:col>13</xdr:col>
      <xdr:colOff>507288</xdr:colOff>
      <xdr:row>49</xdr:row>
      <xdr:rowOff>47625</xdr:rowOff>
    </xdr:from>
    <xdr:to>
      <xdr:col>14</xdr:col>
      <xdr:colOff>768936</xdr:colOff>
      <xdr:row>51</xdr:row>
      <xdr:rowOff>20911</xdr:rowOff>
    </xdr:to>
    <xdr:sp macro="" textlink="">
      <xdr:nvSpPr>
        <xdr:cNvPr id="19" name="Rectangle 5">
          <a:extLst>
            <a:ext uri="{FF2B5EF4-FFF2-40B4-BE49-F238E27FC236}">
              <a16:creationId xmlns:a16="http://schemas.microsoft.com/office/drawing/2014/main" id="{00000000-0008-0000-0200-000013000000}"/>
            </a:ext>
          </a:extLst>
        </xdr:cNvPr>
        <xdr:cNvSpPr>
          <a:spLocks noChangeArrowheads="1"/>
        </xdr:cNvSpPr>
      </xdr:nvSpPr>
      <xdr:spPr bwMode="auto">
        <a:xfrm>
          <a:off x="8165388" y="8705850"/>
          <a:ext cx="852198" cy="354286"/>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Local Characteristics &amp; Outdoor Amenity  </a:t>
          </a:r>
        </a:p>
      </xdr:txBody>
    </xdr:sp>
    <xdr:clientData/>
  </xdr:twoCellAnchor>
  <xdr:twoCellAnchor>
    <xdr:from>
      <xdr:col>2</xdr:col>
      <xdr:colOff>171450</xdr:colOff>
      <xdr:row>60</xdr:row>
      <xdr:rowOff>49530</xdr:rowOff>
    </xdr:from>
    <xdr:to>
      <xdr:col>2</xdr:col>
      <xdr:colOff>722137</xdr:colOff>
      <xdr:row>62</xdr:row>
      <xdr:rowOff>73881</xdr:rowOff>
    </xdr:to>
    <xdr:sp macro="" textlink="">
      <xdr:nvSpPr>
        <xdr:cNvPr id="20" name="Rectangle 2">
          <a:extLst>
            <a:ext uri="{FF2B5EF4-FFF2-40B4-BE49-F238E27FC236}">
              <a16:creationId xmlns:a16="http://schemas.microsoft.com/office/drawing/2014/main" id="{00000000-0008-0000-0200-000014000000}"/>
            </a:ext>
          </a:extLst>
        </xdr:cNvPr>
        <xdr:cNvSpPr>
          <a:spLocks noChangeArrowheads="1"/>
        </xdr:cNvSpPr>
      </xdr:nvSpPr>
      <xdr:spPr bwMode="auto">
        <a:xfrm>
          <a:off x="371475" y="10831830"/>
          <a:ext cx="550687" cy="42440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Building Thermal Load</a:t>
          </a:r>
        </a:p>
      </xdr:txBody>
    </xdr:sp>
    <xdr:clientData/>
  </xdr:twoCellAnchor>
  <xdr:twoCellAnchor>
    <xdr:from>
      <xdr:col>2</xdr:col>
      <xdr:colOff>835755</xdr:colOff>
      <xdr:row>60</xdr:row>
      <xdr:rowOff>53340</xdr:rowOff>
    </xdr:from>
    <xdr:to>
      <xdr:col>4</xdr:col>
      <xdr:colOff>47625</xdr:colOff>
      <xdr:row>62</xdr:row>
      <xdr:rowOff>73881</xdr:rowOff>
    </xdr:to>
    <xdr:sp macro="" textlink="">
      <xdr:nvSpPr>
        <xdr:cNvPr id="21" name="Rectangle 3">
          <a:extLst>
            <a:ext uri="{FF2B5EF4-FFF2-40B4-BE49-F238E27FC236}">
              <a16:creationId xmlns:a16="http://schemas.microsoft.com/office/drawing/2014/main" id="{00000000-0008-0000-0200-000015000000}"/>
            </a:ext>
          </a:extLst>
        </xdr:cNvPr>
        <xdr:cNvSpPr>
          <a:spLocks noChangeArrowheads="1"/>
        </xdr:cNvSpPr>
      </xdr:nvSpPr>
      <xdr:spPr bwMode="auto">
        <a:xfrm>
          <a:off x="1035780" y="10835640"/>
          <a:ext cx="488220" cy="42059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Natural Energy (Direct use)</a:t>
          </a:r>
        </a:p>
      </xdr:txBody>
    </xdr:sp>
    <xdr:clientData/>
  </xdr:twoCellAnchor>
  <xdr:twoCellAnchor>
    <xdr:from>
      <xdr:col>4</xdr:col>
      <xdr:colOff>135563</xdr:colOff>
      <xdr:row>60</xdr:row>
      <xdr:rowOff>49530</xdr:rowOff>
    </xdr:from>
    <xdr:to>
      <xdr:col>5</xdr:col>
      <xdr:colOff>179835</xdr:colOff>
      <xdr:row>62</xdr:row>
      <xdr:rowOff>13095</xdr:rowOff>
    </xdr:to>
    <xdr:sp macro="" textlink="">
      <xdr:nvSpPr>
        <xdr:cNvPr id="22" name="Rectangle 4">
          <a:extLst>
            <a:ext uri="{FF2B5EF4-FFF2-40B4-BE49-F238E27FC236}">
              <a16:creationId xmlns:a16="http://schemas.microsoft.com/office/drawing/2014/main" id="{00000000-0008-0000-0200-000016000000}"/>
            </a:ext>
          </a:extLst>
        </xdr:cNvPr>
        <xdr:cNvSpPr>
          <a:spLocks noChangeArrowheads="1"/>
        </xdr:cNvSpPr>
      </xdr:nvSpPr>
      <xdr:spPr bwMode="auto">
        <a:xfrm>
          <a:off x="1611938" y="10831830"/>
          <a:ext cx="711022" cy="363615"/>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Efficiency in Building Service</a:t>
          </a:r>
        </a:p>
        <a:p>
          <a:pPr algn="l" rtl="1">
            <a:defRPr sz="1000"/>
          </a:pPr>
          <a:r>
            <a:rPr lang="en-US" altLang="ja-JP" sz="700" b="0" i="0" strike="noStrike">
              <a:solidFill>
                <a:srgbClr val="000000"/>
              </a:solidFill>
              <a:latin typeface="Arial"/>
              <a:cs typeface="Arial"/>
            </a:rPr>
            <a:t>System</a:t>
          </a:r>
        </a:p>
      </xdr:txBody>
    </xdr:sp>
    <xdr:clientData/>
  </xdr:twoCellAnchor>
  <xdr:twoCellAnchor>
    <xdr:from>
      <xdr:col>5</xdr:col>
      <xdr:colOff>230207</xdr:colOff>
      <xdr:row>60</xdr:row>
      <xdr:rowOff>49530</xdr:rowOff>
    </xdr:from>
    <xdr:to>
      <xdr:col>6</xdr:col>
      <xdr:colOff>296751</xdr:colOff>
      <xdr:row>62</xdr:row>
      <xdr:rowOff>73881</xdr:rowOff>
    </xdr:to>
    <xdr:sp macro="" textlink="">
      <xdr:nvSpPr>
        <xdr:cNvPr id="23" name="Rectangle 5">
          <a:extLst>
            <a:ext uri="{FF2B5EF4-FFF2-40B4-BE49-F238E27FC236}">
              <a16:creationId xmlns:a16="http://schemas.microsoft.com/office/drawing/2014/main" id="{00000000-0008-0000-0200-000017000000}"/>
            </a:ext>
          </a:extLst>
        </xdr:cNvPr>
        <xdr:cNvSpPr>
          <a:spLocks noChangeArrowheads="1"/>
        </xdr:cNvSpPr>
      </xdr:nvSpPr>
      <xdr:spPr bwMode="auto">
        <a:xfrm>
          <a:off x="2373332" y="10831830"/>
          <a:ext cx="495169" cy="42440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Efficient Operation</a:t>
          </a:r>
        </a:p>
        <a:p>
          <a:pPr algn="l" rtl="1">
            <a:defRPr sz="1000"/>
          </a:pPr>
          <a:r>
            <a:rPr lang="en-US" altLang="ja-JP" sz="700" b="0" i="0" strike="noStrike">
              <a:solidFill>
                <a:srgbClr val="000000"/>
              </a:solidFill>
              <a:latin typeface="Arial"/>
              <a:cs typeface="Arial"/>
            </a:rPr>
            <a:t>Initiatives</a:t>
          </a:r>
        </a:p>
      </xdr:txBody>
    </xdr:sp>
    <xdr:clientData/>
  </xdr:twoCellAnchor>
  <xdr:twoCellAnchor>
    <xdr:from>
      <xdr:col>7</xdr:col>
      <xdr:colOff>571771</xdr:colOff>
      <xdr:row>60</xdr:row>
      <xdr:rowOff>40005</xdr:rowOff>
    </xdr:from>
    <xdr:to>
      <xdr:col>8</xdr:col>
      <xdr:colOff>229687</xdr:colOff>
      <xdr:row>61</xdr:row>
      <xdr:rowOff>172575</xdr:rowOff>
    </xdr:to>
    <xdr:sp macro="" textlink="">
      <xdr:nvSpPr>
        <xdr:cNvPr id="24" name="Rectangle 2">
          <a:extLst>
            <a:ext uri="{FF2B5EF4-FFF2-40B4-BE49-F238E27FC236}">
              <a16:creationId xmlns:a16="http://schemas.microsoft.com/office/drawing/2014/main" id="{00000000-0008-0000-0200-000018000000}"/>
            </a:ext>
          </a:extLst>
        </xdr:cNvPr>
        <xdr:cNvSpPr>
          <a:spLocks noChangeArrowheads="1"/>
        </xdr:cNvSpPr>
      </xdr:nvSpPr>
      <xdr:spPr bwMode="auto">
        <a:xfrm>
          <a:off x="3581671" y="10822305"/>
          <a:ext cx="553266" cy="332595"/>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Water Resources</a:t>
          </a:r>
        </a:p>
      </xdr:txBody>
    </xdr:sp>
    <xdr:clientData/>
  </xdr:twoCellAnchor>
  <xdr:twoCellAnchor>
    <xdr:from>
      <xdr:col>8</xdr:col>
      <xdr:colOff>396545</xdr:colOff>
      <xdr:row>60</xdr:row>
      <xdr:rowOff>38100</xdr:rowOff>
    </xdr:from>
    <xdr:to>
      <xdr:col>9</xdr:col>
      <xdr:colOff>634583</xdr:colOff>
      <xdr:row>63</xdr:row>
      <xdr:rowOff>29228</xdr:rowOff>
    </xdr:to>
    <xdr:sp macro="" textlink="">
      <xdr:nvSpPr>
        <xdr:cNvPr id="25" name="Rectangle 3">
          <a:extLst>
            <a:ext uri="{FF2B5EF4-FFF2-40B4-BE49-F238E27FC236}">
              <a16:creationId xmlns:a16="http://schemas.microsoft.com/office/drawing/2014/main" id="{00000000-0008-0000-0200-000019000000}"/>
            </a:ext>
          </a:extLst>
        </xdr:cNvPr>
        <xdr:cNvSpPr>
          <a:spLocks noChangeArrowheads="1"/>
        </xdr:cNvSpPr>
      </xdr:nvSpPr>
      <xdr:spPr bwMode="auto">
        <a:xfrm>
          <a:off x="4301795" y="10820400"/>
          <a:ext cx="714288" cy="467378"/>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Reduction of Non Renewable Material use</a:t>
          </a:r>
        </a:p>
      </xdr:txBody>
    </xdr:sp>
    <xdr:clientData/>
  </xdr:twoCellAnchor>
  <xdr:twoCellAnchor>
    <xdr:from>
      <xdr:col>9</xdr:col>
      <xdr:colOff>827318</xdr:colOff>
      <xdr:row>60</xdr:row>
      <xdr:rowOff>40005</xdr:rowOff>
    </xdr:from>
    <xdr:to>
      <xdr:col>10</xdr:col>
      <xdr:colOff>600619</xdr:colOff>
      <xdr:row>62</xdr:row>
      <xdr:rowOff>35265</xdr:rowOff>
    </xdr:to>
    <xdr:sp macro="" textlink="">
      <xdr:nvSpPr>
        <xdr:cNvPr id="26" name="Rectangle 4">
          <a:extLst>
            <a:ext uri="{FF2B5EF4-FFF2-40B4-BE49-F238E27FC236}">
              <a16:creationId xmlns:a16="http://schemas.microsoft.com/office/drawing/2014/main" id="{00000000-0008-0000-0200-00001A000000}"/>
            </a:ext>
          </a:extLst>
        </xdr:cNvPr>
        <xdr:cNvSpPr>
          <a:spLocks noChangeArrowheads="1"/>
        </xdr:cNvSpPr>
      </xdr:nvSpPr>
      <xdr:spPr bwMode="auto">
        <a:xfrm>
          <a:off x="5208818" y="10822305"/>
          <a:ext cx="601976" cy="395310"/>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Materials with Low Health Risks</a:t>
          </a:r>
        </a:p>
      </xdr:txBody>
    </xdr:sp>
    <xdr:clientData/>
  </xdr:twoCellAnchor>
  <xdr:twoCellAnchor>
    <xdr:from>
      <xdr:col>11</xdr:col>
      <xdr:colOff>611233</xdr:colOff>
      <xdr:row>60</xdr:row>
      <xdr:rowOff>62865</xdr:rowOff>
    </xdr:from>
    <xdr:to>
      <xdr:col>12</xdr:col>
      <xdr:colOff>267017</xdr:colOff>
      <xdr:row>61</xdr:row>
      <xdr:rowOff>180665</xdr:rowOff>
    </xdr:to>
    <xdr:sp macro="" textlink="">
      <xdr:nvSpPr>
        <xdr:cNvPr id="27" name="Rectangle 2">
          <a:extLst>
            <a:ext uri="{FF2B5EF4-FFF2-40B4-BE49-F238E27FC236}">
              <a16:creationId xmlns:a16="http://schemas.microsoft.com/office/drawing/2014/main" id="{00000000-0008-0000-0200-00001B000000}"/>
            </a:ext>
          </a:extLst>
        </xdr:cNvPr>
        <xdr:cNvSpPr>
          <a:spLocks noChangeArrowheads="1"/>
        </xdr:cNvSpPr>
      </xdr:nvSpPr>
      <xdr:spPr bwMode="auto">
        <a:xfrm>
          <a:off x="6640558" y="10845165"/>
          <a:ext cx="474934" cy="317825"/>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Global Warming</a:t>
          </a:r>
        </a:p>
      </xdr:txBody>
    </xdr:sp>
    <xdr:clientData/>
  </xdr:twoCellAnchor>
  <xdr:twoCellAnchor>
    <xdr:from>
      <xdr:col>12</xdr:col>
      <xdr:colOff>601267</xdr:colOff>
      <xdr:row>60</xdr:row>
      <xdr:rowOff>64770</xdr:rowOff>
    </xdr:from>
    <xdr:to>
      <xdr:col>13</xdr:col>
      <xdr:colOff>425359</xdr:colOff>
      <xdr:row>61</xdr:row>
      <xdr:rowOff>174443</xdr:rowOff>
    </xdr:to>
    <xdr:sp macro="" textlink="">
      <xdr:nvSpPr>
        <xdr:cNvPr id="28" name="Rectangle 3">
          <a:extLst>
            <a:ext uri="{FF2B5EF4-FFF2-40B4-BE49-F238E27FC236}">
              <a16:creationId xmlns:a16="http://schemas.microsoft.com/office/drawing/2014/main" id="{00000000-0008-0000-0200-00001C000000}"/>
            </a:ext>
          </a:extLst>
        </xdr:cNvPr>
        <xdr:cNvSpPr>
          <a:spLocks noChangeArrowheads="1"/>
        </xdr:cNvSpPr>
      </xdr:nvSpPr>
      <xdr:spPr bwMode="auto">
        <a:xfrm>
          <a:off x="7449742" y="10847070"/>
          <a:ext cx="633717" cy="309698"/>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Local environment</a:t>
          </a:r>
        </a:p>
      </xdr:txBody>
    </xdr:sp>
    <xdr:clientData/>
  </xdr:twoCellAnchor>
  <xdr:twoCellAnchor>
    <xdr:from>
      <xdr:col>14</xdr:col>
      <xdr:colOff>22273</xdr:colOff>
      <xdr:row>60</xdr:row>
      <xdr:rowOff>64770</xdr:rowOff>
    </xdr:from>
    <xdr:to>
      <xdr:col>14</xdr:col>
      <xdr:colOff>679540</xdr:colOff>
      <xdr:row>61</xdr:row>
      <xdr:rowOff>174443</xdr:rowOff>
    </xdr:to>
    <xdr:sp macro="" textlink="">
      <xdr:nvSpPr>
        <xdr:cNvPr id="29" name="Rectangle 4">
          <a:extLst>
            <a:ext uri="{FF2B5EF4-FFF2-40B4-BE49-F238E27FC236}">
              <a16:creationId xmlns:a16="http://schemas.microsoft.com/office/drawing/2014/main" id="{00000000-0008-0000-0200-00001D000000}"/>
            </a:ext>
          </a:extLst>
        </xdr:cNvPr>
        <xdr:cNvSpPr>
          <a:spLocks noChangeArrowheads="1"/>
        </xdr:cNvSpPr>
      </xdr:nvSpPr>
      <xdr:spPr bwMode="auto">
        <a:xfrm>
          <a:off x="8270923" y="10847070"/>
          <a:ext cx="657267" cy="309698"/>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Surrounding Environment</a:t>
          </a:r>
        </a:p>
      </xdr:txBody>
    </xdr:sp>
    <xdr:clientData/>
  </xdr:twoCellAnchor>
  <xdr:twoCellAnchor editAs="oneCell">
    <xdr:from>
      <xdr:col>4</xdr:col>
      <xdr:colOff>95250</xdr:colOff>
      <xdr:row>41</xdr:row>
      <xdr:rowOff>142875</xdr:rowOff>
    </xdr:from>
    <xdr:to>
      <xdr:col>6</xdr:col>
      <xdr:colOff>59529</xdr:colOff>
      <xdr:row>43</xdr:row>
      <xdr:rowOff>79273</xdr:rowOff>
    </xdr:to>
    <xdr:pic>
      <xdr:nvPicPr>
        <xdr:cNvPr id="2" name="図 1">
          <a:extLst>
            <a:ext uri="{FF2B5EF4-FFF2-40B4-BE49-F238E27FC236}">
              <a16:creationId xmlns:a16="http://schemas.microsoft.com/office/drawing/2014/main" id="{08505E2C-44D8-4AB7-ADD7-26982A3E776D}"/>
            </a:ext>
          </a:extLst>
        </xdr:cNvPr>
        <xdr:cNvPicPr>
          <a:picLocks noChangeAspect="1"/>
        </xdr:cNvPicPr>
      </xdr:nvPicPr>
      <xdr:blipFill>
        <a:blip xmlns:r="http://schemas.openxmlformats.org/officeDocument/2006/relationships" r:embed="rId13"/>
        <a:stretch>
          <a:fillRect/>
        </a:stretch>
      </xdr:blipFill>
      <xdr:spPr>
        <a:xfrm>
          <a:off x="1571625" y="7296150"/>
          <a:ext cx="1065369" cy="298348"/>
        </a:xfrm>
        <a:prstGeom prst="rect">
          <a:avLst/>
        </a:prstGeom>
      </xdr:spPr>
    </xdr:pic>
    <xdr:clientData/>
  </xdr:twoCellAnchor>
  <xdr:twoCellAnchor editAs="oneCell">
    <xdr:from>
      <xdr:col>8</xdr:col>
      <xdr:colOff>312420</xdr:colOff>
      <xdr:row>41</xdr:row>
      <xdr:rowOff>142875</xdr:rowOff>
    </xdr:from>
    <xdr:to>
      <xdr:col>10</xdr:col>
      <xdr:colOff>59529</xdr:colOff>
      <xdr:row>43</xdr:row>
      <xdr:rowOff>77368</xdr:rowOff>
    </xdr:to>
    <xdr:pic>
      <xdr:nvPicPr>
        <xdr:cNvPr id="30" name="図 29">
          <a:extLst>
            <a:ext uri="{FF2B5EF4-FFF2-40B4-BE49-F238E27FC236}">
              <a16:creationId xmlns:a16="http://schemas.microsoft.com/office/drawing/2014/main" id="{E55F2A9B-EABA-448E-BF51-C6A23897EDDA}"/>
            </a:ext>
          </a:extLst>
        </xdr:cNvPr>
        <xdr:cNvPicPr>
          <a:picLocks noChangeAspect="1"/>
        </xdr:cNvPicPr>
      </xdr:nvPicPr>
      <xdr:blipFill>
        <a:blip xmlns:r="http://schemas.openxmlformats.org/officeDocument/2006/relationships" r:embed="rId14"/>
        <a:stretch>
          <a:fillRect/>
        </a:stretch>
      </xdr:blipFill>
      <xdr:spPr>
        <a:xfrm>
          <a:off x="4217670" y="7296150"/>
          <a:ext cx="1057749" cy="296443"/>
        </a:xfrm>
        <a:prstGeom prst="rect">
          <a:avLst/>
        </a:prstGeom>
      </xdr:spPr>
    </xdr:pic>
    <xdr:clientData/>
  </xdr:twoCellAnchor>
  <xdr:twoCellAnchor editAs="oneCell">
    <xdr:from>
      <xdr:col>12</xdr:col>
      <xdr:colOff>668655</xdr:colOff>
      <xdr:row>41</xdr:row>
      <xdr:rowOff>154305</xdr:rowOff>
    </xdr:from>
    <xdr:to>
      <xdr:col>14</xdr:col>
      <xdr:colOff>345279</xdr:colOff>
      <xdr:row>43</xdr:row>
      <xdr:rowOff>96418</xdr:rowOff>
    </xdr:to>
    <xdr:pic>
      <xdr:nvPicPr>
        <xdr:cNvPr id="31" name="図 30">
          <a:extLst>
            <a:ext uri="{FF2B5EF4-FFF2-40B4-BE49-F238E27FC236}">
              <a16:creationId xmlns:a16="http://schemas.microsoft.com/office/drawing/2014/main" id="{25597015-1ACA-4071-9FEF-2B6AA4DE2EA9}"/>
            </a:ext>
          </a:extLst>
        </xdr:cNvPr>
        <xdr:cNvPicPr>
          <a:picLocks noChangeAspect="1"/>
        </xdr:cNvPicPr>
      </xdr:nvPicPr>
      <xdr:blipFill>
        <a:blip xmlns:r="http://schemas.openxmlformats.org/officeDocument/2006/relationships" r:embed="rId15"/>
        <a:stretch>
          <a:fillRect/>
        </a:stretch>
      </xdr:blipFill>
      <xdr:spPr>
        <a:xfrm>
          <a:off x="7517130" y="7307580"/>
          <a:ext cx="1076799" cy="292633"/>
        </a:xfrm>
        <a:prstGeom prst="rect">
          <a:avLst/>
        </a:prstGeom>
      </xdr:spPr>
    </xdr:pic>
    <xdr:clientData/>
  </xdr:twoCellAnchor>
  <xdr:oneCellAnchor>
    <xdr:from>
      <xdr:col>4</xdr:col>
      <xdr:colOff>66675</xdr:colOff>
      <xdr:row>52</xdr:row>
      <xdr:rowOff>161925</xdr:rowOff>
    </xdr:from>
    <xdr:ext cx="1019446" cy="180690"/>
    <xdr:sp macro="" textlink="">
      <xdr:nvSpPr>
        <xdr:cNvPr id="32" name="Text Box 140">
          <a:extLst>
            <a:ext uri="{FF2B5EF4-FFF2-40B4-BE49-F238E27FC236}">
              <a16:creationId xmlns:a16="http://schemas.microsoft.com/office/drawing/2014/main" id="{3DF00055-FE23-4C12-B403-50B7047784EE}"/>
            </a:ext>
          </a:extLst>
        </xdr:cNvPr>
        <xdr:cNvSpPr txBox="1">
          <a:spLocks noChangeArrowheads="1"/>
        </xdr:cNvSpPr>
      </xdr:nvSpPr>
      <xdr:spPr bwMode="auto">
        <a:xfrm>
          <a:off x="1543050" y="9429750"/>
          <a:ext cx="1019446" cy="180690"/>
        </a:xfrm>
        <a:prstGeom prst="rect">
          <a:avLst/>
        </a:prstGeom>
        <a:noFill/>
        <a:ln w="9525">
          <a:noFill/>
          <a:miter lim="800000"/>
          <a:headEnd/>
          <a:tailEnd/>
        </a:ln>
      </xdr:spPr>
      <xdr:txBody>
        <a:bodyPr wrap="none" lIns="27432" tIns="18288" rIns="0" bIns="0" anchor="t" upright="1">
          <a:spAutoFit/>
        </a:bodyPr>
        <a:lstStyle/>
        <a:p>
          <a:pPr algn="l"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Score</a:t>
          </a:r>
          <a:r>
            <a:rPr lang="en-US" altLang="ja-JP" sz="1100" b="1" i="0" strike="noStrike" baseline="0">
              <a:solidFill>
                <a:srgbClr val="000000"/>
              </a:solidFill>
              <a:latin typeface="Arial" panose="020B0604020202020204" pitchFamily="34" charset="0"/>
              <a:ea typeface="ＭＳ Ｐゴシック"/>
              <a:cs typeface="Arial" panose="020B0604020202020204" pitchFamily="34" charset="0"/>
            </a:rPr>
            <a:t> of LR1 =</a:t>
          </a:r>
          <a:endParaRPr lang="en-US" altLang="ja-JP" sz="1100" b="1" i="0" strike="noStrike">
            <a:solidFill>
              <a:srgbClr val="000000"/>
            </a:solidFill>
            <a:latin typeface="Arial" panose="020B0604020202020204" pitchFamily="34" charset="0"/>
            <a:ea typeface="ＭＳ Ｐゴシック"/>
            <a:cs typeface="Arial" panose="020B0604020202020204" pitchFamily="34" charset="0"/>
          </a:endParaRPr>
        </a:p>
      </xdr:txBody>
    </xdr:sp>
    <xdr:clientData/>
  </xdr:oneCellAnchor>
  <xdr:oneCellAnchor>
    <xdr:from>
      <xdr:col>8</xdr:col>
      <xdr:colOff>276225</xdr:colOff>
      <xdr:row>52</xdr:row>
      <xdr:rowOff>161925</xdr:rowOff>
    </xdr:from>
    <xdr:ext cx="1019446" cy="180690"/>
    <xdr:sp macro="" textlink="">
      <xdr:nvSpPr>
        <xdr:cNvPr id="33" name="Text Box 137">
          <a:extLst>
            <a:ext uri="{FF2B5EF4-FFF2-40B4-BE49-F238E27FC236}">
              <a16:creationId xmlns:a16="http://schemas.microsoft.com/office/drawing/2014/main" id="{3611F7EE-F0D1-4524-AC84-5198BE49E53D}"/>
            </a:ext>
          </a:extLst>
        </xdr:cNvPr>
        <xdr:cNvSpPr txBox="1">
          <a:spLocks noChangeArrowheads="1"/>
        </xdr:cNvSpPr>
      </xdr:nvSpPr>
      <xdr:spPr bwMode="auto">
        <a:xfrm>
          <a:off x="4181475" y="9429750"/>
          <a:ext cx="1019446" cy="180690"/>
        </a:xfrm>
        <a:prstGeom prst="rect">
          <a:avLst/>
        </a:prstGeom>
        <a:noFill/>
        <a:ln w="9525">
          <a:noFill/>
          <a:miter lim="800000"/>
          <a:headEnd/>
          <a:tailEnd/>
        </a:ln>
      </xdr:spPr>
      <xdr:txBody>
        <a:bodyPr wrap="none" lIns="27432" tIns="18288" rIns="0" bIns="0" anchor="t" upright="1">
          <a:spAutoFit/>
        </a:bodyPr>
        <a:lstStyle/>
        <a:p>
          <a:pPr algn="l"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Score</a:t>
          </a:r>
          <a:r>
            <a:rPr lang="en-US" altLang="ja-JP" sz="1100" b="1" i="0" strike="noStrike" baseline="0">
              <a:solidFill>
                <a:srgbClr val="000000"/>
              </a:solidFill>
              <a:latin typeface="Arial" panose="020B0604020202020204" pitchFamily="34" charset="0"/>
              <a:ea typeface="ＭＳ Ｐゴシック"/>
              <a:cs typeface="Arial" panose="020B0604020202020204" pitchFamily="34" charset="0"/>
            </a:rPr>
            <a:t> of LR2 </a:t>
          </a: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a:t>
          </a:r>
        </a:p>
      </xdr:txBody>
    </xdr:sp>
    <xdr:clientData/>
  </xdr:oneCellAnchor>
  <xdr:oneCellAnchor>
    <xdr:from>
      <xdr:col>12</xdr:col>
      <xdr:colOff>657225</xdr:colOff>
      <xdr:row>52</xdr:row>
      <xdr:rowOff>161925</xdr:rowOff>
    </xdr:from>
    <xdr:ext cx="1019446" cy="180690"/>
    <xdr:sp macro="" textlink="">
      <xdr:nvSpPr>
        <xdr:cNvPr id="34" name="Text Box 136">
          <a:extLst>
            <a:ext uri="{FF2B5EF4-FFF2-40B4-BE49-F238E27FC236}">
              <a16:creationId xmlns:a16="http://schemas.microsoft.com/office/drawing/2014/main" id="{A8AE193A-3CEF-45BC-B51D-561EF34BD1AF}"/>
            </a:ext>
          </a:extLst>
        </xdr:cNvPr>
        <xdr:cNvSpPr txBox="1">
          <a:spLocks noChangeArrowheads="1"/>
        </xdr:cNvSpPr>
      </xdr:nvSpPr>
      <xdr:spPr bwMode="auto">
        <a:xfrm>
          <a:off x="7505700" y="9429750"/>
          <a:ext cx="1019446" cy="180690"/>
        </a:xfrm>
        <a:prstGeom prst="rect">
          <a:avLst/>
        </a:prstGeom>
        <a:noFill/>
        <a:ln w="9525">
          <a:noFill/>
          <a:miter lim="800000"/>
          <a:headEnd/>
          <a:tailEnd/>
        </a:ln>
      </xdr:spPr>
      <xdr:txBody>
        <a:bodyPr wrap="none" lIns="27432" tIns="18288" rIns="0" bIns="0" anchor="t" upright="1">
          <a:spAutoFit/>
        </a:bodyPr>
        <a:lstStyle/>
        <a:p>
          <a:pPr algn="l"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Score of LR3 =</a:t>
          </a:r>
        </a:p>
      </xdr:txBody>
    </xdr:sp>
    <xdr:clientData/>
  </xdr:oneCellAnchor>
  <xdr:twoCellAnchor editAs="oneCell">
    <xdr:from>
      <xdr:col>0</xdr:col>
      <xdr:colOff>11430</xdr:colOff>
      <xdr:row>1</xdr:row>
      <xdr:rowOff>135255</xdr:rowOff>
    </xdr:from>
    <xdr:to>
      <xdr:col>5</xdr:col>
      <xdr:colOff>247650</xdr:colOff>
      <xdr:row>4</xdr:row>
      <xdr:rowOff>17071</xdr:rowOff>
    </xdr:to>
    <xdr:pic>
      <xdr:nvPicPr>
        <xdr:cNvPr id="39" name="図 38">
          <a:extLst>
            <a:ext uri="{FF2B5EF4-FFF2-40B4-BE49-F238E27FC236}">
              <a16:creationId xmlns:a16="http://schemas.microsoft.com/office/drawing/2014/main" id="{C17E554B-E149-4B9D-AA7D-506F82C2587D}"/>
            </a:ext>
          </a:extLst>
        </xdr:cNvPr>
        <xdr:cNvPicPr>
          <a:picLocks noChangeAspect="1"/>
        </xdr:cNvPicPr>
      </xdr:nvPicPr>
      <xdr:blipFill rotWithShape="1">
        <a:blip xmlns:r="http://schemas.openxmlformats.org/officeDocument/2006/relationships" r:embed="rId16"/>
        <a:srcRect r="67519"/>
        <a:stretch>
          <a:fillRect/>
        </a:stretch>
      </xdr:blipFill>
      <xdr:spPr>
        <a:xfrm>
          <a:off x="11430" y="211455"/>
          <a:ext cx="2371725" cy="596191"/>
        </a:xfrm>
        <a:prstGeom prst="rect">
          <a:avLst/>
        </a:prstGeom>
      </xdr:spPr>
    </xdr:pic>
    <xdr:clientData/>
  </xdr:twoCellAnchor>
  <xdr:twoCellAnchor editAs="oneCell">
    <xdr:from>
      <xdr:col>12</xdr:col>
      <xdr:colOff>85725</xdr:colOff>
      <xdr:row>2</xdr:row>
      <xdr:rowOff>0</xdr:rowOff>
    </xdr:from>
    <xdr:to>
      <xdr:col>14</xdr:col>
      <xdr:colOff>740544</xdr:colOff>
      <xdr:row>3</xdr:row>
      <xdr:rowOff>168276</xdr:rowOff>
    </xdr:to>
    <xdr:pic>
      <xdr:nvPicPr>
        <xdr:cNvPr id="40" name="図 39">
          <a:extLst>
            <a:ext uri="{FF2B5EF4-FFF2-40B4-BE49-F238E27FC236}">
              <a16:creationId xmlns:a16="http://schemas.microsoft.com/office/drawing/2014/main" id="{B41AD814-7B62-4598-A08C-87480DE5968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934200" y="314325"/>
          <a:ext cx="2049279" cy="400686"/>
        </a:xfrm>
        <a:prstGeom prst="rect">
          <a:avLst/>
        </a:prstGeom>
      </xdr:spPr>
    </xdr:pic>
    <xdr:clientData/>
  </xdr:twoCellAnchor>
  <xdr:twoCellAnchor editAs="oneCell">
    <xdr:from>
      <xdr:col>5</xdr:col>
      <xdr:colOff>238126</xdr:colOff>
      <xdr:row>1</xdr:row>
      <xdr:rowOff>110490</xdr:rowOff>
    </xdr:from>
    <xdr:to>
      <xdr:col>12</xdr:col>
      <xdr:colOff>15240</xdr:colOff>
      <xdr:row>4</xdr:row>
      <xdr:rowOff>1831</xdr:rowOff>
    </xdr:to>
    <xdr:pic>
      <xdr:nvPicPr>
        <xdr:cNvPr id="41" name="図 40">
          <a:extLst>
            <a:ext uri="{FF2B5EF4-FFF2-40B4-BE49-F238E27FC236}">
              <a16:creationId xmlns:a16="http://schemas.microsoft.com/office/drawing/2014/main" id="{860C01E2-E05D-4A8A-950C-54F311ECC65D}"/>
            </a:ext>
          </a:extLst>
        </xdr:cNvPr>
        <xdr:cNvPicPr>
          <a:picLocks noChangeAspect="1"/>
        </xdr:cNvPicPr>
      </xdr:nvPicPr>
      <xdr:blipFill rotWithShape="1">
        <a:blip xmlns:r="http://schemas.openxmlformats.org/officeDocument/2006/relationships" r:embed="rId16"/>
        <a:srcRect l="32351"/>
        <a:stretch>
          <a:fillRect/>
        </a:stretch>
      </xdr:blipFill>
      <xdr:spPr>
        <a:xfrm>
          <a:off x="2381251" y="186690"/>
          <a:ext cx="4476749" cy="605716"/>
        </a:xfrm>
        <a:prstGeom prst="rect">
          <a:avLst/>
        </a:prstGeom>
      </xdr:spPr>
    </xdr:pic>
    <xdr:clientData/>
  </xdr:twoCellAnchor>
  <xdr:twoCellAnchor>
    <xdr:from>
      <xdr:col>0</xdr:col>
      <xdr:colOff>30480</xdr:colOff>
      <xdr:row>70</xdr:row>
      <xdr:rowOff>0</xdr:rowOff>
    </xdr:from>
    <xdr:to>
      <xdr:col>15</xdr:col>
      <xdr:colOff>40005</xdr:colOff>
      <xdr:row>98</xdr:row>
      <xdr:rowOff>0</xdr:rowOff>
    </xdr:to>
    <xdr:sp macro="" textlink="">
      <xdr:nvSpPr>
        <xdr:cNvPr id="36" name="Text Box 141">
          <a:extLst>
            <a:ext uri="{FF2B5EF4-FFF2-40B4-BE49-F238E27FC236}">
              <a16:creationId xmlns:a16="http://schemas.microsoft.com/office/drawing/2014/main" id="{CB351B0E-8E07-4166-A791-98B4C73BA6B7}"/>
            </a:ext>
          </a:extLst>
        </xdr:cNvPr>
        <xdr:cNvSpPr txBox="1">
          <a:spLocks noChangeArrowheads="1"/>
        </xdr:cNvSpPr>
      </xdr:nvSpPr>
      <xdr:spPr bwMode="auto">
        <a:xfrm>
          <a:off x="30480" y="14049375"/>
          <a:ext cx="9039225" cy="1114425"/>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en-US" altLang="ja-JP" sz="900" b="0" i="0" u="none" strike="noStrike" baseline="0">
              <a:solidFill>
                <a:srgbClr val="000000"/>
              </a:solidFill>
              <a:latin typeface="Wingdings" panose="05000000000000000000" pitchFamily="2" charset="2"/>
              <a:ea typeface="ＭＳ Ｐゴシック"/>
              <a:cs typeface="Arial" panose="020B0604020202020204" pitchFamily="34" charset="0"/>
            </a:rPr>
            <a:t>n</a:t>
          </a:r>
          <a:r>
            <a:rPr lang="en-US" altLang="ja-JP" sz="900" b="0" i="0" u="none" strike="noStrike" baseline="0">
              <a:solidFill>
                <a:srgbClr val="000000"/>
              </a:solidFill>
              <a:latin typeface="Arial" panose="020B0604020202020204" pitchFamily="34" charset="0"/>
              <a:ea typeface="ＭＳ Ｐゴシック"/>
              <a:cs typeface="Arial" panose="020B0604020202020204" pitchFamily="34" charset="0"/>
            </a:rPr>
            <a:t> </a:t>
          </a:r>
          <a:r>
            <a:rPr lang="ja-JP" altLang="en-US" sz="900" b="0" i="0" u="none" strike="noStrike" baseline="0">
              <a:solidFill>
                <a:srgbClr val="000000"/>
              </a:solidFill>
              <a:latin typeface="Arial" panose="020B0604020202020204" pitchFamily="34" charset="0"/>
              <a:ea typeface="ＭＳ Ｐゴシック"/>
              <a:cs typeface="Arial" panose="020B0604020202020204" pitchFamily="34" charset="0"/>
            </a:rPr>
            <a:t>CASBEE: Comprehensive Assessment System for Built Environment Efficiency </a:t>
          </a: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a:t>
          </a:r>
          <a:r>
            <a:rPr lang="ja-JP" altLang="ja-JP" sz="900" b="0" i="0" baseline="0">
              <a:effectLst/>
              <a:latin typeface="Arial" panose="020B0604020202020204" pitchFamily="34" charset="0"/>
              <a:ea typeface="+mn-ea"/>
              <a:cs typeface="Arial" panose="020B0604020202020204" pitchFamily="34" charset="0"/>
            </a:rPr>
            <a:t>Q: Quality (environmental quality</a:t>
          </a:r>
          <a:r>
            <a:rPr lang="en-US" altLang="ja-JP" sz="900" b="0" i="0" baseline="0">
              <a:effectLst/>
              <a:latin typeface="Arial" panose="020B0604020202020204" pitchFamily="34" charset="0"/>
              <a:ea typeface="+mn-ea"/>
              <a:cs typeface="Arial" panose="020B0604020202020204" pitchFamily="34" charset="0"/>
            </a:rPr>
            <a:t> of building</a:t>
          </a:r>
          <a:r>
            <a:rPr lang="ja-JP" altLang="ja-JP" sz="900" b="0" i="0" baseline="0">
              <a:effectLst/>
              <a:latin typeface="Arial" panose="020B0604020202020204" pitchFamily="34" charset="0"/>
              <a:ea typeface="+mn-ea"/>
              <a:cs typeface="Arial" panose="020B0604020202020204" pitchFamily="34" charset="0"/>
            </a:rPr>
            <a:t>); L: Load (environmental load</a:t>
          </a:r>
          <a:r>
            <a:rPr lang="en-US" altLang="ja-JP" sz="900" b="0" i="0" baseline="0">
              <a:effectLst/>
              <a:latin typeface="Arial" panose="020B0604020202020204" pitchFamily="34" charset="0"/>
              <a:ea typeface="+mn-ea"/>
              <a:cs typeface="Arial" panose="020B0604020202020204" pitchFamily="34" charset="0"/>
            </a:rPr>
            <a:t> of building</a:t>
          </a:r>
          <a:r>
            <a:rPr lang="ja-JP" altLang="ja-JP" sz="900" b="0" i="0" baseline="0">
              <a:effectLst/>
              <a:latin typeface="Arial" panose="020B0604020202020204" pitchFamily="34" charset="0"/>
              <a:ea typeface="+mn-ea"/>
              <a:cs typeface="Arial" panose="020B0604020202020204" pitchFamily="34" charset="0"/>
            </a:rPr>
            <a:t>); LR: Load Reduction (environmental load reduction of building); BEE: Buil</a:t>
          </a:r>
          <a:r>
            <a:rPr lang="en-US" altLang="ja-JP" sz="900" b="0" i="0" baseline="0">
              <a:effectLst/>
              <a:latin typeface="Arial" panose="020B0604020202020204" pitchFamily="34" charset="0"/>
              <a:ea typeface="+mn-ea"/>
              <a:cs typeface="Arial" panose="020B0604020202020204" pitchFamily="34" charset="0"/>
            </a:rPr>
            <a:t>t </a:t>
          </a:r>
          <a:r>
            <a:rPr lang="ja-JP" altLang="ja-JP" sz="900" b="0" i="0" baseline="0">
              <a:effectLst/>
              <a:latin typeface="Arial" panose="020B0604020202020204" pitchFamily="34" charset="0"/>
              <a:ea typeface="+mn-ea"/>
              <a:cs typeface="Arial" panose="020B0604020202020204" pitchFamily="34" charset="0"/>
            </a:rPr>
            <a:t>Environment Efficiency</a:t>
          </a:r>
          <a:endParaRPr lang="ja-JP" altLang="ja-JP" sz="900" b="0">
            <a:effectLst/>
            <a:latin typeface="Arial" panose="020B0604020202020204" pitchFamily="34" charset="0"/>
            <a:cs typeface="Arial" panose="020B0604020202020204" pitchFamily="34" charset="0"/>
          </a:endParaRP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a:t>
          </a:r>
          <a:r>
            <a:rPr lang="ja-JP" altLang="ja-JP" sz="900" b="0" i="0" baseline="0">
              <a:effectLst/>
              <a:latin typeface="Arial" panose="020B0604020202020204" pitchFamily="34" charset="0"/>
              <a:ea typeface="+mn-ea"/>
              <a:cs typeface="Arial" panose="020B0604020202020204" pitchFamily="34" charset="0"/>
            </a:rPr>
            <a:t>"</a:t>
          </a:r>
          <a:r>
            <a:rPr lang="en-US" altLang="ja-JP" sz="900" b="0" i="0" baseline="0">
              <a:effectLst/>
              <a:latin typeface="Arial" panose="020B0604020202020204" pitchFamily="34" charset="0"/>
              <a:ea typeface="+mn-ea"/>
              <a:cs typeface="Arial" panose="020B0604020202020204" pitchFamily="34" charset="0"/>
            </a:rPr>
            <a:t>Whole Life Carbon (WLC)</a:t>
          </a:r>
          <a:r>
            <a:rPr lang="ja-JP" altLang="ja-JP" sz="900" b="0" i="0" baseline="0">
              <a:effectLst/>
              <a:latin typeface="Arial" panose="020B0604020202020204" pitchFamily="34" charset="0"/>
              <a:ea typeface="+mn-ea"/>
              <a:cs typeface="Arial" panose="020B0604020202020204" pitchFamily="34" charset="0"/>
            </a:rPr>
            <a:t>" is the total </a:t>
          </a:r>
          <a:r>
            <a:rPr lang="en-US" altLang="ja-JP" sz="900" b="0" i="0" baseline="0">
              <a:effectLst/>
              <a:latin typeface="Arial" panose="020B0604020202020204" pitchFamily="34" charset="0"/>
              <a:ea typeface="+mn-ea"/>
              <a:cs typeface="Arial" panose="020B0604020202020204" pitchFamily="34" charset="0"/>
            </a:rPr>
            <a:t>GHG </a:t>
          </a:r>
          <a:r>
            <a:rPr lang="ja-JP" altLang="ja-JP" sz="900" b="0" i="0" baseline="0">
              <a:effectLst/>
              <a:latin typeface="Arial" panose="020B0604020202020204" pitchFamily="34" charset="0"/>
              <a:ea typeface="+mn-ea"/>
              <a:cs typeface="Arial" panose="020B0604020202020204" pitchFamily="34" charset="0"/>
            </a:rPr>
            <a:t>emitted by a building during its entire life from the production of </a:t>
          </a:r>
          <a:r>
            <a:rPr lang="en-US" altLang="ja-JP" sz="900" b="0" i="0" baseline="0">
              <a:effectLst/>
              <a:latin typeface="Arial" panose="020B0604020202020204" pitchFamily="34" charset="0"/>
              <a:ea typeface="+mn-ea"/>
              <a:cs typeface="Arial" panose="020B0604020202020204" pitchFamily="34" charset="0"/>
            </a:rPr>
            <a:t>materials</a:t>
          </a:r>
          <a:r>
            <a:rPr lang="ja-JP" altLang="ja-JP" sz="900" b="0" i="0" baseline="0">
              <a:effectLst/>
              <a:latin typeface="Arial" panose="020B0604020202020204" pitchFamily="34" charset="0"/>
              <a:ea typeface="+mn-ea"/>
              <a:cs typeface="Arial" panose="020B0604020202020204" pitchFamily="34" charset="0"/>
            </a:rPr>
            <a:t> and construction of the building to occupation by the users, repairs, and demolition/disposal. </a:t>
          </a:r>
          <a:r>
            <a:rPr lang="en-US" altLang="ja-JP" sz="900" b="0" i="0" baseline="0">
              <a:effectLst/>
              <a:latin typeface="Arial" panose="020B0604020202020204" pitchFamily="34" charset="0"/>
              <a:ea typeface="+mn-ea"/>
              <a:cs typeface="Arial" panose="020B0604020202020204" pitchFamily="34" charset="0"/>
            </a:rPr>
            <a:t>Here it is displayed as annual WLC calculated by dividing total emissions by the building lifespan.</a:t>
          </a: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WLC</a:t>
          </a:r>
          <a:r>
            <a:rPr lang="ja-JP" altLang="ja-JP" sz="900" b="0" i="0" baseline="0">
              <a:effectLst/>
              <a:latin typeface="Arial" panose="020B0604020202020204" pitchFamily="34" charset="0"/>
              <a:ea typeface="+mn-ea"/>
              <a:cs typeface="Arial" panose="020B0604020202020204" pitchFamily="34" charset="0"/>
            </a:rPr>
            <a:t> </a:t>
          </a:r>
          <a:r>
            <a:rPr lang="en-US" altLang="ja-JP" sz="900" b="0" i="0" baseline="0">
              <a:effectLst/>
              <a:latin typeface="Arial" panose="020B0604020202020204" pitchFamily="34" charset="0"/>
              <a:ea typeface="+mn-ea"/>
              <a:cs typeface="Arial" panose="020B0604020202020204" pitchFamily="34" charset="0"/>
            </a:rPr>
            <a:t>of</a:t>
          </a:r>
          <a:r>
            <a:rPr lang="ja-JP" altLang="ja-JP" sz="900" b="0" i="0" baseline="0">
              <a:effectLst/>
              <a:latin typeface="Arial" panose="020B0604020202020204" pitchFamily="34" charset="0"/>
              <a:ea typeface="+mn-ea"/>
              <a:cs typeface="Arial" panose="020B0604020202020204" pitchFamily="34" charset="0"/>
            </a:rPr>
            <a:t> </a:t>
          </a:r>
          <a:r>
            <a:rPr lang="en-US" altLang="ja-JP" sz="900" b="0" i="0" baseline="0">
              <a:effectLst/>
              <a:latin typeface="Arial" panose="020B0604020202020204" pitchFamily="34" charset="0"/>
              <a:ea typeface="+mn-ea"/>
              <a:cs typeface="Arial" panose="020B0604020202020204" pitchFamily="34" charset="0"/>
            </a:rPr>
            <a:t>evaluated</a:t>
          </a:r>
          <a:r>
            <a:rPr lang="ja-JP" altLang="ja-JP" sz="900" b="0" i="0" baseline="0">
              <a:effectLst/>
              <a:latin typeface="Arial" panose="020B0604020202020204" pitchFamily="34" charset="0"/>
              <a:ea typeface="+mn-ea"/>
              <a:cs typeface="Arial" panose="020B0604020202020204" pitchFamily="34" charset="0"/>
            </a:rPr>
            <a:t> building is calculated almost automatically from the results (scoring levels) of </a:t>
          </a:r>
          <a:r>
            <a:rPr lang="en-US" altLang="ja-JP" sz="900" b="0" i="0" baseline="0">
              <a:effectLst/>
              <a:latin typeface="Arial" panose="020B0604020202020204" pitchFamily="34" charset="0"/>
              <a:ea typeface="+mn-ea"/>
              <a:cs typeface="Arial" panose="020B0604020202020204" pitchFamily="34" charset="0"/>
            </a:rPr>
            <a:t>some </a:t>
          </a:r>
          <a:r>
            <a:rPr lang="ja-JP" altLang="ja-JP" sz="900" b="0" i="0" baseline="0">
              <a:effectLst/>
              <a:latin typeface="Arial" panose="020B0604020202020204" pitchFamily="34" charset="0"/>
              <a:ea typeface="+mn-ea"/>
              <a:cs typeface="Arial" panose="020B0604020202020204" pitchFamily="34" charset="0"/>
            </a:rPr>
            <a:t>assessment items</a:t>
          </a:r>
          <a:r>
            <a:rPr lang="en-US" altLang="ja-JP" sz="900" b="0" i="0" baseline="0">
              <a:effectLst/>
              <a:latin typeface="Arial" panose="020B0604020202020204" pitchFamily="34" charset="0"/>
              <a:ea typeface="+mn-ea"/>
              <a:cs typeface="Arial" panose="020B0604020202020204" pitchFamily="34" charset="0"/>
            </a:rPr>
            <a:t>, in Q2, LR1 and LR2 by using its lifespan, energy performance and material efficiency</a:t>
          </a:r>
          <a:r>
            <a:rPr lang="ja-JP" altLang="ja-JP" sz="900" b="0" i="0" baseline="0">
              <a:effectLst/>
              <a:latin typeface="Arial" panose="020B0604020202020204" pitchFamily="34" charset="0"/>
              <a:ea typeface="+mn-ea"/>
              <a:cs typeface="Arial" panose="020B0604020202020204" pitchFamily="34" charset="0"/>
            </a:rPr>
            <a:t>.</a:t>
          </a:r>
          <a:endParaRPr lang="ja-JP" altLang="ja-JP" sz="900" b="0">
            <a:effectLst/>
            <a:latin typeface="Arial" panose="020B0604020202020204" pitchFamily="34" charset="0"/>
            <a:cs typeface="Arial" panose="020B0604020202020204" pitchFamily="34" charset="0"/>
          </a:endParaRP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a:t>
          </a:r>
          <a:r>
            <a:rPr lang="ja-JP" altLang="ja-JP" sz="900" b="0" i="0" baseline="0">
              <a:effectLst/>
              <a:latin typeface="Arial" panose="020B0604020202020204" pitchFamily="34" charset="0"/>
              <a:ea typeface="+mn-ea"/>
              <a:cs typeface="Arial" panose="020B0604020202020204" pitchFamily="34" charset="0"/>
            </a:rPr>
            <a:t>For </a:t>
          </a:r>
          <a:r>
            <a:rPr lang="en-US" altLang="ja-JP" sz="900" b="0" i="0" baseline="0">
              <a:effectLst/>
              <a:latin typeface="Arial" panose="020B0604020202020204" pitchFamily="34" charset="0"/>
              <a:ea typeface="+mn-ea"/>
              <a:cs typeface="Arial" panose="020B0604020202020204" pitchFamily="34" charset="0"/>
            </a:rPr>
            <a:t>WLC</a:t>
          </a:r>
          <a:r>
            <a:rPr lang="ja-JP" altLang="ja-JP" sz="900" b="0" i="0" baseline="0">
              <a:effectLst/>
              <a:latin typeface="Arial" panose="020B0604020202020204" pitchFamily="34" charset="0"/>
              <a:ea typeface="+mn-ea"/>
              <a:cs typeface="Arial" panose="020B0604020202020204" pitchFamily="34" charset="0"/>
            </a:rPr>
            <a:t> calculation conditions, refer to the </a:t>
          </a:r>
          <a:r>
            <a:rPr lang="en-US" altLang="ja-JP" sz="900" b="0" i="0" baseline="0">
              <a:effectLst/>
              <a:latin typeface="Arial" panose="020B0604020202020204" pitchFamily="34" charset="0"/>
              <a:ea typeface="+mn-ea"/>
              <a:cs typeface="Arial" panose="020B0604020202020204" pitchFamily="34" charset="0"/>
            </a:rPr>
            <a:t>WLC</a:t>
          </a:r>
          <a:r>
            <a:rPr lang="ja-JP" altLang="ja-JP" sz="900" b="0" i="0" baseline="0">
              <a:effectLst/>
              <a:latin typeface="Arial" panose="020B0604020202020204" pitchFamily="34" charset="0"/>
              <a:ea typeface="+mn-ea"/>
              <a:cs typeface="Arial" panose="020B0604020202020204" pitchFamily="34" charset="0"/>
            </a:rPr>
            <a:t> Calculation </a:t>
          </a:r>
          <a:r>
            <a:rPr lang="en-US" altLang="ja-JP" sz="900" b="0" i="0" baseline="0">
              <a:effectLst/>
              <a:latin typeface="Arial" panose="020B0604020202020204" pitchFamily="34" charset="0"/>
              <a:ea typeface="+mn-ea"/>
              <a:cs typeface="Arial" panose="020B0604020202020204" pitchFamily="34" charset="0"/>
            </a:rPr>
            <a:t>Condition </a:t>
          </a:r>
          <a:r>
            <a:rPr lang="ja-JP" altLang="ja-JP" sz="900" b="0" i="0" baseline="0">
              <a:effectLst/>
              <a:latin typeface="Arial" panose="020B0604020202020204" pitchFamily="34" charset="0"/>
              <a:ea typeface="+mn-ea"/>
              <a:cs typeface="Arial" panose="020B0604020202020204" pitchFamily="34" charset="0"/>
            </a:rPr>
            <a:t>Sheet.</a:t>
          </a:r>
          <a:endParaRPr lang="ja-JP" altLang="ja-JP" sz="900" b="0">
            <a:effectLst/>
            <a:latin typeface="Arial" panose="020B0604020202020204" pitchFamily="34" charset="0"/>
            <a:cs typeface="Arial" panose="020B0604020202020204" pitchFamily="34" charset="0"/>
          </a:endParaRPr>
        </a:p>
        <a:p>
          <a:pPr algn="l" rtl="0">
            <a:defRPr sz="1000"/>
          </a:pPr>
          <a:endParaRPr lang="ja-JP" altLang="en-US" sz="900" b="0" i="0" u="none" strike="noStrike" baseline="0">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wsDr>
</file>

<file path=xl/drawings/drawing3.xml><?xml version="1.0" encoding="utf-8"?>
<c:userShapes xmlns:c="http://schemas.openxmlformats.org/drawingml/2006/chart">
  <cdr:relSizeAnchor xmlns:cdr="http://schemas.openxmlformats.org/drawingml/2006/chartDrawing">
    <cdr:from>
      <cdr:x>0.20127</cdr:x>
      <cdr:y>0.11136</cdr:y>
    </cdr:from>
    <cdr:to>
      <cdr:x>0.38843</cdr:x>
      <cdr:y>0.22498</cdr:y>
    </cdr:to>
    <cdr:sp macro="" textlink="">
      <cdr:nvSpPr>
        <cdr:cNvPr id="13315" name="Text Box 3"/>
        <cdr:cNvSpPr txBox="1">
          <a:spLocks xmlns:a="http://schemas.openxmlformats.org/drawingml/2006/main" noChangeArrowheads="1"/>
        </cdr:cNvSpPr>
      </cdr:nvSpPr>
      <cdr:spPr bwMode="auto">
        <a:xfrm xmlns:a="http://schemas.openxmlformats.org/drawingml/2006/main">
          <a:off x="566798" y="273661"/>
          <a:ext cx="524113" cy="275951"/>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S</a:t>
          </a:r>
        </a:p>
      </cdr:txBody>
    </cdr:sp>
  </cdr:relSizeAnchor>
  <cdr:relSizeAnchor xmlns:cdr="http://schemas.openxmlformats.org/drawingml/2006/chartDrawing">
    <cdr:from>
      <cdr:x>0.45363</cdr:x>
      <cdr:y>0.10224</cdr:y>
    </cdr:from>
    <cdr:to>
      <cdr:x>0.59998</cdr:x>
      <cdr:y>0.22762</cdr:y>
    </cdr:to>
    <cdr:sp macro="" textlink="">
      <cdr:nvSpPr>
        <cdr:cNvPr id="13316" name="Text Box 4"/>
        <cdr:cNvSpPr txBox="1">
          <a:spLocks xmlns:a="http://schemas.openxmlformats.org/drawingml/2006/main" noChangeArrowheads="1"/>
        </cdr:cNvSpPr>
      </cdr:nvSpPr>
      <cdr:spPr bwMode="auto">
        <a:xfrm xmlns:a="http://schemas.openxmlformats.org/drawingml/2006/main">
          <a:off x="1273505" y="251492"/>
          <a:ext cx="409823" cy="304538"/>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A</a:t>
          </a:r>
        </a:p>
      </cdr:txBody>
    </cdr:sp>
  </cdr:relSizeAnchor>
  <cdr:relSizeAnchor xmlns:cdr="http://schemas.openxmlformats.org/drawingml/2006/chartDrawing">
    <cdr:from>
      <cdr:x>0.64128</cdr:x>
      <cdr:y>0.10224</cdr:y>
    </cdr:from>
    <cdr:to>
      <cdr:x>0.79438</cdr:x>
      <cdr:y>0.21585</cdr:y>
    </cdr:to>
    <cdr:sp macro="" textlink="">
      <cdr:nvSpPr>
        <cdr:cNvPr id="13317" name="Text Box 5"/>
        <cdr:cNvSpPr txBox="1">
          <a:spLocks xmlns:a="http://schemas.openxmlformats.org/drawingml/2006/main" noChangeArrowheads="1"/>
        </cdr:cNvSpPr>
      </cdr:nvSpPr>
      <cdr:spPr bwMode="auto">
        <a:xfrm xmlns:a="http://schemas.openxmlformats.org/drawingml/2006/main">
          <a:off x="1798971" y="251492"/>
          <a:ext cx="428758" cy="275951"/>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B</a:t>
          </a:r>
          <a:r>
            <a:rPr lang="en-US" altLang="ja-JP" sz="1150" b="1" i="0" strike="noStrike" baseline="30000">
              <a:solidFill>
                <a:srgbClr val="000000"/>
              </a:solidFill>
              <a:latin typeface="Arial"/>
              <a:cs typeface="Arial"/>
            </a:rPr>
            <a:t>+</a:t>
          </a:r>
        </a:p>
      </cdr:txBody>
    </cdr:sp>
  </cdr:relSizeAnchor>
  <cdr:relSizeAnchor xmlns:cdr="http://schemas.openxmlformats.org/drawingml/2006/chartDrawing">
    <cdr:from>
      <cdr:x>0.7654</cdr:x>
      <cdr:y>0.30064</cdr:y>
    </cdr:from>
    <cdr:to>
      <cdr:x>0.90379</cdr:x>
      <cdr:y>0.41425</cdr:y>
    </cdr:to>
    <cdr:sp macro="" textlink="">
      <cdr:nvSpPr>
        <cdr:cNvPr id="13318" name="Text Box 6"/>
        <cdr:cNvSpPr txBox="1">
          <a:spLocks xmlns:a="http://schemas.openxmlformats.org/drawingml/2006/main" noChangeArrowheads="1"/>
        </cdr:cNvSpPr>
      </cdr:nvSpPr>
      <cdr:spPr bwMode="auto">
        <a:xfrm xmlns:a="http://schemas.openxmlformats.org/drawingml/2006/main">
          <a:off x="2146576" y="733385"/>
          <a:ext cx="390211" cy="275951"/>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B</a:t>
          </a:r>
          <a:r>
            <a:rPr lang="en-US" altLang="ja-JP" sz="1150" b="1" i="0" strike="noStrike" baseline="30000">
              <a:solidFill>
                <a:srgbClr val="000000"/>
              </a:solidFill>
              <a:latin typeface="Arial"/>
              <a:cs typeface="Arial"/>
            </a:rPr>
            <a:t>-</a:t>
          </a:r>
        </a:p>
      </cdr:txBody>
    </cdr:sp>
  </cdr:relSizeAnchor>
  <cdr:relSizeAnchor xmlns:cdr="http://schemas.openxmlformats.org/drawingml/2006/chartDrawing">
    <cdr:from>
      <cdr:x>0.76613</cdr:x>
      <cdr:y>0.65228</cdr:y>
    </cdr:from>
    <cdr:to>
      <cdr:x>0.86152</cdr:x>
      <cdr:y>0.79208</cdr:y>
    </cdr:to>
    <cdr:sp macro="" textlink="">
      <cdr:nvSpPr>
        <cdr:cNvPr id="11271" name="Text Box 7"/>
        <cdr:cNvSpPr txBox="1">
          <a:spLocks xmlns:a="http://schemas.openxmlformats.org/drawingml/2006/main" noChangeArrowheads="1"/>
        </cdr:cNvSpPr>
      </cdr:nvSpPr>
      <cdr:spPr bwMode="auto">
        <a:xfrm xmlns:a="http://schemas.openxmlformats.org/drawingml/2006/main">
          <a:off x="2148605" y="1587492"/>
          <a:ext cx="267129" cy="339543"/>
        </a:xfrm>
        <a:prstGeom xmlns:a="http://schemas.openxmlformats.org/drawingml/2006/main" prst="rect">
          <a:avLst/>
        </a:prstGeom>
        <a:noFill xmlns:a="http://schemas.openxmlformats.org/drawingml/2006/main"/>
        <a:ln xmlns:a="http://schemas.openxmlformats.org/drawingml/2006/main" w="0">
          <a:noFill/>
          <a:miter lim="800000"/>
          <a:headEnd/>
          <a:tailEnd/>
        </a:l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1">
            <a:defRPr sz="1000"/>
          </a:pPr>
          <a:r>
            <a:rPr lang="en-US" altLang="ja-JP" sz="1150" b="1" i="0" strike="noStrike">
              <a:solidFill>
                <a:srgbClr val="000000"/>
              </a:solidFill>
              <a:latin typeface="Arial"/>
              <a:cs typeface="Arial"/>
            </a:rPr>
            <a:t>C</a:t>
          </a:r>
        </a:p>
      </cdr:txBody>
    </cdr:sp>
  </cdr:relSizeAnchor>
  <cdr:relSizeAnchor xmlns:cdr="http://schemas.openxmlformats.org/drawingml/2006/chartDrawing">
    <cdr:from>
      <cdr:x>0.38304</cdr:x>
      <cdr:y>0.01719</cdr:y>
    </cdr:from>
    <cdr:to>
      <cdr:x>0.45709</cdr:x>
      <cdr:y>0.10826</cdr:y>
    </cdr:to>
    <cdr:sp macro="" textlink="">
      <cdr:nvSpPr>
        <cdr:cNvPr id="13321" name="Text Box 9"/>
        <cdr:cNvSpPr txBox="1">
          <a:spLocks xmlns:a="http://schemas.openxmlformats.org/drawingml/2006/main" noChangeArrowheads="1"/>
        </cdr:cNvSpPr>
      </cdr:nvSpPr>
      <cdr:spPr bwMode="auto">
        <a:xfrm xmlns:a="http://schemas.openxmlformats.org/drawingml/2006/main">
          <a:off x="1068998" y="41595"/>
          <a:ext cx="206660" cy="22031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none" lIns="18288" tIns="18288" rIns="18288" bIns="18288" anchor="ctr" upright="1">
          <a:spAutoFit/>
        </a:bodyPr>
        <a:lstStyle xmlns:a="http://schemas.openxmlformats.org/drawingml/2006/main"/>
        <a:p xmlns:a="http://schemas.openxmlformats.org/drawingml/2006/main">
          <a:pPr algn="ctr" rtl="0">
            <a:defRPr sz="1000"/>
          </a:pPr>
          <a:r>
            <a:rPr lang="en-US" altLang="ja-JP" sz="1100" b="0" i="0" strike="noStrike">
              <a:solidFill>
                <a:srgbClr val="000000"/>
              </a:solidFill>
              <a:latin typeface="ＭＳ Ｐゴシック"/>
              <a:ea typeface="ＭＳ Ｐゴシック"/>
            </a:rPr>
            <a:t>3.0</a:t>
          </a:r>
        </a:p>
      </cdr:txBody>
    </cdr:sp>
  </cdr:relSizeAnchor>
  <cdr:relSizeAnchor xmlns:cdr="http://schemas.openxmlformats.org/drawingml/2006/chartDrawing">
    <cdr:from>
      <cdr:x>0.88809</cdr:x>
      <cdr:y>0.43539</cdr:y>
    </cdr:from>
    <cdr:to>
      <cdr:x>0.98323</cdr:x>
      <cdr:y>0.52162</cdr:y>
    </cdr:to>
    <cdr:sp macro="" textlink="">
      <cdr:nvSpPr>
        <cdr:cNvPr id="11273" name="Text Box 12"/>
        <cdr:cNvSpPr txBox="1">
          <a:spLocks xmlns:a="http://schemas.openxmlformats.org/drawingml/2006/main" noChangeArrowheads="1"/>
        </cdr:cNvSpPr>
      </cdr:nvSpPr>
      <cdr:spPr bwMode="auto">
        <a:xfrm xmlns:a="http://schemas.openxmlformats.org/drawingml/2006/main">
          <a:off x="2490124" y="1060676"/>
          <a:ext cx="266452" cy="209443"/>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wrap="square" lIns="18288" tIns="18288" rIns="18288" bIns="18288" anchor="ctr" upright="1"/>
        <a:lstStyle xmlns:a="http://schemas.openxmlformats.org/drawingml/2006/main"/>
        <a:p xmlns:a="http://schemas.openxmlformats.org/drawingml/2006/main">
          <a:pPr algn="ctr" rtl="1">
            <a:defRPr sz="1000"/>
          </a:pPr>
          <a:r>
            <a:rPr lang="en-US" altLang="ja-JP" sz="1100" b="0" i="0" strike="noStrike">
              <a:solidFill>
                <a:srgbClr val="000000"/>
              </a:solidFill>
              <a:latin typeface="ＭＳ Ｐゴシック"/>
              <a:ea typeface="ＭＳ Ｐゴシック"/>
            </a:rPr>
            <a:t>0.5</a:t>
          </a:r>
        </a:p>
      </cdr:txBody>
    </cdr:sp>
  </cdr:relSizeAnchor>
  <cdr:relSizeAnchor xmlns:cdr="http://schemas.openxmlformats.org/drawingml/2006/chartDrawing">
    <cdr:from>
      <cdr:x>0.61802</cdr:x>
      <cdr:y>0.01719</cdr:y>
    </cdr:from>
    <cdr:to>
      <cdr:x>0.69207</cdr:x>
      <cdr:y>0.10826</cdr:y>
    </cdr:to>
    <cdr:sp macro="" textlink="">
      <cdr:nvSpPr>
        <cdr:cNvPr id="13325" name="Text Box 13"/>
        <cdr:cNvSpPr txBox="1">
          <a:spLocks xmlns:a="http://schemas.openxmlformats.org/drawingml/2006/main" noChangeArrowheads="1"/>
        </cdr:cNvSpPr>
      </cdr:nvSpPr>
      <cdr:spPr bwMode="auto">
        <a:xfrm xmlns:a="http://schemas.openxmlformats.org/drawingml/2006/main">
          <a:off x="1724786" y="41595"/>
          <a:ext cx="206660" cy="22031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none" lIns="18288" tIns="18288" rIns="18288" bIns="18288" anchor="ctr" upright="1">
          <a:spAutoFit/>
        </a:bodyPr>
        <a:lstStyle xmlns:a="http://schemas.openxmlformats.org/drawingml/2006/main"/>
        <a:p xmlns:a="http://schemas.openxmlformats.org/drawingml/2006/main">
          <a:pPr algn="ctr" rtl="0">
            <a:defRPr sz="1000"/>
          </a:pPr>
          <a:r>
            <a:rPr lang="en-US" altLang="ja-JP" sz="1100" b="0" i="0" strike="noStrike">
              <a:solidFill>
                <a:srgbClr val="000000"/>
              </a:solidFill>
              <a:latin typeface="ＭＳ Ｐゴシック"/>
              <a:ea typeface="ＭＳ Ｐゴシック"/>
            </a:rPr>
            <a:t>1.5</a:t>
          </a:r>
        </a:p>
      </cdr:txBody>
    </cdr:sp>
  </cdr:relSizeAnchor>
  <cdr:relSizeAnchor xmlns:cdr="http://schemas.openxmlformats.org/drawingml/2006/chartDrawing">
    <cdr:from>
      <cdr:x>0.77402</cdr:x>
      <cdr:y>0.01719</cdr:y>
    </cdr:from>
    <cdr:to>
      <cdr:x>0.96279</cdr:x>
      <cdr:y>0.10826</cdr:y>
    </cdr:to>
    <cdr:sp macro="" textlink="">
      <cdr:nvSpPr>
        <cdr:cNvPr id="13326" name="Text Box 14"/>
        <cdr:cNvSpPr txBox="1">
          <a:spLocks xmlns:a="http://schemas.openxmlformats.org/drawingml/2006/main" noChangeArrowheads="1"/>
        </cdr:cNvSpPr>
      </cdr:nvSpPr>
      <cdr:spPr bwMode="auto">
        <a:xfrm xmlns:a="http://schemas.openxmlformats.org/drawingml/2006/main">
          <a:off x="2160161" y="41595"/>
          <a:ext cx="526811" cy="22031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none" lIns="18288" tIns="18288" rIns="18288" bIns="18288" anchor="ctr" upright="1">
          <a:spAutoFit/>
        </a:bodyPr>
        <a:lstStyle xmlns:a="http://schemas.openxmlformats.org/drawingml/2006/main"/>
        <a:p xmlns:a="http://schemas.openxmlformats.org/drawingml/2006/main">
          <a:pPr algn="ctr" rtl="0">
            <a:defRPr sz="1000"/>
          </a:pPr>
          <a:r>
            <a:rPr lang="en-US" altLang="ja-JP" sz="1100" b="0" i="0" strike="noStrike">
              <a:solidFill>
                <a:srgbClr val="000000"/>
              </a:solidFill>
              <a:latin typeface="ＭＳ Ｐゴシック"/>
              <a:ea typeface="ＭＳ Ｐゴシック"/>
            </a:rPr>
            <a:t>BEE=1.0</a:t>
          </a:r>
        </a:p>
      </cdr:txBody>
    </cdr:sp>
  </cdr:relSizeAnchor>
</c:userShapes>
</file>

<file path=xl/drawings/drawing4.xml><?xml version="1.0" encoding="utf-8"?>
<c:userShapes xmlns:c="http://schemas.openxmlformats.org/drawingml/2006/chart">
  <cdr:relSizeAnchor xmlns:cdr="http://schemas.openxmlformats.org/drawingml/2006/chartDrawing">
    <cdr:from>
      <cdr:x>0.74621</cdr:x>
      <cdr:y>0.17717</cdr:y>
    </cdr:from>
    <cdr:to>
      <cdr:x>1</cdr:x>
      <cdr:y>0.29384</cdr:y>
    </cdr:to>
    <cdr:sp macro="" textlink="Result!$Y$40">
      <cdr:nvSpPr>
        <cdr:cNvPr id="2" name="テキスト ボックス 1"/>
        <cdr:cNvSpPr txBox="1"/>
      </cdr:nvSpPr>
      <cdr:spPr>
        <a:xfrm xmlns:a="http://schemas.openxmlformats.org/drawingml/2006/main">
          <a:off x="1671719" y="310515"/>
          <a:ext cx="568561" cy="204476"/>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r"/>
          <a:fld id="{E539BAAA-653E-43D9-ABB5-11F99254EE13}" type="TxLink">
            <a:rPr lang="en-US" altLang="en-US" sz="800" b="1" i="0" u="none" strike="noStrike">
              <a:solidFill>
                <a:sysClr val="windowText" lastClr="000000"/>
              </a:solidFill>
              <a:latin typeface="Arial"/>
              <a:cs typeface="Arial"/>
            </a:rPr>
            <a:pPr algn="r"/>
            <a:t>100%</a:t>
          </a:fld>
          <a:endParaRPr lang="ja-JP" altLang="en-US" sz="800" b="1">
            <a:solidFill>
              <a:sysClr val="windowText" lastClr="000000"/>
            </a:solidFill>
          </a:endParaRPr>
        </a:p>
      </cdr:txBody>
    </cdr:sp>
  </cdr:relSizeAnchor>
  <cdr:relSizeAnchor xmlns:cdr="http://schemas.openxmlformats.org/drawingml/2006/chartDrawing">
    <cdr:from>
      <cdr:x>0.74621</cdr:x>
      <cdr:y>0.32963</cdr:y>
    </cdr:from>
    <cdr:to>
      <cdr:x>1</cdr:x>
      <cdr:y>0.4463</cdr:y>
    </cdr:to>
    <cdr:sp macro="" textlink="Result!$Y$41">
      <cdr:nvSpPr>
        <cdr:cNvPr id="10" name="テキスト ボックス 1"/>
        <cdr:cNvSpPr txBox="1"/>
      </cdr:nvSpPr>
      <cdr:spPr>
        <a:xfrm xmlns:a="http://schemas.openxmlformats.org/drawingml/2006/main">
          <a:off x="1876425" y="565150"/>
          <a:ext cx="638175" cy="2000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fld id="{94370C62-F482-46FC-B9E7-1AB46E82FC1C}" type="TxLink">
            <a:rPr lang="en-US" altLang="en-US" sz="800" b="1" i="0" u="none" strike="noStrike">
              <a:solidFill>
                <a:sysClr val="windowText" lastClr="000000"/>
              </a:solidFill>
              <a:latin typeface="Arial"/>
              <a:cs typeface="Arial"/>
            </a:rPr>
            <a:pPr algn="r"/>
            <a:t>#VALUE!</a:t>
          </a:fld>
          <a:endParaRPr lang="ja-JP" altLang="en-US" sz="800" b="1">
            <a:solidFill>
              <a:sysClr val="windowText" lastClr="000000"/>
            </a:solidFill>
          </a:endParaRPr>
        </a:p>
      </cdr:txBody>
    </cdr:sp>
  </cdr:relSizeAnchor>
  <cdr:relSizeAnchor xmlns:cdr="http://schemas.openxmlformats.org/drawingml/2006/chartDrawing">
    <cdr:from>
      <cdr:x>0.74621</cdr:x>
      <cdr:y>0.51297</cdr:y>
    </cdr:from>
    <cdr:to>
      <cdr:x>1</cdr:x>
      <cdr:y>0.62963</cdr:y>
    </cdr:to>
    <cdr:sp macro="" textlink="Result!$Y$42">
      <cdr:nvSpPr>
        <cdr:cNvPr id="11" name="テキスト ボックス 1"/>
        <cdr:cNvSpPr txBox="1"/>
      </cdr:nvSpPr>
      <cdr:spPr>
        <a:xfrm xmlns:a="http://schemas.openxmlformats.org/drawingml/2006/main">
          <a:off x="1661769" y="879483"/>
          <a:ext cx="565176" cy="200014"/>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fld id="{70EE8BF1-4C35-4F7A-A7B9-A0C10E00FE59}" type="TxLink">
            <a:rPr lang="en-US" altLang="en-US" sz="800" b="1" i="0" u="none" strike="noStrike">
              <a:solidFill>
                <a:sysClr val="windowText" lastClr="000000"/>
              </a:solidFill>
              <a:latin typeface="Arial"/>
              <a:cs typeface="Arial"/>
            </a:rPr>
            <a:pPr algn="r"/>
            <a:t>#VALUE!</a:t>
          </a:fld>
          <a:endParaRPr lang="ja-JP" altLang="en-US" sz="800" b="1">
            <a:solidFill>
              <a:sysClr val="windowText" lastClr="000000"/>
            </a:solidFill>
          </a:endParaRPr>
        </a:p>
      </cdr:txBody>
    </cdr:sp>
  </cdr:relSizeAnchor>
  <cdr:relSizeAnchor xmlns:cdr="http://schemas.openxmlformats.org/drawingml/2006/chartDrawing">
    <cdr:from>
      <cdr:x>0.74621</cdr:x>
      <cdr:y>0.66852</cdr:y>
    </cdr:from>
    <cdr:to>
      <cdr:x>1</cdr:x>
      <cdr:y>0.78519</cdr:y>
    </cdr:to>
    <cdr:sp macro="" textlink="Result!$Y$43">
      <cdr:nvSpPr>
        <cdr:cNvPr id="12" name="テキスト ボックス 1"/>
        <cdr:cNvSpPr txBox="1"/>
      </cdr:nvSpPr>
      <cdr:spPr>
        <a:xfrm xmlns:a="http://schemas.openxmlformats.org/drawingml/2006/main">
          <a:off x="1876425" y="1146175"/>
          <a:ext cx="638175" cy="2000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fld id="{EFFA19F3-B293-4387-96F6-D455447B89F3}" type="TxLink">
            <a:rPr lang="en-US" altLang="en-US" sz="800" b="1" i="0" u="none" strike="noStrike">
              <a:solidFill>
                <a:sysClr val="windowText" lastClr="000000"/>
              </a:solidFill>
              <a:latin typeface="Arial"/>
              <a:cs typeface="Arial"/>
            </a:rPr>
            <a:pPr algn="r"/>
            <a:t>#VALUE!</a:t>
          </a:fld>
          <a:endParaRPr lang="ja-JP" altLang="en-US" sz="800" b="1">
            <a:solidFill>
              <a:sysClr val="windowText" lastClr="000000"/>
            </a:solidFill>
          </a:endParaRPr>
        </a:p>
      </cdr:txBody>
    </cdr:sp>
  </cdr:relSizeAnchor>
</c:userShapes>
</file>

<file path=xl/drawings/drawing5.xml><?xml version="1.0" encoding="utf-8"?>
<c:userShapes xmlns:c="http://schemas.openxmlformats.org/drawingml/2006/chart">
  <cdr:relSizeAnchor xmlns:cdr="http://schemas.openxmlformats.org/drawingml/2006/chartDrawing">
    <cdr:from>
      <cdr:x>0.07948</cdr:x>
      <cdr:y>0.44568</cdr:y>
    </cdr:from>
    <cdr:to>
      <cdr:x>0.98098</cdr:x>
      <cdr:y>0.44568</cdr:y>
    </cdr:to>
    <cdr:sp macro="" textlink="">
      <cdr:nvSpPr>
        <cdr:cNvPr id="7173" name="Line 5"/>
        <cdr:cNvSpPr>
          <a:spLocks xmlns:a="http://schemas.openxmlformats.org/drawingml/2006/main" noChangeShapeType="1"/>
        </cdr:cNvSpPr>
      </cdr:nvSpPr>
      <cdr:spPr bwMode="auto">
        <a:xfrm xmlns:a="http://schemas.openxmlformats.org/drawingml/2006/main">
          <a:off x="265865" y="703179"/>
          <a:ext cx="2979613"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0.56647</cdr:x>
      <cdr:y>0.65663</cdr:y>
    </cdr:from>
    <cdr:to>
      <cdr:x>0.72832</cdr:x>
      <cdr:y>0.80723</cdr:y>
    </cdr:to>
    <cdr:sp macro="" textlink="Result!$T$51">
      <cdr:nvSpPr>
        <cdr:cNvPr id="2" name="テキスト ボックス 1"/>
        <cdr:cNvSpPr txBox="1"/>
      </cdr:nvSpPr>
      <cdr:spPr>
        <a:xfrm xmlns:a="http://schemas.openxmlformats.org/drawingml/2006/main">
          <a:off x="1866900" y="1038225"/>
          <a:ext cx="533400" cy="238125"/>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5CEA0FE4-9E4C-47CC-A16B-F8D9F9B432C6}"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0.11657</cdr:x>
      <cdr:y>0.65863</cdr:y>
    </cdr:from>
    <cdr:to>
      <cdr:x>0.27842</cdr:x>
      <cdr:y>0.80924</cdr:y>
    </cdr:to>
    <cdr:sp macro="" textlink="Result!$T$49">
      <cdr:nvSpPr>
        <cdr:cNvPr id="4" name="テキスト ボックス 1"/>
        <cdr:cNvSpPr txBox="1"/>
      </cdr:nvSpPr>
      <cdr:spPr>
        <a:xfrm xmlns:a="http://schemas.openxmlformats.org/drawingml/2006/main">
          <a:off x="384175"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4C4E285-A8E4-48AA-B8C1-1F5506CF5C1E}"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0.342</cdr:x>
      <cdr:y>0.65261</cdr:y>
    </cdr:from>
    <cdr:to>
      <cdr:x>0.50385</cdr:x>
      <cdr:y>0.80321</cdr:y>
    </cdr:to>
    <cdr:sp macro="" textlink="Result!$T$50">
      <cdr:nvSpPr>
        <cdr:cNvPr id="5" name="テキスト ボックス 1"/>
        <cdr:cNvSpPr txBox="1"/>
      </cdr:nvSpPr>
      <cdr:spPr>
        <a:xfrm xmlns:a="http://schemas.openxmlformats.org/drawingml/2006/main">
          <a:off x="1127125" y="1031875"/>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2B0D6710-1566-44D7-B091-D4CB2A9E1A7E}"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0.80154</cdr:x>
      <cdr:y>0.65863</cdr:y>
    </cdr:from>
    <cdr:to>
      <cdr:x>0.96339</cdr:x>
      <cdr:y>0.80924</cdr:y>
    </cdr:to>
    <cdr:sp macro="" textlink="Result!$T$52">
      <cdr:nvSpPr>
        <cdr:cNvPr id="6" name="テキスト ボックス 1"/>
        <cdr:cNvSpPr txBox="1"/>
      </cdr:nvSpPr>
      <cdr:spPr>
        <a:xfrm xmlns:a="http://schemas.openxmlformats.org/drawingml/2006/main">
          <a:off x="2641600"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3537A117-80E8-4A06-9394-A34AE86B6393}" type="TxLink">
            <a:rPr lang="en-US" altLang="en-US" sz="1000" b="0" i="0" u="none" strike="noStrike">
              <a:solidFill>
                <a:srgbClr val="000000"/>
              </a:solidFill>
              <a:latin typeface="Arial"/>
              <a:cs typeface="Arial"/>
            </a:rPr>
            <a:pPr algn="ctr"/>
            <a:t> </a:t>
          </a:fld>
          <a:endParaRPr lang="ja-JP" altLang="en-US" sz="1000"/>
        </a:p>
      </cdr:txBody>
    </cdr:sp>
  </cdr:relSizeAnchor>
</c:userShapes>
</file>

<file path=xl/drawings/drawing6.xml><?xml version="1.0" encoding="utf-8"?>
<c:userShapes xmlns:c="http://schemas.openxmlformats.org/drawingml/2006/chart">
  <cdr:relSizeAnchor xmlns:cdr="http://schemas.openxmlformats.org/drawingml/2006/chartDrawing">
    <cdr:from>
      <cdr:x>0.07795</cdr:x>
      <cdr:y>0.44759</cdr:y>
    </cdr:from>
    <cdr:to>
      <cdr:x>0.99338</cdr:x>
      <cdr:y>0.44759</cdr:y>
    </cdr:to>
    <cdr:sp macro="" textlink="">
      <cdr:nvSpPr>
        <cdr:cNvPr id="10244" name="Line 4"/>
        <cdr:cNvSpPr>
          <a:spLocks xmlns:a="http://schemas.openxmlformats.org/drawingml/2006/main" noChangeShapeType="1"/>
        </cdr:cNvSpPr>
      </cdr:nvSpPr>
      <cdr:spPr bwMode="auto">
        <a:xfrm xmlns:a="http://schemas.openxmlformats.org/drawingml/2006/main">
          <a:off x="198942" y="715143"/>
          <a:ext cx="2719059"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0.12219</cdr:x>
      <cdr:y>0.66867</cdr:y>
    </cdr:from>
    <cdr:to>
      <cdr:x>0.3119</cdr:x>
      <cdr:y>0.81325</cdr:y>
    </cdr:to>
    <cdr:sp macro="" textlink="Result!$W$49">
      <cdr:nvSpPr>
        <cdr:cNvPr id="2" name="テキスト ボックス 1"/>
        <cdr:cNvSpPr txBox="1"/>
      </cdr:nvSpPr>
      <cdr:spPr>
        <a:xfrm xmlns:a="http://schemas.openxmlformats.org/drawingml/2006/main">
          <a:off x="361950" y="1057275"/>
          <a:ext cx="561975" cy="228600"/>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3BB801B7-3F2D-48D5-BD75-950D6880779B}"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0.43837</cdr:x>
      <cdr:y>0.67068</cdr:y>
    </cdr:from>
    <cdr:to>
      <cdr:x>0.62808</cdr:x>
      <cdr:y>0.81526</cdr:y>
    </cdr:to>
    <cdr:sp macro="" textlink="Result!$W$50">
      <cdr:nvSpPr>
        <cdr:cNvPr id="4" name="テキスト ボックス 1"/>
        <cdr:cNvSpPr txBox="1"/>
      </cdr:nvSpPr>
      <cdr:spPr>
        <a:xfrm xmlns:a="http://schemas.openxmlformats.org/drawingml/2006/main">
          <a:off x="1298575" y="1060450"/>
          <a:ext cx="561975"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EA58F746-8187-4480-ABD3-5F491D7B8C07}"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0.73741</cdr:x>
      <cdr:y>0.67068</cdr:y>
    </cdr:from>
    <cdr:to>
      <cdr:x>0.92712</cdr:x>
      <cdr:y>0.81526</cdr:y>
    </cdr:to>
    <cdr:sp macro="" textlink="Result!$W$51">
      <cdr:nvSpPr>
        <cdr:cNvPr id="5" name="テキスト ボックス 1"/>
        <cdr:cNvSpPr txBox="1"/>
      </cdr:nvSpPr>
      <cdr:spPr>
        <a:xfrm xmlns:a="http://schemas.openxmlformats.org/drawingml/2006/main">
          <a:off x="2184400" y="1060450"/>
          <a:ext cx="561975"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36A66E5-2F2D-42D8-95DB-A2B582AC9157}" type="TxLink">
            <a:rPr lang="en-US" altLang="en-US" sz="1000" b="0" i="0" u="none" strike="noStrike">
              <a:solidFill>
                <a:srgbClr val="000000"/>
              </a:solidFill>
              <a:latin typeface="Arial"/>
              <a:cs typeface="Arial"/>
            </a:rPr>
            <a:pPr algn="ctr"/>
            <a:t> </a:t>
          </a:fld>
          <a:endParaRPr lang="ja-JP" altLang="en-US" sz="1000"/>
        </a:p>
      </cdr:txBody>
    </cdr:sp>
  </cdr:relSizeAnchor>
</c:userShapes>
</file>

<file path=xl/drawings/drawing7.xml><?xml version="1.0" encoding="utf-8"?>
<c:userShapes xmlns:c="http://schemas.openxmlformats.org/drawingml/2006/chart">
  <cdr:relSizeAnchor xmlns:cdr="http://schemas.openxmlformats.org/drawingml/2006/chartDrawing">
    <cdr:from>
      <cdr:x>0.07795</cdr:x>
      <cdr:y>0.44759</cdr:y>
    </cdr:from>
    <cdr:to>
      <cdr:x>0.99338</cdr:x>
      <cdr:y>0.44759</cdr:y>
    </cdr:to>
    <cdr:sp macro="" textlink="">
      <cdr:nvSpPr>
        <cdr:cNvPr id="10244" name="Line 4"/>
        <cdr:cNvSpPr>
          <a:spLocks xmlns:a="http://schemas.openxmlformats.org/drawingml/2006/main" noChangeShapeType="1"/>
        </cdr:cNvSpPr>
      </cdr:nvSpPr>
      <cdr:spPr bwMode="auto">
        <a:xfrm xmlns:a="http://schemas.openxmlformats.org/drawingml/2006/main">
          <a:off x="198942" y="715143"/>
          <a:ext cx="2719059"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0.1254</cdr:x>
      <cdr:y>0.66265</cdr:y>
    </cdr:from>
    <cdr:to>
      <cdr:x>0.33119</cdr:x>
      <cdr:y>0.80723</cdr:y>
    </cdr:to>
    <cdr:sp macro="" textlink="Result!$Z$49">
      <cdr:nvSpPr>
        <cdr:cNvPr id="2" name="テキスト ボックス 1"/>
        <cdr:cNvSpPr txBox="1"/>
      </cdr:nvSpPr>
      <cdr:spPr>
        <a:xfrm xmlns:a="http://schemas.openxmlformats.org/drawingml/2006/main">
          <a:off x="371475" y="1047750"/>
          <a:ext cx="609600" cy="228600"/>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2EDC34F2-F909-49BF-8C38-015631A37EF7}"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0.42551</cdr:x>
      <cdr:y>0.67068</cdr:y>
    </cdr:from>
    <cdr:to>
      <cdr:x>0.6313</cdr:x>
      <cdr:y>0.81526</cdr:y>
    </cdr:to>
    <cdr:sp macro="" textlink="Result!$Z$50">
      <cdr:nvSpPr>
        <cdr:cNvPr id="4" name="テキスト ボックス 1"/>
        <cdr:cNvSpPr txBox="1"/>
      </cdr:nvSpPr>
      <cdr:spPr>
        <a:xfrm xmlns:a="http://schemas.openxmlformats.org/drawingml/2006/main">
          <a:off x="1260475" y="1060450"/>
          <a:ext cx="609600"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86766CF0-8F51-4C6C-B250-611FA956B2B4}"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0.72776</cdr:x>
      <cdr:y>0.65863</cdr:y>
    </cdr:from>
    <cdr:to>
      <cdr:x>0.93355</cdr:x>
      <cdr:y>0.80321</cdr:y>
    </cdr:to>
    <cdr:sp macro="" textlink="Result!$Z$51">
      <cdr:nvSpPr>
        <cdr:cNvPr id="5" name="テキスト ボックス 1"/>
        <cdr:cNvSpPr txBox="1"/>
      </cdr:nvSpPr>
      <cdr:spPr>
        <a:xfrm xmlns:a="http://schemas.openxmlformats.org/drawingml/2006/main">
          <a:off x="2155825" y="1041400"/>
          <a:ext cx="609600"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41C6A9C2-A184-4FA5-98B2-40AE4AB30FFD}" type="TxLink">
            <a:rPr lang="en-US" altLang="en-US" sz="1000" b="0" i="0" u="none" strike="noStrike">
              <a:solidFill>
                <a:srgbClr val="000000"/>
              </a:solidFill>
              <a:latin typeface="Arial"/>
              <a:cs typeface="Arial"/>
            </a:rPr>
            <a:pPr algn="ctr"/>
            <a:t> </a:t>
          </a:fld>
          <a:endParaRPr lang="ja-JP" altLang="en-US" sz="1000"/>
        </a:p>
      </cdr:txBody>
    </cdr:sp>
  </cdr:relSizeAnchor>
</c:userShapes>
</file>

<file path=xl/drawings/drawing8.xml><?xml version="1.0" encoding="utf-8"?>
<c:userShapes xmlns:c="http://schemas.openxmlformats.org/drawingml/2006/chart">
  <cdr:relSizeAnchor xmlns:cdr="http://schemas.openxmlformats.org/drawingml/2006/chartDrawing">
    <cdr:from>
      <cdr:x>0.07948</cdr:x>
      <cdr:y>0.44568</cdr:y>
    </cdr:from>
    <cdr:to>
      <cdr:x>0.98098</cdr:x>
      <cdr:y>0.44568</cdr:y>
    </cdr:to>
    <cdr:sp macro="" textlink="">
      <cdr:nvSpPr>
        <cdr:cNvPr id="7173" name="Line 5"/>
        <cdr:cNvSpPr>
          <a:spLocks xmlns:a="http://schemas.openxmlformats.org/drawingml/2006/main" noChangeShapeType="1"/>
        </cdr:cNvSpPr>
      </cdr:nvSpPr>
      <cdr:spPr bwMode="auto">
        <a:xfrm xmlns:a="http://schemas.openxmlformats.org/drawingml/2006/main">
          <a:off x="265865" y="703179"/>
          <a:ext cx="2979613"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0.56647</cdr:x>
      <cdr:y>0.65663</cdr:y>
    </cdr:from>
    <cdr:to>
      <cdr:x>0.72832</cdr:x>
      <cdr:y>0.80723</cdr:y>
    </cdr:to>
    <cdr:sp macro="" textlink="Result!$T$62">
      <cdr:nvSpPr>
        <cdr:cNvPr id="2" name="テキスト ボックス 1"/>
        <cdr:cNvSpPr txBox="1"/>
      </cdr:nvSpPr>
      <cdr:spPr>
        <a:xfrm xmlns:a="http://schemas.openxmlformats.org/drawingml/2006/main">
          <a:off x="1866900" y="1038225"/>
          <a:ext cx="533400" cy="238125"/>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C16051E3-1E1E-47B6-B034-7EA0B3511EE5}"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0.11657</cdr:x>
      <cdr:y>0.65863</cdr:y>
    </cdr:from>
    <cdr:to>
      <cdr:x>0.27842</cdr:x>
      <cdr:y>0.80924</cdr:y>
    </cdr:to>
    <cdr:sp macro="" textlink="Result!$T$60">
      <cdr:nvSpPr>
        <cdr:cNvPr id="4" name="テキスト ボックス 1"/>
        <cdr:cNvSpPr txBox="1"/>
      </cdr:nvSpPr>
      <cdr:spPr>
        <a:xfrm xmlns:a="http://schemas.openxmlformats.org/drawingml/2006/main">
          <a:off x="384175"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D78C4F03-F6B8-4145-8923-B76ADE60257E}"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0.342</cdr:x>
      <cdr:y>0.65261</cdr:y>
    </cdr:from>
    <cdr:to>
      <cdr:x>0.50385</cdr:x>
      <cdr:y>0.80321</cdr:y>
    </cdr:to>
    <cdr:sp macro="" textlink="Result!$T$61">
      <cdr:nvSpPr>
        <cdr:cNvPr id="5" name="テキスト ボックス 1"/>
        <cdr:cNvSpPr txBox="1"/>
      </cdr:nvSpPr>
      <cdr:spPr>
        <a:xfrm xmlns:a="http://schemas.openxmlformats.org/drawingml/2006/main">
          <a:off x="1127125" y="1031875"/>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8532BF98-A9FD-4C24-879A-B45B0E1C1C02}"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0.80154</cdr:x>
      <cdr:y>0.65863</cdr:y>
    </cdr:from>
    <cdr:to>
      <cdr:x>0.96339</cdr:x>
      <cdr:y>0.80924</cdr:y>
    </cdr:to>
    <cdr:sp macro="" textlink="Result!$T$63">
      <cdr:nvSpPr>
        <cdr:cNvPr id="6" name="テキスト ボックス 1"/>
        <cdr:cNvSpPr txBox="1"/>
      </cdr:nvSpPr>
      <cdr:spPr>
        <a:xfrm xmlns:a="http://schemas.openxmlformats.org/drawingml/2006/main">
          <a:off x="2641600"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0A1D4462-9699-437B-9885-D27D5A6C1530}"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userShapes>
</file>

<file path=xl/drawings/drawing9.xml><?xml version="1.0" encoding="utf-8"?>
<c:userShapes xmlns:c="http://schemas.openxmlformats.org/drawingml/2006/chart">
  <cdr:relSizeAnchor xmlns:cdr="http://schemas.openxmlformats.org/drawingml/2006/chartDrawing">
    <cdr:from>
      <cdr:x>0.07795</cdr:x>
      <cdr:y>0.44759</cdr:y>
    </cdr:from>
    <cdr:to>
      <cdr:x>0.99338</cdr:x>
      <cdr:y>0.44759</cdr:y>
    </cdr:to>
    <cdr:sp macro="" textlink="">
      <cdr:nvSpPr>
        <cdr:cNvPr id="10244" name="Line 4"/>
        <cdr:cNvSpPr>
          <a:spLocks xmlns:a="http://schemas.openxmlformats.org/drawingml/2006/main" noChangeShapeType="1"/>
        </cdr:cNvSpPr>
      </cdr:nvSpPr>
      <cdr:spPr bwMode="auto">
        <a:xfrm xmlns:a="http://schemas.openxmlformats.org/drawingml/2006/main">
          <a:off x="198942" y="715143"/>
          <a:ext cx="2719059"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0.12219</cdr:x>
      <cdr:y>0.66867</cdr:y>
    </cdr:from>
    <cdr:to>
      <cdr:x>0.3119</cdr:x>
      <cdr:y>0.81325</cdr:y>
    </cdr:to>
    <cdr:sp macro="" textlink="Result!$W$60">
      <cdr:nvSpPr>
        <cdr:cNvPr id="2" name="テキスト ボックス 1"/>
        <cdr:cNvSpPr txBox="1"/>
      </cdr:nvSpPr>
      <cdr:spPr>
        <a:xfrm xmlns:a="http://schemas.openxmlformats.org/drawingml/2006/main">
          <a:off x="361947" y="1057270"/>
          <a:ext cx="561973" cy="228603"/>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15FAB5FD-FC8D-48BA-AD0E-5FB581A210DC}"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0.43837</cdr:x>
      <cdr:y>0.6767</cdr:y>
    </cdr:from>
    <cdr:to>
      <cdr:x>0.62808</cdr:x>
      <cdr:y>0.82128</cdr:y>
    </cdr:to>
    <cdr:sp macro="" textlink="Result!$W$61">
      <cdr:nvSpPr>
        <cdr:cNvPr id="4" name="テキスト ボックス 1"/>
        <cdr:cNvSpPr txBox="1"/>
      </cdr:nvSpPr>
      <cdr:spPr>
        <a:xfrm xmlns:a="http://schemas.openxmlformats.org/drawingml/2006/main">
          <a:off x="1298570" y="1069971"/>
          <a:ext cx="56197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E7AFA0B-83C3-46E0-B9DD-7D49F031A672}"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0.74062</cdr:x>
      <cdr:y>0.67671</cdr:y>
    </cdr:from>
    <cdr:to>
      <cdr:x>0.93034</cdr:x>
      <cdr:y>0.82129</cdr:y>
    </cdr:to>
    <cdr:sp macro="" textlink="Result!$W$62">
      <cdr:nvSpPr>
        <cdr:cNvPr id="5" name="テキスト ボックス 1"/>
        <cdr:cNvSpPr txBox="1"/>
      </cdr:nvSpPr>
      <cdr:spPr>
        <a:xfrm xmlns:a="http://schemas.openxmlformats.org/drawingml/2006/main">
          <a:off x="2193912" y="1069975"/>
          <a:ext cx="56200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B6F1FE0-6146-412C-BC9C-1FE08E114054}"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userShapes>
</file>

<file path=xl/drawings/drawing10.xml><?xml version="1.0" encoding="utf-8"?>
<c:userShapes xmlns:c="http://schemas.openxmlformats.org/drawingml/2006/chart">
  <cdr:relSizeAnchor xmlns:cdr="http://schemas.openxmlformats.org/drawingml/2006/chartDrawing">
    <cdr:from>
      <cdr:x>0.06187</cdr:x>
      <cdr:y>0.41145</cdr:y>
    </cdr:from>
    <cdr:to>
      <cdr:x>0.9773</cdr:x>
      <cdr:y>0.41145</cdr:y>
    </cdr:to>
    <cdr:sp macro="" textlink="">
      <cdr:nvSpPr>
        <cdr:cNvPr id="10244" name="Line 4"/>
        <cdr:cNvSpPr>
          <a:spLocks xmlns:a="http://schemas.openxmlformats.org/drawingml/2006/main" noChangeShapeType="1"/>
        </cdr:cNvSpPr>
      </cdr:nvSpPr>
      <cdr:spPr bwMode="auto">
        <a:xfrm xmlns:a="http://schemas.openxmlformats.org/drawingml/2006/main">
          <a:off x="183284" y="650557"/>
          <a:ext cx="2711756"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0.12219</cdr:x>
      <cdr:y>0.66265</cdr:y>
    </cdr:from>
    <cdr:to>
      <cdr:x>0.3119</cdr:x>
      <cdr:y>0.80723</cdr:y>
    </cdr:to>
    <cdr:sp macro="" textlink="Result!$Z$60">
      <cdr:nvSpPr>
        <cdr:cNvPr id="2" name="テキスト ボックス 1"/>
        <cdr:cNvSpPr txBox="1"/>
      </cdr:nvSpPr>
      <cdr:spPr>
        <a:xfrm xmlns:a="http://schemas.openxmlformats.org/drawingml/2006/main">
          <a:off x="361947" y="1047745"/>
          <a:ext cx="561973" cy="228603"/>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34BADD3B-4FFE-491B-800F-C3D6AD91C9D5}"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#VALUE!</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0.43837</cdr:x>
      <cdr:y>0.6767</cdr:y>
    </cdr:from>
    <cdr:to>
      <cdr:x>0.62808</cdr:x>
      <cdr:y>0.82128</cdr:y>
    </cdr:to>
    <cdr:sp macro="" textlink="Result!$Z$61">
      <cdr:nvSpPr>
        <cdr:cNvPr id="4" name="テキスト ボックス 1"/>
        <cdr:cNvSpPr txBox="1"/>
      </cdr:nvSpPr>
      <cdr:spPr>
        <a:xfrm xmlns:a="http://schemas.openxmlformats.org/drawingml/2006/main">
          <a:off x="1298570" y="1069971"/>
          <a:ext cx="56197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45B25313-F4FB-43CD-9FE3-490D1A780D37}"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0.7374</cdr:x>
      <cdr:y>0.67068</cdr:y>
    </cdr:from>
    <cdr:to>
      <cdr:x>0.92712</cdr:x>
      <cdr:y>0.81526</cdr:y>
    </cdr:to>
    <cdr:sp macro="" textlink="Result!$Z$62">
      <cdr:nvSpPr>
        <cdr:cNvPr id="5" name="テキスト ボックス 1"/>
        <cdr:cNvSpPr txBox="1"/>
      </cdr:nvSpPr>
      <cdr:spPr>
        <a:xfrm xmlns:a="http://schemas.openxmlformats.org/drawingml/2006/main">
          <a:off x="2184387" y="1060450"/>
          <a:ext cx="56200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4CF66CB-38F9-467D-93E6-1742709CCFAD}"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userShapes>
</file>

<file path=xl/drawings/drawing11.xml><?xml version="1.0" encoding="utf-8"?>
<xdr:wsDr xmlns:xdr="http://schemas.openxmlformats.org/drawingml/2006/spreadsheetDrawing" xmlns:a="http://schemas.openxmlformats.org/drawingml/2006/main">
  <xdr:twoCellAnchor>
    <xdr:from>
      <xdr:col>2</xdr:col>
      <xdr:colOff>619125</xdr:colOff>
      <xdr:row>23</xdr:row>
      <xdr:rowOff>0</xdr:rowOff>
    </xdr:from>
    <xdr:to>
      <xdr:col>6</xdr:col>
      <xdr:colOff>485775</xdr:colOff>
      <xdr:row>27</xdr:row>
      <xdr:rowOff>9525</xdr:rowOff>
    </xdr:to>
    <xdr:graphicFrame macro="">
      <xdr:nvGraphicFramePr>
        <xdr:cNvPr id="3" name="Chart 123">
          <a:extLst>
            <a:ext uri="{FF2B5EF4-FFF2-40B4-BE49-F238E27FC236}">
              <a16:creationId xmlns:a16="http://schemas.microsoft.com/office/drawing/2014/main" id="{00000000-0008-0000-0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0</xdr:col>
      <xdr:colOff>38100</xdr:colOff>
      <xdr:row>23</xdr:row>
      <xdr:rowOff>177165</xdr:rowOff>
    </xdr:from>
    <xdr:ext cx="560410" cy="219419"/>
    <xdr:sp macro="" textlink="">
      <xdr:nvSpPr>
        <xdr:cNvPr id="4" name="Text Box 39">
          <a:extLst>
            <a:ext uri="{FF2B5EF4-FFF2-40B4-BE49-F238E27FC236}">
              <a16:creationId xmlns:a16="http://schemas.microsoft.com/office/drawing/2014/main" id="{00000000-0008-0000-0300-000004000000}"/>
            </a:ext>
          </a:extLst>
        </xdr:cNvPr>
        <xdr:cNvSpPr txBox="1">
          <a:spLocks noChangeArrowheads="1"/>
        </xdr:cNvSpPr>
      </xdr:nvSpPr>
      <xdr:spPr bwMode="auto">
        <a:xfrm>
          <a:off x="38100" y="3834765"/>
          <a:ext cx="560410" cy="219419"/>
        </a:xfrm>
        <a:prstGeom prst="rect">
          <a:avLst/>
        </a:prstGeom>
        <a:noFill/>
        <a:ln w="9525">
          <a:noFill/>
          <a:miter lim="800000"/>
          <a:headEnd/>
          <a:tailEnd/>
        </a:ln>
      </xdr:spPr>
      <xdr:txBody>
        <a:bodyPr wrap="none" lIns="27432" tIns="27432" rIns="0" bIns="0" anchor="t" upright="1">
          <a:spAutoFit/>
        </a:bodyPr>
        <a:lstStyle/>
        <a:p>
          <a:pPr algn="l" rtl="1">
            <a:defRPr sz="1000"/>
          </a:pPr>
          <a:r>
            <a:rPr lang="en-US" altLang="ja-JP" sz="1300" b="1" i="0" strike="noStrike">
              <a:solidFill>
                <a:srgbClr val="000000"/>
              </a:solidFill>
              <a:latin typeface="Arial"/>
              <a:cs typeface="Arial"/>
            </a:rPr>
            <a:t>BEE = </a:t>
          </a:r>
        </a:p>
      </xdr:txBody>
    </xdr:sp>
    <xdr:clientData/>
  </xdr:oneCellAnchor>
  <xdr:twoCellAnchor>
    <xdr:from>
      <xdr:col>1</xdr:col>
      <xdr:colOff>76200</xdr:colOff>
      <xdr:row>25</xdr:row>
      <xdr:rowOff>180975</xdr:rowOff>
    </xdr:from>
    <xdr:to>
      <xdr:col>7</xdr:col>
      <xdr:colOff>9525</xdr:colOff>
      <xdr:row>27</xdr:row>
      <xdr:rowOff>19050</xdr:rowOff>
    </xdr:to>
    <xdr:sp macro="" textlink="">
      <xdr:nvSpPr>
        <xdr:cNvPr id="5" name="Text Box 129">
          <a:extLst>
            <a:ext uri="{FF2B5EF4-FFF2-40B4-BE49-F238E27FC236}">
              <a16:creationId xmlns:a16="http://schemas.microsoft.com/office/drawing/2014/main" id="{00000000-0008-0000-0300-000005000000}"/>
            </a:ext>
          </a:extLst>
        </xdr:cNvPr>
        <xdr:cNvSpPr txBox="1">
          <a:spLocks noChangeArrowheads="1"/>
        </xdr:cNvSpPr>
      </xdr:nvSpPr>
      <xdr:spPr bwMode="auto">
        <a:xfrm>
          <a:off x="133350" y="4257675"/>
          <a:ext cx="3238500" cy="219075"/>
        </a:xfrm>
        <a:prstGeom prst="rect">
          <a:avLst/>
        </a:prstGeom>
        <a:noFill/>
        <a:ln w="9525">
          <a:noFill/>
          <a:miter lim="800000"/>
          <a:headEnd/>
          <a:tailEnd/>
        </a:ln>
      </xdr:spPr>
      <xdr:txBody>
        <a:bodyPr vertOverflow="clip" wrap="square" lIns="27432" tIns="18288" rIns="0" bIns="0" anchor="t" upright="1"/>
        <a:lstStyle/>
        <a:p>
          <a:pPr algn="l" rtl="1">
            <a:defRPr sz="1000"/>
          </a:pPr>
          <a:r>
            <a:rPr lang="en-US" altLang="ja-JP" sz="950" b="0" i="0" strike="noStrike">
              <a:solidFill>
                <a:srgbClr val="000000"/>
              </a:solidFill>
              <a:latin typeface="ＭＳ Ｐゴシック"/>
              <a:ea typeface="ＭＳ Ｐゴシック"/>
            </a:rPr>
            <a:t>S: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A: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B</a:t>
          </a:r>
          <a:r>
            <a:rPr lang="en-US" altLang="ja-JP" sz="950" b="0" i="0" strike="noStrike" baseline="30000">
              <a:solidFill>
                <a:srgbClr val="000000"/>
              </a:solidFill>
              <a:latin typeface="ＭＳ Ｐゴシック"/>
              <a:ea typeface="ＭＳ Ｐゴシック"/>
            </a:rPr>
            <a:t>+</a:t>
          </a:r>
          <a:r>
            <a:rPr lang="en-US" altLang="ja-JP" sz="950" b="0" i="0" strike="noStrike">
              <a:solidFill>
                <a:srgbClr val="000000"/>
              </a:solidFill>
              <a:latin typeface="ＭＳ Ｐゴシック"/>
              <a:ea typeface="ＭＳ Ｐゴシック"/>
            </a:rPr>
            <a:t>: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B</a:t>
          </a:r>
          <a:r>
            <a:rPr lang="en-US" altLang="ja-JP" sz="950" b="0" i="0" strike="noStrike" baseline="30000">
              <a:solidFill>
                <a:srgbClr val="000000"/>
              </a:solidFill>
              <a:latin typeface="ＭＳ Ｐゴシック"/>
              <a:ea typeface="ＭＳ Ｐゴシック"/>
            </a:rPr>
            <a:t>-</a:t>
          </a:r>
          <a:r>
            <a:rPr lang="en-US" altLang="ja-JP" sz="950" b="0" i="0" strike="noStrike">
              <a:solidFill>
                <a:srgbClr val="000000"/>
              </a:solidFill>
              <a:latin typeface="ＭＳ Ｐゴシック"/>
              <a:ea typeface="ＭＳ Ｐゴシック"/>
            </a:rPr>
            <a:t>: </a:t>
          </a:r>
          <a:r>
            <a:rPr lang="en-US" altLang="ja-JP" sz="950" b="0" i="0" strike="noStrike">
              <a:solidFill>
                <a:srgbClr val="333333"/>
              </a:solidFill>
              <a:latin typeface="ＭＳ Ｐゴシック"/>
              <a:ea typeface="ＭＳ Ｐゴシック"/>
            </a:rPr>
            <a:t>★★  </a:t>
          </a:r>
          <a:r>
            <a:rPr lang="en-US" altLang="ja-JP" sz="950" b="0" i="0" strike="noStrike">
              <a:solidFill>
                <a:srgbClr val="000000"/>
              </a:solidFill>
              <a:latin typeface="ＭＳ Ｐゴシック"/>
              <a:ea typeface="ＭＳ Ｐゴシック"/>
            </a:rPr>
            <a:t>C: </a:t>
          </a:r>
          <a:r>
            <a:rPr lang="en-US" altLang="ja-JP" sz="950" b="0" i="0" strike="noStrike">
              <a:solidFill>
                <a:srgbClr val="333333"/>
              </a:solidFill>
              <a:latin typeface="ＭＳ Ｐゴシック"/>
              <a:ea typeface="ＭＳ Ｐゴシック"/>
            </a:rPr>
            <a:t>★</a:t>
          </a:r>
        </a:p>
      </xdr:txBody>
    </xdr:sp>
    <xdr:clientData/>
  </xdr:twoCellAnchor>
  <xdr:twoCellAnchor>
    <xdr:from>
      <xdr:col>7</xdr:col>
      <xdr:colOff>11430</xdr:colOff>
      <xdr:row>26</xdr:row>
      <xdr:rowOff>9525</xdr:rowOff>
    </xdr:from>
    <xdr:to>
      <xdr:col>11</xdr:col>
      <xdr:colOff>87630</xdr:colOff>
      <xdr:row>27</xdr:row>
      <xdr:rowOff>36195</xdr:rowOff>
    </xdr:to>
    <xdr:sp macro="" textlink="">
      <xdr:nvSpPr>
        <xdr:cNvPr id="6" name="Text Box 129">
          <a:extLst>
            <a:ext uri="{FF2B5EF4-FFF2-40B4-BE49-F238E27FC236}">
              <a16:creationId xmlns:a16="http://schemas.microsoft.com/office/drawing/2014/main" id="{00000000-0008-0000-0300-000006000000}"/>
            </a:ext>
          </a:extLst>
        </xdr:cNvPr>
        <xdr:cNvSpPr txBox="1">
          <a:spLocks noChangeArrowheads="1"/>
        </xdr:cNvSpPr>
      </xdr:nvSpPr>
      <xdr:spPr bwMode="auto">
        <a:xfrm>
          <a:off x="3021330" y="4267200"/>
          <a:ext cx="3095625" cy="217170"/>
        </a:xfrm>
        <a:prstGeom prst="rect">
          <a:avLst/>
        </a:prstGeom>
        <a:noFill/>
        <a:ln w="9525">
          <a:noFill/>
          <a:miter lim="800000"/>
          <a:headEnd/>
          <a:tailEnd/>
        </a:ln>
      </xdr:spPr>
      <xdr:txBody>
        <a:bodyPr vertOverflow="clip" wrap="square" lIns="27432" tIns="18288" rIns="0" bIns="0" anchor="t" upright="1"/>
        <a:lstStyle/>
        <a:p>
          <a:pPr algn="l" rtl="1">
            <a:defRPr sz="1000"/>
          </a:pPr>
          <a:r>
            <a:rPr lang="en-US" altLang="ja-JP" sz="800" b="0" i="0" strike="noStrike">
              <a:solidFill>
                <a:srgbClr val="000000"/>
              </a:solidFill>
              <a:latin typeface="ＭＳ Ｐゴシック"/>
              <a:ea typeface="ＭＳ Ｐゴシック"/>
            </a:rPr>
            <a:t>30%: </a:t>
          </a:r>
          <a:r>
            <a:rPr lang="en-US" altLang="ja-JP" sz="800" b="0" i="0" strike="noStrike">
              <a:solidFill>
                <a:srgbClr val="333333"/>
              </a:solidFill>
              <a:latin typeface="ＭＳ Ｐゴシック"/>
              <a:ea typeface="ＭＳ Ｐゴシック"/>
            </a:rPr>
            <a:t>☆☆☆☆☆  60%</a:t>
          </a:r>
          <a:r>
            <a:rPr lang="en-US" altLang="ja-JP" sz="800" b="0" i="0" strike="noStrike">
              <a:solidFill>
                <a:srgbClr val="000000"/>
              </a:solidFill>
              <a:latin typeface="ＭＳ Ｐゴシック"/>
              <a:ea typeface="ＭＳ Ｐゴシック"/>
            </a:rPr>
            <a:t>: </a:t>
          </a:r>
          <a:r>
            <a:rPr lang="en-US" altLang="ja-JP" sz="800" b="0" i="0" strike="noStrike">
              <a:solidFill>
                <a:srgbClr val="333333"/>
              </a:solidFill>
              <a:latin typeface="ＭＳ Ｐゴシック"/>
              <a:ea typeface="ＭＳ Ｐゴシック"/>
            </a:rPr>
            <a:t>☆☆☆☆  80%</a:t>
          </a:r>
          <a:r>
            <a:rPr lang="en-US" altLang="ja-JP" sz="800" b="0" i="0" strike="noStrike">
              <a:solidFill>
                <a:srgbClr val="000000"/>
              </a:solidFill>
              <a:latin typeface="ＭＳ Ｐゴシック"/>
              <a:ea typeface="ＭＳ Ｐゴシック"/>
            </a:rPr>
            <a:t>: ☆☆☆</a:t>
          </a:r>
          <a:r>
            <a:rPr lang="en-US" altLang="ja-JP" sz="800" b="0" i="0" strike="noStrike">
              <a:solidFill>
                <a:srgbClr val="333333"/>
              </a:solidFill>
              <a:latin typeface="ＭＳ Ｐゴシック"/>
              <a:ea typeface="ＭＳ Ｐゴシック"/>
            </a:rPr>
            <a:t> 100%</a:t>
          </a:r>
          <a:r>
            <a:rPr lang="en-US" altLang="ja-JP" sz="800" b="0" i="0" strike="noStrike">
              <a:solidFill>
                <a:srgbClr val="000000"/>
              </a:solidFill>
              <a:latin typeface="ＭＳ Ｐゴシック"/>
              <a:ea typeface="ＭＳ Ｐゴシック"/>
            </a:rPr>
            <a:t>: ☆☆</a:t>
          </a:r>
          <a:r>
            <a:rPr lang="en-US" altLang="ja-JP" sz="800" b="0" i="0" strike="noStrike">
              <a:solidFill>
                <a:srgbClr val="333333"/>
              </a:solidFill>
              <a:latin typeface="ＭＳ Ｐゴシック"/>
              <a:ea typeface="ＭＳ Ｐゴシック"/>
            </a:rPr>
            <a:t>  100%</a:t>
          </a:r>
          <a:r>
            <a:rPr lang="ja-JP" altLang="en-US" sz="800" b="0" i="0" strike="noStrike" baseline="0">
              <a:solidFill>
                <a:srgbClr val="333333"/>
              </a:solidFill>
              <a:latin typeface="ＭＳ Ｐゴシック"/>
              <a:ea typeface="ＭＳ Ｐゴシック"/>
            </a:rPr>
            <a:t> </a:t>
          </a:r>
          <a:r>
            <a:rPr lang="en-US" altLang="ja-JP" sz="800" b="0" i="0" strike="noStrike" baseline="0">
              <a:solidFill>
                <a:srgbClr val="333333"/>
              </a:solidFill>
              <a:latin typeface="ＭＳ Ｐゴシック"/>
              <a:ea typeface="ＭＳ Ｐゴシック"/>
            </a:rPr>
            <a:t>&lt;</a:t>
          </a:r>
          <a:r>
            <a:rPr lang="en-US" altLang="ja-JP" sz="800" b="0" i="0" strike="noStrike">
              <a:solidFill>
                <a:srgbClr val="000000"/>
              </a:solidFill>
              <a:latin typeface="ＭＳ Ｐゴシック"/>
              <a:ea typeface="ＭＳ Ｐゴシック"/>
            </a:rPr>
            <a:t> ☆</a:t>
          </a:r>
        </a:p>
      </xdr:txBody>
    </xdr:sp>
    <xdr:clientData/>
  </xdr:twoCellAnchor>
  <xdr:twoCellAnchor>
    <xdr:from>
      <xdr:col>7</xdr:col>
      <xdr:colOff>419100</xdr:colOff>
      <xdr:row>22</xdr:row>
      <xdr:rowOff>219075</xdr:rowOff>
    </xdr:from>
    <xdr:to>
      <xdr:col>10</xdr:col>
      <xdr:colOff>485775</xdr:colOff>
      <xdr:row>26</xdr:row>
      <xdr:rowOff>171450</xdr:rowOff>
    </xdr:to>
    <xdr:graphicFrame macro="">
      <xdr:nvGraphicFramePr>
        <xdr:cNvPr id="7" name="Chart 123">
          <a:extLst>
            <a:ext uri="{FF2B5EF4-FFF2-40B4-BE49-F238E27FC236}">
              <a16:creationId xmlns:a16="http://schemas.microsoft.com/office/drawing/2014/main" id="{00000000-0008-0000-03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absolute">
    <xdr:from>
      <xdr:col>2</xdr:col>
      <xdr:colOff>57150</xdr:colOff>
      <xdr:row>26</xdr:row>
      <xdr:rowOff>131445</xdr:rowOff>
    </xdr:from>
    <xdr:to>
      <xdr:col>6</xdr:col>
      <xdr:colOff>205740</xdr:colOff>
      <xdr:row>39</xdr:row>
      <xdr:rowOff>59055</xdr:rowOff>
    </xdr:to>
    <xdr:graphicFrame macro="">
      <xdr:nvGraphicFramePr>
        <xdr:cNvPr id="8" name="Chart 17">
          <a:extLst>
            <a:ext uri="{FF2B5EF4-FFF2-40B4-BE49-F238E27FC236}">
              <a16:creationId xmlns:a16="http://schemas.microsoft.com/office/drawing/2014/main" id="{00000000-0008-0000-03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779145</xdr:colOff>
      <xdr:row>27</xdr:row>
      <xdr:rowOff>0</xdr:rowOff>
    </xdr:from>
    <xdr:to>
      <xdr:col>11</xdr:col>
      <xdr:colOff>0</xdr:colOff>
      <xdr:row>36</xdr:row>
      <xdr:rowOff>15240</xdr:rowOff>
    </xdr:to>
    <xdr:graphicFrame macro="">
      <xdr:nvGraphicFramePr>
        <xdr:cNvPr id="9" name="Chart 130">
          <a:extLst>
            <a:ext uri="{FF2B5EF4-FFF2-40B4-BE49-F238E27FC236}">
              <a16:creationId xmlns:a16="http://schemas.microsoft.com/office/drawing/2014/main" id="{00000000-0008-0000-03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691515</xdr:colOff>
      <xdr:row>35</xdr:row>
      <xdr:rowOff>57151</xdr:rowOff>
    </xdr:from>
    <xdr:to>
      <xdr:col>11</xdr:col>
      <xdr:colOff>68580</xdr:colOff>
      <xdr:row>36</xdr:row>
      <xdr:rowOff>34291</xdr:rowOff>
    </xdr:to>
    <xdr:sp macro="" textlink="">
      <xdr:nvSpPr>
        <xdr:cNvPr id="14" name="Text Box 45">
          <a:extLst>
            <a:ext uri="{FF2B5EF4-FFF2-40B4-BE49-F238E27FC236}">
              <a16:creationId xmlns:a16="http://schemas.microsoft.com/office/drawing/2014/main" id="{00000000-0008-0000-0300-00000E000000}"/>
            </a:ext>
          </a:extLst>
        </xdr:cNvPr>
        <xdr:cNvSpPr txBox="1">
          <a:spLocks noChangeArrowheads="1"/>
        </xdr:cNvSpPr>
      </xdr:nvSpPr>
      <xdr:spPr bwMode="auto">
        <a:xfrm>
          <a:off x="5073015" y="6000751"/>
          <a:ext cx="1024890" cy="167640"/>
        </a:xfrm>
        <a:prstGeom prst="rect">
          <a:avLst/>
        </a:prstGeom>
        <a:noFill/>
        <a:ln w="9525">
          <a:noFill/>
          <a:miter lim="800000"/>
          <a:headEnd/>
          <a:tailEnd/>
        </a:ln>
      </xdr:spPr>
      <xdr:txBody>
        <a:bodyPr vertOverflow="clip" wrap="square" lIns="27432" tIns="18288" rIns="0" bIns="0" anchor="t" upright="1"/>
        <a:lstStyle/>
        <a:p>
          <a:pPr algn="l" rtl="1">
            <a:defRPr sz="1000"/>
          </a:pPr>
          <a:r>
            <a:rPr lang="ja-JP" altLang="en-US" sz="800" b="0" i="0" strike="noStrike">
              <a:solidFill>
                <a:srgbClr val="000000"/>
              </a:solidFill>
              <a:latin typeface="ＭＳ Ｐゴシック"/>
              <a:ea typeface="ＭＳ Ｐゴシック"/>
            </a:rPr>
            <a:t>（ </a:t>
          </a:r>
          <a:r>
            <a:rPr lang="en-US" altLang="ja-JP" sz="800" b="0" i="0" strike="noStrike">
              <a:solidFill>
                <a:srgbClr val="000000"/>
              </a:solidFill>
              <a:latin typeface="ＭＳ Ｐゴシック"/>
              <a:ea typeface="ＭＳ Ｐゴシック"/>
            </a:rPr>
            <a:t>kg-CO</a:t>
          </a:r>
          <a:r>
            <a:rPr lang="en-US" altLang="ja-JP" sz="800" b="0" i="0" strike="noStrike" baseline="-25000">
              <a:solidFill>
                <a:srgbClr val="000000"/>
              </a:solidFill>
              <a:latin typeface="ＭＳ Ｐゴシック"/>
              <a:ea typeface="ＭＳ Ｐゴシック"/>
            </a:rPr>
            <a:t>2eq</a:t>
          </a:r>
          <a:r>
            <a:rPr lang="en-US" altLang="ja-JP" sz="800" b="0" i="0" strike="noStrike">
              <a:solidFill>
                <a:srgbClr val="000000"/>
              </a:solidFill>
              <a:latin typeface="ＭＳ Ｐゴシック"/>
              <a:ea typeface="ＭＳ Ｐゴシック"/>
            </a:rPr>
            <a:t>/yr-m</a:t>
          </a:r>
          <a:r>
            <a:rPr lang="en-US" altLang="ja-JP" sz="800" b="0" i="0" strike="noStrike" baseline="30000">
              <a:solidFill>
                <a:srgbClr val="000000"/>
              </a:solidFill>
              <a:latin typeface="ＭＳ Ｐゴシック"/>
              <a:ea typeface="ＭＳ Ｐゴシック"/>
            </a:rPr>
            <a:t>2 </a:t>
          </a:r>
          <a:r>
            <a:rPr lang="ja-JP" altLang="en-US" sz="800" b="0" i="0" strike="noStrike">
              <a:solidFill>
                <a:srgbClr val="000000"/>
              </a:solidFill>
              <a:latin typeface="ＭＳ Ｐゴシック"/>
              <a:ea typeface="ＭＳ Ｐゴシック"/>
            </a:rPr>
            <a:t>）</a:t>
          </a:r>
        </a:p>
      </xdr:txBody>
    </xdr:sp>
    <xdr:clientData/>
  </xdr:twoCellAnchor>
  <xdr:twoCellAnchor>
    <xdr:from>
      <xdr:col>1</xdr:col>
      <xdr:colOff>9525</xdr:colOff>
      <xdr:row>42</xdr:row>
      <xdr:rowOff>114300</xdr:rowOff>
    </xdr:from>
    <xdr:to>
      <xdr:col>7</xdr:col>
      <xdr:colOff>0</xdr:colOff>
      <xdr:row>50</xdr:row>
      <xdr:rowOff>171450</xdr:rowOff>
    </xdr:to>
    <xdr:graphicFrame macro="">
      <xdr:nvGraphicFramePr>
        <xdr:cNvPr id="16" name="Chart 4">
          <a:extLst>
            <a:ext uri="{FF2B5EF4-FFF2-40B4-BE49-F238E27FC236}">
              <a16:creationId xmlns:a16="http://schemas.microsoft.com/office/drawing/2014/main" id="{00000000-0008-0000-03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7</xdr:col>
      <xdr:colOff>238125</xdr:colOff>
      <xdr:row>42</xdr:row>
      <xdr:rowOff>104775</xdr:rowOff>
    </xdr:from>
    <xdr:to>
      <xdr:col>10</xdr:col>
      <xdr:colOff>752475</xdr:colOff>
      <xdr:row>50</xdr:row>
      <xdr:rowOff>161925</xdr:rowOff>
    </xdr:to>
    <xdr:graphicFrame macro="">
      <xdr:nvGraphicFramePr>
        <xdr:cNvPr id="17" name="Chart 15">
          <a:extLst>
            <a:ext uri="{FF2B5EF4-FFF2-40B4-BE49-F238E27FC236}">
              <a16:creationId xmlns:a16="http://schemas.microsoft.com/office/drawing/2014/main" id="{00000000-0008-0000-0300-00001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11</xdr:col>
      <xdr:colOff>209550</xdr:colOff>
      <xdr:row>42</xdr:row>
      <xdr:rowOff>104775</xdr:rowOff>
    </xdr:from>
    <xdr:to>
      <xdr:col>14</xdr:col>
      <xdr:colOff>714375</xdr:colOff>
      <xdr:row>50</xdr:row>
      <xdr:rowOff>161925</xdr:rowOff>
    </xdr:to>
    <xdr:graphicFrame macro="">
      <xdr:nvGraphicFramePr>
        <xdr:cNvPr id="18" name="Chart 15">
          <a:extLst>
            <a:ext uri="{FF2B5EF4-FFF2-40B4-BE49-F238E27FC236}">
              <a16:creationId xmlns:a16="http://schemas.microsoft.com/office/drawing/2014/main" id="{00000000-0008-0000-03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47625</xdr:colOff>
      <xdr:row>53</xdr:row>
      <xdr:rowOff>152400</xdr:rowOff>
    </xdr:from>
    <xdr:to>
      <xdr:col>6</xdr:col>
      <xdr:colOff>476250</xdr:colOff>
      <xdr:row>61</xdr:row>
      <xdr:rowOff>161925</xdr:rowOff>
    </xdr:to>
    <xdr:graphicFrame macro="">
      <xdr:nvGraphicFramePr>
        <xdr:cNvPr id="19" name="Chart 4">
          <a:extLst>
            <a:ext uri="{FF2B5EF4-FFF2-40B4-BE49-F238E27FC236}">
              <a16:creationId xmlns:a16="http://schemas.microsoft.com/office/drawing/2014/main" id="{00000000-0008-0000-03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xdr:col>
      <xdr:colOff>228600</xdr:colOff>
      <xdr:row>53</xdr:row>
      <xdr:rowOff>133350</xdr:rowOff>
    </xdr:from>
    <xdr:to>
      <xdr:col>10</xdr:col>
      <xdr:colOff>742950</xdr:colOff>
      <xdr:row>61</xdr:row>
      <xdr:rowOff>142875</xdr:rowOff>
    </xdr:to>
    <xdr:graphicFrame macro="">
      <xdr:nvGraphicFramePr>
        <xdr:cNvPr id="20" name="Chart 15">
          <a:extLst>
            <a:ext uri="{FF2B5EF4-FFF2-40B4-BE49-F238E27FC236}">
              <a16:creationId xmlns:a16="http://schemas.microsoft.com/office/drawing/2014/main" id="{00000000-0008-0000-03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11</xdr:col>
      <xdr:colOff>219075</xdr:colOff>
      <xdr:row>54</xdr:row>
      <xdr:rowOff>0</xdr:rowOff>
    </xdr:from>
    <xdr:to>
      <xdr:col>14</xdr:col>
      <xdr:colOff>723900</xdr:colOff>
      <xdr:row>62</xdr:row>
      <xdr:rowOff>0</xdr:rowOff>
    </xdr:to>
    <xdr:graphicFrame macro="">
      <xdr:nvGraphicFramePr>
        <xdr:cNvPr id="21" name="Chart 15">
          <a:extLst>
            <a:ext uri="{FF2B5EF4-FFF2-40B4-BE49-F238E27FC236}">
              <a16:creationId xmlns:a16="http://schemas.microsoft.com/office/drawing/2014/main" id="{00000000-0008-0000-03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editAs="absolute">
    <xdr:from>
      <xdr:col>11</xdr:col>
      <xdr:colOff>397419</xdr:colOff>
      <xdr:row>22</xdr:row>
      <xdr:rowOff>187984</xdr:rowOff>
    </xdr:from>
    <xdr:to>
      <xdr:col>14</xdr:col>
      <xdr:colOff>460869</xdr:colOff>
      <xdr:row>26</xdr:row>
      <xdr:rowOff>133080</xdr:rowOff>
    </xdr:to>
    <xdr:graphicFrame macro="">
      <xdr:nvGraphicFramePr>
        <xdr:cNvPr id="50" name="Chart 123">
          <a:extLst>
            <a:ext uri="{FF2B5EF4-FFF2-40B4-BE49-F238E27FC236}">
              <a16:creationId xmlns:a16="http://schemas.microsoft.com/office/drawing/2014/main" id="{00000000-0008-0000-03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absolute">
    <xdr:from>
      <xdr:col>14</xdr:col>
      <xdr:colOff>516213</xdr:colOff>
      <xdr:row>27</xdr:row>
      <xdr:rowOff>59644</xdr:rowOff>
    </xdr:from>
    <xdr:to>
      <xdr:col>16</xdr:col>
      <xdr:colOff>30070</xdr:colOff>
      <xdr:row>28</xdr:row>
      <xdr:rowOff>79394</xdr:rowOff>
    </xdr:to>
    <xdr:sp macro="" textlink="AD41">
      <xdr:nvSpPr>
        <xdr:cNvPr id="53" name="テキスト ボックス 52">
          <a:extLst>
            <a:ext uri="{FF2B5EF4-FFF2-40B4-BE49-F238E27FC236}">
              <a16:creationId xmlns:a16="http://schemas.microsoft.com/office/drawing/2014/main" id="{00000000-0008-0000-0300-000035000000}"/>
            </a:ext>
          </a:extLst>
        </xdr:cNvPr>
        <xdr:cNvSpPr txBox="1"/>
      </xdr:nvSpPr>
      <xdr:spPr>
        <a:xfrm>
          <a:off x="8764863" y="4479244"/>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96E789C0-80CC-4D7E-9458-D007FB86AE83}" type="TxLink">
            <a:rPr kumimoji="1" lang="en-US" altLang="en-US" sz="800" b="0" i="0" u="none" strike="noStrike">
              <a:solidFill>
                <a:srgbClr val="000000"/>
              </a:solidFill>
              <a:latin typeface="Arial"/>
              <a:ea typeface="游ゴシック"/>
              <a:cs typeface="Arial"/>
            </a:rPr>
            <a:pPr/>
            <a:t>2.0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28</xdr:row>
      <xdr:rowOff>57260</xdr:rowOff>
    </xdr:from>
    <xdr:to>
      <xdr:col>16</xdr:col>
      <xdr:colOff>30070</xdr:colOff>
      <xdr:row>29</xdr:row>
      <xdr:rowOff>77010</xdr:rowOff>
    </xdr:to>
    <xdr:sp macro="" textlink="AD42">
      <xdr:nvSpPr>
        <xdr:cNvPr id="54" name="テキスト ボックス 53">
          <a:extLst>
            <a:ext uri="{FF2B5EF4-FFF2-40B4-BE49-F238E27FC236}">
              <a16:creationId xmlns:a16="http://schemas.microsoft.com/office/drawing/2014/main" id="{00000000-0008-0000-0300-000036000000}"/>
            </a:ext>
          </a:extLst>
        </xdr:cNvPr>
        <xdr:cNvSpPr txBox="1"/>
      </xdr:nvSpPr>
      <xdr:spPr>
        <a:xfrm>
          <a:off x="8761053" y="4667360"/>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D2E0B29F-ABBB-42A0-9067-3121F1E5EF3B}" type="TxLink">
            <a:rPr kumimoji="1" lang="en-US" altLang="en-US" sz="800" b="0" i="0" u="none" strike="noStrike">
              <a:solidFill>
                <a:srgbClr val="000000"/>
              </a:solidFill>
              <a:latin typeface="Arial"/>
              <a:ea typeface="游ゴシック"/>
              <a:cs typeface="Arial"/>
            </a:rPr>
            <a:pPr/>
            <a:t>2.0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29</xdr:row>
      <xdr:rowOff>22491</xdr:rowOff>
    </xdr:from>
    <xdr:to>
      <xdr:col>16</xdr:col>
      <xdr:colOff>30070</xdr:colOff>
      <xdr:row>30</xdr:row>
      <xdr:rowOff>42241</xdr:rowOff>
    </xdr:to>
    <xdr:sp macro="" textlink="AD43">
      <xdr:nvSpPr>
        <xdr:cNvPr id="55" name="テキスト ボックス 54">
          <a:extLst>
            <a:ext uri="{FF2B5EF4-FFF2-40B4-BE49-F238E27FC236}">
              <a16:creationId xmlns:a16="http://schemas.microsoft.com/office/drawing/2014/main" id="{00000000-0008-0000-0300-000037000000}"/>
            </a:ext>
          </a:extLst>
        </xdr:cNvPr>
        <xdr:cNvSpPr txBox="1"/>
      </xdr:nvSpPr>
      <xdr:spPr>
        <a:xfrm>
          <a:off x="8761053" y="4823091"/>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ECCEE807-96EB-4398-939A-AB572800A6B3}" type="TxLink">
            <a:rPr kumimoji="1" lang="en-US" altLang="en-US" sz="800" b="0" i="0" u="none" strike="noStrike">
              <a:solidFill>
                <a:srgbClr val="000000"/>
              </a:solidFill>
              <a:latin typeface="Arial"/>
              <a:ea typeface="游ゴシック"/>
              <a:cs typeface="Arial"/>
            </a:rPr>
            <a:pPr/>
            <a:t>1.8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516213</xdr:colOff>
      <xdr:row>29</xdr:row>
      <xdr:rowOff>174412</xdr:rowOff>
    </xdr:from>
    <xdr:to>
      <xdr:col>16</xdr:col>
      <xdr:colOff>30070</xdr:colOff>
      <xdr:row>31</xdr:row>
      <xdr:rowOff>3662</xdr:rowOff>
    </xdr:to>
    <xdr:sp macro="" textlink="AD44">
      <xdr:nvSpPr>
        <xdr:cNvPr id="56" name="テキスト ボックス 55">
          <a:extLst>
            <a:ext uri="{FF2B5EF4-FFF2-40B4-BE49-F238E27FC236}">
              <a16:creationId xmlns:a16="http://schemas.microsoft.com/office/drawing/2014/main" id="{00000000-0008-0000-0300-000038000000}"/>
            </a:ext>
          </a:extLst>
        </xdr:cNvPr>
        <xdr:cNvSpPr txBox="1"/>
      </xdr:nvSpPr>
      <xdr:spPr>
        <a:xfrm>
          <a:off x="8764863" y="4975012"/>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BD1C74E7-7AA5-438B-B2C9-84A7803ADB24}" type="TxLink">
            <a:rPr kumimoji="1" lang="en-US" altLang="en-US" sz="800" b="0" i="0" u="none" strike="noStrike">
              <a:solidFill>
                <a:srgbClr val="000000"/>
              </a:solidFill>
              <a:latin typeface="Arial"/>
              <a:ea typeface="ＭＳ Ｐゴシック"/>
              <a:cs typeface="Arial"/>
            </a:rPr>
            <a:pPr/>
            <a:t>#VALUE!</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30</xdr:row>
      <xdr:rowOff>173933</xdr:rowOff>
    </xdr:from>
    <xdr:to>
      <xdr:col>16</xdr:col>
      <xdr:colOff>30070</xdr:colOff>
      <xdr:row>32</xdr:row>
      <xdr:rowOff>3183</xdr:rowOff>
    </xdr:to>
    <xdr:sp macro="" textlink="AD45">
      <xdr:nvSpPr>
        <xdr:cNvPr id="57" name="テキスト ボックス 56">
          <a:extLst>
            <a:ext uri="{FF2B5EF4-FFF2-40B4-BE49-F238E27FC236}">
              <a16:creationId xmlns:a16="http://schemas.microsoft.com/office/drawing/2014/main" id="{00000000-0008-0000-0300-000039000000}"/>
            </a:ext>
          </a:extLst>
        </xdr:cNvPr>
        <xdr:cNvSpPr txBox="1"/>
      </xdr:nvSpPr>
      <xdr:spPr>
        <a:xfrm>
          <a:off x="8761053" y="5165033"/>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7B480DA6-AA42-4E57-AA63-FF640E132510}" type="TxLink">
            <a:rPr kumimoji="1" lang="en-US" altLang="en-US" sz="800" b="0" i="0" u="none" strike="noStrike">
              <a:solidFill>
                <a:srgbClr val="000000"/>
              </a:solidFill>
              <a:latin typeface="Arial"/>
              <a:ea typeface="ＭＳ Ｐゴシック"/>
              <a:cs typeface="Arial"/>
            </a:rPr>
            <a:pPr/>
            <a:t>2.0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516213</xdr:colOff>
      <xdr:row>31</xdr:row>
      <xdr:rowOff>135354</xdr:rowOff>
    </xdr:from>
    <xdr:to>
      <xdr:col>16</xdr:col>
      <xdr:colOff>30070</xdr:colOff>
      <xdr:row>32</xdr:row>
      <xdr:rowOff>155104</xdr:rowOff>
    </xdr:to>
    <xdr:sp macro="" textlink="AD46">
      <xdr:nvSpPr>
        <xdr:cNvPr id="58" name="テキスト ボックス 57">
          <a:extLst>
            <a:ext uri="{FF2B5EF4-FFF2-40B4-BE49-F238E27FC236}">
              <a16:creationId xmlns:a16="http://schemas.microsoft.com/office/drawing/2014/main" id="{00000000-0008-0000-0300-00003A000000}"/>
            </a:ext>
          </a:extLst>
        </xdr:cNvPr>
        <xdr:cNvSpPr txBox="1"/>
      </xdr:nvSpPr>
      <xdr:spPr>
        <a:xfrm>
          <a:off x="8764863" y="5316954"/>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71B9020B-4ED6-4A9E-8B6B-F724481715F4}" type="TxLink">
            <a:rPr kumimoji="1" lang="en-US" altLang="en-US" sz="800" b="0" i="0" u="none" strike="noStrike">
              <a:solidFill>
                <a:srgbClr val="000000"/>
              </a:solidFill>
              <a:latin typeface="Arial"/>
              <a:ea typeface="ＭＳ Ｐゴシック"/>
              <a:cs typeface="Arial"/>
            </a:rPr>
            <a:pPr/>
            <a:t>1.8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516213</xdr:colOff>
      <xdr:row>32</xdr:row>
      <xdr:rowOff>134875</xdr:rowOff>
    </xdr:from>
    <xdr:to>
      <xdr:col>16</xdr:col>
      <xdr:colOff>30070</xdr:colOff>
      <xdr:row>33</xdr:row>
      <xdr:rowOff>154625</xdr:rowOff>
    </xdr:to>
    <xdr:sp macro="" textlink="AD47">
      <xdr:nvSpPr>
        <xdr:cNvPr id="59" name="テキスト ボックス 58">
          <a:extLst>
            <a:ext uri="{FF2B5EF4-FFF2-40B4-BE49-F238E27FC236}">
              <a16:creationId xmlns:a16="http://schemas.microsoft.com/office/drawing/2014/main" id="{00000000-0008-0000-0300-00003B000000}"/>
            </a:ext>
          </a:extLst>
        </xdr:cNvPr>
        <xdr:cNvSpPr txBox="1"/>
      </xdr:nvSpPr>
      <xdr:spPr>
        <a:xfrm>
          <a:off x="8764863" y="5506975"/>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86D13635-C17B-4A69-9214-84202FE24028}" type="TxLink">
            <a:rPr kumimoji="1" lang="en-US" altLang="en-US" sz="800" b="0" i="0" u="none" strike="noStrike">
              <a:solidFill>
                <a:srgbClr val="000000"/>
              </a:solidFill>
              <a:latin typeface="Arial"/>
              <a:ea typeface="ＭＳ Ｐゴシック"/>
              <a:cs typeface="Arial"/>
            </a:rPr>
            <a:pPr/>
            <a:t>1.9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33</xdr:row>
      <xdr:rowOff>98201</xdr:rowOff>
    </xdr:from>
    <xdr:to>
      <xdr:col>16</xdr:col>
      <xdr:colOff>30070</xdr:colOff>
      <xdr:row>34</xdr:row>
      <xdr:rowOff>117951</xdr:rowOff>
    </xdr:to>
    <xdr:sp macro="" textlink="AD48">
      <xdr:nvSpPr>
        <xdr:cNvPr id="60" name="テキスト ボックス 59">
          <a:extLst>
            <a:ext uri="{FF2B5EF4-FFF2-40B4-BE49-F238E27FC236}">
              <a16:creationId xmlns:a16="http://schemas.microsoft.com/office/drawing/2014/main" id="{00000000-0008-0000-0300-00003C000000}"/>
            </a:ext>
          </a:extLst>
        </xdr:cNvPr>
        <xdr:cNvSpPr txBox="1"/>
      </xdr:nvSpPr>
      <xdr:spPr>
        <a:xfrm>
          <a:off x="8761053" y="5660801"/>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82E3F2B3-D6EE-49E5-8E1A-8E3146CFE32D}" type="TxLink">
            <a:rPr kumimoji="1" lang="en-US" altLang="en-US" sz="800" b="0" i="0" u="none" strike="noStrike">
              <a:solidFill>
                <a:srgbClr val="000000"/>
              </a:solidFill>
              <a:latin typeface="Arial"/>
              <a:ea typeface="ＭＳ Ｐゴシック"/>
              <a:cs typeface="Arial"/>
            </a:rPr>
            <a:pPr/>
            <a:t>#VALUE!</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516213</xdr:colOff>
      <xdr:row>34</xdr:row>
      <xdr:rowOff>95817</xdr:rowOff>
    </xdr:from>
    <xdr:to>
      <xdr:col>16</xdr:col>
      <xdr:colOff>30070</xdr:colOff>
      <xdr:row>35</xdr:row>
      <xdr:rowOff>115567</xdr:rowOff>
    </xdr:to>
    <xdr:sp macro="" textlink="AD49">
      <xdr:nvSpPr>
        <xdr:cNvPr id="61" name="テキスト ボックス 60">
          <a:extLst>
            <a:ext uri="{FF2B5EF4-FFF2-40B4-BE49-F238E27FC236}">
              <a16:creationId xmlns:a16="http://schemas.microsoft.com/office/drawing/2014/main" id="{00000000-0008-0000-0300-00003D000000}"/>
            </a:ext>
          </a:extLst>
        </xdr:cNvPr>
        <xdr:cNvSpPr txBox="1"/>
      </xdr:nvSpPr>
      <xdr:spPr>
        <a:xfrm>
          <a:off x="8764863" y="5848917"/>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7E864DC6-5D74-4E2F-9C52-B379DB3AD7F0}" type="TxLink">
            <a:rPr kumimoji="1" lang="en-US" altLang="en-US" sz="800" b="0" i="0" u="none" strike="noStrike">
              <a:solidFill>
                <a:srgbClr val="000000"/>
              </a:solidFill>
              <a:latin typeface="Arial"/>
              <a:ea typeface="ＭＳ Ｐゴシック"/>
              <a:cs typeface="Arial"/>
            </a:rPr>
            <a:pPr/>
            <a:t>#VALUE!</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35</xdr:row>
      <xdr:rowOff>59143</xdr:rowOff>
    </xdr:from>
    <xdr:to>
      <xdr:col>16</xdr:col>
      <xdr:colOff>30070</xdr:colOff>
      <xdr:row>36</xdr:row>
      <xdr:rowOff>78893</xdr:rowOff>
    </xdr:to>
    <xdr:sp macro="" textlink="AD50">
      <xdr:nvSpPr>
        <xdr:cNvPr id="62" name="テキスト ボックス 61">
          <a:extLst>
            <a:ext uri="{FF2B5EF4-FFF2-40B4-BE49-F238E27FC236}">
              <a16:creationId xmlns:a16="http://schemas.microsoft.com/office/drawing/2014/main" id="{00000000-0008-0000-0300-00003E000000}"/>
            </a:ext>
          </a:extLst>
        </xdr:cNvPr>
        <xdr:cNvSpPr txBox="1"/>
      </xdr:nvSpPr>
      <xdr:spPr>
        <a:xfrm>
          <a:off x="8761053" y="6002743"/>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70AA74D8-ED61-4D48-B65C-311B1BA2297C}" type="TxLink">
            <a:rPr kumimoji="1" lang="en-US" altLang="en-US" sz="800" b="0" i="0" u="none" strike="noStrike">
              <a:solidFill>
                <a:srgbClr val="000000"/>
              </a:solidFill>
              <a:latin typeface="Arial"/>
              <a:ea typeface="ＭＳ Ｐゴシック"/>
              <a:cs typeface="Arial"/>
            </a:rPr>
            <a:pPr/>
            <a:t>1.4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36</xdr:row>
      <xdr:rowOff>18661</xdr:rowOff>
    </xdr:from>
    <xdr:to>
      <xdr:col>16</xdr:col>
      <xdr:colOff>30070</xdr:colOff>
      <xdr:row>37</xdr:row>
      <xdr:rowOff>38411</xdr:rowOff>
    </xdr:to>
    <xdr:sp macro="" textlink="AD51">
      <xdr:nvSpPr>
        <xdr:cNvPr id="63" name="テキスト ボックス 62">
          <a:extLst>
            <a:ext uri="{FF2B5EF4-FFF2-40B4-BE49-F238E27FC236}">
              <a16:creationId xmlns:a16="http://schemas.microsoft.com/office/drawing/2014/main" id="{00000000-0008-0000-0300-00003F000000}"/>
            </a:ext>
          </a:extLst>
        </xdr:cNvPr>
        <xdr:cNvSpPr txBox="1"/>
      </xdr:nvSpPr>
      <xdr:spPr>
        <a:xfrm>
          <a:off x="8761053" y="6152761"/>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fld id="{E61B7512-E5F3-4A03-8C98-DC16D4445EA2}" type="TxLink">
            <a:rPr kumimoji="1" lang="en-US" altLang="en-US" sz="800" b="0" i="0" u="none" strike="noStrike">
              <a:solidFill>
                <a:srgbClr val="000000"/>
              </a:solidFill>
              <a:latin typeface="Arial"/>
              <a:ea typeface="ＭＳ Ｐゴシック"/>
              <a:cs typeface="Arial"/>
            </a:rPr>
            <a:pPr/>
            <a:t>2.2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14</xdr:col>
      <xdr:colOff>512403</xdr:colOff>
      <xdr:row>26</xdr:row>
      <xdr:rowOff>96320</xdr:rowOff>
    </xdr:from>
    <xdr:to>
      <xdr:col>16</xdr:col>
      <xdr:colOff>30070</xdr:colOff>
      <xdr:row>27</xdr:row>
      <xdr:rowOff>116070</xdr:rowOff>
    </xdr:to>
    <xdr:sp macro="" textlink="$AD$40">
      <xdr:nvSpPr>
        <xdr:cNvPr id="64" name="テキスト ボックス 63">
          <a:extLst>
            <a:ext uri="{FF2B5EF4-FFF2-40B4-BE49-F238E27FC236}">
              <a16:creationId xmlns:a16="http://schemas.microsoft.com/office/drawing/2014/main" id="{00000000-0008-0000-0300-000040000000}"/>
            </a:ext>
          </a:extLst>
        </xdr:cNvPr>
        <xdr:cNvSpPr txBox="1"/>
      </xdr:nvSpPr>
      <xdr:spPr>
        <a:xfrm>
          <a:off x="8761053" y="4325420"/>
          <a:ext cx="355867" cy="2102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spAutoFit/>
        </a:bodyPr>
        <a:lstStyle/>
        <a:p>
          <a:fld id="{5A1116A8-218F-4860-8156-E831E9364426}" type="TxLink">
            <a:rPr kumimoji="1" lang="en-US" altLang="en-US" sz="800" b="0" i="0" u="none" strike="noStrike">
              <a:solidFill>
                <a:srgbClr val="000000"/>
              </a:solidFill>
              <a:latin typeface="Arial"/>
              <a:ea typeface="游ゴシック"/>
              <a:cs typeface="Arial"/>
            </a:rPr>
            <a:pPr/>
            <a:t>2.1 </a:t>
          </a:fld>
          <a:endParaRPr kumimoji="1" lang="ja-JP" altLang="en-US" sz="100" b="1">
            <a:latin typeface="Arial" panose="020B0604020202020204" pitchFamily="34" charset="0"/>
            <a:cs typeface="Arial" panose="020B0604020202020204" pitchFamily="34" charset="0"/>
          </a:endParaRPr>
        </a:p>
      </xdr:txBody>
    </xdr:sp>
    <xdr:clientData/>
  </xdr:twoCellAnchor>
  <xdr:twoCellAnchor editAs="absolute">
    <xdr:from>
      <xdr:col>11</xdr:col>
      <xdr:colOff>59578</xdr:colOff>
      <xdr:row>26</xdr:row>
      <xdr:rowOff>98313</xdr:rowOff>
    </xdr:from>
    <xdr:to>
      <xdr:col>11</xdr:col>
      <xdr:colOff>245404</xdr:colOff>
      <xdr:row>27</xdr:row>
      <xdr:rowOff>60288</xdr:rowOff>
    </xdr:to>
    <xdr:pic>
      <xdr:nvPicPr>
        <xdr:cNvPr id="77" name="図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088903" y="4333128"/>
          <a:ext cx="185826" cy="152475"/>
        </a:xfrm>
        <a:prstGeom prst="rect">
          <a:avLst/>
        </a:prstGeom>
      </xdr:spPr>
    </xdr:pic>
    <xdr:clientData/>
  </xdr:twoCellAnchor>
  <xdr:twoCellAnchor editAs="absolute">
    <xdr:from>
      <xdr:col>11</xdr:col>
      <xdr:colOff>55768</xdr:colOff>
      <xdr:row>27</xdr:row>
      <xdr:rowOff>77895</xdr:rowOff>
    </xdr:from>
    <xdr:to>
      <xdr:col>11</xdr:col>
      <xdr:colOff>249214</xdr:colOff>
      <xdr:row>28</xdr:row>
      <xdr:rowOff>58920</xdr:rowOff>
    </xdr:to>
    <xdr:pic>
      <xdr:nvPicPr>
        <xdr:cNvPr id="78" name="図 7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085093" y="4497495"/>
          <a:ext cx="193446" cy="160095"/>
        </a:xfrm>
        <a:prstGeom prst="rect">
          <a:avLst/>
        </a:prstGeom>
      </xdr:spPr>
    </xdr:pic>
    <xdr:clientData/>
  </xdr:twoCellAnchor>
  <xdr:twoCellAnchor editAs="absolute">
    <xdr:from>
      <xdr:col>11</xdr:col>
      <xdr:colOff>55768</xdr:colOff>
      <xdr:row>28</xdr:row>
      <xdr:rowOff>55572</xdr:rowOff>
    </xdr:from>
    <xdr:to>
      <xdr:col>11</xdr:col>
      <xdr:colOff>249214</xdr:colOff>
      <xdr:row>29</xdr:row>
      <xdr:rowOff>21787</xdr:rowOff>
    </xdr:to>
    <xdr:pic>
      <xdr:nvPicPr>
        <xdr:cNvPr id="79" name="図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789618" y="4681423"/>
          <a:ext cx="162966" cy="168145"/>
        </a:xfrm>
        <a:prstGeom prst="rect">
          <a:avLst/>
        </a:prstGeom>
      </xdr:spPr>
    </xdr:pic>
    <xdr:clientData/>
  </xdr:twoCellAnchor>
  <xdr:twoCellAnchor editAs="absolute">
    <xdr:from>
      <xdr:col>11</xdr:col>
      <xdr:colOff>55768</xdr:colOff>
      <xdr:row>29</xdr:row>
      <xdr:rowOff>21819</xdr:rowOff>
    </xdr:from>
    <xdr:to>
      <xdr:col>11</xdr:col>
      <xdr:colOff>249214</xdr:colOff>
      <xdr:row>30</xdr:row>
      <xdr:rowOff>18084</xdr:rowOff>
    </xdr:to>
    <xdr:pic>
      <xdr:nvPicPr>
        <xdr:cNvPr id="80" name="図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789618" y="4851505"/>
          <a:ext cx="162966" cy="162000"/>
        </a:xfrm>
        <a:prstGeom prst="rect">
          <a:avLst/>
        </a:prstGeom>
      </xdr:spPr>
    </xdr:pic>
    <xdr:clientData/>
  </xdr:twoCellAnchor>
  <xdr:twoCellAnchor editAs="absolute">
    <xdr:from>
      <xdr:col>11</xdr:col>
      <xdr:colOff>55768</xdr:colOff>
      <xdr:row>30</xdr:row>
      <xdr:rowOff>18546</xdr:rowOff>
    </xdr:from>
    <xdr:to>
      <xdr:col>11</xdr:col>
      <xdr:colOff>249214</xdr:colOff>
      <xdr:row>30</xdr:row>
      <xdr:rowOff>174831</xdr:rowOff>
    </xdr:to>
    <xdr:pic>
      <xdr:nvPicPr>
        <xdr:cNvPr id="81" name="図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789618" y="5021587"/>
          <a:ext cx="162966" cy="162000"/>
        </a:xfrm>
        <a:prstGeom prst="rect">
          <a:avLst/>
        </a:prstGeom>
      </xdr:spPr>
    </xdr:pic>
    <xdr:clientData/>
  </xdr:twoCellAnchor>
  <xdr:twoCellAnchor editAs="absolute">
    <xdr:from>
      <xdr:col>11</xdr:col>
      <xdr:colOff>55768</xdr:colOff>
      <xdr:row>30</xdr:row>
      <xdr:rowOff>173388</xdr:rowOff>
    </xdr:from>
    <xdr:to>
      <xdr:col>11</xdr:col>
      <xdr:colOff>249214</xdr:colOff>
      <xdr:row>31</xdr:row>
      <xdr:rowOff>171558</xdr:rowOff>
    </xdr:to>
    <xdr:pic>
      <xdr:nvPicPr>
        <xdr:cNvPr id="82" name="図 81">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789618" y="5191669"/>
          <a:ext cx="162966" cy="162000"/>
        </a:xfrm>
        <a:prstGeom prst="rect">
          <a:avLst/>
        </a:prstGeom>
      </xdr:spPr>
    </xdr:pic>
    <xdr:clientData/>
  </xdr:twoCellAnchor>
  <xdr:twoCellAnchor editAs="absolute">
    <xdr:from>
      <xdr:col>11</xdr:col>
      <xdr:colOff>55768</xdr:colOff>
      <xdr:row>31</xdr:row>
      <xdr:rowOff>170115</xdr:rowOff>
    </xdr:from>
    <xdr:to>
      <xdr:col>11</xdr:col>
      <xdr:colOff>249304</xdr:colOff>
      <xdr:row>32</xdr:row>
      <xdr:rowOff>132090</xdr:rowOff>
    </xdr:to>
    <xdr:pic>
      <xdr:nvPicPr>
        <xdr:cNvPr id="83" name="図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789618" y="5361751"/>
          <a:ext cx="163056" cy="162000"/>
        </a:xfrm>
        <a:prstGeom prst="rect">
          <a:avLst/>
        </a:prstGeom>
      </xdr:spPr>
    </xdr:pic>
    <xdr:clientData/>
  </xdr:twoCellAnchor>
  <xdr:twoCellAnchor editAs="absolute">
    <xdr:from>
      <xdr:col>11</xdr:col>
      <xdr:colOff>55768</xdr:colOff>
      <xdr:row>32</xdr:row>
      <xdr:rowOff>136362</xdr:rowOff>
    </xdr:from>
    <xdr:to>
      <xdr:col>11</xdr:col>
      <xdr:colOff>249227</xdr:colOff>
      <xdr:row>33</xdr:row>
      <xdr:rowOff>134532</xdr:rowOff>
    </xdr:to>
    <xdr:pic>
      <xdr:nvPicPr>
        <xdr:cNvPr id="84" name="図 83">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789618" y="5531833"/>
          <a:ext cx="162979" cy="162000"/>
        </a:xfrm>
        <a:prstGeom prst="rect">
          <a:avLst/>
        </a:prstGeom>
      </xdr:spPr>
    </xdr:pic>
    <xdr:clientData/>
  </xdr:twoCellAnchor>
  <xdr:twoCellAnchor editAs="absolute">
    <xdr:from>
      <xdr:col>11</xdr:col>
      <xdr:colOff>55768</xdr:colOff>
      <xdr:row>33</xdr:row>
      <xdr:rowOff>133089</xdr:rowOff>
    </xdr:from>
    <xdr:to>
      <xdr:col>11</xdr:col>
      <xdr:colOff>249227</xdr:colOff>
      <xdr:row>34</xdr:row>
      <xdr:rowOff>95064</xdr:rowOff>
    </xdr:to>
    <xdr:pic>
      <xdr:nvPicPr>
        <xdr:cNvPr id="85" name="図 84">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789618" y="5701915"/>
          <a:ext cx="162979" cy="162000"/>
        </a:xfrm>
        <a:prstGeom prst="rect">
          <a:avLst/>
        </a:prstGeom>
      </xdr:spPr>
    </xdr:pic>
    <xdr:clientData/>
  </xdr:twoCellAnchor>
  <xdr:twoCellAnchor editAs="absolute">
    <xdr:from>
      <xdr:col>11</xdr:col>
      <xdr:colOff>55768</xdr:colOff>
      <xdr:row>34</xdr:row>
      <xdr:rowOff>97431</xdr:rowOff>
    </xdr:from>
    <xdr:to>
      <xdr:col>11</xdr:col>
      <xdr:colOff>249227</xdr:colOff>
      <xdr:row>35</xdr:row>
      <xdr:rowOff>91791</xdr:rowOff>
    </xdr:to>
    <xdr:pic>
      <xdr:nvPicPr>
        <xdr:cNvPr id="86" name="図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6789618" y="5871997"/>
          <a:ext cx="162979" cy="162000"/>
        </a:xfrm>
        <a:prstGeom prst="rect">
          <a:avLst/>
        </a:prstGeom>
      </xdr:spPr>
    </xdr:pic>
    <xdr:clientData/>
  </xdr:twoCellAnchor>
  <xdr:twoCellAnchor editAs="absolute">
    <xdr:from>
      <xdr:col>11</xdr:col>
      <xdr:colOff>55768</xdr:colOff>
      <xdr:row>35</xdr:row>
      <xdr:rowOff>94158</xdr:rowOff>
    </xdr:from>
    <xdr:to>
      <xdr:col>11</xdr:col>
      <xdr:colOff>249227</xdr:colOff>
      <xdr:row>36</xdr:row>
      <xdr:rowOff>59943</xdr:rowOff>
    </xdr:to>
    <xdr:pic>
      <xdr:nvPicPr>
        <xdr:cNvPr id="87" name="図 86">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89618" y="6042079"/>
          <a:ext cx="162979" cy="162000"/>
        </a:xfrm>
        <a:prstGeom prst="rect">
          <a:avLst/>
        </a:prstGeom>
      </xdr:spPr>
    </xdr:pic>
    <xdr:clientData/>
  </xdr:twoCellAnchor>
  <xdr:twoCellAnchor editAs="absolute">
    <xdr:from>
      <xdr:col>11</xdr:col>
      <xdr:colOff>55768</xdr:colOff>
      <xdr:row>36</xdr:row>
      <xdr:rowOff>60409</xdr:rowOff>
    </xdr:from>
    <xdr:to>
      <xdr:col>11</xdr:col>
      <xdr:colOff>249205</xdr:colOff>
      <xdr:row>37</xdr:row>
      <xdr:rowOff>22384</xdr:rowOff>
    </xdr:to>
    <xdr:pic>
      <xdr:nvPicPr>
        <xdr:cNvPr id="88" name="図 87">
          <a:extLst>
            <a:ext uri="{FF2B5EF4-FFF2-40B4-BE49-F238E27FC236}">
              <a16:creationId xmlns:a16="http://schemas.microsoft.com/office/drawing/2014/main" id="{00000000-0008-0000-0300-00005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789618" y="6212165"/>
          <a:ext cx="162957" cy="162000"/>
        </a:xfrm>
        <a:prstGeom prst="rect">
          <a:avLst/>
        </a:prstGeom>
      </xdr:spPr>
    </xdr:pic>
    <xdr:clientData/>
  </xdr:twoCellAnchor>
  <xdr:twoCellAnchor editAs="absolute">
    <xdr:from>
      <xdr:col>12</xdr:col>
      <xdr:colOff>1531</xdr:colOff>
      <xdr:row>25</xdr:row>
      <xdr:rowOff>136974</xdr:rowOff>
    </xdr:from>
    <xdr:to>
      <xdr:col>16</xdr:col>
      <xdr:colOff>0</xdr:colOff>
      <xdr:row>38</xdr:row>
      <xdr:rowOff>60029</xdr:rowOff>
    </xdr:to>
    <xdr:graphicFrame macro="">
      <xdr:nvGraphicFramePr>
        <xdr:cNvPr id="52" name="グラフ 51">
          <a:extLst>
            <a:ext uri="{FF2B5EF4-FFF2-40B4-BE49-F238E27FC236}">
              <a16:creationId xmlns:a16="http://schemas.microsoft.com/office/drawing/2014/main" id="{00000000-0008-0000-0300-000034000000}"/>
            </a:ext>
          </a:extLst>
        </xdr:cNvPr>
        <xdr:cNvGraphicFramePr>
          <a:graphicFrameLocks noChangeAspect="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editAs="absolute">
    <xdr:from>
      <xdr:col>11</xdr:col>
      <xdr:colOff>173355</xdr:colOff>
      <xdr:row>26</xdr:row>
      <xdr:rowOff>91440</xdr:rowOff>
    </xdr:from>
    <xdr:to>
      <xdr:col>12</xdr:col>
      <xdr:colOff>16907</xdr:colOff>
      <xdr:row>27</xdr:row>
      <xdr:rowOff>98310</xdr:rowOff>
    </xdr:to>
    <xdr:sp macro="" textlink="">
      <xdr:nvSpPr>
        <xdr:cNvPr id="111" name="テキスト ボックス 110">
          <a:extLst>
            <a:ext uri="{FF2B5EF4-FFF2-40B4-BE49-F238E27FC236}">
              <a16:creationId xmlns:a16="http://schemas.microsoft.com/office/drawing/2014/main" id="{00000000-0008-0000-0300-00006F000000}"/>
            </a:ext>
          </a:extLst>
        </xdr:cNvPr>
        <xdr:cNvSpPr txBox="1"/>
      </xdr:nvSpPr>
      <xdr:spPr>
        <a:xfrm>
          <a:off x="6208395" y="4307205"/>
          <a:ext cx="651272" cy="2202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3</a:t>
          </a:r>
          <a:r>
            <a:rPr kumimoji="1" lang="en-US" altLang="ja-JP" sz="800" b="0" baseline="0">
              <a:latin typeface="Arial" panose="020B0604020202020204" pitchFamily="34" charset="0"/>
              <a:cs typeface="Arial" panose="020B0604020202020204" pitchFamily="34" charset="0"/>
            </a:rPr>
            <a:t>(Health)</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27</xdr:row>
      <xdr:rowOff>91977</xdr:rowOff>
    </xdr:from>
    <xdr:to>
      <xdr:col>12</xdr:col>
      <xdr:colOff>133659</xdr:colOff>
      <xdr:row>28</xdr:row>
      <xdr:rowOff>58437</xdr:rowOff>
    </xdr:to>
    <xdr:sp macro="" textlink="">
      <xdr:nvSpPr>
        <xdr:cNvPr id="112" name="テキスト ボックス 111">
          <a:extLst>
            <a:ext uri="{FF2B5EF4-FFF2-40B4-BE49-F238E27FC236}">
              <a16:creationId xmlns:a16="http://schemas.microsoft.com/office/drawing/2014/main" id="{00000000-0008-0000-0300-000070000000}"/>
            </a:ext>
          </a:extLst>
        </xdr:cNvPr>
        <xdr:cNvSpPr txBox="1"/>
      </xdr:nvSpPr>
      <xdr:spPr>
        <a:xfrm>
          <a:off x="6208395" y="4496337"/>
          <a:ext cx="773739" cy="1702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4</a:t>
          </a:r>
          <a:r>
            <a:rPr kumimoji="1" lang="en-US" altLang="ja-JP" sz="800" b="0" baseline="0">
              <a:latin typeface="Arial" panose="020B0604020202020204" pitchFamily="34" charset="0"/>
              <a:cs typeface="Arial" panose="020B0604020202020204" pitchFamily="34" charset="0"/>
            </a:rPr>
            <a:t>(Education)</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28</xdr:row>
      <xdr:rowOff>54414</xdr:rowOff>
    </xdr:from>
    <xdr:to>
      <xdr:col>12</xdr:col>
      <xdr:colOff>95606</xdr:colOff>
      <xdr:row>29</xdr:row>
      <xdr:rowOff>59379</xdr:rowOff>
    </xdr:to>
    <xdr:sp macro="" textlink="">
      <xdr:nvSpPr>
        <xdr:cNvPr id="113" name="テキスト ボックス 112">
          <a:extLst>
            <a:ext uri="{FF2B5EF4-FFF2-40B4-BE49-F238E27FC236}">
              <a16:creationId xmlns:a16="http://schemas.microsoft.com/office/drawing/2014/main" id="{00000000-0008-0000-0300-000071000000}"/>
            </a:ext>
          </a:extLst>
        </xdr:cNvPr>
        <xdr:cNvSpPr txBox="1"/>
      </xdr:nvSpPr>
      <xdr:spPr>
        <a:xfrm>
          <a:off x="6208395" y="4651179"/>
          <a:ext cx="724256" cy="2183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5</a:t>
          </a:r>
          <a:r>
            <a:rPr kumimoji="1" lang="en-US" altLang="ja-JP" sz="800" b="0" baseline="0">
              <a:latin typeface="Arial" panose="020B0604020202020204" pitchFamily="34" charset="0"/>
              <a:cs typeface="Arial" panose="020B0604020202020204" pitchFamily="34" charset="0"/>
            </a:rPr>
            <a:t>(Gender)</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29</xdr:row>
      <xdr:rowOff>54951</xdr:rowOff>
    </xdr:from>
    <xdr:to>
      <xdr:col>12</xdr:col>
      <xdr:colOff>438459</xdr:colOff>
      <xdr:row>30</xdr:row>
      <xdr:rowOff>58437</xdr:rowOff>
    </xdr:to>
    <xdr:sp macro="" textlink="">
      <xdr:nvSpPr>
        <xdr:cNvPr id="114" name="テキスト ボックス 113">
          <a:extLst>
            <a:ext uri="{FF2B5EF4-FFF2-40B4-BE49-F238E27FC236}">
              <a16:creationId xmlns:a16="http://schemas.microsoft.com/office/drawing/2014/main" id="{00000000-0008-0000-0300-000072000000}"/>
            </a:ext>
          </a:extLst>
        </xdr:cNvPr>
        <xdr:cNvSpPr txBox="1"/>
      </xdr:nvSpPr>
      <xdr:spPr>
        <a:xfrm>
          <a:off x="6208395" y="4838406"/>
          <a:ext cx="1067109" cy="2092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6</a:t>
          </a:r>
          <a:r>
            <a:rPr kumimoji="1" lang="en-US" altLang="ja-JP" sz="800" b="0" baseline="0">
              <a:latin typeface="Arial" panose="020B0604020202020204" pitchFamily="34" charset="0"/>
              <a:cs typeface="Arial" panose="020B0604020202020204" pitchFamily="34" charset="0"/>
            </a:rPr>
            <a:t>(Water/Sanitation)</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30</xdr:row>
      <xdr:rowOff>15483</xdr:rowOff>
    </xdr:from>
    <xdr:to>
      <xdr:col>12</xdr:col>
      <xdr:colOff>95606</xdr:colOff>
      <xdr:row>31</xdr:row>
      <xdr:rowOff>18543</xdr:rowOff>
    </xdr:to>
    <xdr:sp macro="" textlink="">
      <xdr:nvSpPr>
        <xdr:cNvPr id="115" name="テキスト ボックス 114">
          <a:extLst>
            <a:ext uri="{FF2B5EF4-FFF2-40B4-BE49-F238E27FC236}">
              <a16:creationId xmlns:a16="http://schemas.microsoft.com/office/drawing/2014/main" id="{00000000-0008-0000-0300-000073000000}"/>
            </a:ext>
          </a:extLst>
        </xdr:cNvPr>
        <xdr:cNvSpPr txBox="1"/>
      </xdr:nvSpPr>
      <xdr:spPr>
        <a:xfrm>
          <a:off x="6208395" y="4993248"/>
          <a:ext cx="724256" cy="2183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7</a:t>
          </a:r>
          <a:r>
            <a:rPr kumimoji="1" lang="en-US" altLang="ja-JP" sz="800" b="0" baseline="0">
              <a:latin typeface="Arial" panose="020B0604020202020204" pitchFamily="34" charset="0"/>
              <a:cs typeface="Arial" panose="020B0604020202020204" pitchFamily="34" charset="0"/>
            </a:rPr>
            <a:t>(Energy)</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31</xdr:row>
      <xdr:rowOff>16021</xdr:rowOff>
    </xdr:from>
    <xdr:to>
      <xdr:col>12</xdr:col>
      <xdr:colOff>206049</xdr:colOff>
      <xdr:row>31</xdr:row>
      <xdr:rowOff>172738</xdr:rowOff>
    </xdr:to>
    <xdr:sp macro="" textlink="">
      <xdr:nvSpPr>
        <xdr:cNvPr id="116" name="テキスト ボックス 115">
          <a:extLst>
            <a:ext uri="{FF2B5EF4-FFF2-40B4-BE49-F238E27FC236}">
              <a16:creationId xmlns:a16="http://schemas.microsoft.com/office/drawing/2014/main" id="{00000000-0008-0000-0300-000074000000}"/>
            </a:ext>
          </a:extLst>
        </xdr:cNvPr>
        <xdr:cNvSpPr txBox="1"/>
      </xdr:nvSpPr>
      <xdr:spPr>
        <a:xfrm>
          <a:off x="6208395" y="5182381"/>
          <a:ext cx="840414" cy="1700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8</a:t>
          </a:r>
          <a:r>
            <a:rPr kumimoji="1" lang="en-US" altLang="ja-JP" sz="800" b="0" baseline="0">
              <a:latin typeface="Arial" panose="020B0604020202020204" pitchFamily="34" charset="0"/>
              <a:cs typeface="Arial" panose="020B0604020202020204" pitchFamily="34" charset="0"/>
            </a:rPr>
            <a:t>(Job/Economy)</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31</xdr:row>
      <xdr:rowOff>168957</xdr:rowOff>
    </xdr:from>
    <xdr:to>
      <xdr:col>12</xdr:col>
      <xdr:colOff>95606</xdr:colOff>
      <xdr:row>32</xdr:row>
      <xdr:rowOff>173922</xdr:rowOff>
    </xdr:to>
    <xdr:sp macro="" textlink="">
      <xdr:nvSpPr>
        <xdr:cNvPr id="117" name="テキスト ボックス 116">
          <a:extLst>
            <a:ext uri="{FF2B5EF4-FFF2-40B4-BE49-F238E27FC236}">
              <a16:creationId xmlns:a16="http://schemas.microsoft.com/office/drawing/2014/main" id="{00000000-0008-0000-0300-000075000000}"/>
            </a:ext>
          </a:extLst>
        </xdr:cNvPr>
        <xdr:cNvSpPr txBox="1"/>
      </xdr:nvSpPr>
      <xdr:spPr>
        <a:xfrm>
          <a:off x="6208395" y="5335317"/>
          <a:ext cx="724256" cy="2202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9</a:t>
          </a:r>
          <a:r>
            <a:rPr kumimoji="1" lang="en-US" altLang="ja-JP" sz="800" b="0" baseline="0">
              <a:latin typeface="Arial" panose="020B0604020202020204" pitchFamily="34" charset="0"/>
              <a:cs typeface="Arial" panose="020B0604020202020204" pitchFamily="34" charset="0"/>
            </a:rPr>
            <a:t>(Innovation)</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32</xdr:row>
      <xdr:rowOff>133299</xdr:rowOff>
    </xdr:from>
    <xdr:to>
      <xdr:col>12</xdr:col>
      <xdr:colOff>16907</xdr:colOff>
      <xdr:row>33</xdr:row>
      <xdr:rowOff>168744</xdr:rowOff>
    </xdr:to>
    <xdr:sp macro="" textlink="">
      <xdr:nvSpPr>
        <xdr:cNvPr id="118" name="テキスト ボックス 117">
          <a:extLst>
            <a:ext uri="{FF2B5EF4-FFF2-40B4-BE49-F238E27FC236}">
              <a16:creationId xmlns:a16="http://schemas.microsoft.com/office/drawing/2014/main" id="{00000000-0008-0000-0300-000076000000}"/>
            </a:ext>
          </a:extLst>
        </xdr:cNvPr>
        <xdr:cNvSpPr txBox="1"/>
      </xdr:nvSpPr>
      <xdr:spPr>
        <a:xfrm>
          <a:off x="6208395" y="5516829"/>
          <a:ext cx="651272" cy="2011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11</a:t>
          </a:r>
          <a:r>
            <a:rPr kumimoji="1" lang="en-US" altLang="ja-JP" sz="800" b="0" baseline="0">
              <a:latin typeface="Arial" panose="020B0604020202020204" pitchFamily="34" charset="0"/>
              <a:cs typeface="Arial" panose="020B0604020202020204" pitchFamily="34" charset="0"/>
            </a:rPr>
            <a:t>(Cities)</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171450</xdr:colOff>
      <xdr:row>33</xdr:row>
      <xdr:rowOff>74781</xdr:rowOff>
    </xdr:from>
    <xdr:to>
      <xdr:col>12</xdr:col>
      <xdr:colOff>362261</xdr:colOff>
      <xdr:row>34</xdr:row>
      <xdr:rowOff>151782</xdr:rowOff>
    </xdr:to>
    <xdr:sp macro="" textlink="">
      <xdr:nvSpPr>
        <xdr:cNvPr id="119" name="テキスト ボックス 118">
          <a:extLst>
            <a:ext uri="{FF2B5EF4-FFF2-40B4-BE49-F238E27FC236}">
              <a16:creationId xmlns:a16="http://schemas.microsoft.com/office/drawing/2014/main" id="{00000000-0008-0000-0300-000077000000}"/>
            </a:ext>
          </a:extLst>
        </xdr:cNvPr>
        <xdr:cNvSpPr txBox="1"/>
      </xdr:nvSpPr>
      <xdr:spPr>
        <a:xfrm>
          <a:off x="6189345" y="5637381"/>
          <a:ext cx="1009961" cy="26750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12(Consum./Prod.)</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167640</xdr:colOff>
      <xdr:row>34</xdr:row>
      <xdr:rowOff>92463</xdr:rowOff>
    </xdr:from>
    <xdr:to>
      <xdr:col>12</xdr:col>
      <xdr:colOff>283203</xdr:colOff>
      <xdr:row>35</xdr:row>
      <xdr:rowOff>129875</xdr:rowOff>
    </xdr:to>
    <xdr:sp macro="" textlink="">
      <xdr:nvSpPr>
        <xdr:cNvPr id="120" name="テキスト ボックス 119">
          <a:extLst>
            <a:ext uri="{FF2B5EF4-FFF2-40B4-BE49-F238E27FC236}">
              <a16:creationId xmlns:a16="http://schemas.microsoft.com/office/drawing/2014/main" id="{00000000-0008-0000-0300-000078000000}"/>
            </a:ext>
          </a:extLst>
        </xdr:cNvPr>
        <xdr:cNvSpPr txBox="1"/>
      </xdr:nvSpPr>
      <xdr:spPr>
        <a:xfrm>
          <a:off x="6187440" y="5839848"/>
          <a:ext cx="934713" cy="22791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13(Climate action)</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173355</xdr:colOff>
      <xdr:row>36</xdr:row>
      <xdr:rowOff>59251</xdr:rowOff>
    </xdr:from>
    <xdr:to>
      <xdr:col>12</xdr:col>
      <xdr:colOff>324160</xdr:colOff>
      <xdr:row>37</xdr:row>
      <xdr:rowOff>92727</xdr:rowOff>
    </xdr:to>
    <xdr:sp macro="" textlink="">
      <xdr:nvSpPr>
        <xdr:cNvPr id="121" name="テキスト ボックス 120">
          <a:extLst>
            <a:ext uri="{FF2B5EF4-FFF2-40B4-BE49-F238E27FC236}">
              <a16:creationId xmlns:a16="http://schemas.microsoft.com/office/drawing/2014/main" id="{00000000-0008-0000-0300-000079000000}"/>
            </a:ext>
          </a:extLst>
        </xdr:cNvPr>
        <xdr:cNvSpPr txBox="1"/>
      </xdr:nvSpPr>
      <xdr:spPr>
        <a:xfrm>
          <a:off x="6208395" y="6202876"/>
          <a:ext cx="952810" cy="1992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17</a:t>
          </a:r>
          <a:r>
            <a:rPr kumimoji="1" lang="en-US" altLang="ja-JP" sz="800" b="0" baseline="0">
              <a:latin typeface="Arial" panose="020B0604020202020204" pitchFamily="34" charset="0"/>
              <a:cs typeface="Arial" panose="020B0604020202020204" pitchFamily="34" charset="0"/>
            </a:rPr>
            <a:t>(Partnerships)</a:t>
          </a:r>
          <a:endParaRPr kumimoji="1" lang="ja-JP" altLang="en-US" sz="800" b="0">
            <a:latin typeface="Arial" panose="020B0604020202020204" pitchFamily="34" charset="0"/>
            <a:cs typeface="Arial" panose="020B0604020202020204" pitchFamily="34" charset="0"/>
          </a:endParaRPr>
        </a:p>
      </xdr:txBody>
    </xdr:sp>
    <xdr:clientData/>
  </xdr:twoCellAnchor>
  <xdr:twoCellAnchor editAs="absolute">
    <xdr:from>
      <xdr:col>11</xdr:col>
      <xdr:colOff>167640</xdr:colOff>
      <xdr:row>35</xdr:row>
      <xdr:rowOff>96810</xdr:rowOff>
    </xdr:from>
    <xdr:to>
      <xdr:col>12</xdr:col>
      <xdr:colOff>286060</xdr:colOff>
      <xdr:row>36</xdr:row>
      <xdr:rowOff>94155</xdr:rowOff>
    </xdr:to>
    <xdr:sp macro="" textlink="">
      <xdr:nvSpPr>
        <xdr:cNvPr id="122" name="テキスト ボックス 121">
          <a:extLst>
            <a:ext uri="{FF2B5EF4-FFF2-40B4-BE49-F238E27FC236}">
              <a16:creationId xmlns:a16="http://schemas.microsoft.com/office/drawing/2014/main" id="{00000000-0008-0000-0300-00007A000000}"/>
            </a:ext>
          </a:extLst>
        </xdr:cNvPr>
        <xdr:cNvSpPr txBox="1"/>
      </xdr:nvSpPr>
      <xdr:spPr>
        <a:xfrm>
          <a:off x="6191250" y="6040410"/>
          <a:ext cx="931855" cy="1878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ctr">
          <a:noAutofit/>
        </a:bodyPr>
        <a:lstStyle/>
        <a:p>
          <a:pPr algn="l"/>
          <a:r>
            <a:rPr kumimoji="1" lang="en-US" altLang="ja-JP" sz="800" b="0">
              <a:latin typeface="Arial" panose="020B0604020202020204" pitchFamily="34" charset="0"/>
              <a:cs typeface="Arial" panose="020B0604020202020204" pitchFamily="34" charset="0"/>
            </a:rPr>
            <a:t>15(Life on land)</a:t>
          </a:r>
          <a:endParaRPr kumimoji="1" lang="ja-JP" altLang="en-US" sz="800" b="0">
            <a:latin typeface="Arial" panose="020B0604020202020204" pitchFamily="34" charset="0"/>
            <a:cs typeface="Arial" panose="020B0604020202020204" pitchFamily="34" charset="0"/>
          </a:endParaRPr>
        </a:p>
      </xdr:txBody>
    </xdr:sp>
    <xdr:clientData/>
  </xdr:twoCellAnchor>
  <xdr:twoCellAnchor>
    <xdr:from>
      <xdr:col>2</xdr:col>
      <xdr:colOff>9525</xdr:colOff>
      <xdr:row>28</xdr:row>
      <xdr:rowOff>0</xdr:rowOff>
    </xdr:from>
    <xdr:to>
      <xdr:col>2</xdr:col>
      <xdr:colOff>287860</xdr:colOff>
      <xdr:row>37</xdr:row>
      <xdr:rowOff>131979</xdr:rowOff>
    </xdr:to>
    <xdr:sp macro="" textlink="">
      <xdr:nvSpPr>
        <xdr:cNvPr id="123" name="Text Box 1">
          <a:extLst>
            <a:ext uri="{FF2B5EF4-FFF2-40B4-BE49-F238E27FC236}">
              <a16:creationId xmlns:a16="http://schemas.microsoft.com/office/drawing/2014/main" id="{00000000-0008-0000-0300-00007B000000}"/>
            </a:ext>
          </a:extLst>
        </xdr:cNvPr>
        <xdr:cNvSpPr txBox="1">
          <a:spLocks noChangeArrowheads="1"/>
        </xdr:cNvSpPr>
      </xdr:nvSpPr>
      <xdr:spPr bwMode="auto">
        <a:xfrm>
          <a:off x="209550" y="4638675"/>
          <a:ext cx="278335" cy="1846479"/>
        </a:xfrm>
        <a:prstGeom prst="rect">
          <a:avLst/>
        </a:prstGeom>
        <a:noFill/>
        <a:ln w="1">
          <a:noFill/>
          <a:miter lim="800000"/>
          <a:headEnd/>
          <a:tailEnd/>
        </a:ln>
        <a:effectLst/>
      </xdr:spPr>
      <xdr:txBody>
        <a:bodyPr vert="vert270" wrap="square" lIns="36576" tIns="18288" rIns="36576" bIns="18288"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Environmental Quality Q</a:t>
          </a:r>
          <a:endParaRPr lang="ja-JP" altLang="en-US" sz="1100" b="1" i="0" strike="noStrike">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twoCellAnchor>
    <xdr:from>
      <xdr:col>2</xdr:col>
      <xdr:colOff>561975</xdr:colOff>
      <xdr:row>37</xdr:row>
      <xdr:rowOff>133350</xdr:rowOff>
    </xdr:from>
    <xdr:to>
      <xdr:col>5</xdr:col>
      <xdr:colOff>246607</xdr:colOff>
      <xdr:row>38</xdr:row>
      <xdr:rowOff>181271</xdr:rowOff>
    </xdr:to>
    <xdr:sp macro="" textlink="">
      <xdr:nvSpPr>
        <xdr:cNvPr id="124" name="Text Box 2">
          <a:extLst>
            <a:ext uri="{FF2B5EF4-FFF2-40B4-BE49-F238E27FC236}">
              <a16:creationId xmlns:a16="http://schemas.microsoft.com/office/drawing/2014/main" id="{00000000-0008-0000-0300-00007C000000}"/>
            </a:ext>
          </a:extLst>
        </xdr:cNvPr>
        <xdr:cNvSpPr txBox="1">
          <a:spLocks noChangeArrowheads="1"/>
        </xdr:cNvSpPr>
      </xdr:nvSpPr>
      <xdr:spPr bwMode="auto">
        <a:xfrm>
          <a:off x="762000" y="6486525"/>
          <a:ext cx="1627732" cy="238421"/>
        </a:xfrm>
        <a:prstGeom prst="rect">
          <a:avLst/>
        </a:prstGeom>
        <a:noFill/>
        <a:ln w="1">
          <a:noFill/>
          <a:miter lim="800000"/>
          <a:headEnd/>
          <a:tailEnd/>
        </a:ln>
        <a:effectLst/>
      </xdr:spPr>
      <xdr:txBody>
        <a:bodyPr wrap="square" lIns="36576" tIns="18288" rIns="36576" bIns="18288"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Environmental</a:t>
          </a:r>
          <a:r>
            <a:rPr lang="en-US" altLang="ja-JP" sz="1100" b="1" i="0" strike="noStrike" baseline="0">
              <a:solidFill>
                <a:srgbClr val="000000"/>
              </a:solidFill>
              <a:latin typeface="Arial" panose="020B0604020202020204" pitchFamily="34" charset="0"/>
              <a:ea typeface="ＭＳ Ｐゴシック"/>
              <a:cs typeface="Arial" panose="020B0604020202020204" pitchFamily="34" charset="0"/>
            </a:rPr>
            <a:t> Load L</a:t>
          </a:r>
          <a:endParaRPr lang="en-US" altLang="ja-JP" sz="1100" b="1" i="0" strike="noStrike">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twoCellAnchor>
    <xdr:from>
      <xdr:col>7</xdr:col>
      <xdr:colOff>1</xdr:colOff>
      <xdr:row>28</xdr:row>
      <xdr:rowOff>0</xdr:rowOff>
    </xdr:from>
    <xdr:to>
      <xdr:col>7</xdr:col>
      <xdr:colOff>876301</xdr:colOff>
      <xdr:row>29</xdr:row>
      <xdr:rowOff>38101</xdr:rowOff>
    </xdr:to>
    <xdr:sp macro="" textlink="">
      <xdr:nvSpPr>
        <xdr:cNvPr id="125" name="Text Box 131">
          <a:extLst>
            <a:ext uri="{FF2B5EF4-FFF2-40B4-BE49-F238E27FC236}">
              <a16:creationId xmlns:a16="http://schemas.microsoft.com/office/drawing/2014/main" id="{00000000-0008-0000-0300-00007D000000}"/>
            </a:ext>
          </a:extLst>
        </xdr:cNvPr>
        <xdr:cNvSpPr txBox="1">
          <a:spLocks noChangeArrowheads="1"/>
        </xdr:cNvSpPr>
      </xdr:nvSpPr>
      <xdr:spPr bwMode="auto">
        <a:xfrm>
          <a:off x="3009901" y="4638675"/>
          <a:ext cx="876300" cy="228601"/>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Arial" panose="020B0604020202020204" pitchFamily="34" charset="0"/>
              <a:ea typeface="+mn-ea"/>
              <a:cs typeface="Arial" panose="020B0604020202020204" pitchFamily="34" charset="0"/>
            </a:rPr>
            <a:t>1.Reference value</a:t>
          </a:r>
          <a:endParaRPr lang="ja-JP" altLang="ja-JP" sz="400">
            <a:effectLst/>
            <a:latin typeface="Arial" panose="020B0604020202020204" pitchFamily="34" charset="0"/>
            <a:cs typeface="Arial" panose="020B0604020202020204" pitchFamily="34" charset="0"/>
          </a:endParaRPr>
        </a:p>
      </xdr:txBody>
    </xdr:sp>
    <xdr:clientData/>
  </xdr:twoCellAnchor>
  <xdr:twoCellAnchor>
    <xdr:from>
      <xdr:col>7</xdr:col>
      <xdr:colOff>9526</xdr:colOff>
      <xdr:row>29</xdr:row>
      <xdr:rowOff>28574</xdr:rowOff>
    </xdr:from>
    <xdr:to>
      <xdr:col>7</xdr:col>
      <xdr:colOff>885826</xdr:colOff>
      <xdr:row>31</xdr:row>
      <xdr:rowOff>9524</xdr:rowOff>
    </xdr:to>
    <xdr:sp macro="" textlink="">
      <xdr:nvSpPr>
        <xdr:cNvPr id="126" name="Text Box 46">
          <a:extLst>
            <a:ext uri="{FF2B5EF4-FFF2-40B4-BE49-F238E27FC236}">
              <a16:creationId xmlns:a16="http://schemas.microsoft.com/office/drawing/2014/main" id="{00000000-0008-0000-0300-00007E000000}"/>
            </a:ext>
          </a:extLst>
        </xdr:cNvPr>
        <xdr:cNvSpPr txBox="1">
          <a:spLocks noChangeArrowheads="1"/>
        </xdr:cNvSpPr>
      </xdr:nvSpPr>
      <xdr:spPr bwMode="auto">
        <a:xfrm>
          <a:off x="3019426" y="4857749"/>
          <a:ext cx="876300" cy="361950"/>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mn-lt"/>
              <a:ea typeface="+mn-ea"/>
              <a:cs typeface="+mn-cs"/>
            </a:rPr>
            <a:t>2.Building-related</a:t>
          </a:r>
        </a:p>
        <a:p>
          <a:pPr algn="l" rtl="1"/>
          <a:r>
            <a:rPr lang="en-US" altLang="ja-JP" sz="800" b="0" i="0">
              <a:effectLst/>
              <a:latin typeface="+mn-lt"/>
              <a:ea typeface="+mn-ea"/>
              <a:cs typeface="+mn-cs"/>
            </a:rPr>
            <a:t> initiatives</a:t>
          </a:r>
          <a:endParaRPr lang="ja-JP" altLang="ja-JP" sz="400">
            <a:effectLst/>
          </a:endParaRPr>
        </a:p>
      </xdr:txBody>
    </xdr:sp>
    <xdr:clientData/>
  </xdr:twoCellAnchor>
  <xdr:twoCellAnchor>
    <xdr:from>
      <xdr:col>7</xdr:col>
      <xdr:colOff>9525</xdr:colOff>
      <xdr:row>30</xdr:row>
      <xdr:rowOff>152400</xdr:rowOff>
    </xdr:from>
    <xdr:to>
      <xdr:col>8</xdr:col>
      <xdr:colOff>5714</xdr:colOff>
      <xdr:row>33</xdr:row>
      <xdr:rowOff>38100</xdr:rowOff>
    </xdr:to>
    <xdr:sp macro="" textlink="">
      <xdr:nvSpPr>
        <xdr:cNvPr id="127" name="Text Box 47">
          <a:extLst>
            <a:ext uri="{FF2B5EF4-FFF2-40B4-BE49-F238E27FC236}">
              <a16:creationId xmlns:a16="http://schemas.microsoft.com/office/drawing/2014/main" id="{00000000-0008-0000-0300-00007F000000}"/>
            </a:ext>
          </a:extLst>
        </xdr:cNvPr>
        <xdr:cNvSpPr txBox="1">
          <a:spLocks noChangeArrowheads="1"/>
        </xdr:cNvSpPr>
      </xdr:nvSpPr>
      <xdr:spPr bwMode="auto">
        <a:xfrm>
          <a:off x="3019425" y="5172075"/>
          <a:ext cx="891539" cy="457200"/>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mn-lt"/>
              <a:ea typeface="+mn-ea"/>
              <a:cs typeface="+mn-cs"/>
            </a:rPr>
            <a:t>3.Above initiatives + other on-site measures</a:t>
          </a:r>
          <a:endParaRPr lang="ja-JP" altLang="en-US" sz="800" b="0" i="0" strike="noStrike">
            <a:solidFill>
              <a:srgbClr val="000000"/>
            </a:solidFill>
            <a:latin typeface="ＭＳ ゴシック"/>
            <a:ea typeface="ＭＳ ゴシック"/>
          </a:endParaRPr>
        </a:p>
        <a:p>
          <a:pPr algn="l" rtl="1">
            <a:defRPr sz="1000"/>
          </a:pPr>
          <a:endParaRPr lang="ja-JP" altLang="en-US" sz="800" b="0" i="0" strike="noStrike">
            <a:solidFill>
              <a:srgbClr val="000000"/>
            </a:solidFill>
            <a:latin typeface="ＭＳ ゴシック"/>
            <a:ea typeface="ＭＳ ゴシック"/>
          </a:endParaRPr>
        </a:p>
      </xdr:txBody>
    </xdr:sp>
    <xdr:clientData/>
  </xdr:twoCellAnchor>
  <xdr:twoCellAnchor>
    <xdr:from>
      <xdr:col>7</xdr:col>
      <xdr:colOff>0</xdr:colOff>
      <xdr:row>33</xdr:row>
      <xdr:rowOff>0</xdr:rowOff>
    </xdr:from>
    <xdr:to>
      <xdr:col>8</xdr:col>
      <xdr:colOff>304800</xdr:colOff>
      <xdr:row>35</xdr:row>
      <xdr:rowOff>74295</xdr:rowOff>
    </xdr:to>
    <xdr:sp macro="" textlink="">
      <xdr:nvSpPr>
        <xdr:cNvPr id="129" name="Text Box 49">
          <a:extLst>
            <a:ext uri="{FF2B5EF4-FFF2-40B4-BE49-F238E27FC236}">
              <a16:creationId xmlns:a16="http://schemas.microsoft.com/office/drawing/2014/main" id="{00000000-0008-0000-0300-000081000000}"/>
            </a:ext>
          </a:extLst>
        </xdr:cNvPr>
        <xdr:cNvSpPr txBox="1">
          <a:spLocks noChangeArrowheads="1"/>
        </xdr:cNvSpPr>
      </xdr:nvSpPr>
      <xdr:spPr bwMode="auto">
        <a:xfrm>
          <a:off x="3009900" y="5591175"/>
          <a:ext cx="1200150" cy="455295"/>
        </a:xfrm>
        <a:prstGeom prst="rect">
          <a:avLst/>
        </a:prstGeom>
        <a:noFill/>
        <a:ln w="9525">
          <a:noFill/>
          <a:miter lim="800000"/>
          <a:headEnd/>
          <a:tailEnd/>
        </a:ln>
      </xdr:spPr>
      <xdr:txBody>
        <a:bodyPr vertOverflow="clip" wrap="square" lIns="27432" tIns="18288" rIns="0" bIns="0" anchor="ctr" upright="1"/>
        <a:lstStyle/>
        <a:p>
          <a:pPr algn="l" rtl="1"/>
          <a:r>
            <a:rPr lang="en-US" altLang="ja-JP" sz="800" b="0" i="0">
              <a:effectLst/>
              <a:latin typeface="+mn-lt"/>
              <a:ea typeface="+mn-ea"/>
              <a:cs typeface="+mn-cs"/>
            </a:rPr>
            <a:t>4.Above initiatives +</a:t>
          </a:r>
          <a:br>
            <a:rPr lang="en-US" altLang="ja-JP" sz="800" b="0" i="0">
              <a:effectLst/>
              <a:latin typeface="+mn-lt"/>
              <a:ea typeface="+mn-ea"/>
              <a:cs typeface="+mn-cs"/>
            </a:rPr>
          </a:br>
          <a:r>
            <a:rPr lang="en-US" altLang="ja-JP" sz="800" b="0" i="0">
              <a:effectLst/>
              <a:latin typeface="+mn-lt"/>
              <a:ea typeface="+mn-ea"/>
              <a:cs typeface="+mn-cs"/>
            </a:rPr>
            <a:t> other off-site </a:t>
          </a:r>
          <a:br>
            <a:rPr lang="en-US" altLang="ja-JP" sz="800" b="0" i="0">
              <a:effectLst/>
              <a:latin typeface="+mn-lt"/>
              <a:ea typeface="+mn-ea"/>
              <a:cs typeface="+mn-cs"/>
            </a:rPr>
          </a:br>
          <a:r>
            <a:rPr lang="en-US" altLang="ja-JP" sz="800" b="0" i="0">
              <a:effectLst/>
              <a:latin typeface="+mn-lt"/>
              <a:ea typeface="+mn-ea"/>
              <a:cs typeface="+mn-cs"/>
            </a:rPr>
            <a:t> measures</a:t>
          </a:r>
          <a:endParaRPr lang="ja-JP" altLang="ja-JP" sz="400">
            <a:effectLst/>
          </a:endParaRPr>
        </a:p>
      </xdr:txBody>
    </xdr:sp>
    <xdr:clientData/>
  </xdr:twoCellAnchor>
  <xdr:twoCellAnchor>
    <xdr:from>
      <xdr:col>2</xdr:col>
      <xdr:colOff>190500</xdr:colOff>
      <xdr:row>49</xdr:row>
      <xdr:rowOff>69104</xdr:rowOff>
    </xdr:from>
    <xdr:to>
      <xdr:col>2</xdr:col>
      <xdr:colOff>742943</xdr:colOff>
      <xdr:row>50</xdr:row>
      <xdr:rowOff>171146</xdr:rowOff>
    </xdr:to>
    <xdr:sp macro="" textlink="">
      <xdr:nvSpPr>
        <xdr:cNvPr id="130" name="Rectangle 2">
          <a:extLst>
            <a:ext uri="{FF2B5EF4-FFF2-40B4-BE49-F238E27FC236}">
              <a16:creationId xmlns:a16="http://schemas.microsoft.com/office/drawing/2014/main" id="{00000000-0008-0000-0300-000082000000}"/>
            </a:ext>
          </a:extLst>
        </xdr:cNvPr>
        <xdr:cNvSpPr>
          <a:spLocks noChangeArrowheads="1"/>
        </xdr:cNvSpPr>
      </xdr:nvSpPr>
      <xdr:spPr bwMode="auto">
        <a:xfrm>
          <a:off x="390525" y="8727329"/>
          <a:ext cx="552443" cy="292542"/>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Noise &amp;</a:t>
          </a:r>
        </a:p>
        <a:p>
          <a:pPr algn="l" rtl="1">
            <a:defRPr sz="1000"/>
          </a:pPr>
          <a:r>
            <a:rPr lang="en-US" altLang="ja-JP" sz="700" b="0" i="0" strike="noStrike">
              <a:solidFill>
                <a:srgbClr val="000000"/>
              </a:solidFill>
              <a:latin typeface="Arial"/>
              <a:cs typeface="Arial"/>
            </a:rPr>
            <a:t>Acoustics </a:t>
          </a:r>
        </a:p>
      </xdr:txBody>
    </xdr:sp>
    <xdr:clientData/>
  </xdr:twoCellAnchor>
  <xdr:twoCellAnchor>
    <xdr:from>
      <xdr:col>2</xdr:col>
      <xdr:colOff>904950</xdr:colOff>
      <xdr:row>49</xdr:row>
      <xdr:rowOff>74758</xdr:rowOff>
    </xdr:from>
    <xdr:to>
      <xdr:col>4</xdr:col>
      <xdr:colOff>36757</xdr:colOff>
      <xdr:row>50</xdr:row>
      <xdr:rowOff>182447</xdr:rowOff>
    </xdr:to>
    <xdr:sp macro="" textlink="">
      <xdr:nvSpPr>
        <xdr:cNvPr id="131" name="Rectangle 3">
          <a:extLst>
            <a:ext uri="{FF2B5EF4-FFF2-40B4-BE49-F238E27FC236}">
              <a16:creationId xmlns:a16="http://schemas.microsoft.com/office/drawing/2014/main" id="{00000000-0008-0000-0300-000083000000}"/>
            </a:ext>
          </a:extLst>
        </xdr:cNvPr>
        <xdr:cNvSpPr>
          <a:spLocks noChangeArrowheads="1"/>
        </xdr:cNvSpPr>
      </xdr:nvSpPr>
      <xdr:spPr bwMode="auto">
        <a:xfrm>
          <a:off x="1104975" y="8732983"/>
          <a:ext cx="408157" cy="29818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Thermal </a:t>
          </a:r>
        </a:p>
        <a:p>
          <a:pPr algn="l" rtl="1">
            <a:defRPr sz="1000"/>
          </a:pPr>
          <a:r>
            <a:rPr lang="en-US" altLang="ja-JP" sz="700" b="0" i="0" strike="noStrike">
              <a:solidFill>
                <a:srgbClr val="000000"/>
              </a:solidFill>
              <a:latin typeface="Arial"/>
              <a:cs typeface="Arial"/>
            </a:rPr>
            <a:t>Comfort</a:t>
          </a:r>
        </a:p>
      </xdr:txBody>
    </xdr:sp>
    <xdr:clientData/>
  </xdr:twoCellAnchor>
  <xdr:twoCellAnchor>
    <xdr:from>
      <xdr:col>4</xdr:col>
      <xdr:colOff>227179</xdr:colOff>
      <xdr:row>49</xdr:row>
      <xdr:rowOff>74758</xdr:rowOff>
    </xdr:from>
    <xdr:to>
      <xdr:col>5</xdr:col>
      <xdr:colOff>41300</xdr:colOff>
      <xdr:row>50</xdr:row>
      <xdr:rowOff>182447</xdr:rowOff>
    </xdr:to>
    <xdr:sp macro="" textlink="">
      <xdr:nvSpPr>
        <xdr:cNvPr id="132" name="Rectangle 4">
          <a:extLst>
            <a:ext uri="{FF2B5EF4-FFF2-40B4-BE49-F238E27FC236}">
              <a16:creationId xmlns:a16="http://schemas.microsoft.com/office/drawing/2014/main" id="{00000000-0008-0000-0300-000084000000}"/>
            </a:ext>
          </a:extLst>
        </xdr:cNvPr>
        <xdr:cNvSpPr>
          <a:spLocks noChangeArrowheads="1"/>
        </xdr:cNvSpPr>
      </xdr:nvSpPr>
      <xdr:spPr bwMode="auto">
        <a:xfrm>
          <a:off x="1703554" y="8732983"/>
          <a:ext cx="480871" cy="29818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Lighting &amp;</a:t>
          </a:r>
        </a:p>
        <a:p>
          <a:pPr algn="l" rtl="1">
            <a:defRPr sz="1000"/>
          </a:pPr>
          <a:r>
            <a:rPr lang="en-US" altLang="ja-JP" sz="700" b="0" i="0" strike="noStrike">
              <a:solidFill>
                <a:srgbClr val="000000"/>
              </a:solidFill>
              <a:latin typeface="Arial"/>
              <a:cs typeface="Arial"/>
            </a:rPr>
            <a:t>Illumination</a:t>
          </a:r>
        </a:p>
      </xdr:txBody>
    </xdr:sp>
    <xdr:clientData/>
  </xdr:twoCellAnchor>
  <xdr:twoCellAnchor>
    <xdr:from>
      <xdr:col>5</xdr:col>
      <xdr:colOff>270150</xdr:colOff>
      <xdr:row>49</xdr:row>
      <xdr:rowOff>74758</xdr:rowOff>
    </xdr:from>
    <xdr:to>
      <xdr:col>6</xdr:col>
      <xdr:colOff>349056</xdr:colOff>
      <xdr:row>50</xdr:row>
      <xdr:rowOff>179359</xdr:rowOff>
    </xdr:to>
    <xdr:sp macro="" textlink="">
      <xdr:nvSpPr>
        <xdr:cNvPr id="133" name="Rectangle 5">
          <a:extLst>
            <a:ext uri="{FF2B5EF4-FFF2-40B4-BE49-F238E27FC236}">
              <a16:creationId xmlns:a16="http://schemas.microsoft.com/office/drawing/2014/main" id="{00000000-0008-0000-0300-000085000000}"/>
            </a:ext>
          </a:extLst>
        </xdr:cNvPr>
        <xdr:cNvSpPr>
          <a:spLocks noChangeArrowheads="1"/>
        </xdr:cNvSpPr>
      </xdr:nvSpPr>
      <xdr:spPr bwMode="auto">
        <a:xfrm>
          <a:off x="2413275" y="8732983"/>
          <a:ext cx="507531" cy="29510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Air Quality</a:t>
          </a:r>
        </a:p>
      </xdr:txBody>
    </xdr:sp>
    <xdr:clientData/>
  </xdr:twoCellAnchor>
  <xdr:twoCellAnchor>
    <xdr:from>
      <xdr:col>7</xdr:col>
      <xdr:colOff>619397</xdr:colOff>
      <xdr:row>49</xdr:row>
      <xdr:rowOff>105299</xdr:rowOff>
    </xdr:from>
    <xdr:to>
      <xdr:col>8</xdr:col>
      <xdr:colOff>182510</xdr:colOff>
      <xdr:row>50</xdr:row>
      <xdr:rowOff>188018</xdr:rowOff>
    </xdr:to>
    <xdr:sp macro="" textlink="">
      <xdr:nvSpPr>
        <xdr:cNvPr id="134" name="Rectangle 2">
          <a:extLst>
            <a:ext uri="{FF2B5EF4-FFF2-40B4-BE49-F238E27FC236}">
              <a16:creationId xmlns:a16="http://schemas.microsoft.com/office/drawing/2014/main" id="{00000000-0008-0000-0300-000086000000}"/>
            </a:ext>
          </a:extLst>
        </xdr:cNvPr>
        <xdr:cNvSpPr>
          <a:spLocks noChangeArrowheads="1"/>
        </xdr:cNvSpPr>
      </xdr:nvSpPr>
      <xdr:spPr bwMode="auto">
        <a:xfrm>
          <a:off x="3629297" y="8763524"/>
          <a:ext cx="458463" cy="27321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Service </a:t>
          </a:r>
        </a:p>
        <a:p>
          <a:pPr algn="l" rtl="1">
            <a:defRPr sz="1000"/>
          </a:pPr>
          <a:r>
            <a:rPr lang="en-US" altLang="ja-JP" sz="700" b="0" i="0" strike="noStrike">
              <a:solidFill>
                <a:srgbClr val="000000"/>
              </a:solidFill>
              <a:latin typeface="Arial"/>
              <a:cs typeface="Arial"/>
            </a:rPr>
            <a:t>Ability</a:t>
          </a:r>
        </a:p>
      </xdr:txBody>
    </xdr:sp>
    <xdr:clientData/>
  </xdr:twoCellAnchor>
  <xdr:twoCellAnchor>
    <xdr:from>
      <xdr:col>8</xdr:col>
      <xdr:colOff>469964</xdr:colOff>
      <xdr:row>49</xdr:row>
      <xdr:rowOff>103394</xdr:rowOff>
    </xdr:from>
    <xdr:to>
      <xdr:col>9</xdr:col>
      <xdr:colOff>577487</xdr:colOff>
      <xdr:row>50</xdr:row>
      <xdr:rowOff>188018</xdr:rowOff>
    </xdr:to>
    <xdr:sp macro="" textlink="">
      <xdr:nvSpPr>
        <xdr:cNvPr id="135" name="Rectangle 3">
          <a:extLst>
            <a:ext uri="{FF2B5EF4-FFF2-40B4-BE49-F238E27FC236}">
              <a16:creationId xmlns:a16="http://schemas.microsoft.com/office/drawing/2014/main" id="{00000000-0008-0000-0300-000087000000}"/>
            </a:ext>
          </a:extLst>
        </xdr:cNvPr>
        <xdr:cNvSpPr>
          <a:spLocks noChangeArrowheads="1"/>
        </xdr:cNvSpPr>
      </xdr:nvSpPr>
      <xdr:spPr bwMode="auto">
        <a:xfrm>
          <a:off x="4375214" y="8761619"/>
          <a:ext cx="583773" cy="275124"/>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Durability </a:t>
          </a:r>
        </a:p>
        <a:p>
          <a:pPr algn="l" rtl="1">
            <a:defRPr sz="1000"/>
          </a:pPr>
          <a:r>
            <a:rPr lang="en-US" altLang="ja-JP" sz="700" b="0" i="0" strike="noStrike">
              <a:solidFill>
                <a:srgbClr val="000000"/>
              </a:solidFill>
              <a:latin typeface="Arial"/>
              <a:cs typeface="Arial"/>
            </a:rPr>
            <a:t>&amp; Reliability </a:t>
          </a:r>
        </a:p>
      </xdr:txBody>
    </xdr:sp>
    <xdr:clientData/>
  </xdr:twoCellAnchor>
  <xdr:twoCellAnchor>
    <xdr:from>
      <xdr:col>10</xdr:col>
      <xdr:colOff>10713</xdr:colOff>
      <xdr:row>49</xdr:row>
      <xdr:rowOff>105299</xdr:rowOff>
    </xdr:from>
    <xdr:to>
      <xdr:col>10</xdr:col>
      <xdr:colOff>618885</xdr:colOff>
      <xdr:row>50</xdr:row>
      <xdr:rowOff>188018</xdr:rowOff>
    </xdr:to>
    <xdr:sp macro="" textlink="">
      <xdr:nvSpPr>
        <xdr:cNvPr id="136" name="Rectangle 4">
          <a:extLst>
            <a:ext uri="{FF2B5EF4-FFF2-40B4-BE49-F238E27FC236}">
              <a16:creationId xmlns:a16="http://schemas.microsoft.com/office/drawing/2014/main" id="{00000000-0008-0000-0300-000088000000}"/>
            </a:ext>
          </a:extLst>
        </xdr:cNvPr>
        <xdr:cNvSpPr>
          <a:spLocks noChangeArrowheads="1"/>
        </xdr:cNvSpPr>
      </xdr:nvSpPr>
      <xdr:spPr bwMode="auto">
        <a:xfrm>
          <a:off x="5220888" y="8763524"/>
          <a:ext cx="608172" cy="273219"/>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Flexibility </a:t>
          </a:r>
        </a:p>
        <a:p>
          <a:pPr algn="l" rtl="1">
            <a:defRPr sz="1000"/>
          </a:pPr>
          <a:r>
            <a:rPr lang="en-US" altLang="ja-JP" sz="700" b="0" i="0" strike="noStrike">
              <a:solidFill>
                <a:srgbClr val="000000"/>
              </a:solidFill>
              <a:latin typeface="Arial"/>
              <a:cs typeface="Arial"/>
            </a:rPr>
            <a:t>&amp; Adaptability</a:t>
          </a:r>
        </a:p>
      </xdr:txBody>
    </xdr:sp>
    <xdr:clientData/>
  </xdr:twoCellAnchor>
  <xdr:twoCellAnchor>
    <xdr:from>
      <xdr:col>11</xdr:col>
      <xdr:colOff>517888</xdr:colOff>
      <xdr:row>49</xdr:row>
      <xdr:rowOff>57674</xdr:rowOff>
    </xdr:from>
    <xdr:to>
      <xdr:col>12</xdr:col>
      <xdr:colOff>260106</xdr:colOff>
      <xdr:row>51</xdr:row>
      <xdr:rowOff>68344</xdr:rowOff>
    </xdr:to>
    <xdr:sp macro="" textlink="">
      <xdr:nvSpPr>
        <xdr:cNvPr id="137" name="Rectangle 3">
          <a:extLst>
            <a:ext uri="{FF2B5EF4-FFF2-40B4-BE49-F238E27FC236}">
              <a16:creationId xmlns:a16="http://schemas.microsoft.com/office/drawing/2014/main" id="{00000000-0008-0000-0300-000089000000}"/>
            </a:ext>
          </a:extLst>
        </xdr:cNvPr>
        <xdr:cNvSpPr>
          <a:spLocks noChangeArrowheads="1"/>
        </xdr:cNvSpPr>
      </xdr:nvSpPr>
      <xdr:spPr bwMode="auto">
        <a:xfrm>
          <a:off x="6547213" y="8715899"/>
          <a:ext cx="561368" cy="391670"/>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Preservation &amp; Creation of  Biotope</a:t>
          </a:r>
        </a:p>
      </xdr:txBody>
    </xdr:sp>
    <xdr:clientData/>
  </xdr:twoCellAnchor>
  <xdr:twoCellAnchor>
    <xdr:from>
      <xdr:col>12</xdr:col>
      <xdr:colOff>517180</xdr:colOff>
      <xdr:row>49</xdr:row>
      <xdr:rowOff>100965</xdr:rowOff>
    </xdr:from>
    <xdr:to>
      <xdr:col>13</xdr:col>
      <xdr:colOff>322489</xdr:colOff>
      <xdr:row>51</xdr:row>
      <xdr:rowOff>74251</xdr:rowOff>
    </xdr:to>
    <xdr:sp macro="" textlink="">
      <xdr:nvSpPr>
        <xdr:cNvPr id="138" name="Rectangle 4">
          <a:extLst>
            <a:ext uri="{FF2B5EF4-FFF2-40B4-BE49-F238E27FC236}">
              <a16:creationId xmlns:a16="http://schemas.microsoft.com/office/drawing/2014/main" id="{00000000-0008-0000-0300-00008A000000}"/>
            </a:ext>
          </a:extLst>
        </xdr:cNvPr>
        <xdr:cNvSpPr>
          <a:spLocks noChangeArrowheads="1"/>
        </xdr:cNvSpPr>
      </xdr:nvSpPr>
      <xdr:spPr bwMode="auto">
        <a:xfrm>
          <a:off x="7365655" y="8759190"/>
          <a:ext cx="614934" cy="354286"/>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Townscape &amp; Landscape</a:t>
          </a:r>
        </a:p>
      </xdr:txBody>
    </xdr:sp>
    <xdr:clientData/>
  </xdr:twoCellAnchor>
  <xdr:twoCellAnchor>
    <xdr:from>
      <xdr:col>13</xdr:col>
      <xdr:colOff>497763</xdr:colOff>
      <xdr:row>49</xdr:row>
      <xdr:rowOff>47625</xdr:rowOff>
    </xdr:from>
    <xdr:to>
      <xdr:col>14</xdr:col>
      <xdr:colOff>759411</xdr:colOff>
      <xdr:row>51</xdr:row>
      <xdr:rowOff>20911</xdr:rowOff>
    </xdr:to>
    <xdr:sp macro="" textlink="">
      <xdr:nvSpPr>
        <xdr:cNvPr id="139" name="Rectangle 5">
          <a:extLst>
            <a:ext uri="{FF2B5EF4-FFF2-40B4-BE49-F238E27FC236}">
              <a16:creationId xmlns:a16="http://schemas.microsoft.com/office/drawing/2014/main" id="{00000000-0008-0000-0300-00008B000000}"/>
            </a:ext>
          </a:extLst>
        </xdr:cNvPr>
        <xdr:cNvSpPr>
          <a:spLocks noChangeArrowheads="1"/>
        </xdr:cNvSpPr>
      </xdr:nvSpPr>
      <xdr:spPr bwMode="auto">
        <a:xfrm>
          <a:off x="8155863" y="8705850"/>
          <a:ext cx="852198" cy="354286"/>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Local Characteristics &amp; Outdoor Amenity  </a:t>
          </a:r>
        </a:p>
      </xdr:txBody>
    </xdr:sp>
    <xdr:clientData/>
  </xdr:twoCellAnchor>
  <xdr:twoCellAnchor>
    <xdr:from>
      <xdr:col>2</xdr:col>
      <xdr:colOff>161925</xdr:colOff>
      <xdr:row>60</xdr:row>
      <xdr:rowOff>49530</xdr:rowOff>
    </xdr:from>
    <xdr:to>
      <xdr:col>2</xdr:col>
      <xdr:colOff>712612</xdr:colOff>
      <xdr:row>62</xdr:row>
      <xdr:rowOff>73881</xdr:rowOff>
    </xdr:to>
    <xdr:sp macro="" textlink="">
      <xdr:nvSpPr>
        <xdr:cNvPr id="140" name="Rectangle 2">
          <a:extLst>
            <a:ext uri="{FF2B5EF4-FFF2-40B4-BE49-F238E27FC236}">
              <a16:creationId xmlns:a16="http://schemas.microsoft.com/office/drawing/2014/main" id="{00000000-0008-0000-0300-00008C000000}"/>
            </a:ext>
          </a:extLst>
        </xdr:cNvPr>
        <xdr:cNvSpPr>
          <a:spLocks noChangeArrowheads="1"/>
        </xdr:cNvSpPr>
      </xdr:nvSpPr>
      <xdr:spPr bwMode="auto">
        <a:xfrm>
          <a:off x="361950" y="10831830"/>
          <a:ext cx="550687" cy="42440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Building Thermal Load</a:t>
          </a:r>
        </a:p>
      </xdr:txBody>
    </xdr:sp>
    <xdr:clientData/>
  </xdr:twoCellAnchor>
  <xdr:twoCellAnchor>
    <xdr:from>
      <xdr:col>4</xdr:col>
      <xdr:colOff>126038</xdr:colOff>
      <xdr:row>60</xdr:row>
      <xdr:rowOff>49530</xdr:rowOff>
    </xdr:from>
    <xdr:to>
      <xdr:col>5</xdr:col>
      <xdr:colOff>170310</xdr:colOff>
      <xdr:row>62</xdr:row>
      <xdr:rowOff>13095</xdr:rowOff>
    </xdr:to>
    <xdr:sp macro="" textlink="">
      <xdr:nvSpPr>
        <xdr:cNvPr id="142" name="Rectangle 4">
          <a:extLst>
            <a:ext uri="{FF2B5EF4-FFF2-40B4-BE49-F238E27FC236}">
              <a16:creationId xmlns:a16="http://schemas.microsoft.com/office/drawing/2014/main" id="{00000000-0008-0000-0300-00008E000000}"/>
            </a:ext>
          </a:extLst>
        </xdr:cNvPr>
        <xdr:cNvSpPr>
          <a:spLocks noChangeArrowheads="1"/>
        </xdr:cNvSpPr>
      </xdr:nvSpPr>
      <xdr:spPr bwMode="auto">
        <a:xfrm>
          <a:off x="1602413" y="10831830"/>
          <a:ext cx="711022" cy="363615"/>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Efficiency in Building Service</a:t>
          </a:r>
        </a:p>
        <a:p>
          <a:pPr algn="l" rtl="1">
            <a:defRPr sz="1000"/>
          </a:pPr>
          <a:r>
            <a:rPr lang="en-US" altLang="ja-JP" sz="700" b="0" i="0" strike="noStrike">
              <a:solidFill>
                <a:srgbClr val="000000"/>
              </a:solidFill>
              <a:latin typeface="Arial"/>
              <a:cs typeface="Arial"/>
            </a:rPr>
            <a:t>System</a:t>
          </a:r>
        </a:p>
      </xdr:txBody>
    </xdr:sp>
    <xdr:clientData/>
  </xdr:twoCellAnchor>
  <xdr:twoCellAnchor>
    <xdr:from>
      <xdr:col>5</xdr:col>
      <xdr:colOff>220682</xdr:colOff>
      <xdr:row>60</xdr:row>
      <xdr:rowOff>49530</xdr:rowOff>
    </xdr:from>
    <xdr:to>
      <xdr:col>6</xdr:col>
      <xdr:colOff>287226</xdr:colOff>
      <xdr:row>62</xdr:row>
      <xdr:rowOff>73881</xdr:rowOff>
    </xdr:to>
    <xdr:sp macro="" textlink="">
      <xdr:nvSpPr>
        <xdr:cNvPr id="143" name="Rectangle 5">
          <a:extLst>
            <a:ext uri="{FF2B5EF4-FFF2-40B4-BE49-F238E27FC236}">
              <a16:creationId xmlns:a16="http://schemas.microsoft.com/office/drawing/2014/main" id="{00000000-0008-0000-0300-00008F000000}"/>
            </a:ext>
          </a:extLst>
        </xdr:cNvPr>
        <xdr:cNvSpPr>
          <a:spLocks noChangeArrowheads="1"/>
        </xdr:cNvSpPr>
      </xdr:nvSpPr>
      <xdr:spPr bwMode="auto">
        <a:xfrm>
          <a:off x="2363807" y="10831830"/>
          <a:ext cx="495169" cy="42440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Efficient Operation</a:t>
          </a:r>
        </a:p>
        <a:p>
          <a:pPr algn="l" rtl="1">
            <a:defRPr sz="1000"/>
          </a:pPr>
          <a:r>
            <a:rPr lang="en-US" altLang="ja-JP" sz="700" b="0" i="0" strike="noStrike">
              <a:solidFill>
                <a:srgbClr val="000000"/>
              </a:solidFill>
              <a:latin typeface="Arial"/>
              <a:cs typeface="Arial"/>
            </a:rPr>
            <a:t>Initiatives</a:t>
          </a:r>
        </a:p>
      </xdr:txBody>
    </xdr:sp>
    <xdr:clientData/>
  </xdr:twoCellAnchor>
  <xdr:twoCellAnchor>
    <xdr:from>
      <xdr:col>7</xdr:col>
      <xdr:colOff>562246</xdr:colOff>
      <xdr:row>60</xdr:row>
      <xdr:rowOff>40005</xdr:rowOff>
    </xdr:from>
    <xdr:to>
      <xdr:col>8</xdr:col>
      <xdr:colOff>220162</xdr:colOff>
      <xdr:row>61</xdr:row>
      <xdr:rowOff>172575</xdr:rowOff>
    </xdr:to>
    <xdr:sp macro="" textlink="">
      <xdr:nvSpPr>
        <xdr:cNvPr id="144" name="Rectangle 2">
          <a:extLst>
            <a:ext uri="{FF2B5EF4-FFF2-40B4-BE49-F238E27FC236}">
              <a16:creationId xmlns:a16="http://schemas.microsoft.com/office/drawing/2014/main" id="{00000000-0008-0000-0300-000090000000}"/>
            </a:ext>
          </a:extLst>
        </xdr:cNvPr>
        <xdr:cNvSpPr>
          <a:spLocks noChangeArrowheads="1"/>
        </xdr:cNvSpPr>
      </xdr:nvSpPr>
      <xdr:spPr bwMode="auto">
        <a:xfrm>
          <a:off x="3572146" y="10822305"/>
          <a:ext cx="553266" cy="332595"/>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Water Resources</a:t>
          </a:r>
        </a:p>
      </xdr:txBody>
    </xdr:sp>
    <xdr:clientData/>
  </xdr:twoCellAnchor>
  <xdr:twoCellAnchor>
    <xdr:from>
      <xdr:col>8</xdr:col>
      <xdr:colOff>387020</xdr:colOff>
      <xdr:row>60</xdr:row>
      <xdr:rowOff>38100</xdr:rowOff>
    </xdr:from>
    <xdr:to>
      <xdr:col>9</xdr:col>
      <xdr:colOff>625058</xdr:colOff>
      <xdr:row>63</xdr:row>
      <xdr:rowOff>29228</xdr:rowOff>
    </xdr:to>
    <xdr:sp macro="" textlink="">
      <xdr:nvSpPr>
        <xdr:cNvPr id="145" name="Rectangle 3">
          <a:extLst>
            <a:ext uri="{FF2B5EF4-FFF2-40B4-BE49-F238E27FC236}">
              <a16:creationId xmlns:a16="http://schemas.microsoft.com/office/drawing/2014/main" id="{00000000-0008-0000-0300-000091000000}"/>
            </a:ext>
          </a:extLst>
        </xdr:cNvPr>
        <xdr:cNvSpPr>
          <a:spLocks noChangeArrowheads="1"/>
        </xdr:cNvSpPr>
      </xdr:nvSpPr>
      <xdr:spPr bwMode="auto">
        <a:xfrm>
          <a:off x="4292270" y="10820400"/>
          <a:ext cx="714288" cy="467378"/>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Reduction of Non Renewable Material use</a:t>
          </a:r>
        </a:p>
      </xdr:txBody>
    </xdr:sp>
    <xdr:clientData/>
  </xdr:twoCellAnchor>
  <xdr:twoCellAnchor>
    <xdr:from>
      <xdr:col>9</xdr:col>
      <xdr:colOff>817793</xdr:colOff>
      <xdr:row>60</xdr:row>
      <xdr:rowOff>40005</xdr:rowOff>
    </xdr:from>
    <xdr:to>
      <xdr:col>10</xdr:col>
      <xdr:colOff>591094</xdr:colOff>
      <xdr:row>62</xdr:row>
      <xdr:rowOff>35265</xdr:rowOff>
    </xdr:to>
    <xdr:sp macro="" textlink="">
      <xdr:nvSpPr>
        <xdr:cNvPr id="146" name="Rectangle 4">
          <a:extLst>
            <a:ext uri="{FF2B5EF4-FFF2-40B4-BE49-F238E27FC236}">
              <a16:creationId xmlns:a16="http://schemas.microsoft.com/office/drawing/2014/main" id="{00000000-0008-0000-0300-000092000000}"/>
            </a:ext>
          </a:extLst>
        </xdr:cNvPr>
        <xdr:cNvSpPr>
          <a:spLocks noChangeArrowheads="1"/>
        </xdr:cNvSpPr>
      </xdr:nvSpPr>
      <xdr:spPr bwMode="auto">
        <a:xfrm>
          <a:off x="5199293" y="10822305"/>
          <a:ext cx="601976" cy="395310"/>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Materials with Low Health Risks</a:t>
          </a:r>
        </a:p>
      </xdr:txBody>
    </xdr:sp>
    <xdr:clientData/>
  </xdr:twoCellAnchor>
  <xdr:twoCellAnchor>
    <xdr:from>
      <xdr:col>11</xdr:col>
      <xdr:colOff>601708</xdr:colOff>
      <xdr:row>60</xdr:row>
      <xdr:rowOff>64770</xdr:rowOff>
    </xdr:from>
    <xdr:to>
      <xdr:col>12</xdr:col>
      <xdr:colOff>257492</xdr:colOff>
      <xdr:row>61</xdr:row>
      <xdr:rowOff>182570</xdr:rowOff>
    </xdr:to>
    <xdr:sp macro="" textlink="">
      <xdr:nvSpPr>
        <xdr:cNvPr id="147" name="Rectangle 2">
          <a:extLst>
            <a:ext uri="{FF2B5EF4-FFF2-40B4-BE49-F238E27FC236}">
              <a16:creationId xmlns:a16="http://schemas.microsoft.com/office/drawing/2014/main" id="{00000000-0008-0000-0300-000093000000}"/>
            </a:ext>
          </a:extLst>
        </xdr:cNvPr>
        <xdr:cNvSpPr>
          <a:spLocks noChangeArrowheads="1"/>
        </xdr:cNvSpPr>
      </xdr:nvSpPr>
      <xdr:spPr bwMode="auto">
        <a:xfrm>
          <a:off x="6631033" y="10847070"/>
          <a:ext cx="474934" cy="317825"/>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Global Warming</a:t>
          </a:r>
        </a:p>
      </xdr:txBody>
    </xdr:sp>
    <xdr:clientData/>
  </xdr:twoCellAnchor>
  <xdr:twoCellAnchor>
    <xdr:from>
      <xdr:col>12</xdr:col>
      <xdr:colOff>591742</xdr:colOff>
      <xdr:row>60</xdr:row>
      <xdr:rowOff>64770</xdr:rowOff>
    </xdr:from>
    <xdr:to>
      <xdr:col>13</xdr:col>
      <xdr:colOff>415834</xdr:colOff>
      <xdr:row>61</xdr:row>
      <xdr:rowOff>174443</xdr:rowOff>
    </xdr:to>
    <xdr:sp macro="" textlink="">
      <xdr:nvSpPr>
        <xdr:cNvPr id="148" name="Rectangle 3">
          <a:extLst>
            <a:ext uri="{FF2B5EF4-FFF2-40B4-BE49-F238E27FC236}">
              <a16:creationId xmlns:a16="http://schemas.microsoft.com/office/drawing/2014/main" id="{00000000-0008-0000-0300-000094000000}"/>
            </a:ext>
          </a:extLst>
        </xdr:cNvPr>
        <xdr:cNvSpPr>
          <a:spLocks noChangeArrowheads="1"/>
        </xdr:cNvSpPr>
      </xdr:nvSpPr>
      <xdr:spPr bwMode="auto">
        <a:xfrm>
          <a:off x="7440217" y="10847070"/>
          <a:ext cx="633717" cy="309698"/>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Local environment</a:t>
          </a:r>
        </a:p>
      </xdr:txBody>
    </xdr:sp>
    <xdr:clientData/>
  </xdr:twoCellAnchor>
  <xdr:twoCellAnchor>
    <xdr:from>
      <xdr:col>14</xdr:col>
      <xdr:colOff>12748</xdr:colOff>
      <xdr:row>60</xdr:row>
      <xdr:rowOff>64770</xdr:rowOff>
    </xdr:from>
    <xdr:to>
      <xdr:col>14</xdr:col>
      <xdr:colOff>670015</xdr:colOff>
      <xdr:row>61</xdr:row>
      <xdr:rowOff>174443</xdr:rowOff>
    </xdr:to>
    <xdr:sp macro="" textlink="">
      <xdr:nvSpPr>
        <xdr:cNvPr id="149" name="Rectangle 4">
          <a:extLst>
            <a:ext uri="{FF2B5EF4-FFF2-40B4-BE49-F238E27FC236}">
              <a16:creationId xmlns:a16="http://schemas.microsoft.com/office/drawing/2014/main" id="{00000000-0008-0000-0300-000095000000}"/>
            </a:ext>
          </a:extLst>
        </xdr:cNvPr>
        <xdr:cNvSpPr>
          <a:spLocks noChangeArrowheads="1"/>
        </xdr:cNvSpPr>
      </xdr:nvSpPr>
      <xdr:spPr bwMode="auto">
        <a:xfrm>
          <a:off x="8261398" y="10847070"/>
          <a:ext cx="657267" cy="309698"/>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Surrounding Environment</a:t>
          </a:r>
        </a:p>
      </xdr:txBody>
    </xdr:sp>
    <xdr:clientData/>
  </xdr:twoCellAnchor>
  <xdr:twoCellAnchor editAs="oneCell">
    <xdr:from>
      <xdr:col>4</xdr:col>
      <xdr:colOff>76200</xdr:colOff>
      <xdr:row>41</xdr:row>
      <xdr:rowOff>142875</xdr:rowOff>
    </xdr:from>
    <xdr:to>
      <xdr:col>6</xdr:col>
      <xdr:colOff>53814</xdr:colOff>
      <xdr:row>43</xdr:row>
      <xdr:rowOff>77368</xdr:rowOff>
    </xdr:to>
    <xdr:pic>
      <xdr:nvPicPr>
        <xdr:cNvPr id="2" name="図 1">
          <a:extLst>
            <a:ext uri="{FF2B5EF4-FFF2-40B4-BE49-F238E27FC236}">
              <a16:creationId xmlns:a16="http://schemas.microsoft.com/office/drawing/2014/main" id="{05597DE9-D375-45F2-8F48-AF50B26DBB95}"/>
            </a:ext>
          </a:extLst>
        </xdr:cNvPr>
        <xdr:cNvPicPr>
          <a:picLocks noChangeAspect="1"/>
        </xdr:cNvPicPr>
      </xdr:nvPicPr>
      <xdr:blipFill>
        <a:blip xmlns:r="http://schemas.openxmlformats.org/officeDocument/2006/relationships" r:embed="rId25"/>
        <a:stretch>
          <a:fillRect/>
        </a:stretch>
      </xdr:blipFill>
      <xdr:spPr>
        <a:xfrm>
          <a:off x="1552575" y="7296150"/>
          <a:ext cx="1063464" cy="296443"/>
        </a:xfrm>
        <a:prstGeom prst="rect">
          <a:avLst/>
        </a:prstGeom>
      </xdr:spPr>
    </xdr:pic>
    <xdr:clientData/>
  </xdr:twoCellAnchor>
  <xdr:twoCellAnchor editAs="oneCell">
    <xdr:from>
      <xdr:col>8</xdr:col>
      <xdr:colOff>297180</xdr:colOff>
      <xdr:row>41</xdr:row>
      <xdr:rowOff>142875</xdr:rowOff>
    </xdr:from>
    <xdr:to>
      <xdr:col>10</xdr:col>
      <xdr:colOff>53814</xdr:colOff>
      <xdr:row>43</xdr:row>
      <xdr:rowOff>75463</xdr:rowOff>
    </xdr:to>
    <xdr:pic>
      <xdr:nvPicPr>
        <xdr:cNvPr id="10" name="図 9">
          <a:extLst>
            <a:ext uri="{FF2B5EF4-FFF2-40B4-BE49-F238E27FC236}">
              <a16:creationId xmlns:a16="http://schemas.microsoft.com/office/drawing/2014/main" id="{2EC6925C-5331-4FC5-A738-5407F6671F3C}"/>
            </a:ext>
          </a:extLst>
        </xdr:cNvPr>
        <xdr:cNvPicPr>
          <a:picLocks noChangeAspect="1"/>
        </xdr:cNvPicPr>
      </xdr:nvPicPr>
      <xdr:blipFill>
        <a:blip xmlns:r="http://schemas.openxmlformats.org/officeDocument/2006/relationships" r:embed="rId26"/>
        <a:stretch>
          <a:fillRect/>
        </a:stretch>
      </xdr:blipFill>
      <xdr:spPr>
        <a:xfrm>
          <a:off x="4202430" y="7296150"/>
          <a:ext cx="1061559" cy="294538"/>
        </a:xfrm>
        <a:prstGeom prst="rect">
          <a:avLst/>
        </a:prstGeom>
      </xdr:spPr>
    </xdr:pic>
    <xdr:clientData/>
  </xdr:twoCellAnchor>
  <xdr:twoCellAnchor editAs="oneCell">
    <xdr:from>
      <xdr:col>12</xdr:col>
      <xdr:colOff>647700</xdr:colOff>
      <xdr:row>41</xdr:row>
      <xdr:rowOff>154305</xdr:rowOff>
    </xdr:from>
    <xdr:to>
      <xdr:col>14</xdr:col>
      <xdr:colOff>322419</xdr:colOff>
      <xdr:row>43</xdr:row>
      <xdr:rowOff>92608</xdr:rowOff>
    </xdr:to>
    <xdr:pic>
      <xdr:nvPicPr>
        <xdr:cNvPr id="11" name="図 10">
          <a:extLst>
            <a:ext uri="{FF2B5EF4-FFF2-40B4-BE49-F238E27FC236}">
              <a16:creationId xmlns:a16="http://schemas.microsoft.com/office/drawing/2014/main" id="{C6C8545F-0811-42F5-814D-122C947D4A6F}"/>
            </a:ext>
          </a:extLst>
        </xdr:cNvPr>
        <xdr:cNvPicPr>
          <a:picLocks noChangeAspect="1"/>
        </xdr:cNvPicPr>
      </xdr:nvPicPr>
      <xdr:blipFill>
        <a:blip xmlns:r="http://schemas.openxmlformats.org/officeDocument/2006/relationships" r:embed="rId27"/>
        <a:stretch>
          <a:fillRect/>
        </a:stretch>
      </xdr:blipFill>
      <xdr:spPr>
        <a:xfrm>
          <a:off x="7496175" y="7307580"/>
          <a:ext cx="1074894" cy="290728"/>
        </a:xfrm>
        <a:prstGeom prst="rect">
          <a:avLst/>
        </a:prstGeom>
      </xdr:spPr>
    </xdr:pic>
    <xdr:clientData/>
  </xdr:twoCellAnchor>
  <xdr:oneCellAnchor>
    <xdr:from>
      <xdr:col>4</xdr:col>
      <xdr:colOff>64770</xdr:colOff>
      <xdr:row>53</xdr:row>
      <xdr:rowOff>0</xdr:rowOff>
    </xdr:from>
    <xdr:ext cx="1019446" cy="180690"/>
    <xdr:sp macro="" textlink="">
      <xdr:nvSpPr>
        <xdr:cNvPr id="12" name="Text Box 140">
          <a:extLst>
            <a:ext uri="{FF2B5EF4-FFF2-40B4-BE49-F238E27FC236}">
              <a16:creationId xmlns:a16="http://schemas.microsoft.com/office/drawing/2014/main" id="{C6365519-F7A7-47B6-AADD-F62878A15C1B}"/>
            </a:ext>
          </a:extLst>
        </xdr:cNvPr>
        <xdr:cNvSpPr txBox="1">
          <a:spLocks noChangeArrowheads="1"/>
        </xdr:cNvSpPr>
      </xdr:nvSpPr>
      <xdr:spPr bwMode="auto">
        <a:xfrm>
          <a:off x="1541145" y="9439275"/>
          <a:ext cx="1019446" cy="180690"/>
        </a:xfrm>
        <a:prstGeom prst="rect">
          <a:avLst/>
        </a:prstGeom>
        <a:noFill/>
        <a:ln w="9525">
          <a:noFill/>
          <a:miter lim="800000"/>
          <a:headEnd/>
          <a:tailEnd/>
        </a:ln>
      </xdr:spPr>
      <xdr:txBody>
        <a:bodyPr wrap="none" lIns="27432" tIns="18288" rIns="0" bIns="0" anchor="t" upright="1">
          <a:spAutoFit/>
        </a:bodyPr>
        <a:lstStyle/>
        <a:p>
          <a:pPr algn="l"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Score</a:t>
          </a:r>
          <a:r>
            <a:rPr lang="en-US" altLang="ja-JP" sz="1100" b="1" i="0" strike="noStrike" baseline="0">
              <a:solidFill>
                <a:srgbClr val="000000"/>
              </a:solidFill>
              <a:latin typeface="Arial" panose="020B0604020202020204" pitchFamily="34" charset="0"/>
              <a:ea typeface="ＭＳ Ｐゴシック"/>
              <a:cs typeface="Arial" panose="020B0604020202020204" pitchFamily="34" charset="0"/>
            </a:rPr>
            <a:t> of LR1 =</a:t>
          </a:r>
          <a:endParaRPr lang="en-US" altLang="ja-JP" sz="1100" b="1" i="0" strike="noStrike">
            <a:solidFill>
              <a:srgbClr val="000000"/>
            </a:solidFill>
            <a:latin typeface="Arial" panose="020B0604020202020204" pitchFamily="34" charset="0"/>
            <a:ea typeface="ＭＳ Ｐゴシック"/>
            <a:cs typeface="Arial" panose="020B0604020202020204" pitchFamily="34" charset="0"/>
          </a:endParaRPr>
        </a:p>
      </xdr:txBody>
    </xdr:sp>
    <xdr:clientData/>
  </xdr:oneCellAnchor>
  <xdr:oneCellAnchor>
    <xdr:from>
      <xdr:col>8</xdr:col>
      <xdr:colOff>274320</xdr:colOff>
      <xdr:row>53</xdr:row>
      <xdr:rowOff>0</xdr:rowOff>
    </xdr:from>
    <xdr:ext cx="1019446" cy="180690"/>
    <xdr:sp macro="" textlink="">
      <xdr:nvSpPr>
        <xdr:cNvPr id="13" name="Text Box 137">
          <a:extLst>
            <a:ext uri="{FF2B5EF4-FFF2-40B4-BE49-F238E27FC236}">
              <a16:creationId xmlns:a16="http://schemas.microsoft.com/office/drawing/2014/main" id="{0A312D85-CF3C-43E2-A3ED-44DE9B2197E5}"/>
            </a:ext>
          </a:extLst>
        </xdr:cNvPr>
        <xdr:cNvSpPr txBox="1">
          <a:spLocks noChangeArrowheads="1"/>
        </xdr:cNvSpPr>
      </xdr:nvSpPr>
      <xdr:spPr bwMode="auto">
        <a:xfrm>
          <a:off x="4179570" y="9439275"/>
          <a:ext cx="1019446" cy="180690"/>
        </a:xfrm>
        <a:prstGeom prst="rect">
          <a:avLst/>
        </a:prstGeom>
        <a:noFill/>
        <a:ln w="9525">
          <a:noFill/>
          <a:miter lim="800000"/>
          <a:headEnd/>
          <a:tailEnd/>
        </a:ln>
      </xdr:spPr>
      <xdr:txBody>
        <a:bodyPr wrap="none" lIns="27432" tIns="18288" rIns="0" bIns="0" anchor="t" upright="1">
          <a:spAutoFit/>
        </a:bodyPr>
        <a:lstStyle/>
        <a:p>
          <a:pPr algn="l"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Score</a:t>
          </a:r>
          <a:r>
            <a:rPr lang="en-US" altLang="ja-JP" sz="1100" b="1" i="0" strike="noStrike" baseline="0">
              <a:solidFill>
                <a:srgbClr val="000000"/>
              </a:solidFill>
              <a:latin typeface="Arial" panose="020B0604020202020204" pitchFamily="34" charset="0"/>
              <a:ea typeface="ＭＳ Ｐゴシック"/>
              <a:cs typeface="Arial" panose="020B0604020202020204" pitchFamily="34" charset="0"/>
            </a:rPr>
            <a:t> of LR2 </a:t>
          </a: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a:t>
          </a:r>
        </a:p>
      </xdr:txBody>
    </xdr:sp>
    <xdr:clientData/>
  </xdr:oneCellAnchor>
  <xdr:oneCellAnchor>
    <xdr:from>
      <xdr:col>12</xdr:col>
      <xdr:colOff>649605</xdr:colOff>
      <xdr:row>53</xdr:row>
      <xdr:rowOff>0</xdr:rowOff>
    </xdr:from>
    <xdr:ext cx="1019446" cy="180690"/>
    <xdr:sp macro="" textlink="">
      <xdr:nvSpPr>
        <xdr:cNvPr id="15" name="Text Box 136">
          <a:extLst>
            <a:ext uri="{FF2B5EF4-FFF2-40B4-BE49-F238E27FC236}">
              <a16:creationId xmlns:a16="http://schemas.microsoft.com/office/drawing/2014/main" id="{084B71DA-7DAC-4D60-9F36-0EC6307B8FCB}"/>
            </a:ext>
          </a:extLst>
        </xdr:cNvPr>
        <xdr:cNvSpPr txBox="1">
          <a:spLocks noChangeArrowheads="1"/>
        </xdr:cNvSpPr>
      </xdr:nvSpPr>
      <xdr:spPr bwMode="auto">
        <a:xfrm>
          <a:off x="7498080" y="9439275"/>
          <a:ext cx="1019446" cy="180690"/>
        </a:xfrm>
        <a:prstGeom prst="rect">
          <a:avLst/>
        </a:prstGeom>
        <a:noFill/>
        <a:ln w="9525">
          <a:noFill/>
          <a:miter lim="800000"/>
          <a:headEnd/>
          <a:tailEnd/>
        </a:ln>
      </xdr:spPr>
      <xdr:txBody>
        <a:bodyPr wrap="none" lIns="27432" tIns="18288" rIns="0" bIns="0" anchor="t" upright="1">
          <a:spAutoFit/>
        </a:bodyPr>
        <a:lstStyle/>
        <a:p>
          <a:pPr algn="l" rtl="0">
            <a:defRPr sz="1000"/>
          </a:pPr>
          <a:r>
            <a:rPr lang="en-US" altLang="ja-JP" sz="1100" b="1" i="0" strike="noStrike">
              <a:solidFill>
                <a:srgbClr val="000000"/>
              </a:solidFill>
              <a:latin typeface="Arial" panose="020B0604020202020204" pitchFamily="34" charset="0"/>
              <a:ea typeface="ＭＳ Ｐゴシック"/>
              <a:cs typeface="Arial" panose="020B0604020202020204" pitchFamily="34" charset="0"/>
            </a:rPr>
            <a:t>Score of LR3 =</a:t>
          </a:r>
        </a:p>
      </xdr:txBody>
    </xdr:sp>
    <xdr:clientData/>
  </xdr:oneCellAnchor>
  <xdr:twoCellAnchor>
    <xdr:from>
      <xdr:col>1</xdr:col>
      <xdr:colOff>0</xdr:colOff>
      <xdr:row>70</xdr:row>
      <xdr:rowOff>0</xdr:rowOff>
    </xdr:from>
    <xdr:to>
      <xdr:col>15</xdr:col>
      <xdr:colOff>53340</xdr:colOff>
      <xdr:row>97</xdr:row>
      <xdr:rowOff>169545</xdr:rowOff>
    </xdr:to>
    <xdr:sp macro="" textlink="">
      <xdr:nvSpPr>
        <xdr:cNvPr id="23" name="Text Box 141">
          <a:extLst>
            <a:ext uri="{FF2B5EF4-FFF2-40B4-BE49-F238E27FC236}">
              <a16:creationId xmlns:a16="http://schemas.microsoft.com/office/drawing/2014/main" id="{009787F9-F343-45CC-A7DA-E314634026A6}"/>
            </a:ext>
          </a:extLst>
        </xdr:cNvPr>
        <xdr:cNvSpPr txBox="1">
          <a:spLocks noChangeArrowheads="1"/>
        </xdr:cNvSpPr>
      </xdr:nvSpPr>
      <xdr:spPr bwMode="auto">
        <a:xfrm>
          <a:off x="57150" y="14049375"/>
          <a:ext cx="9025890" cy="1112520"/>
        </a:xfrm>
        <a:prstGeom prst="rect">
          <a:avLst/>
        </a:prstGeom>
        <a:solidFill>
          <a:srgbClr val="FFFFFF"/>
        </a:solidFill>
        <a:ln w="9525">
          <a:noFill/>
          <a:miter lim="800000"/>
          <a:headEnd/>
          <a:tailEnd/>
        </a:ln>
      </xdr:spPr>
      <xdr:txBody>
        <a:bodyPr vertOverflow="clip" wrap="square" lIns="27432" tIns="18288" rIns="0" bIns="0" anchor="t" upright="1"/>
        <a:lstStyle/>
        <a:p>
          <a:pPr algn="l" rtl="0">
            <a:defRPr sz="1000"/>
          </a:pPr>
          <a:r>
            <a:rPr lang="en-US" altLang="ja-JP" sz="900" b="0" i="0" u="none" strike="noStrike" baseline="0">
              <a:solidFill>
                <a:srgbClr val="000000"/>
              </a:solidFill>
              <a:latin typeface="Wingdings" panose="05000000000000000000" pitchFamily="2" charset="2"/>
              <a:ea typeface="ＭＳ Ｐゴシック"/>
              <a:cs typeface="Arial" panose="020B0604020202020204" pitchFamily="34" charset="0"/>
            </a:rPr>
            <a:t>n</a:t>
          </a:r>
          <a:r>
            <a:rPr lang="en-US" altLang="ja-JP" sz="900" b="0" i="0" u="none" strike="noStrike" baseline="0">
              <a:solidFill>
                <a:srgbClr val="000000"/>
              </a:solidFill>
              <a:latin typeface="Arial" panose="020B0604020202020204" pitchFamily="34" charset="0"/>
              <a:ea typeface="ＭＳ Ｐゴシック"/>
              <a:cs typeface="Arial" panose="020B0604020202020204" pitchFamily="34" charset="0"/>
            </a:rPr>
            <a:t> </a:t>
          </a:r>
          <a:r>
            <a:rPr lang="ja-JP" altLang="en-US" sz="900" b="0" i="0" u="none" strike="noStrike" baseline="0">
              <a:solidFill>
                <a:srgbClr val="000000"/>
              </a:solidFill>
              <a:latin typeface="Arial" panose="020B0604020202020204" pitchFamily="34" charset="0"/>
              <a:ea typeface="ＭＳ Ｐゴシック"/>
              <a:cs typeface="Arial" panose="020B0604020202020204" pitchFamily="34" charset="0"/>
            </a:rPr>
            <a:t>CASBEE: Comprehensive Assessment System for Built Environment Efficiency </a:t>
          </a: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a:t>
          </a:r>
          <a:r>
            <a:rPr lang="ja-JP" altLang="ja-JP" sz="900" b="0" i="0" baseline="0">
              <a:effectLst/>
              <a:latin typeface="Arial" panose="020B0604020202020204" pitchFamily="34" charset="0"/>
              <a:ea typeface="+mn-ea"/>
              <a:cs typeface="Arial" panose="020B0604020202020204" pitchFamily="34" charset="0"/>
            </a:rPr>
            <a:t>Q: Quality (environmental quality</a:t>
          </a:r>
          <a:r>
            <a:rPr lang="en-US" altLang="ja-JP" sz="900" b="0" i="0" baseline="0">
              <a:effectLst/>
              <a:latin typeface="Arial" panose="020B0604020202020204" pitchFamily="34" charset="0"/>
              <a:ea typeface="+mn-ea"/>
              <a:cs typeface="Arial" panose="020B0604020202020204" pitchFamily="34" charset="0"/>
            </a:rPr>
            <a:t> of building</a:t>
          </a:r>
          <a:r>
            <a:rPr lang="ja-JP" altLang="ja-JP" sz="900" b="0" i="0" baseline="0">
              <a:effectLst/>
              <a:latin typeface="Arial" panose="020B0604020202020204" pitchFamily="34" charset="0"/>
              <a:ea typeface="+mn-ea"/>
              <a:cs typeface="Arial" panose="020B0604020202020204" pitchFamily="34" charset="0"/>
            </a:rPr>
            <a:t>); L: Load (environmental load</a:t>
          </a:r>
          <a:r>
            <a:rPr lang="en-US" altLang="ja-JP" sz="900" b="0" i="0" baseline="0">
              <a:effectLst/>
              <a:latin typeface="Arial" panose="020B0604020202020204" pitchFamily="34" charset="0"/>
              <a:ea typeface="+mn-ea"/>
              <a:cs typeface="Arial" panose="020B0604020202020204" pitchFamily="34" charset="0"/>
            </a:rPr>
            <a:t> of building</a:t>
          </a:r>
          <a:r>
            <a:rPr lang="ja-JP" altLang="ja-JP" sz="900" b="0" i="0" baseline="0">
              <a:effectLst/>
              <a:latin typeface="Arial" panose="020B0604020202020204" pitchFamily="34" charset="0"/>
              <a:ea typeface="+mn-ea"/>
              <a:cs typeface="Arial" panose="020B0604020202020204" pitchFamily="34" charset="0"/>
            </a:rPr>
            <a:t>); LR: Load Reduction (environmental load reduction of building); BEE: Buil</a:t>
          </a:r>
          <a:r>
            <a:rPr lang="en-US" altLang="ja-JP" sz="900" b="0" i="0" baseline="0">
              <a:effectLst/>
              <a:latin typeface="Arial" panose="020B0604020202020204" pitchFamily="34" charset="0"/>
              <a:ea typeface="+mn-ea"/>
              <a:cs typeface="Arial" panose="020B0604020202020204" pitchFamily="34" charset="0"/>
            </a:rPr>
            <a:t>t </a:t>
          </a:r>
          <a:r>
            <a:rPr lang="ja-JP" altLang="ja-JP" sz="900" b="0" i="0" baseline="0">
              <a:effectLst/>
              <a:latin typeface="Arial" panose="020B0604020202020204" pitchFamily="34" charset="0"/>
              <a:ea typeface="+mn-ea"/>
              <a:cs typeface="Arial" panose="020B0604020202020204" pitchFamily="34" charset="0"/>
            </a:rPr>
            <a:t>Environment Efficiency</a:t>
          </a:r>
          <a:endParaRPr lang="ja-JP" altLang="ja-JP" sz="900" b="0">
            <a:effectLst/>
            <a:latin typeface="Arial" panose="020B0604020202020204" pitchFamily="34" charset="0"/>
            <a:cs typeface="Arial" panose="020B0604020202020204" pitchFamily="34" charset="0"/>
          </a:endParaRP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a:t>
          </a:r>
          <a:r>
            <a:rPr lang="ja-JP" altLang="ja-JP" sz="900" b="0" i="0" baseline="0">
              <a:effectLst/>
              <a:latin typeface="Arial" panose="020B0604020202020204" pitchFamily="34" charset="0"/>
              <a:ea typeface="+mn-ea"/>
              <a:cs typeface="Arial" panose="020B0604020202020204" pitchFamily="34" charset="0"/>
            </a:rPr>
            <a:t>"</a:t>
          </a:r>
          <a:r>
            <a:rPr lang="en-US" altLang="ja-JP" sz="900" b="0" i="0" baseline="0">
              <a:effectLst/>
              <a:latin typeface="Arial" panose="020B0604020202020204" pitchFamily="34" charset="0"/>
              <a:ea typeface="+mn-ea"/>
              <a:cs typeface="Arial" panose="020B0604020202020204" pitchFamily="34" charset="0"/>
            </a:rPr>
            <a:t>Whole Life Carbon (WLC)</a:t>
          </a:r>
          <a:r>
            <a:rPr lang="ja-JP" altLang="ja-JP" sz="900" b="0" i="0" baseline="0">
              <a:effectLst/>
              <a:latin typeface="Arial" panose="020B0604020202020204" pitchFamily="34" charset="0"/>
              <a:ea typeface="+mn-ea"/>
              <a:cs typeface="Arial" panose="020B0604020202020204" pitchFamily="34" charset="0"/>
            </a:rPr>
            <a:t>" is the total </a:t>
          </a:r>
          <a:r>
            <a:rPr lang="en-US" altLang="ja-JP" sz="900" b="0" i="0" baseline="0">
              <a:effectLst/>
              <a:latin typeface="Arial" panose="020B0604020202020204" pitchFamily="34" charset="0"/>
              <a:ea typeface="+mn-ea"/>
              <a:cs typeface="Arial" panose="020B0604020202020204" pitchFamily="34" charset="0"/>
            </a:rPr>
            <a:t>GHG </a:t>
          </a:r>
          <a:r>
            <a:rPr lang="ja-JP" altLang="ja-JP" sz="900" b="0" i="0" baseline="0">
              <a:effectLst/>
              <a:latin typeface="Arial" panose="020B0604020202020204" pitchFamily="34" charset="0"/>
              <a:ea typeface="+mn-ea"/>
              <a:cs typeface="Arial" panose="020B0604020202020204" pitchFamily="34" charset="0"/>
            </a:rPr>
            <a:t>emitted by a building during its entire life from the production of </a:t>
          </a:r>
          <a:r>
            <a:rPr lang="en-US" altLang="ja-JP" sz="900" b="0" i="0" baseline="0">
              <a:effectLst/>
              <a:latin typeface="Arial" panose="020B0604020202020204" pitchFamily="34" charset="0"/>
              <a:ea typeface="+mn-ea"/>
              <a:cs typeface="Arial" panose="020B0604020202020204" pitchFamily="34" charset="0"/>
            </a:rPr>
            <a:t>materials</a:t>
          </a:r>
          <a:r>
            <a:rPr lang="ja-JP" altLang="ja-JP" sz="900" b="0" i="0" baseline="0">
              <a:effectLst/>
              <a:latin typeface="Arial" panose="020B0604020202020204" pitchFamily="34" charset="0"/>
              <a:ea typeface="+mn-ea"/>
              <a:cs typeface="Arial" panose="020B0604020202020204" pitchFamily="34" charset="0"/>
            </a:rPr>
            <a:t> and construction of the building to occupation by the users, repairs, and demolition/disposal. </a:t>
          </a:r>
          <a:r>
            <a:rPr lang="en-US" altLang="ja-JP" sz="900" b="0" i="0" baseline="0">
              <a:effectLst/>
              <a:latin typeface="Arial" panose="020B0604020202020204" pitchFamily="34" charset="0"/>
              <a:ea typeface="+mn-ea"/>
              <a:cs typeface="Arial" panose="020B0604020202020204" pitchFamily="34" charset="0"/>
            </a:rPr>
            <a:t>Here it is displayed as annual WLC calculated by dividing total emissions by the building lifespan.</a:t>
          </a: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WLC</a:t>
          </a:r>
          <a:r>
            <a:rPr lang="ja-JP" altLang="ja-JP" sz="900" b="0" i="0" baseline="0">
              <a:effectLst/>
              <a:latin typeface="Arial" panose="020B0604020202020204" pitchFamily="34" charset="0"/>
              <a:ea typeface="+mn-ea"/>
              <a:cs typeface="Arial" panose="020B0604020202020204" pitchFamily="34" charset="0"/>
            </a:rPr>
            <a:t> </a:t>
          </a:r>
          <a:r>
            <a:rPr lang="en-US" altLang="ja-JP" sz="900" b="0" i="0" baseline="0">
              <a:effectLst/>
              <a:latin typeface="Arial" panose="020B0604020202020204" pitchFamily="34" charset="0"/>
              <a:ea typeface="+mn-ea"/>
              <a:cs typeface="Arial" panose="020B0604020202020204" pitchFamily="34" charset="0"/>
            </a:rPr>
            <a:t>of</a:t>
          </a:r>
          <a:r>
            <a:rPr lang="ja-JP" altLang="ja-JP" sz="900" b="0" i="0" baseline="0">
              <a:effectLst/>
              <a:latin typeface="Arial" panose="020B0604020202020204" pitchFamily="34" charset="0"/>
              <a:ea typeface="+mn-ea"/>
              <a:cs typeface="Arial" panose="020B0604020202020204" pitchFamily="34" charset="0"/>
            </a:rPr>
            <a:t> </a:t>
          </a:r>
          <a:r>
            <a:rPr lang="en-US" altLang="ja-JP" sz="900" b="0" i="0" baseline="0">
              <a:effectLst/>
              <a:latin typeface="Arial" panose="020B0604020202020204" pitchFamily="34" charset="0"/>
              <a:ea typeface="+mn-ea"/>
              <a:cs typeface="Arial" panose="020B0604020202020204" pitchFamily="34" charset="0"/>
            </a:rPr>
            <a:t>evaluated</a:t>
          </a:r>
          <a:r>
            <a:rPr lang="ja-JP" altLang="ja-JP" sz="900" b="0" i="0" baseline="0">
              <a:effectLst/>
              <a:latin typeface="Arial" panose="020B0604020202020204" pitchFamily="34" charset="0"/>
              <a:ea typeface="+mn-ea"/>
              <a:cs typeface="Arial" panose="020B0604020202020204" pitchFamily="34" charset="0"/>
            </a:rPr>
            <a:t> building is calculated almost automatically from the results (scoring levels) of </a:t>
          </a:r>
          <a:r>
            <a:rPr lang="en-US" altLang="ja-JP" sz="900" b="0" i="0" baseline="0">
              <a:effectLst/>
              <a:latin typeface="Arial" panose="020B0604020202020204" pitchFamily="34" charset="0"/>
              <a:ea typeface="+mn-ea"/>
              <a:cs typeface="Arial" panose="020B0604020202020204" pitchFamily="34" charset="0"/>
            </a:rPr>
            <a:t>some </a:t>
          </a:r>
          <a:r>
            <a:rPr lang="ja-JP" altLang="ja-JP" sz="900" b="0" i="0" baseline="0">
              <a:effectLst/>
              <a:latin typeface="Arial" panose="020B0604020202020204" pitchFamily="34" charset="0"/>
              <a:ea typeface="+mn-ea"/>
              <a:cs typeface="Arial" panose="020B0604020202020204" pitchFamily="34" charset="0"/>
            </a:rPr>
            <a:t>assessment items</a:t>
          </a:r>
          <a:r>
            <a:rPr lang="en-US" altLang="ja-JP" sz="900" b="0" i="0" baseline="0">
              <a:effectLst/>
              <a:latin typeface="Arial" panose="020B0604020202020204" pitchFamily="34" charset="0"/>
              <a:ea typeface="+mn-ea"/>
              <a:cs typeface="Arial" panose="020B0604020202020204" pitchFamily="34" charset="0"/>
            </a:rPr>
            <a:t>, in Q2, LR1 and LR2 by using its lifespan, energy performance and material efficiency</a:t>
          </a:r>
          <a:r>
            <a:rPr lang="ja-JP" altLang="ja-JP" sz="900" b="0" i="0" baseline="0">
              <a:effectLst/>
              <a:latin typeface="Arial" panose="020B0604020202020204" pitchFamily="34" charset="0"/>
              <a:ea typeface="+mn-ea"/>
              <a:cs typeface="Arial" panose="020B0604020202020204" pitchFamily="34" charset="0"/>
            </a:rPr>
            <a:t>.</a:t>
          </a:r>
          <a:endParaRPr lang="ja-JP" altLang="ja-JP" sz="900" b="0">
            <a:effectLst/>
            <a:latin typeface="Arial" panose="020B0604020202020204" pitchFamily="34" charset="0"/>
            <a:cs typeface="Arial" panose="020B0604020202020204" pitchFamily="34" charset="0"/>
          </a:endParaRPr>
        </a:p>
        <a:p>
          <a:pPr rtl="0"/>
          <a:r>
            <a:rPr lang="ja-JP" altLang="ja-JP" sz="900" b="0" i="0" baseline="0">
              <a:effectLst/>
              <a:latin typeface="Wingdings" panose="05000000000000000000" pitchFamily="2" charset="2"/>
              <a:ea typeface="+mn-ea"/>
              <a:cs typeface="Arial" panose="020B0604020202020204" pitchFamily="34" charset="0"/>
            </a:rPr>
            <a:t>n</a:t>
          </a:r>
          <a:r>
            <a:rPr lang="en-US" altLang="ja-JP" sz="900" b="0" i="0" baseline="0">
              <a:effectLst/>
              <a:latin typeface="Arial" panose="020B0604020202020204" pitchFamily="34" charset="0"/>
              <a:ea typeface="+mn-ea"/>
              <a:cs typeface="Arial" panose="020B0604020202020204" pitchFamily="34" charset="0"/>
            </a:rPr>
            <a:t> </a:t>
          </a:r>
          <a:r>
            <a:rPr lang="ja-JP" altLang="ja-JP" sz="900" b="0" i="0" baseline="0">
              <a:effectLst/>
              <a:latin typeface="Arial" panose="020B0604020202020204" pitchFamily="34" charset="0"/>
              <a:ea typeface="+mn-ea"/>
              <a:cs typeface="Arial" panose="020B0604020202020204" pitchFamily="34" charset="0"/>
            </a:rPr>
            <a:t>For </a:t>
          </a:r>
          <a:r>
            <a:rPr lang="en-US" altLang="ja-JP" sz="900" b="0" i="0" baseline="0">
              <a:effectLst/>
              <a:latin typeface="Arial" panose="020B0604020202020204" pitchFamily="34" charset="0"/>
              <a:ea typeface="+mn-ea"/>
              <a:cs typeface="Arial" panose="020B0604020202020204" pitchFamily="34" charset="0"/>
            </a:rPr>
            <a:t>WLC</a:t>
          </a:r>
          <a:r>
            <a:rPr lang="ja-JP" altLang="ja-JP" sz="900" b="0" i="0" baseline="0">
              <a:effectLst/>
              <a:latin typeface="Arial" panose="020B0604020202020204" pitchFamily="34" charset="0"/>
              <a:ea typeface="+mn-ea"/>
              <a:cs typeface="Arial" panose="020B0604020202020204" pitchFamily="34" charset="0"/>
            </a:rPr>
            <a:t> calculation conditions, refer to the </a:t>
          </a:r>
          <a:r>
            <a:rPr lang="en-US" altLang="ja-JP" sz="900" b="0" i="0" baseline="0">
              <a:effectLst/>
              <a:latin typeface="Arial" panose="020B0604020202020204" pitchFamily="34" charset="0"/>
              <a:ea typeface="+mn-ea"/>
              <a:cs typeface="Arial" panose="020B0604020202020204" pitchFamily="34" charset="0"/>
            </a:rPr>
            <a:t>WLC</a:t>
          </a:r>
          <a:r>
            <a:rPr lang="ja-JP" altLang="ja-JP" sz="900" b="0" i="0" baseline="0">
              <a:effectLst/>
              <a:latin typeface="Arial" panose="020B0604020202020204" pitchFamily="34" charset="0"/>
              <a:ea typeface="+mn-ea"/>
              <a:cs typeface="Arial" panose="020B0604020202020204" pitchFamily="34" charset="0"/>
            </a:rPr>
            <a:t> Calculation </a:t>
          </a:r>
          <a:r>
            <a:rPr lang="en-US" altLang="ja-JP" sz="900" b="0" i="0" baseline="0">
              <a:effectLst/>
              <a:latin typeface="Arial" panose="020B0604020202020204" pitchFamily="34" charset="0"/>
              <a:ea typeface="+mn-ea"/>
              <a:cs typeface="Arial" panose="020B0604020202020204" pitchFamily="34" charset="0"/>
            </a:rPr>
            <a:t>Condition </a:t>
          </a:r>
          <a:r>
            <a:rPr lang="ja-JP" altLang="ja-JP" sz="900" b="0" i="0" baseline="0">
              <a:effectLst/>
              <a:latin typeface="Arial" panose="020B0604020202020204" pitchFamily="34" charset="0"/>
              <a:ea typeface="+mn-ea"/>
              <a:cs typeface="Arial" panose="020B0604020202020204" pitchFamily="34" charset="0"/>
            </a:rPr>
            <a:t>Sheet.</a:t>
          </a:r>
          <a:endParaRPr lang="ja-JP" altLang="ja-JP" sz="900" b="0">
            <a:effectLst/>
            <a:latin typeface="Arial" panose="020B0604020202020204" pitchFamily="34" charset="0"/>
            <a:cs typeface="Arial" panose="020B0604020202020204" pitchFamily="34" charset="0"/>
          </a:endParaRPr>
        </a:p>
        <a:p>
          <a:pPr algn="l" rtl="0">
            <a:defRPr sz="1000"/>
          </a:pPr>
          <a:endParaRPr lang="ja-JP" altLang="en-US" sz="900" b="0" i="0" u="none" strike="noStrike" baseline="0">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twoCellAnchor>
    <xdr:from>
      <xdr:col>2</xdr:col>
      <xdr:colOff>828675</xdr:colOff>
      <xdr:row>60</xdr:row>
      <xdr:rowOff>57150</xdr:rowOff>
    </xdr:from>
    <xdr:to>
      <xdr:col>4</xdr:col>
      <xdr:colOff>44355</xdr:colOff>
      <xdr:row>63</xdr:row>
      <xdr:rowOff>1491</xdr:rowOff>
    </xdr:to>
    <xdr:sp macro="" textlink="">
      <xdr:nvSpPr>
        <xdr:cNvPr id="22" name="Rectangle 3">
          <a:extLst>
            <a:ext uri="{FF2B5EF4-FFF2-40B4-BE49-F238E27FC236}">
              <a16:creationId xmlns:a16="http://schemas.microsoft.com/office/drawing/2014/main" id="{52127E28-1AB2-410B-901E-9BFA3CE5AF29}"/>
            </a:ext>
          </a:extLst>
        </xdr:cNvPr>
        <xdr:cNvSpPr>
          <a:spLocks noChangeArrowheads="1"/>
        </xdr:cNvSpPr>
      </xdr:nvSpPr>
      <xdr:spPr bwMode="auto">
        <a:xfrm>
          <a:off x="1028700" y="10839450"/>
          <a:ext cx="492030" cy="420591"/>
        </a:xfrm>
        <a:prstGeom prst="rect">
          <a:avLst/>
        </a:prstGeom>
        <a:noFill/>
        <a:ln w="9525">
          <a:noFill/>
          <a:miter lim="800000"/>
          <a:headEnd/>
          <a:tailEnd/>
        </a:ln>
      </xdr:spPr>
      <xdr:txBody>
        <a:bodyPr wrap="square" lIns="27432" tIns="22860" rIns="0" bIns="0" anchor="t"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l" rtl="1">
            <a:defRPr sz="1000"/>
          </a:pPr>
          <a:r>
            <a:rPr lang="en-US" altLang="ja-JP" sz="700" b="0" i="0" strike="noStrike">
              <a:solidFill>
                <a:srgbClr val="000000"/>
              </a:solidFill>
              <a:latin typeface="Arial"/>
              <a:cs typeface="Arial"/>
            </a:rPr>
            <a:t>Natural Energy (Direct use)</a:t>
          </a:r>
        </a:p>
      </xdr:txBody>
    </xdr:sp>
    <xdr:clientData/>
  </xdr:twoCellAnchor>
  <xdr:twoCellAnchor editAs="oneCell">
    <xdr:from>
      <xdr:col>0</xdr:col>
      <xdr:colOff>0</xdr:colOff>
      <xdr:row>1</xdr:row>
      <xdr:rowOff>129540</xdr:rowOff>
    </xdr:from>
    <xdr:to>
      <xdr:col>5</xdr:col>
      <xdr:colOff>228600</xdr:colOff>
      <xdr:row>4</xdr:row>
      <xdr:rowOff>17071</xdr:rowOff>
    </xdr:to>
    <xdr:pic>
      <xdr:nvPicPr>
        <xdr:cNvPr id="25" name="図 24">
          <a:extLst>
            <a:ext uri="{FF2B5EF4-FFF2-40B4-BE49-F238E27FC236}">
              <a16:creationId xmlns:a16="http://schemas.microsoft.com/office/drawing/2014/main" id="{986AB528-F991-49B5-999D-1A27194A5269}"/>
            </a:ext>
          </a:extLst>
        </xdr:cNvPr>
        <xdr:cNvPicPr>
          <a:picLocks noChangeAspect="1"/>
        </xdr:cNvPicPr>
      </xdr:nvPicPr>
      <xdr:blipFill rotWithShape="1">
        <a:blip xmlns:r="http://schemas.openxmlformats.org/officeDocument/2006/relationships" r:embed="rId28"/>
        <a:srcRect r="67519"/>
        <a:stretch>
          <a:fillRect/>
        </a:stretch>
      </xdr:blipFill>
      <xdr:spPr>
        <a:xfrm>
          <a:off x="0" y="205740"/>
          <a:ext cx="2371725" cy="601906"/>
        </a:xfrm>
        <a:prstGeom prst="rect">
          <a:avLst/>
        </a:prstGeom>
      </xdr:spPr>
    </xdr:pic>
    <xdr:clientData/>
  </xdr:twoCellAnchor>
  <xdr:twoCellAnchor editAs="oneCell">
    <xdr:from>
      <xdr:col>12</xdr:col>
      <xdr:colOff>55245</xdr:colOff>
      <xdr:row>2</xdr:row>
      <xdr:rowOff>0</xdr:rowOff>
    </xdr:from>
    <xdr:to>
      <xdr:col>14</xdr:col>
      <xdr:colOff>706254</xdr:colOff>
      <xdr:row>3</xdr:row>
      <xdr:rowOff>149226</xdr:rowOff>
    </xdr:to>
    <xdr:pic>
      <xdr:nvPicPr>
        <xdr:cNvPr id="26" name="図 25">
          <a:extLst>
            <a:ext uri="{FF2B5EF4-FFF2-40B4-BE49-F238E27FC236}">
              <a16:creationId xmlns:a16="http://schemas.microsoft.com/office/drawing/2014/main" id="{10FA16BF-8F12-46B7-B4D8-CBB21D34B35B}"/>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6903720" y="314325"/>
          <a:ext cx="2047374" cy="387351"/>
        </a:xfrm>
        <a:prstGeom prst="rect">
          <a:avLst/>
        </a:prstGeom>
      </xdr:spPr>
    </xdr:pic>
    <xdr:clientData/>
  </xdr:twoCellAnchor>
  <xdr:twoCellAnchor editAs="oneCell">
    <xdr:from>
      <xdr:col>5</xdr:col>
      <xdr:colOff>207646</xdr:colOff>
      <xdr:row>1</xdr:row>
      <xdr:rowOff>114300</xdr:rowOff>
    </xdr:from>
    <xdr:to>
      <xdr:col>11</xdr:col>
      <xdr:colOff>800100</xdr:colOff>
      <xdr:row>4</xdr:row>
      <xdr:rowOff>1831</xdr:rowOff>
    </xdr:to>
    <xdr:pic>
      <xdr:nvPicPr>
        <xdr:cNvPr id="27" name="図 26">
          <a:extLst>
            <a:ext uri="{FF2B5EF4-FFF2-40B4-BE49-F238E27FC236}">
              <a16:creationId xmlns:a16="http://schemas.microsoft.com/office/drawing/2014/main" id="{12E8FCBD-BBEF-4E21-8E54-2FC7BC7B132A}"/>
            </a:ext>
          </a:extLst>
        </xdr:cNvPr>
        <xdr:cNvPicPr>
          <a:picLocks noChangeAspect="1"/>
        </xdr:cNvPicPr>
      </xdr:nvPicPr>
      <xdr:blipFill rotWithShape="1">
        <a:blip xmlns:r="http://schemas.openxmlformats.org/officeDocument/2006/relationships" r:embed="rId28"/>
        <a:srcRect l="32351"/>
        <a:stretch>
          <a:fillRect/>
        </a:stretch>
      </xdr:blipFill>
      <xdr:spPr>
        <a:xfrm>
          <a:off x="2350771" y="190500"/>
          <a:ext cx="4478654" cy="600001"/>
        </a:xfrm>
        <a:prstGeom prst="rect">
          <a:avLst/>
        </a:prstGeom>
      </xdr:spPr>
    </xdr:pic>
    <xdr:clientData/>
  </xdr:twoCellAnchor>
</xdr:wsDr>
</file>

<file path=xl/drawings/drawing12.xml><?xml version="1.0" encoding="utf-8"?>
<c:userShapes xmlns:c="http://schemas.openxmlformats.org/drawingml/2006/chart">
  <cdr:relSizeAnchor xmlns:cdr="http://schemas.openxmlformats.org/drawingml/2006/chartDrawing">
    <cdr:from>
      <cdr:x>0.20127</cdr:x>
      <cdr:y>0.11136</cdr:y>
    </cdr:from>
    <cdr:to>
      <cdr:x>0.38843</cdr:x>
      <cdr:y>0.22498</cdr:y>
    </cdr:to>
    <cdr:sp macro="" textlink="">
      <cdr:nvSpPr>
        <cdr:cNvPr id="13315" name="Text Box 3"/>
        <cdr:cNvSpPr txBox="1">
          <a:spLocks xmlns:a="http://schemas.openxmlformats.org/drawingml/2006/main" noChangeArrowheads="1"/>
        </cdr:cNvSpPr>
      </cdr:nvSpPr>
      <cdr:spPr bwMode="auto">
        <a:xfrm xmlns:a="http://schemas.openxmlformats.org/drawingml/2006/main">
          <a:off x="566798" y="273661"/>
          <a:ext cx="524113" cy="275951"/>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S</a:t>
          </a:r>
        </a:p>
      </cdr:txBody>
    </cdr:sp>
  </cdr:relSizeAnchor>
  <cdr:relSizeAnchor xmlns:cdr="http://schemas.openxmlformats.org/drawingml/2006/chartDrawing">
    <cdr:from>
      <cdr:x>0.45363</cdr:x>
      <cdr:y>0.10224</cdr:y>
    </cdr:from>
    <cdr:to>
      <cdr:x>0.59998</cdr:x>
      <cdr:y>0.22762</cdr:y>
    </cdr:to>
    <cdr:sp macro="" textlink="">
      <cdr:nvSpPr>
        <cdr:cNvPr id="13316" name="Text Box 4"/>
        <cdr:cNvSpPr txBox="1">
          <a:spLocks xmlns:a="http://schemas.openxmlformats.org/drawingml/2006/main" noChangeArrowheads="1"/>
        </cdr:cNvSpPr>
      </cdr:nvSpPr>
      <cdr:spPr bwMode="auto">
        <a:xfrm xmlns:a="http://schemas.openxmlformats.org/drawingml/2006/main">
          <a:off x="1273505" y="251492"/>
          <a:ext cx="409823" cy="304538"/>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A</a:t>
          </a:r>
        </a:p>
      </cdr:txBody>
    </cdr:sp>
  </cdr:relSizeAnchor>
  <cdr:relSizeAnchor xmlns:cdr="http://schemas.openxmlformats.org/drawingml/2006/chartDrawing">
    <cdr:from>
      <cdr:x>0.64128</cdr:x>
      <cdr:y>0.10224</cdr:y>
    </cdr:from>
    <cdr:to>
      <cdr:x>0.79438</cdr:x>
      <cdr:y>0.21585</cdr:y>
    </cdr:to>
    <cdr:sp macro="" textlink="">
      <cdr:nvSpPr>
        <cdr:cNvPr id="13317" name="Text Box 5"/>
        <cdr:cNvSpPr txBox="1">
          <a:spLocks xmlns:a="http://schemas.openxmlformats.org/drawingml/2006/main" noChangeArrowheads="1"/>
        </cdr:cNvSpPr>
      </cdr:nvSpPr>
      <cdr:spPr bwMode="auto">
        <a:xfrm xmlns:a="http://schemas.openxmlformats.org/drawingml/2006/main">
          <a:off x="1798971" y="251492"/>
          <a:ext cx="428758" cy="275951"/>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B</a:t>
          </a:r>
          <a:r>
            <a:rPr lang="en-US" altLang="ja-JP" sz="1150" b="1" i="0" strike="noStrike" baseline="30000">
              <a:solidFill>
                <a:srgbClr val="000000"/>
              </a:solidFill>
              <a:latin typeface="Arial"/>
              <a:cs typeface="Arial"/>
            </a:rPr>
            <a:t>+</a:t>
          </a:r>
        </a:p>
      </cdr:txBody>
    </cdr:sp>
  </cdr:relSizeAnchor>
  <cdr:relSizeAnchor xmlns:cdr="http://schemas.openxmlformats.org/drawingml/2006/chartDrawing">
    <cdr:from>
      <cdr:x>0.7654</cdr:x>
      <cdr:y>0.30064</cdr:y>
    </cdr:from>
    <cdr:to>
      <cdr:x>0.90379</cdr:x>
      <cdr:y>0.41425</cdr:y>
    </cdr:to>
    <cdr:sp macro="" textlink="">
      <cdr:nvSpPr>
        <cdr:cNvPr id="13318" name="Text Box 6"/>
        <cdr:cNvSpPr txBox="1">
          <a:spLocks xmlns:a="http://schemas.openxmlformats.org/drawingml/2006/main" noChangeArrowheads="1"/>
        </cdr:cNvSpPr>
      </cdr:nvSpPr>
      <cdr:spPr bwMode="auto">
        <a:xfrm xmlns:a="http://schemas.openxmlformats.org/drawingml/2006/main">
          <a:off x="2146576" y="733385"/>
          <a:ext cx="390211" cy="275951"/>
        </a:xfrm>
        <a:prstGeom xmlns:a="http://schemas.openxmlformats.org/drawingml/2006/main" prst="rect">
          <a:avLst/>
        </a:prstGeom>
        <a:noFill xmlns:a="http://schemas.openxmlformats.org/drawingml/2006/main"/>
        <a:ln xmlns:a="http://schemas.openxmlformats.org/drawingml/2006/main" w="0">
          <a:noFill/>
          <a:miter lim="800000"/>
          <a:headEnd/>
          <a:tailEnd/>
        </a:ln>
        <a:effectLst xmlns:a="http://schemas.openxmlformats.org/drawingml/2006/mai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0">
            <a:defRPr sz="1000"/>
          </a:pPr>
          <a:r>
            <a:rPr lang="en-US" altLang="ja-JP" sz="1150" b="1" i="0" strike="noStrike">
              <a:solidFill>
                <a:srgbClr val="000000"/>
              </a:solidFill>
              <a:latin typeface="Arial"/>
              <a:cs typeface="Arial"/>
            </a:rPr>
            <a:t>B</a:t>
          </a:r>
          <a:r>
            <a:rPr lang="en-US" altLang="ja-JP" sz="1150" b="1" i="0" strike="noStrike" baseline="30000">
              <a:solidFill>
                <a:srgbClr val="000000"/>
              </a:solidFill>
              <a:latin typeface="Arial"/>
              <a:cs typeface="Arial"/>
            </a:rPr>
            <a:t>-</a:t>
          </a:r>
        </a:p>
      </cdr:txBody>
    </cdr:sp>
  </cdr:relSizeAnchor>
  <cdr:relSizeAnchor xmlns:cdr="http://schemas.openxmlformats.org/drawingml/2006/chartDrawing">
    <cdr:from>
      <cdr:x>0.76613</cdr:x>
      <cdr:y>0.65228</cdr:y>
    </cdr:from>
    <cdr:to>
      <cdr:x>0.86152</cdr:x>
      <cdr:y>0.79208</cdr:y>
    </cdr:to>
    <cdr:sp macro="" textlink="">
      <cdr:nvSpPr>
        <cdr:cNvPr id="11271" name="Text Box 7"/>
        <cdr:cNvSpPr txBox="1">
          <a:spLocks xmlns:a="http://schemas.openxmlformats.org/drawingml/2006/main" noChangeArrowheads="1"/>
        </cdr:cNvSpPr>
      </cdr:nvSpPr>
      <cdr:spPr bwMode="auto">
        <a:xfrm xmlns:a="http://schemas.openxmlformats.org/drawingml/2006/main">
          <a:off x="2148605" y="1587492"/>
          <a:ext cx="267129" cy="339543"/>
        </a:xfrm>
        <a:prstGeom xmlns:a="http://schemas.openxmlformats.org/drawingml/2006/main" prst="rect">
          <a:avLst/>
        </a:prstGeom>
        <a:noFill xmlns:a="http://schemas.openxmlformats.org/drawingml/2006/main"/>
        <a:ln xmlns:a="http://schemas.openxmlformats.org/drawingml/2006/main" w="0">
          <a:noFill/>
          <a:miter lim="800000"/>
          <a:headEnd/>
          <a:tailEnd/>
        </a:ln>
      </cdr:spPr>
      <cdr:txBody>
        <a:bodyPr xmlns:a="http://schemas.openxmlformats.org/drawingml/2006/main" vertOverflow="clip" wrap="square" lIns="27432" tIns="27432" rIns="27432" bIns="27432" anchor="ctr" upright="1"/>
        <a:lstStyle xmlns:a="http://schemas.openxmlformats.org/drawingml/2006/main"/>
        <a:p xmlns:a="http://schemas.openxmlformats.org/drawingml/2006/main">
          <a:pPr algn="ctr" rtl="1">
            <a:defRPr sz="1000"/>
          </a:pPr>
          <a:r>
            <a:rPr lang="en-US" altLang="ja-JP" sz="1150" b="1" i="0" strike="noStrike">
              <a:solidFill>
                <a:srgbClr val="000000"/>
              </a:solidFill>
              <a:latin typeface="Arial"/>
              <a:cs typeface="Arial"/>
            </a:rPr>
            <a:t>C</a:t>
          </a:r>
        </a:p>
      </cdr:txBody>
    </cdr:sp>
  </cdr:relSizeAnchor>
  <cdr:relSizeAnchor xmlns:cdr="http://schemas.openxmlformats.org/drawingml/2006/chartDrawing">
    <cdr:from>
      <cdr:x>0.38304</cdr:x>
      <cdr:y>0.01719</cdr:y>
    </cdr:from>
    <cdr:to>
      <cdr:x>0.45709</cdr:x>
      <cdr:y>0.10826</cdr:y>
    </cdr:to>
    <cdr:sp macro="" textlink="">
      <cdr:nvSpPr>
        <cdr:cNvPr id="13321" name="Text Box 9"/>
        <cdr:cNvSpPr txBox="1">
          <a:spLocks xmlns:a="http://schemas.openxmlformats.org/drawingml/2006/main" noChangeArrowheads="1"/>
        </cdr:cNvSpPr>
      </cdr:nvSpPr>
      <cdr:spPr bwMode="auto">
        <a:xfrm xmlns:a="http://schemas.openxmlformats.org/drawingml/2006/main">
          <a:off x="1068998" y="41595"/>
          <a:ext cx="206660" cy="22031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none" lIns="18288" tIns="18288" rIns="18288" bIns="18288" anchor="ctr" upright="1">
          <a:spAutoFit/>
        </a:bodyPr>
        <a:lstStyle xmlns:a="http://schemas.openxmlformats.org/drawingml/2006/main"/>
        <a:p xmlns:a="http://schemas.openxmlformats.org/drawingml/2006/main">
          <a:pPr algn="ctr" rtl="0">
            <a:defRPr sz="1000"/>
          </a:pPr>
          <a:r>
            <a:rPr lang="en-US" altLang="ja-JP" sz="1100" b="0" i="0" strike="noStrike">
              <a:solidFill>
                <a:srgbClr val="000000"/>
              </a:solidFill>
              <a:latin typeface="ＭＳ Ｐゴシック"/>
              <a:ea typeface="ＭＳ Ｐゴシック"/>
            </a:rPr>
            <a:t>3.0</a:t>
          </a:r>
        </a:p>
      </cdr:txBody>
    </cdr:sp>
  </cdr:relSizeAnchor>
  <cdr:relSizeAnchor xmlns:cdr="http://schemas.openxmlformats.org/drawingml/2006/chartDrawing">
    <cdr:from>
      <cdr:x>0.88809</cdr:x>
      <cdr:y>0.43539</cdr:y>
    </cdr:from>
    <cdr:to>
      <cdr:x>0.98323</cdr:x>
      <cdr:y>0.52162</cdr:y>
    </cdr:to>
    <cdr:sp macro="" textlink="">
      <cdr:nvSpPr>
        <cdr:cNvPr id="11273" name="Text Box 12"/>
        <cdr:cNvSpPr txBox="1">
          <a:spLocks xmlns:a="http://schemas.openxmlformats.org/drawingml/2006/main" noChangeArrowheads="1"/>
        </cdr:cNvSpPr>
      </cdr:nvSpPr>
      <cdr:spPr bwMode="auto">
        <a:xfrm xmlns:a="http://schemas.openxmlformats.org/drawingml/2006/main">
          <a:off x="2490124" y="1060676"/>
          <a:ext cx="266452" cy="209443"/>
        </a:xfrm>
        <a:prstGeom xmlns:a="http://schemas.openxmlformats.org/drawingml/2006/main" prst="rect">
          <a:avLst/>
        </a:prstGeom>
        <a:noFill xmlns:a="http://schemas.openxmlformats.org/drawingml/2006/main"/>
        <a:ln xmlns:a="http://schemas.openxmlformats.org/drawingml/2006/main" w="1">
          <a:noFill/>
          <a:miter lim="800000"/>
          <a:headEnd/>
          <a:tailEnd/>
        </a:ln>
      </cdr:spPr>
      <cdr:txBody>
        <a:bodyPr xmlns:a="http://schemas.openxmlformats.org/drawingml/2006/main" vertOverflow="clip" wrap="square" lIns="18288" tIns="18288" rIns="18288" bIns="18288" anchor="ctr" upright="1"/>
        <a:lstStyle xmlns:a="http://schemas.openxmlformats.org/drawingml/2006/main"/>
        <a:p xmlns:a="http://schemas.openxmlformats.org/drawingml/2006/main">
          <a:pPr algn="ctr" rtl="1">
            <a:defRPr sz="1000"/>
          </a:pPr>
          <a:r>
            <a:rPr lang="en-US" altLang="ja-JP" sz="1100" b="0" i="0" strike="noStrike">
              <a:solidFill>
                <a:srgbClr val="000000"/>
              </a:solidFill>
              <a:latin typeface="ＭＳ Ｐゴシック"/>
              <a:ea typeface="ＭＳ Ｐゴシック"/>
            </a:rPr>
            <a:t>0.5</a:t>
          </a:r>
        </a:p>
      </cdr:txBody>
    </cdr:sp>
  </cdr:relSizeAnchor>
  <cdr:relSizeAnchor xmlns:cdr="http://schemas.openxmlformats.org/drawingml/2006/chartDrawing">
    <cdr:from>
      <cdr:x>0.61802</cdr:x>
      <cdr:y>0.01719</cdr:y>
    </cdr:from>
    <cdr:to>
      <cdr:x>0.69207</cdr:x>
      <cdr:y>0.10826</cdr:y>
    </cdr:to>
    <cdr:sp macro="" textlink="">
      <cdr:nvSpPr>
        <cdr:cNvPr id="13325" name="Text Box 13"/>
        <cdr:cNvSpPr txBox="1">
          <a:spLocks xmlns:a="http://schemas.openxmlformats.org/drawingml/2006/main" noChangeArrowheads="1"/>
        </cdr:cNvSpPr>
      </cdr:nvSpPr>
      <cdr:spPr bwMode="auto">
        <a:xfrm xmlns:a="http://schemas.openxmlformats.org/drawingml/2006/main">
          <a:off x="1724786" y="41595"/>
          <a:ext cx="206660" cy="22031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none" lIns="18288" tIns="18288" rIns="18288" bIns="18288" anchor="ctr" upright="1">
          <a:spAutoFit/>
        </a:bodyPr>
        <a:lstStyle xmlns:a="http://schemas.openxmlformats.org/drawingml/2006/main"/>
        <a:p xmlns:a="http://schemas.openxmlformats.org/drawingml/2006/main">
          <a:pPr algn="ctr" rtl="0">
            <a:defRPr sz="1000"/>
          </a:pPr>
          <a:r>
            <a:rPr lang="en-US" altLang="ja-JP" sz="1100" b="0" i="0" strike="noStrike">
              <a:solidFill>
                <a:srgbClr val="000000"/>
              </a:solidFill>
              <a:latin typeface="ＭＳ Ｐゴシック"/>
              <a:ea typeface="ＭＳ Ｐゴシック"/>
            </a:rPr>
            <a:t>1.5</a:t>
          </a:r>
        </a:p>
      </cdr:txBody>
    </cdr:sp>
  </cdr:relSizeAnchor>
  <cdr:relSizeAnchor xmlns:cdr="http://schemas.openxmlformats.org/drawingml/2006/chartDrawing">
    <cdr:from>
      <cdr:x>0.77402</cdr:x>
      <cdr:y>0.01719</cdr:y>
    </cdr:from>
    <cdr:to>
      <cdr:x>0.96279</cdr:x>
      <cdr:y>0.10826</cdr:y>
    </cdr:to>
    <cdr:sp macro="" textlink="">
      <cdr:nvSpPr>
        <cdr:cNvPr id="13326" name="Text Box 14"/>
        <cdr:cNvSpPr txBox="1">
          <a:spLocks xmlns:a="http://schemas.openxmlformats.org/drawingml/2006/main" noChangeArrowheads="1"/>
        </cdr:cNvSpPr>
      </cdr:nvSpPr>
      <cdr:spPr bwMode="auto">
        <a:xfrm xmlns:a="http://schemas.openxmlformats.org/drawingml/2006/main">
          <a:off x="2160161" y="41595"/>
          <a:ext cx="526811" cy="220317"/>
        </a:xfrm>
        <a:prstGeom xmlns:a="http://schemas.openxmlformats.org/drawingml/2006/main" prst="rect">
          <a:avLst/>
        </a:prstGeom>
        <a:noFill xmlns:a="http://schemas.openxmlformats.org/drawingml/2006/main"/>
        <a:ln xmlns:a="http://schemas.openxmlformats.org/drawingml/2006/main" w="1">
          <a:noFill/>
          <a:miter lim="800000"/>
          <a:headEnd/>
          <a:tailEnd/>
        </a:ln>
        <a:effectLst xmlns:a="http://schemas.openxmlformats.org/drawingml/2006/main"/>
      </cdr:spPr>
      <cdr:txBody>
        <a:bodyPr xmlns:a="http://schemas.openxmlformats.org/drawingml/2006/main" wrap="none" lIns="18288" tIns="18288" rIns="18288" bIns="18288" anchor="ctr" upright="1">
          <a:spAutoFit/>
        </a:bodyPr>
        <a:lstStyle xmlns:a="http://schemas.openxmlformats.org/drawingml/2006/main"/>
        <a:p xmlns:a="http://schemas.openxmlformats.org/drawingml/2006/main">
          <a:pPr algn="ctr" rtl="0">
            <a:defRPr sz="1000"/>
          </a:pPr>
          <a:r>
            <a:rPr lang="en-US" altLang="ja-JP" sz="1100" b="0" i="0" strike="noStrike">
              <a:solidFill>
                <a:srgbClr val="000000"/>
              </a:solidFill>
              <a:latin typeface="ＭＳ Ｐゴシック"/>
              <a:ea typeface="ＭＳ Ｐゴシック"/>
            </a:rPr>
            <a:t>BEE=1.0</a:t>
          </a:r>
        </a:p>
      </cdr:txBody>
    </cdr:sp>
  </cdr:relSizeAnchor>
</c:userShapes>
</file>

<file path=xl/drawings/drawing13.xml><?xml version="1.0" encoding="utf-8"?>
<c:userShapes xmlns:c="http://schemas.openxmlformats.org/drawingml/2006/chart">
  <cdr:relSizeAnchor xmlns:cdr="http://schemas.openxmlformats.org/drawingml/2006/chartDrawing">
    <cdr:from>
      <cdr:x>0.74621</cdr:x>
      <cdr:y>0.16099</cdr:y>
    </cdr:from>
    <cdr:to>
      <cdr:x>1</cdr:x>
      <cdr:y>0.27766</cdr:y>
    </cdr:to>
    <cdr:sp macro="" textlink="'Result(2-3SDGs)'!$Y$40">
      <cdr:nvSpPr>
        <cdr:cNvPr id="2" name="テキスト ボックス 1"/>
        <cdr:cNvSpPr txBox="1"/>
      </cdr:nvSpPr>
      <cdr:spPr>
        <a:xfrm xmlns:a="http://schemas.openxmlformats.org/drawingml/2006/main">
          <a:off x="1668876" y="279083"/>
          <a:ext cx="567594" cy="202253"/>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r"/>
          <a:fld id="{E539BAAA-653E-43D9-ABB5-11F99254EE13}" type="TxLink">
            <a:rPr lang="en-US" altLang="en-US" sz="800" b="1" i="0" u="none" strike="noStrike">
              <a:solidFill>
                <a:sysClr val="windowText" lastClr="000000"/>
              </a:solidFill>
              <a:latin typeface="Arial"/>
              <a:cs typeface="Arial"/>
            </a:rPr>
            <a:pPr algn="r"/>
            <a:t>100%</a:t>
          </a:fld>
          <a:endParaRPr lang="ja-JP" altLang="en-US" sz="800" b="1">
            <a:solidFill>
              <a:sysClr val="windowText" lastClr="000000"/>
            </a:solidFill>
          </a:endParaRPr>
        </a:p>
      </cdr:txBody>
    </cdr:sp>
  </cdr:relSizeAnchor>
  <cdr:relSizeAnchor xmlns:cdr="http://schemas.openxmlformats.org/drawingml/2006/chartDrawing">
    <cdr:from>
      <cdr:x>0.74621</cdr:x>
      <cdr:y>0.32963</cdr:y>
    </cdr:from>
    <cdr:to>
      <cdr:x>1</cdr:x>
      <cdr:y>0.4463</cdr:y>
    </cdr:to>
    <cdr:sp macro="" textlink="'Result(2-3SDGs)'!$Y$41">
      <cdr:nvSpPr>
        <cdr:cNvPr id="10" name="テキスト ボックス 1"/>
        <cdr:cNvSpPr txBox="1"/>
      </cdr:nvSpPr>
      <cdr:spPr>
        <a:xfrm xmlns:a="http://schemas.openxmlformats.org/drawingml/2006/main">
          <a:off x="1876425" y="565150"/>
          <a:ext cx="638175" cy="2000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fld id="{94370C62-F482-46FC-B9E7-1AB46E82FC1C}" type="TxLink">
            <a:rPr lang="en-US" altLang="en-US" sz="800" b="1" i="0" u="none" strike="noStrike">
              <a:solidFill>
                <a:sysClr val="windowText" lastClr="000000"/>
              </a:solidFill>
              <a:latin typeface="Arial"/>
              <a:cs typeface="Arial"/>
            </a:rPr>
            <a:pPr algn="r"/>
            <a:t>#VALUE!</a:t>
          </a:fld>
          <a:endParaRPr lang="ja-JP" altLang="en-US" sz="800" b="1">
            <a:solidFill>
              <a:sysClr val="windowText" lastClr="000000"/>
            </a:solidFill>
          </a:endParaRPr>
        </a:p>
      </cdr:txBody>
    </cdr:sp>
  </cdr:relSizeAnchor>
  <cdr:relSizeAnchor xmlns:cdr="http://schemas.openxmlformats.org/drawingml/2006/chartDrawing">
    <cdr:from>
      <cdr:x>0.74621</cdr:x>
      <cdr:y>0.50186</cdr:y>
    </cdr:from>
    <cdr:to>
      <cdr:x>1</cdr:x>
      <cdr:y>0.61852</cdr:y>
    </cdr:to>
    <cdr:sp macro="" textlink="'Result(2-3SDGs)'!$Y$42">
      <cdr:nvSpPr>
        <cdr:cNvPr id="11" name="テキスト ボックス 1"/>
        <cdr:cNvSpPr txBox="1"/>
      </cdr:nvSpPr>
      <cdr:spPr>
        <a:xfrm xmlns:a="http://schemas.openxmlformats.org/drawingml/2006/main">
          <a:off x="1671719" y="860433"/>
          <a:ext cx="568561" cy="200014"/>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fld id="{70EE8BF1-4C35-4F7A-A7B9-A0C10E00FE59}" type="TxLink">
            <a:rPr lang="en-US" altLang="en-US" sz="800" b="1" i="0" u="none" strike="noStrike">
              <a:solidFill>
                <a:sysClr val="windowText" lastClr="000000"/>
              </a:solidFill>
              <a:latin typeface="Arial"/>
              <a:cs typeface="Arial"/>
            </a:rPr>
            <a:pPr algn="r"/>
            <a:t>#VALUE!</a:t>
          </a:fld>
          <a:endParaRPr lang="ja-JP" altLang="en-US" sz="800" b="1">
            <a:solidFill>
              <a:sysClr val="windowText" lastClr="000000"/>
            </a:solidFill>
          </a:endParaRPr>
        </a:p>
      </cdr:txBody>
    </cdr:sp>
  </cdr:relSizeAnchor>
  <cdr:relSizeAnchor xmlns:cdr="http://schemas.openxmlformats.org/drawingml/2006/chartDrawing">
    <cdr:from>
      <cdr:x>0.74621</cdr:x>
      <cdr:y>0.66852</cdr:y>
    </cdr:from>
    <cdr:to>
      <cdr:x>1</cdr:x>
      <cdr:y>0.78519</cdr:y>
    </cdr:to>
    <cdr:sp macro="" textlink="'Result(2-3SDGs)'!$Y$43">
      <cdr:nvSpPr>
        <cdr:cNvPr id="12" name="テキスト ボックス 1"/>
        <cdr:cNvSpPr txBox="1"/>
      </cdr:nvSpPr>
      <cdr:spPr>
        <a:xfrm xmlns:a="http://schemas.openxmlformats.org/drawingml/2006/main">
          <a:off x="1876425" y="1146175"/>
          <a:ext cx="638175" cy="2000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r"/>
          <a:fld id="{EFFA19F3-B293-4387-96F6-D455447B89F3}" type="TxLink">
            <a:rPr lang="en-US" altLang="en-US" sz="800" b="1" i="0" u="none" strike="noStrike">
              <a:solidFill>
                <a:sysClr val="windowText" lastClr="000000"/>
              </a:solidFill>
              <a:latin typeface="Arial"/>
              <a:cs typeface="Arial"/>
            </a:rPr>
            <a:pPr algn="r"/>
            <a:t>#VALUE!</a:t>
          </a:fld>
          <a:endParaRPr lang="ja-JP" altLang="en-US" sz="800" b="1">
            <a:solidFill>
              <a:sysClr val="windowText" lastClr="000000"/>
            </a:solidFill>
          </a:endParaRPr>
        </a:p>
      </cdr:txBody>
    </cdr:sp>
  </cdr:relSizeAnchor>
</c:userShapes>
</file>

<file path=xl/drawings/drawing14.xml><?xml version="1.0" encoding="utf-8"?>
<c:userShapes xmlns:c="http://schemas.openxmlformats.org/drawingml/2006/chart">
  <cdr:relSizeAnchor xmlns:cdr="http://schemas.openxmlformats.org/drawingml/2006/chartDrawing">
    <cdr:from>
      <cdr:x>0.07948</cdr:x>
      <cdr:y>0.44568</cdr:y>
    </cdr:from>
    <cdr:to>
      <cdr:x>0.98098</cdr:x>
      <cdr:y>0.44568</cdr:y>
    </cdr:to>
    <cdr:sp macro="" textlink="">
      <cdr:nvSpPr>
        <cdr:cNvPr id="7173" name="Line 5"/>
        <cdr:cNvSpPr>
          <a:spLocks xmlns:a="http://schemas.openxmlformats.org/drawingml/2006/main" noChangeShapeType="1"/>
        </cdr:cNvSpPr>
      </cdr:nvSpPr>
      <cdr:spPr bwMode="auto">
        <a:xfrm xmlns:a="http://schemas.openxmlformats.org/drawingml/2006/main">
          <a:off x="265865" y="703179"/>
          <a:ext cx="2979613"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0.56647</cdr:x>
      <cdr:y>0.65663</cdr:y>
    </cdr:from>
    <cdr:to>
      <cdr:x>0.72832</cdr:x>
      <cdr:y>0.80723</cdr:y>
    </cdr:to>
    <cdr:sp macro="" textlink="'Result(2-3SDGs)'!$T$51">
      <cdr:nvSpPr>
        <cdr:cNvPr id="2" name="テキスト ボックス 1"/>
        <cdr:cNvSpPr txBox="1"/>
      </cdr:nvSpPr>
      <cdr:spPr>
        <a:xfrm xmlns:a="http://schemas.openxmlformats.org/drawingml/2006/main">
          <a:off x="1866900" y="1038225"/>
          <a:ext cx="533400" cy="238125"/>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5CEA0FE4-9E4C-47CC-A16B-F8D9F9B432C6}"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0.11657</cdr:x>
      <cdr:y>0.65863</cdr:y>
    </cdr:from>
    <cdr:to>
      <cdr:x>0.27842</cdr:x>
      <cdr:y>0.80924</cdr:y>
    </cdr:to>
    <cdr:sp macro="" textlink="'Result(2-3SDGs)'!$T$49">
      <cdr:nvSpPr>
        <cdr:cNvPr id="4" name="テキスト ボックス 1"/>
        <cdr:cNvSpPr txBox="1"/>
      </cdr:nvSpPr>
      <cdr:spPr>
        <a:xfrm xmlns:a="http://schemas.openxmlformats.org/drawingml/2006/main">
          <a:off x="384175"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4C4E285-A8E4-48AA-B8C1-1F5506CF5C1E}"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0.342</cdr:x>
      <cdr:y>0.65261</cdr:y>
    </cdr:from>
    <cdr:to>
      <cdr:x>0.50385</cdr:x>
      <cdr:y>0.80321</cdr:y>
    </cdr:to>
    <cdr:sp macro="" textlink="'Result(2-3SDGs)'!$T$50">
      <cdr:nvSpPr>
        <cdr:cNvPr id="5" name="テキスト ボックス 1"/>
        <cdr:cNvSpPr txBox="1"/>
      </cdr:nvSpPr>
      <cdr:spPr>
        <a:xfrm xmlns:a="http://schemas.openxmlformats.org/drawingml/2006/main">
          <a:off x="1127125" y="1031875"/>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2B0D6710-1566-44D7-B091-D4CB2A9E1A7E}"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0.80154</cdr:x>
      <cdr:y>0.65863</cdr:y>
    </cdr:from>
    <cdr:to>
      <cdr:x>0.96339</cdr:x>
      <cdr:y>0.80924</cdr:y>
    </cdr:to>
    <cdr:sp macro="" textlink="'Result(2-3SDGs)'!$T$52">
      <cdr:nvSpPr>
        <cdr:cNvPr id="6" name="テキスト ボックス 1"/>
        <cdr:cNvSpPr txBox="1"/>
      </cdr:nvSpPr>
      <cdr:spPr>
        <a:xfrm xmlns:a="http://schemas.openxmlformats.org/drawingml/2006/main">
          <a:off x="2641600"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3537A117-80E8-4A06-9394-A34AE86B6393}" type="TxLink">
            <a:rPr lang="en-US" altLang="en-US" sz="1000" b="0" i="0" u="none" strike="noStrike">
              <a:solidFill>
                <a:srgbClr val="000000"/>
              </a:solidFill>
              <a:latin typeface="Arial"/>
              <a:cs typeface="Arial"/>
            </a:rPr>
            <a:pPr algn="ctr"/>
            <a:t> </a:t>
          </a:fld>
          <a:endParaRPr lang="ja-JP" altLang="en-US" sz="1000"/>
        </a:p>
      </cdr:txBody>
    </cdr:sp>
  </cdr:relSizeAnchor>
</c:userShapes>
</file>

<file path=xl/drawings/drawing15.xml><?xml version="1.0" encoding="utf-8"?>
<c:userShapes xmlns:c="http://schemas.openxmlformats.org/drawingml/2006/chart">
  <cdr:relSizeAnchor xmlns:cdr="http://schemas.openxmlformats.org/drawingml/2006/chartDrawing">
    <cdr:from>
      <cdr:x>0.07795</cdr:x>
      <cdr:y>0.44759</cdr:y>
    </cdr:from>
    <cdr:to>
      <cdr:x>0.99338</cdr:x>
      <cdr:y>0.44759</cdr:y>
    </cdr:to>
    <cdr:sp macro="" textlink="">
      <cdr:nvSpPr>
        <cdr:cNvPr id="10244" name="Line 4"/>
        <cdr:cNvSpPr>
          <a:spLocks xmlns:a="http://schemas.openxmlformats.org/drawingml/2006/main" noChangeShapeType="1"/>
        </cdr:cNvSpPr>
      </cdr:nvSpPr>
      <cdr:spPr bwMode="auto">
        <a:xfrm xmlns:a="http://schemas.openxmlformats.org/drawingml/2006/main">
          <a:off x="198942" y="715143"/>
          <a:ext cx="2719059"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0.12219</cdr:x>
      <cdr:y>0.66867</cdr:y>
    </cdr:from>
    <cdr:to>
      <cdr:x>0.3119</cdr:x>
      <cdr:y>0.81325</cdr:y>
    </cdr:to>
    <cdr:sp macro="" textlink="'Result(2-3SDGs)'!$W$49">
      <cdr:nvSpPr>
        <cdr:cNvPr id="2" name="テキスト ボックス 1"/>
        <cdr:cNvSpPr txBox="1"/>
      </cdr:nvSpPr>
      <cdr:spPr>
        <a:xfrm xmlns:a="http://schemas.openxmlformats.org/drawingml/2006/main">
          <a:off x="361950" y="1057275"/>
          <a:ext cx="561975" cy="228600"/>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3BB801B7-3F2D-48D5-BD75-950D6880779B}"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0.43837</cdr:x>
      <cdr:y>0.67068</cdr:y>
    </cdr:from>
    <cdr:to>
      <cdr:x>0.62808</cdr:x>
      <cdr:y>0.81526</cdr:y>
    </cdr:to>
    <cdr:sp macro="" textlink="'Result(2-3SDGs)'!$W$50">
      <cdr:nvSpPr>
        <cdr:cNvPr id="4" name="テキスト ボックス 1"/>
        <cdr:cNvSpPr txBox="1"/>
      </cdr:nvSpPr>
      <cdr:spPr>
        <a:xfrm xmlns:a="http://schemas.openxmlformats.org/drawingml/2006/main">
          <a:off x="1298575" y="1060450"/>
          <a:ext cx="561975"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EA58F746-8187-4480-ABD3-5F491D7B8C07}"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0.73741</cdr:x>
      <cdr:y>0.67068</cdr:y>
    </cdr:from>
    <cdr:to>
      <cdr:x>0.92712</cdr:x>
      <cdr:y>0.81526</cdr:y>
    </cdr:to>
    <cdr:sp macro="" textlink="'Result(2-3SDGs)'!$W$51">
      <cdr:nvSpPr>
        <cdr:cNvPr id="5" name="テキスト ボックス 1"/>
        <cdr:cNvSpPr txBox="1"/>
      </cdr:nvSpPr>
      <cdr:spPr>
        <a:xfrm xmlns:a="http://schemas.openxmlformats.org/drawingml/2006/main">
          <a:off x="2184400" y="1060450"/>
          <a:ext cx="561975"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36A66E5-2F2D-42D8-95DB-A2B582AC9157}" type="TxLink">
            <a:rPr lang="en-US" altLang="en-US" sz="1000" b="0" i="0" u="none" strike="noStrike">
              <a:solidFill>
                <a:srgbClr val="000000"/>
              </a:solidFill>
              <a:latin typeface="Arial"/>
              <a:cs typeface="Arial"/>
            </a:rPr>
            <a:pPr algn="ctr"/>
            <a:t> </a:t>
          </a:fld>
          <a:endParaRPr lang="ja-JP" altLang="en-US" sz="1000"/>
        </a:p>
      </cdr:txBody>
    </cdr:sp>
  </cdr:relSizeAnchor>
</c:userShapes>
</file>

<file path=xl/drawings/drawing16.xml><?xml version="1.0" encoding="utf-8"?>
<c:userShapes xmlns:c="http://schemas.openxmlformats.org/drawingml/2006/chart">
  <cdr:relSizeAnchor xmlns:cdr="http://schemas.openxmlformats.org/drawingml/2006/chartDrawing">
    <cdr:from>
      <cdr:x>0.07795</cdr:x>
      <cdr:y>0.44759</cdr:y>
    </cdr:from>
    <cdr:to>
      <cdr:x>0.99338</cdr:x>
      <cdr:y>0.44759</cdr:y>
    </cdr:to>
    <cdr:sp macro="" textlink="">
      <cdr:nvSpPr>
        <cdr:cNvPr id="10244" name="Line 4"/>
        <cdr:cNvSpPr>
          <a:spLocks xmlns:a="http://schemas.openxmlformats.org/drawingml/2006/main" noChangeShapeType="1"/>
        </cdr:cNvSpPr>
      </cdr:nvSpPr>
      <cdr:spPr bwMode="auto">
        <a:xfrm xmlns:a="http://schemas.openxmlformats.org/drawingml/2006/main">
          <a:off x="198942" y="715143"/>
          <a:ext cx="2719059"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0.1254</cdr:x>
      <cdr:y>0.66265</cdr:y>
    </cdr:from>
    <cdr:to>
      <cdr:x>0.33119</cdr:x>
      <cdr:y>0.80723</cdr:y>
    </cdr:to>
    <cdr:sp macro="" textlink="'Result(2-3SDGs)'!$Z$49">
      <cdr:nvSpPr>
        <cdr:cNvPr id="2" name="テキスト ボックス 1"/>
        <cdr:cNvSpPr txBox="1"/>
      </cdr:nvSpPr>
      <cdr:spPr>
        <a:xfrm xmlns:a="http://schemas.openxmlformats.org/drawingml/2006/main">
          <a:off x="371475" y="1047750"/>
          <a:ext cx="609600" cy="228600"/>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2EDC34F2-F909-49BF-8C38-015631A37EF7}"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0.42551</cdr:x>
      <cdr:y>0.67068</cdr:y>
    </cdr:from>
    <cdr:to>
      <cdr:x>0.6313</cdr:x>
      <cdr:y>0.81526</cdr:y>
    </cdr:to>
    <cdr:sp macro="" textlink="'Result(2-3SDGs)'!$Z$50">
      <cdr:nvSpPr>
        <cdr:cNvPr id="4" name="テキスト ボックス 1"/>
        <cdr:cNvSpPr txBox="1"/>
      </cdr:nvSpPr>
      <cdr:spPr>
        <a:xfrm xmlns:a="http://schemas.openxmlformats.org/drawingml/2006/main">
          <a:off x="1260475" y="1060450"/>
          <a:ext cx="609600"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86766CF0-8F51-4C6C-B250-611FA956B2B4}" type="TxLink">
            <a:rPr lang="en-US" altLang="en-US" sz="1000" b="0" i="0" u="none" strike="noStrike">
              <a:solidFill>
                <a:srgbClr val="000000"/>
              </a:solidFill>
              <a:latin typeface="Arial"/>
              <a:cs typeface="Arial"/>
            </a:rPr>
            <a:pPr algn="ctr"/>
            <a:t> </a:t>
          </a:fld>
          <a:endParaRPr lang="ja-JP" altLang="en-US" sz="1000"/>
        </a:p>
      </cdr:txBody>
    </cdr:sp>
  </cdr:relSizeAnchor>
  <cdr:relSizeAnchor xmlns:cdr="http://schemas.openxmlformats.org/drawingml/2006/chartDrawing">
    <cdr:from>
      <cdr:x>0.72776</cdr:x>
      <cdr:y>0.65863</cdr:y>
    </cdr:from>
    <cdr:to>
      <cdr:x>0.93355</cdr:x>
      <cdr:y>0.80321</cdr:y>
    </cdr:to>
    <cdr:sp macro="" textlink="'Result(2-3SDGs)'!$Z$51">
      <cdr:nvSpPr>
        <cdr:cNvPr id="5" name="テキスト ボックス 1"/>
        <cdr:cNvSpPr txBox="1"/>
      </cdr:nvSpPr>
      <cdr:spPr>
        <a:xfrm xmlns:a="http://schemas.openxmlformats.org/drawingml/2006/main">
          <a:off x="2155825" y="1041400"/>
          <a:ext cx="609600" cy="228600"/>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41C6A9C2-A184-4FA5-98B2-40AE4AB30FFD}" type="TxLink">
            <a:rPr lang="en-US" altLang="en-US" sz="1000" b="0" i="0" u="none" strike="noStrike">
              <a:solidFill>
                <a:srgbClr val="000000"/>
              </a:solidFill>
              <a:latin typeface="Arial"/>
              <a:cs typeface="Arial"/>
            </a:rPr>
            <a:pPr algn="ctr"/>
            <a:t> </a:t>
          </a:fld>
          <a:endParaRPr lang="ja-JP" altLang="en-US" sz="1000"/>
        </a:p>
      </cdr:txBody>
    </cdr:sp>
  </cdr:relSizeAnchor>
</c:userShapes>
</file>

<file path=xl/drawings/drawing17.xml><?xml version="1.0" encoding="utf-8"?>
<c:userShapes xmlns:c="http://schemas.openxmlformats.org/drawingml/2006/chart">
  <cdr:relSizeAnchor xmlns:cdr="http://schemas.openxmlformats.org/drawingml/2006/chartDrawing">
    <cdr:from>
      <cdr:x>0.07948</cdr:x>
      <cdr:y>0.44568</cdr:y>
    </cdr:from>
    <cdr:to>
      <cdr:x>0.98098</cdr:x>
      <cdr:y>0.44568</cdr:y>
    </cdr:to>
    <cdr:sp macro="" textlink="">
      <cdr:nvSpPr>
        <cdr:cNvPr id="7173" name="Line 5"/>
        <cdr:cNvSpPr>
          <a:spLocks xmlns:a="http://schemas.openxmlformats.org/drawingml/2006/main" noChangeShapeType="1"/>
        </cdr:cNvSpPr>
      </cdr:nvSpPr>
      <cdr:spPr bwMode="auto">
        <a:xfrm xmlns:a="http://schemas.openxmlformats.org/drawingml/2006/main">
          <a:off x="265865" y="703179"/>
          <a:ext cx="2979613"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0.56647</cdr:x>
      <cdr:y>0.65663</cdr:y>
    </cdr:from>
    <cdr:to>
      <cdr:x>0.72832</cdr:x>
      <cdr:y>0.80723</cdr:y>
    </cdr:to>
    <cdr:sp macro="" textlink="'Result(2-3SDGs)'!$T$62">
      <cdr:nvSpPr>
        <cdr:cNvPr id="2" name="テキスト ボックス 1"/>
        <cdr:cNvSpPr txBox="1"/>
      </cdr:nvSpPr>
      <cdr:spPr>
        <a:xfrm xmlns:a="http://schemas.openxmlformats.org/drawingml/2006/main">
          <a:off x="1866900" y="1038225"/>
          <a:ext cx="533400" cy="238125"/>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C16051E3-1E1E-47B6-B034-7EA0B3511EE5}"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0.11657</cdr:x>
      <cdr:y>0.65863</cdr:y>
    </cdr:from>
    <cdr:to>
      <cdr:x>0.27842</cdr:x>
      <cdr:y>0.80924</cdr:y>
    </cdr:to>
    <cdr:sp macro="" textlink="'Result(2-3SDGs)'!$T$60">
      <cdr:nvSpPr>
        <cdr:cNvPr id="4" name="テキスト ボックス 1"/>
        <cdr:cNvSpPr txBox="1"/>
      </cdr:nvSpPr>
      <cdr:spPr>
        <a:xfrm xmlns:a="http://schemas.openxmlformats.org/drawingml/2006/main">
          <a:off x="384175"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D78C4F03-F6B8-4145-8923-B76ADE60257E}"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0.342</cdr:x>
      <cdr:y>0.65261</cdr:y>
    </cdr:from>
    <cdr:to>
      <cdr:x>0.50385</cdr:x>
      <cdr:y>0.80321</cdr:y>
    </cdr:to>
    <cdr:sp macro="" textlink="'Result(2-3SDGs)'!$T$61">
      <cdr:nvSpPr>
        <cdr:cNvPr id="5" name="テキスト ボックス 1"/>
        <cdr:cNvSpPr txBox="1"/>
      </cdr:nvSpPr>
      <cdr:spPr>
        <a:xfrm xmlns:a="http://schemas.openxmlformats.org/drawingml/2006/main">
          <a:off x="1127125" y="1031875"/>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8532BF98-A9FD-4C24-879A-B45B0E1C1C02}"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0.80154</cdr:x>
      <cdr:y>0.65863</cdr:y>
    </cdr:from>
    <cdr:to>
      <cdr:x>0.96339</cdr:x>
      <cdr:y>0.80924</cdr:y>
    </cdr:to>
    <cdr:sp macro="" textlink="'Result(2-3SDGs)'!$T$63">
      <cdr:nvSpPr>
        <cdr:cNvPr id="6" name="テキスト ボックス 1"/>
        <cdr:cNvSpPr txBox="1"/>
      </cdr:nvSpPr>
      <cdr:spPr>
        <a:xfrm xmlns:a="http://schemas.openxmlformats.org/drawingml/2006/main">
          <a:off x="2641600" y="1041400"/>
          <a:ext cx="533400" cy="238125"/>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0A1D4462-9699-437B-9885-D27D5A6C1530}"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userShapes>
</file>

<file path=xl/drawings/drawing18.xml><?xml version="1.0" encoding="utf-8"?>
<c:userShapes xmlns:c="http://schemas.openxmlformats.org/drawingml/2006/chart">
  <cdr:relSizeAnchor xmlns:cdr="http://schemas.openxmlformats.org/drawingml/2006/chartDrawing">
    <cdr:from>
      <cdr:x>0.07795</cdr:x>
      <cdr:y>0.44759</cdr:y>
    </cdr:from>
    <cdr:to>
      <cdr:x>0.99338</cdr:x>
      <cdr:y>0.44759</cdr:y>
    </cdr:to>
    <cdr:sp macro="" textlink="">
      <cdr:nvSpPr>
        <cdr:cNvPr id="10244" name="Line 4"/>
        <cdr:cNvSpPr>
          <a:spLocks xmlns:a="http://schemas.openxmlformats.org/drawingml/2006/main" noChangeShapeType="1"/>
        </cdr:cNvSpPr>
      </cdr:nvSpPr>
      <cdr:spPr bwMode="auto">
        <a:xfrm xmlns:a="http://schemas.openxmlformats.org/drawingml/2006/main">
          <a:off x="198942" y="715143"/>
          <a:ext cx="2719059"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0.12219</cdr:x>
      <cdr:y>0.66867</cdr:y>
    </cdr:from>
    <cdr:to>
      <cdr:x>0.3119</cdr:x>
      <cdr:y>0.81325</cdr:y>
    </cdr:to>
    <cdr:sp macro="" textlink="'Result(2-3SDGs)'!$W$60">
      <cdr:nvSpPr>
        <cdr:cNvPr id="2" name="テキスト ボックス 1"/>
        <cdr:cNvSpPr txBox="1"/>
      </cdr:nvSpPr>
      <cdr:spPr>
        <a:xfrm xmlns:a="http://schemas.openxmlformats.org/drawingml/2006/main">
          <a:off x="361947" y="1057270"/>
          <a:ext cx="561973" cy="228603"/>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15FAB5FD-FC8D-48BA-AD0E-5FB581A210DC}"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0.43837</cdr:x>
      <cdr:y>0.6767</cdr:y>
    </cdr:from>
    <cdr:to>
      <cdr:x>0.62808</cdr:x>
      <cdr:y>0.82128</cdr:y>
    </cdr:to>
    <cdr:sp macro="" textlink="'Result(2-3SDGs)'!$W$61">
      <cdr:nvSpPr>
        <cdr:cNvPr id="4" name="テキスト ボックス 1"/>
        <cdr:cNvSpPr txBox="1"/>
      </cdr:nvSpPr>
      <cdr:spPr>
        <a:xfrm xmlns:a="http://schemas.openxmlformats.org/drawingml/2006/main">
          <a:off x="1298570" y="1069971"/>
          <a:ext cx="56197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E7AFA0B-83C3-46E0-B9DD-7D49F031A672}"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0.74062</cdr:x>
      <cdr:y>0.67671</cdr:y>
    </cdr:from>
    <cdr:to>
      <cdr:x>0.93034</cdr:x>
      <cdr:y>0.82129</cdr:y>
    </cdr:to>
    <cdr:sp macro="" textlink="'Result(2-3SDGs)'!$W$62">
      <cdr:nvSpPr>
        <cdr:cNvPr id="5" name="テキスト ボックス 1"/>
        <cdr:cNvSpPr txBox="1"/>
      </cdr:nvSpPr>
      <cdr:spPr>
        <a:xfrm xmlns:a="http://schemas.openxmlformats.org/drawingml/2006/main">
          <a:off x="2193912" y="1069975"/>
          <a:ext cx="56200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B6F1FE0-6146-412C-BC9C-1FE08E114054}"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userShapes>
</file>

<file path=xl/drawings/drawing19.xml><?xml version="1.0" encoding="utf-8"?>
<c:userShapes xmlns:c="http://schemas.openxmlformats.org/drawingml/2006/chart">
  <cdr:relSizeAnchor xmlns:cdr="http://schemas.openxmlformats.org/drawingml/2006/chartDrawing">
    <cdr:from>
      <cdr:x>0.06187</cdr:x>
      <cdr:y>0.41145</cdr:y>
    </cdr:from>
    <cdr:to>
      <cdr:x>0.9773</cdr:x>
      <cdr:y>0.41145</cdr:y>
    </cdr:to>
    <cdr:sp macro="" textlink="">
      <cdr:nvSpPr>
        <cdr:cNvPr id="10244" name="Line 4"/>
        <cdr:cNvSpPr>
          <a:spLocks xmlns:a="http://schemas.openxmlformats.org/drawingml/2006/main" noChangeShapeType="1"/>
        </cdr:cNvSpPr>
      </cdr:nvSpPr>
      <cdr:spPr bwMode="auto">
        <a:xfrm xmlns:a="http://schemas.openxmlformats.org/drawingml/2006/main">
          <a:off x="183284" y="650557"/>
          <a:ext cx="2711756" cy="0"/>
        </a:xfrm>
        <a:prstGeom xmlns:a="http://schemas.openxmlformats.org/drawingml/2006/main" prst="line">
          <a:avLst/>
        </a:prstGeom>
        <a:noFill xmlns:a="http://schemas.openxmlformats.org/drawingml/2006/main"/>
        <a:ln xmlns:a="http://schemas.openxmlformats.org/drawingml/2006/main" w="19050">
          <a:solidFill>
            <a:srgbClr val="FF0000"/>
          </a:solidFill>
          <a:round/>
          <a:headEnd/>
          <a:tailEnd/>
        </a:ln>
      </cdr:spPr>
      <cdr:txBody>
        <a:bodyPr xmlns:a="http://schemas.openxmlformats.org/drawingml/2006/main"/>
        <a:lstStyle xmlns:a="http://schemas.openxmlformats.org/drawingml/2006/main"/>
        <a:p xmlns:a="http://schemas.openxmlformats.org/drawingml/2006/main">
          <a:endParaRPr lang="ja-JP" altLang="en-US"/>
        </a:p>
      </cdr:txBody>
    </cdr:sp>
  </cdr:relSizeAnchor>
  <cdr:relSizeAnchor xmlns:cdr="http://schemas.openxmlformats.org/drawingml/2006/chartDrawing">
    <cdr:from>
      <cdr:x>0.12219</cdr:x>
      <cdr:y>0.66265</cdr:y>
    </cdr:from>
    <cdr:to>
      <cdr:x>0.3119</cdr:x>
      <cdr:y>0.80723</cdr:y>
    </cdr:to>
    <cdr:sp macro="" textlink="'Result(2-3SDGs)'!$Z$60">
      <cdr:nvSpPr>
        <cdr:cNvPr id="2" name="テキスト ボックス 1"/>
        <cdr:cNvSpPr txBox="1"/>
      </cdr:nvSpPr>
      <cdr:spPr>
        <a:xfrm xmlns:a="http://schemas.openxmlformats.org/drawingml/2006/main">
          <a:off x="361947" y="1047745"/>
          <a:ext cx="561973" cy="228603"/>
        </a:xfrm>
        <a:prstGeom xmlns:a="http://schemas.openxmlformats.org/drawingml/2006/main" prst="rect">
          <a:avLst/>
        </a:prstGeom>
      </cdr:spPr>
      <cdr:txBody>
        <a:bodyPr xmlns:a="http://schemas.openxmlformats.org/drawingml/2006/main" vertOverflow="clip" wrap="square" rtlCol="0" anchor="t"/>
        <a:lstStyle xmlns:a="http://schemas.openxmlformats.org/drawingml/2006/main"/>
        <a:p xmlns:a="http://schemas.openxmlformats.org/drawingml/2006/main">
          <a:pPr algn="ctr"/>
          <a:fld id="{34BADD3B-4FFE-491B-800F-C3D6AD91C9D5}"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#VALUE!</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0.43837</cdr:x>
      <cdr:y>0.6767</cdr:y>
    </cdr:from>
    <cdr:to>
      <cdr:x>0.62808</cdr:x>
      <cdr:y>0.82128</cdr:y>
    </cdr:to>
    <cdr:sp macro="" textlink="'Result(2-3SDGs)'!$Z$61">
      <cdr:nvSpPr>
        <cdr:cNvPr id="4" name="テキスト ボックス 1"/>
        <cdr:cNvSpPr txBox="1"/>
      </cdr:nvSpPr>
      <cdr:spPr>
        <a:xfrm xmlns:a="http://schemas.openxmlformats.org/drawingml/2006/main">
          <a:off x="1298570" y="1069971"/>
          <a:ext cx="56197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45B25313-F4FB-43CD-9FE3-490D1A780D37}"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0.7374</cdr:x>
      <cdr:y>0.67068</cdr:y>
    </cdr:from>
    <cdr:to>
      <cdr:x>0.92712</cdr:x>
      <cdr:y>0.81526</cdr:y>
    </cdr:to>
    <cdr:sp macro="" textlink="'Result(2-3SDGs)'!$Z$62">
      <cdr:nvSpPr>
        <cdr:cNvPr id="5" name="テキスト ボックス 1"/>
        <cdr:cNvSpPr txBox="1"/>
      </cdr:nvSpPr>
      <cdr:spPr>
        <a:xfrm xmlns:a="http://schemas.openxmlformats.org/drawingml/2006/main">
          <a:off x="2184387" y="1060450"/>
          <a:ext cx="562003" cy="228603"/>
        </a:xfrm>
        <a:prstGeom xmlns:a="http://schemas.openxmlformats.org/drawingml/2006/main" prst="rect">
          <a:avLst/>
        </a:prstGeom>
      </cdr:spPr>
      <cdr:txBody>
        <a:bodyPr xmlns:a="http://schemas.openxmlformats.org/drawingml/2006/main" wrap="square" rtlCol="0" anchor="t"/>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fld id="{94CF66CB-38F9-467D-93E6-1742709CCFAD}" type="TxLink">
            <a:rPr lang="en-US" altLang="en-US" sz="1000" b="0" i="0" u="none" strike="noStrike">
              <a:solidFill>
                <a:srgbClr val="000000"/>
              </a:solidFill>
              <a:latin typeface="Arial" panose="020B0604020202020204" pitchFamily="34" charset="0"/>
              <a:ea typeface="ＭＳ Ｐゴシック"/>
              <a:cs typeface="Arial" panose="020B0604020202020204" pitchFamily="34" charset="0"/>
            </a:rPr>
            <a:pPr algn="ctr"/>
            <a:t> </a:t>
          </a:fld>
          <a:endParaRPr lang="ja-JP" altLang="en-US" sz="1000">
            <a:latin typeface="Arial" panose="020B0604020202020204" pitchFamily="34" charset="0"/>
            <a:cs typeface="Arial" panose="020B0604020202020204" pitchFamily="34" charset="0"/>
          </a:endParaRPr>
        </a:p>
      </cdr:txBody>
    </cdr:sp>
  </cdr:relSizeAnchor>
</c:userShapes>
</file>

<file path=xl/drawings/drawing20.xml><?xml version="1.0" encoding="utf-8"?>
<xdr:wsDr xmlns:xdr="http://schemas.openxmlformats.org/drawingml/2006/spreadsheetDrawing" xmlns:a="http://schemas.openxmlformats.org/drawingml/2006/main">
  <xdr:twoCellAnchor>
    <xdr:from>
      <xdr:col>38</xdr:col>
      <xdr:colOff>66676</xdr:colOff>
      <xdr:row>128</xdr:row>
      <xdr:rowOff>47625</xdr:rowOff>
    </xdr:from>
    <xdr:to>
      <xdr:col>50</xdr:col>
      <xdr:colOff>466726</xdr:colOff>
      <xdr:row>138</xdr:row>
      <xdr:rowOff>95250</xdr:rowOff>
    </xdr:to>
    <xdr:sp macro="" textlink="">
      <xdr:nvSpPr>
        <xdr:cNvPr id="2" name="テキスト ボックス 1">
          <a:extLst>
            <a:ext uri="{FF2B5EF4-FFF2-40B4-BE49-F238E27FC236}">
              <a16:creationId xmlns:a16="http://schemas.microsoft.com/office/drawing/2014/main" id="{00000000-0008-0000-0500-000002000000}"/>
            </a:ext>
          </a:extLst>
        </xdr:cNvPr>
        <xdr:cNvSpPr txBox="1"/>
      </xdr:nvSpPr>
      <xdr:spPr>
        <a:xfrm>
          <a:off x="6172201" y="21993225"/>
          <a:ext cx="8058150" cy="17621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050" b="1">
              <a:solidFill>
                <a:srgbClr val="FF0000"/>
              </a:solidFill>
            </a:rPr>
            <a:t>LR1</a:t>
          </a:r>
          <a:r>
            <a:rPr kumimoji="1" lang="ja-JP" altLang="en-US" sz="1050" b="1">
              <a:solidFill>
                <a:srgbClr val="FF0000"/>
              </a:solidFill>
            </a:rPr>
            <a:t>「１．建物外皮の熱負荷抑制」「３．設備システムの高効率化」は、</a:t>
          </a:r>
          <a:r>
            <a:rPr kumimoji="1" lang="en-US" altLang="ja-JP" sz="1050" b="1">
              <a:solidFill>
                <a:srgbClr val="FF0000"/>
              </a:solidFill>
            </a:rPr>
            <a:t>CASBEE-</a:t>
          </a:r>
          <a:r>
            <a:rPr kumimoji="1" lang="ja-JP" altLang="en-US" sz="1050" b="1">
              <a:solidFill>
                <a:srgbClr val="FF0000"/>
              </a:solidFill>
            </a:rPr>
            <a:t>建築（新築）評価ソフト「計画書シート」で評価します。</a:t>
          </a:r>
          <a:endParaRPr kumimoji="1" lang="en-US" altLang="ja-JP" sz="1050" b="1">
            <a:solidFill>
              <a:srgbClr val="FF0000"/>
            </a:solidFill>
          </a:endParaRPr>
        </a:p>
      </xdr:txBody>
    </xdr:sp>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190500</xdr:colOff>
          <xdr:row>8</xdr:row>
          <xdr:rowOff>152400</xdr:rowOff>
        </xdr:from>
        <xdr:to>
          <xdr:col>2</xdr:col>
          <xdr:colOff>0</xdr:colOff>
          <xdr:row>9</xdr:row>
          <xdr:rowOff>152400</xdr:rowOff>
        </xdr:to>
        <xdr:sp macro="" textlink="">
          <xdr:nvSpPr>
            <xdr:cNvPr id="3073" name="Option Button 1" hidden="1">
              <a:extLst>
                <a:ext uri="{63B3BB69-23CF-44E3-9099-C40C66FF867C}">
                  <a14:compatExt spid="_x0000_s3073"/>
                </a:ext>
                <a:ext uri="{FF2B5EF4-FFF2-40B4-BE49-F238E27FC236}">
                  <a16:creationId xmlns:a16="http://schemas.microsoft.com/office/drawing/2014/main" id="{00000000-0008-0000-0700-00000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190500</xdr:colOff>
          <xdr:row>15</xdr:row>
          <xdr:rowOff>123825</xdr:rowOff>
        </xdr:from>
        <xdr:to>
          <xdr:col>2</xdr:col>
          <xdr:colOff>0</xdr:colOff>
          <xdr:row>17</xdr:row>
          <xdr:rowOff>19050</xdr:rowOff>
        </xdr:to>
        <xdr:sp macro="" textlink="">
          <xdr:nvSpPr>
            <xdr:cNvPr id="3074" name="Option Button 2" hidden="1">
              <a:extLst>
                <a:ext uri="{63B3BB69-23CF-44E3-9099-C40C66FF867C}">
                  <a14:compatExt spid="_x0000_s3074"/>
                </a:ext>
                <a:ext uri="{FF2B5EF4-FFF2-40B4-BE49-F238E27FC236}">
                  <a16:creationId xmlns:a16="http://schemas.microsoft.com/office/drawing/2014/main" id="{00000000-0008-0000-0700-00000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190500</xdr:colOff>
          <xdr:row>19</xdr:row>
          <xdr:rowOff>66675</xdr:rowOff>
        </xdr:from>
        <xdr:to>
          <xdr:col>2</xdr:col>
          <xdr:colOff>0</xdr:colOff>
          <xdr:row>21</xdr:row>
          <xdr:rowOff>114300</xdr:rowOff>
        </xdr:to>
        <xdr:sp macro="" textlink="">
          <xdr:nvSpPr>
            <xdr:cNvPr id="3075" name="Option Button 3" hidden="1">
              <a:extLst>
                <a:ext uri="{63B3BB69-23CF-44E3-9099-C40C66FF867C}">
                  <a14:compatExt spid="_x0000_s3075"/>
                </a:ext>
                <a:ext uri="{FF2B5EF4-FFF2-40B4-BE49-F238E27FC236}">
                  <a16:creationId xmlns:a16="http://schemas.microsoft.com/office/drawing/2014/main" id="{00000000-0008-0000-0700-00000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190500</xdr:colOff>
          <xdr:row>23</xdr:row>
          <xdr:rowOff>180975</xdr:rowOff>
        </xdr:from>
        <xdr:to>
          <xdr:col>2</xdr:col>
          <xdr:colOff>0</xdr:colOff>
          <xdr:row>25</xdr:row>
          <xdr:rowOff>0</xdr:rowOff>
        </xdr:to>
        <xdr:sp macro="" textlink="">
          <xdr:nvSpPr>
            <xdr:cNvPr id="3076" name="Option Button 4" hidden="1">
              <a:extLst>
                <a:ext uri="{63B3BB69-23CF-44E3-9099-C40C66FF867C}">
                  <a14:compatExt spid="_x0000_s3076"/>
                </a:ext>
                <a:ext uri="{FF2B5EF4-FFF2-40B4-BE49-F238E27FC236}">
                  <a16:creationId xmlns:a16="http://schemas.microsoft.com/office/drawing/2014/main" id="{00000000-0008-0000-0700-00000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190500</xdr:colOff>
          <xdr:row>27</xdr:row>
          <xdr:rowOff>142875</xdr:rowOff>
        </xdr:from>
        <xdr:to>
          <xdr:col>2</xdr:col>
          <xdr:colOff>0</xdr:colOff>
          <xdr:row>29</xdr:row>
          <xdr:rowOff>0</xdr:rowOff>
        </xdr:to>
        <xdr:sp macro="" textlink="">
          <xdr:nvSpPr>
            <xdr:cNvPr id="3077" name="Option Button 5" hidden="1">
              <a:extLst>
                <a:ext uri="{63B3BB69-23CF-44E3-9099-C40C66FF867C}">
                  <a14:compatExt spid="_x0000_s3077"/>
                </a:ext>
                <a:ext uri="{FF2B5EF4-FFF2-40B4-BE49-F238E27FC236}">
                  <a16:creationId xmlns:a16="http://schemas.microsoft.com/office/drawing/2014/main" id="{00000000-0008-0000-0700-00000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76200</xdr:colOff>
          <xdr:row>8</xdr:row>
          <xdr:rowOff>66675</xdr:rowOff>
        </xdr:from>
        <xdr:to>
          <xdr:col>12</xdr:col>
          <xdr:colOff>323850</xdr:colOff>
          <xdr:row>8</xdr:row>
          <xdr:rowOff>333375</xdr:rowOff>
        </xdr:to>
        <xdr:sp macro="" textlink="">
          <xdr:nvSpPr>
            <xdr:cNvPr id="59394" name="Check Box 2" hidden="1">
              <a:extLst>
                <a:ext uri="{63B3BB69-23CF-44E3-9099-C40C66FF867C}">
                  <a14:compatExt spid="_x0000_s59394"/>
                </a:ext>
                <a:ext uri="{FF2B5EF4-FFF2-40B4-BE49-F238E27FC236}">
                  <a16:creationId xmlns:a16="http://schemas.microsoft.com/office/drawing/2014/main" id="{00000000-0008-0000-1000-00000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xdr:row>
          <xdr:rowOff>66675</xdr:rowOff>
        </xdr:from>
        <xdr:to>
          <xdr:col>12</xdr:col>
          <xdr:colOff>323850</xdr:colOff>
          <xdr:row>9</xdr:row>
          <xdr:rowOff>333375</xdr:rowOff>
        </xdr:to>
        <xdr:sp macro="" textlink="">
          <xdr:nvSpPr>
            <xdr:cNvPr id="59395" name="Check Box 3" hidden="1">
              <a:extLst>
                <a:ext uri="{63B3BB69-23CF-44E3-9099-C40C66FF867C}">
                  <a14:compatExt spid="_x0000_s59395"/>
                </a:ext>
                <a:ext uri="{FF2B5EF4-FFF2-40B4-BE49-F238E27FC236}">
                  <a16:creationId xmlns:a16="http://schemas.microsoft.com/office/drawing/2014/main" id="{00000000-0008-0000-1000-00000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10</xdr:row>
          <xdr:rowOff>266700</xdr:rowOff>
        </xdr:from>
        <xdr:to>
          <xdr:col>12</xdr:col>
          <xdr:colOff>323850</xdr:colOff>
          <xdr:row>11</xdr:row>
          <xdr:rowOff>142875</xdr:rowOff>
        </xdr:to>
        <xdr:sp macro="" textlink="">
          <xdr:nvSpPr>
            <xdr:cNvPr id="59396" name="Check Box 4" hidden="1">
              <a:extLst>
                <a:ext uri="{63B3BB69-23CF-44E3-9099-C40C66FF867C}">
                  <a14:compatExt spid="_x0000_s59396"/>
                </a:ext>
                <a:ext uri="{FF2B5EF4-FFF2-40B4-BE49-F238E27FC236}">
                  <a16:creationId xmlns:a16="http://schemas.microsoft.com/office/drawing/2014/main" id="{00000000-0008-0000-1000-00000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xdr:row>
          <xdr:rowOff>85725</xdr:rowOff>
        </xdr:from>
        <xdr:to>
          <xdr:col>12</xdr:col>
          <xdr:colOff>323850</xdr:colOff>
          <xdr:row>17</xdr:row>
          <xdr:rowOff>352425</xdr:rowOff>
        </xdr:to>
        <xdr:sp macro="" textlink="">
          <xdr:nvSpPr>
            <xdr:cNvPr id="59397" name="Check Box 5" hidden="1">
              <a:extLst>
                <a:ext uri="{63B3BB69-23CF-44E3-9099-C40C66FF867C}">
                  <a14:compatExt spid="_x0000_s59397"/>
                </a:ext>
                <a:ext uri="{FF2B5EF4-FFF2-40B4-BE49-F238E27FC236}">
                  <a16:creationId xmlns:a16="http://schemas.microsoft.com/office/drawing/2014/main" id="{00000000-0008-0000-1000-00000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xdr:row>
          <xdr:rowOff>76200</xdr:rowOff>
        </xdr:from>
        <xdr:to>
          <xdr:col>12</xdr:col>
          <xdr:colOff>323850</xdr:colOff>
          <xdr:row>18</xdr:row>
          <xdr:rowOff>342900</xdr:rowOff>
        </xdr:to>
        <xdr:sp macro="" textlink="">
          <xdr:nvSpPr>
            <xdr:cNvPr id="59398" name="Check Box 6" hidden="1">
              <a:extLst>
                <a:ext uri="{63B3BB69-23CF-44E3-9099-C40C66FF867C}">
                  <a14:compatExt spid="_x0000_s59398"/>
                </a:ext>
                <a:ext uri="{FF2B5EF4-FFF2-40B4-BE49-F238E27FC236}">
                  <a16:creationId xmlns:a16="http://schemas.microsoft.com/office/drawing/2014/main" id="{00000000-0008-0000-1000-00000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xdr:row>
          <xdr:rowOff>66675</xdr:rowOff>
        </xdr:from>
        <xdr:to>
          <xdr:col>12</xdr:col>
          <xdr:colOff>323850</xdr:colOff>
          <xdr:row>19</xdr:row>
          <xdr:rowOff>333375</xdr:rowOff>
        </xdr:to>
        <xdr:sp macro="" textlink="">
          <xdr:nvSpPr>
            <xdr:cNvPr id="59399" name="Check Box 7" hidden="1">
              <a:extLst>
                <a:ext uri="{63B3BB69-23CF-44E3-9099-C40C66FF867C}">
                  <a14:compatExt spid="_x0000_s59399"/>
                </a:ext>
                <a:ext uri="{FF2B5EF4-FFF2-40B4-BE49-F238E27FC236}">
                  <a16:creationId xmlns:a16="http://schemas.microsoft.com/office/drawing/2014/main" id="{00000000-0008-0000-1000-00000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20</xdr:row>
          <xdr:rowOff>66675</xdr:rowOff>
        </xdr:from>
        <xdr:to>
          <xdr:col>12</xdr:col>
          <xdr:colOff>323850</xdr:colOff>
          <xdr:row>20</xdr:row>
          <xdr:rowOff>333375</xdr:rowOff>
        </xdr:to>
        <xdr:sp macro="" textlink="">
          <xdr:nvSpPr>
            <xdr:cNvPr id="59405" name="Check Box 13" hidden="1">
              <a:extLst>
                <a:ext uri="{63B3BB69-23CF-44E3-9099-C40C66FF867C}">
                  <a14:compatExt spid="_x0000_s59405"/>
                </a:ext>
                <a:ext uri="{FF2B5EF4-FFF2-40B4-BE49-F238E27FC236}">
                  <a16:creationId xmlns:a16="http://schemas.microsoft.com/office/drawing/2014/main" id="{00000000-0008-0000-1000-00000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21</xdr:row>
          <xdr:rowOff>504825</xdr:rowOff>
        </xdr:from>
        <xdr:to>
          <xdr:col>12</xdr:col>
          <xdr:colOff>323850</xdr:colOff>
          <xdr:row>21</xdr:row>
          <xdr:rowOff>771525</xdr:rowOff>
        </xdr:to>
        <xdr:sp macro="" textlink="">
          <xdr:nvSpPr>
            <xdr:cNvPr id="59406" name="Check Box 14" hidden="1">
              <a:extLst>
                <a:ext uri="{63B3BB69-23CF-44E3-9099-C40C66FF867C}">
                  <a14:compatExt spid="_x0000_s59406"/>
                </a:ext>
                <a:ext uri="{FF2B5EF4-FFF2-40B4-BE49-F238E27FC236}">
                  <a16:creationId xmlns:a16="http://schemas.microsoft.com/office/drawing/2014/main" id="{00000000-0008-0000-1000-00000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22</xdr:row>
          <xdr:rowOff>66675</xdr:rowOff>
        </xdr:from>
        <xdr:to>
          <xdr:col>12</xdr:col>
          <xdr:colOff>323850</xdr:colOff>
          <xdr:row>22</xdr:row>
          <xdr:rowOff>333375</xdr:rowOff>
        </xdr:to>
        <xdr:sp macro="" textlink="">
          <xdr:nvSpPr>
            <xdr:cNvPr id="59407" name="Check Box 15" hidden="1">
              <a:extLst>
                <a:ext uri="{63B3BB69-23CF-44E3-9099-C40C66FF867C}">
                  <a14:compatExt spid="_x0000_s59407"/>
                </a:ext>
                <a:ext uri="{FF2B5EF4-FFF2-40B4-BE49-F238E27FC236}">
                  <a16:creationId xmlns:a16="http://schemas.microsoft.com/office/drawing/2014/main" id="{00000000-0008-0000-1000-00000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23</xdr:row>
          <xdr:rowOff>400050</xdr:rowOff>
        </xdr:from>
        <xdr:to>
          <xdr:col>12</xdr:col>
          <xdr:colOff>323850</xdr:colOff>
          <xdr:row>23</xdr:row>
          <xdr:rowOff>666750</xdr:rowOff>
        </xdr:to>
        <xdr:sp macro="" textlink="">
          <xdr:nvSpPr>
            <xdr:cNvPr id="59408" name="Check Box 16" hidden="1">
              <a:extLst>
                <a:ext uri="{63B3BB69-23CF-44E3-9099-C40C66FF867C}">
                  <a14:compatExt spid="_x0000_s59408"/>
                </a:ext>
                <a:ext uri="{FF2B5EF4-FFF2-40B4-BE49-F238E27FC236}">
                  <a16:creationId xmlns:a16="http://schemas.microsoft.com/office/drawing/2014/main" id="{00000000-0008-0000-1000-00001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25</xdr:row>
          <xdr:rowOff>76200</xdr:rowOff>
        </xdr:from>
        <xdr:to>
          <xdr:col>12</xdr:col>
          <xdr:colOff>323850</xdr:colOff>
          <xdr:row>25</xdr:row>
          <xdr:rowOff>342900</xdr:rowOff>
        </xdr:to>
        <xdr:sp macro="" textlink="">
          <xdr:nvSpPr>
            <xdr:cNvPr id="59409" name="Check Box 17" hidden="1">
              <a:extLst>
                <a:ext uri="{63B3BB69-23CF-44E3-9099-C40C66FF867C}">
                  <a14:compatExt spid="_x0000_s59409"/>
                </a:ext>
                <a:ext uri="{FF2B5EF4-FFF2-40B4-BE49-F238E27FC236}">
                  <a16:creationId xmlns:a16="http://schemas.microsoft.com/office/drawing/2014/main" id="{00000000-0008-0000-1000-00001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27</xdr:row>
          <xdr:rowOff>276225</xdr:rowOff>
        </xdr:from>
        <xdr:to>
          <xdr:col>12</xdr:col>
          <xdr:colOff>323850</xdr:colOff>
          <xdr:row>28</xdr:row>
          <xdr:rowOff>161925</xdr:rowOff>
        </xdr:to>
        <xdr:sp macro="" textlink="">
          <xdr:nvSpPr>
            <xdr:cNvPr id="59410" name="Check Box 18" hidden="1">
              <a:extLst>
                <a:ext uri="{63B3BB69-23CF-44E3-9099-C40C66FF867C}">
                  <a14:compatExt spid="_x0000_s59410"/>
                </a:ext>
                <a:ext uri="{FF2B5EF4-FFF2-40B4-BE49-F238E27FC236}">
                  <a16:creationId xmlns:a16="http://schemas.microsoft.com/office/drawing/2014/main" id="{00000000-0008-0000-1000-00001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29</xdr:row>
          <xdr:rowOff>66675</xdr:rowOff>
        </xdr:from>
        <xdr:to>
          <xdr:col>12</xdr:col>
          <xdr:colOff>323850</xdr:colOff>
          <xdr:row>29</xdr:row>
          <xdr:rowOff>333375</xdr:rowOff>
        </xdr:to>
        <xdr:sp macro="" textlink="">
          <xdr:nvSpPr>
            <xdr:cNvPr id="59411" name="Check Box 19" hidden="1">
              <a:extLst>
                <a:ext uri="{63B3BB69-23CF-44E3-9099-C40C66FF867C}">
                  <a14:compatExt spid="_x0000_s59411"/>
                </a:ext>
                <a:ext uri="{FF2B5EF4-FFF2-40B4-BE49-F238E27FC236}">
                  <a16:creationId xmlns:a16="http://schemas.microsoft.com/office/drawing/2014/main" id="{00000000-0008-0000-1000-00001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30</xdr:row>
          <xdr:rowOff>66675</xdr:rowOff>
        </xdr:from>
        <xdr:to>
          <xdr:col>12</xdr:col>
          <xdr:colOff>323850</xdr:colOff>
          <xdr:row>30</xdr:row>
          <xdr:rowOff>333375</xdr:rowOff>
        </xdr:to>
        <xdr:sp macro="" textlink="">
          <xdr:nvSpPr>
            <xdr:cNvPr id="59412" name="Check Box 20" hidden="1">
              <a:extLst>
                <a:ext uri="{63B3BB69-23CF-44E3-9099-C40C66FF867C}">
                  <a14:compatExt spid="_x0000_s59412"/>
                </a:ext>
                <a:ext uri="{FF2B5EF4-FFF2-40B4-BE49-F238E27FC236}">
                  <a16:creationId xmlns:a16="http://schemas.microsoft.com/office/drawing/2014/main" id="{00000000-0008-0000-1000-00001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31</xdr:row>
          <xdr:rowOff>85725</xdr:rowOff>
        </xdr:from>
        <xdr:to>
          <xdr:col>12</xdr:col>
          <xdr:colOff>323850</xdr:colOff>
          <xdr:row>31</xdr:row>
          <xdr:rowOff>352425</xdr:rowOff>
        </xdr:to>
        <xdr:sp macro="" textlink="">
          <xdr:nvSpPr>
            <xdr:cNvPr id="59413" name="Check Box 21" hidden="1">
              <a:extLst>
                <a:ext uri="{63B3BB69-23CF-44E3-9099-C40C66FF867C}">
                  <a14:compatExt spid="_x0000_s59413"/>
                </a:ext>
                <a:ext uri="{FF2B5EF4-FFF2-40B4-BE49-F238E27FC236}">
                  <a16:creationId xmlns:a16="http://schemas.microsoft.com/office/drawing/2014/main" id="{00000000-0008-0000-1000-00001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32</xdr:row>
          <xdr:rowOff>561975</xdr:rowOff>
        </xdr:from>
        <xdr:to>
          <xdr:col>12</xdr:col>
          <xdr:colOff>323850</xdr:colOff>
          <xdr:row>32</xdr:row>
          <xdr:rowOff>828675</xdr:rowOff>
        </xdr:to>
        <xdr:sp macro="" textlink="">
          <xdr:nvSpPr>
            <xdr:cNvPr id="59414" name="Check Box 22" hidden="1">
              <a:extLst>
                <a:ext uri="{63B3BB69-23CF-44E3-9099-C40C66FF867C}">
                  <a14:compatExt spid="_x0000_s59414"/>
                </a:ext>
                <a:ext uri="{FF2B5EF4-FFF2-40B4-BE49-F238E27FC236}">
                  <a16:creationId xmlns:a16="http://schemas.microsoft.com/office/drawing/2014/main" id="{00000000-0008-0000-1000-00001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33</xdr:row>
          <xdr:rowOff>19050</xdr:rowOff>
        </xdr:from>
        <xdr:to>
          <xdr:col>12</xdr:col>
          <xdr:colOff>323850</xdr:colOff>
          <xdr:row>33</xdr:row>
          <xdr:rowOff>285750</xdr:rowOff>
        </xdr:to>
        <xdr:sp macro="" textlink="">
          <xdr:nvSpPr>
            <xdr:cNvPr id="59415" name="Check Box 23" hidden="1">
              <a:extLst>
                <a:ext uri="{63B3BB69-23CF-44E3-9099-C40C66FF867C}">
                  <a14:compatExt spid="_x0000_s59415"/>
                </a:ext>
                <a:ext uri="{FF2B5EF4-FFF2-40B4-BE49-F238E27FC236}">
                  <a16:creationId xmlns:a16="http://schemas.microsoft.com/office/drawing/2014/main" id="{00000000-0008-0000-1000-00001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34</xdr:row>
          <xdr:rowOff>19050</xdr:rowOff>
        </xdr:from>
        <xdr:to>
          <xdr:col>12</xdr:col>
          <xdr:colOff>323850</xdr:colOff>
          <xdr:row>34</xdr:row>
          <xdr:rowOff>285750</xdr:rowOff>
        </xdr:to>
        <xdr:sp macro="" textlink="">
          <xdr:nvSpPr>
            <xdr:cNvPr id="59416" name="Check Box 24" hidden="1">
              <a:extLst>
                <a:ext uri="{63B3BB69-23CF-44E3-9099-C40C66FF867C}">
                  <a14:compatExt spid="_x0000_s59416"/>
                </a:ext>
                <a:ext uri="{FF2B5EF4-FFF2-40B4-BE49-F238E27FC236}">
                  <a16:creationId xmlns:a16="http://schemas.microsoft.com/office/drawing/2014/main" id="{00000000-0008-0000-1000-00001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35</xdr:row>
          <xdr:rowOff>19050</xdr:rowOff>
        </xdr:from>
        <xdr:to>
          <xdr:col>12</xdr:col>
          <xdr:colOff>323850</xdr:colOff>
          <xdr:row>35</xdr:row>
          <xdr:rowOff>285750</xdr:rowOff>
        </xdr:to>
        <xdr:sp macro="" textlink="">
          <xdr:nvSpPr>
            <xdr:cNvPr id="59417" name="Check Box 25" hidden="1">
              <a:extLst>
                <a:ext uri="{63B3BB69-23CF-44E3-9099-C40C66FF867C}">
                  <a14:compatExt spid="_x0000_s59417"/>
                </a:ext>
                <a:ext uri="{FF2B5EF4-FFF2-40B4-BE49-F238E27FC236}">
                  <a16:creationId xmlns:a16="http://schemas.microsoft.com/office/drawing/2014/main" id="{00000000-0008-0000-1000-00001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36</xdr:row>
          <xdr:rowOff>38100</xdr:rowOff>
        </xdr:from>
        <xdr:to>
          <xdr:col>12</xdr:col>
          <xdr:colOff>323850</xdr:colOff>
          <xdr:row>36</xdr:row>
          <xdr:rowOff>304800</xdr:rowOff>
        </xdr:to>
        <xdr:sp macro="" textlink="">
          <xdr:nvSpPr>
            <xdr:cNvPr id="59418" name="Check Box 26" hidden="1">
              <a:extLst>
                <a:ext uri="{63B3BB69-23CF-44E3-9099-C40C66FF867C}">
                  <a14:compatExt spid="_x0000_s59418"/>
                </a:ext>
                <a:ext uri="{FF2B5EF4-FFF2-40B4-BE49-F238E27FC236}">
                  <a16:creationId xmlns:a16="http://schemas.microsoft.com/office/drawing/2014/main" id="{00000000-0008-0000-1000-00001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37</xdr:row>
          <xdr:rowOff>38100</xdr:rowOff>
        </xdr:from>
        <xdr:to>
          <xdr:col>12</xdr:col>
          <xdr:colOff>323850</xdr:colOff>
          <xdr:row>37</xdr:row>
          <xdr:rowOff>304800</xdr:rowOff>
        </xdr:to>
        <xdr:sp macro="" textlink="">
          <xdr:nvSpPr>
            <xdr:cNvPr id="59419" name="Check Box 27" hidden="1">
              <a:extLst>
                <a:ext uri="{63B3BB69-23CF-44E3-9099-C40C66FF867C}">
                  <a14:compatExt spid="_x0000_s59419"/>
                </a:ext>
                <a:ext uri="{FF2B5EF4-FFF2-40B4-BE49-F238E27FC236}">
                  <a16:creationId xmlns:a16="http://schemas.microsoft.com/office/drawing/2014/main" id="{00000000-0008-0000-1000-00001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38</xdr:row>
          <xdr:rowOff>38100</xdr:rowOff>
        </xdr:from>
        <xdr:to>
          <xdr:col>12</xdr:col>
          <xdr:colOff>323850</xdr:colOff>
          <xdr:row>38</xdr:row>
          <xdr:rowOff>304800</xdr:rowOff>
        </xdr:to>
        <xdr:sp macro="" textlink="">
          <xdr:nvSpPr>
            <xdr:cNvPr id="59420" name="Check Box 28" hidden="1">
              <a:extLst>
                <a:ext uri="{63B3BB69-23CF-44E3-9099-C40C66FF867C}">
                  <a14:compatExt spid="_x0000_s59420"/>
                </a:ext>
                <a:ext uri="{FF2B5EF4-FFF2-40B4-BE49-F238E27FC236}">
                  <a16:creationId xmlns:a16="http://schemas.microsoft.com/office/drawing/2014/main" id="{00000000-0008-0000-1000-00001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39</xdr:row>
          <xdr:rowOff>152400</xdr:rowOff>
        </xdr:from>
        <xdr:to>
          <xdr:col>12</xdr:col>
          <xdr:colOff>323850</xdr:colOff>
          <xdr:row>39</xdr:row>
          <xdr:rowOff>419100</xdr:rowOff>
        </xdr:to>
        <xdr:sp macro="" textlink="">
          <xdr:nvSpPr>
            <xdr:cNvPr id="59421" name="Check Box 29" hidden="1">
              <a:extLst>
                <a:ext uri="{63B3BB69-23CF-44E3-9099-C40C66FF867C}">
                  <a14:compatExt spid="_x0000_s59421"/>
                </a:ext>
                <a:ext uri="{FF2B5EF4-FFF2-40B4-BE49-F238E27FC236}">
                  <a16:creationId xmlns:a16="http://schemas.microsoft.com/office/drawing/2014/main" id="{00000000-0008-0000-1000-00001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40</xdr:row>
          <xdr:rowOff>828675</xdr:rowOff>
        </xdr:from>
        <xdr:to>
          <xdr:col>12</xdr:col>
          <xdr:colOff>323850</xdr:colOff>
          <xdr:row>40</xdr:row>
          <xdr:rowOff>1095375</xdr:rowOff>
        </xdr:to>
        <xdr:sp macro="" textlink="">
          <xdr:nvSpPr>
            <xdr:cNvPr id="59422" name="Check Box 30" hidden="1">
              <a:extLst>
                <a:ext uri="{63B3BB69-23CF-44E3-9099-C40C66FF867C}">
                  <a14:compatExt spid="_x0000_s59422"/>
                </a:ext>
                <a:ext uri="{FF2B5EF4-FFF2-40B4-BE49-F238E27FC236}">
                  <a16:creationId xmlns:a16="http://schemas.microsoft.com/office/drawing/2014/main" id="{00000000-0008-0000-1000-00001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41</xdr:row>
          <xdr:rowOff>600075</xdr:rowOff>
        </xdr:from>
        <xdr:to>
          <xdr:col>12</xdr:col>
          <xdr:colOff>323850</xdr:colOff>
          <xdr:row>41</xdr:row>
          <xdr:rowOff>866775</xdr:rowOff>
        </xdr:to>
        <xdr:sp macro="" textlink="">
          <xdr:nvSpPr>
            <xdr:cNvPr id="59424" name="Check Box 32" hidden="1">
              <a:extLst>
                <a:ext uri="{63B3BB69-23CF-44E3-9099-C40C66FF867C}">
                  <a14:compatExt spid="_x0000_s59424"/>
                </a:ext>
                <a:ext uri="{FF2B5EF4-FFF2-40B4-BE49-F238E27FC236}">
                  <a16:creationId xmlns:a16="http://schemas.microsoft.com/office/drawing/2014/main" id="{00000000-0008-0000-1000-00002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41</xdr:row>
          <xdr:rowOff>1485900</xdr:rowOff>
        </xdr:from>
        <xdr:to>
          <xdr:col>12</xdr:col>
          <xdr:colOff>323850</xdr:colOff>
          <xdr:row>42</xdr:row>
          <xdr:rowOff>247650</xdr:rowOff>
        </xdr:to>
        <xdr:sp macro="" textlink="">
          <xdr:nvSpPr>
            <xdr:cNvPr id="59426" name="Check Box 34" hidden="1">
              <a:extLst>
                <a:ext uri="{63B3BB69-23CF-44E3-9099-C40C66FF867C}">
                  <a14:compatExt spid="_x0000_s59426"/>
                </a:ext>
                <a:ext uri="{FF2B5EF4-FFF2-40B4-BE49-F238E27FC236}">
                  <a16:creationId xmlns:a16="http://schemas.microsoft.com/office/drawing/2014/main" id="{00000000-0008-0000-1000-00002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43</xdr:row>
          <xdr:rowOff>381000</xdr:rowOff>
        </xdr:from>
        <xdr:to>
          <xdr:col>12</xdr:col>
          <xdr:colOff>323850</xdr:colOff>
          <xdr:row>43</xdr:row>
          <xdr:rowOff>647700</xdr:rowOff>
        </xdr:to>
        <xdr:sp macro="" textlink="">
          <xdr:nvSpPr>
            <xdr:cNvPr id="59428" name="Check Box 36" hidden="1">
              <a:extLst>
                <a:ext uri="{63B3BB69-23CF-44E3-9099-C40C66FF867C}">
                  <a14:compatExt spid="_x0000_s59428"/>
                </a:ext>
                <a:ext uri="{FF2B5EF4-FFF2-40B4-BE49-F238E27FC236}">
                  <a16:creationId xmlns:a16="http://schemas.microsoft.com/office/drawing/2014/main" id="{00000000-0008-0000-1000-00002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46</xdr:row>
          <xdr:rowOff>171450</xdr:rowOff>
        </xdr:from>
        <xdr:to>
          <xdr:col>12</xdr:col>
          <xdr:colOff>323850</xdr:colOff>
          <xdr:row>46</xdr:row>
          <xdr:rowOff>438150</xdr:rowOff>
        </xdr:to>
        <xdr:sp macro="" textlink="">
          <xdr:nvSpPr>
            <xdr:cNvPr id="59429" name="Check Box 37" hidden="1">
              <a:extLst>
                <a:ext uri="{63B3BB69-23CF-44E3-9099-C40C66FF867C}">
                  <a14:compatExt spid="_x0000_s59429"/>
                </a:ext>
                <a:ext uri="{FF2B5EF4-FFF2-40B4-BE49-F238E27FC236}">
                  <a16:creationId xmlns:a16="http://schemas.microsoft.com/office/drawing/2014/main" id="{00000000-0008-0000-1000-00002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47</xdr:row>
          <xdr:rowOff>28575</xdr:rowOff>
        </xdr:from>
        <xdr:to>
          <xdr:col>12</xdr:col>
          <xdr:colOff>323850</xdr:colOff>
          <xdr:row>47</xdr:row>
          <xdr:rowOff>295275</xdr:rowOff>
        </xdr:to>
        <xdr:sp macro="" textlink="">
          <xdr:nvSpPr>
            <xdr:cNvPr id="59431" name="Check Box 39" hidden="1">
              <a:extLst>
                <a:ext uri="{63B3BB69-23CF-44E3-9099-C40C66FF867C}">
                  <a14:compatExt spid="_x0000_s59431"/>
                </a:ext>
                <a:ext uri="{FF2B5EF4-FFF2-40B4-BE49-F238E27FC236}">
                  <a16:creationId xmlns:a16="http://schemas.microsoft.com/office/drawing/2014/main" id="{00000000-0008-0000-1000-00002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48</xdr:row>
          <xdr:rowOff>19050</xdr:rowOff>
        </xdr:from>
        <xdr:to>
          <xdr:col>12</xdr:col>
          <xdr:colOff>323850</xdr:colOff>
          <xdr:row>48</xdr:row>
          <xdr:rowOff>285750</xdr:rowOff>
        </xdr:to>
        <xdr:sp macro="" textlink="">
          <xdr:nvSpPr>
            <xdr:cNvPr id="59432" name="Check Box 40" hidden="1">
              <a:extLst>
                <a:ext uri="{63B3BB69-23CF-44E3-9099-C40C66FF867C}">
                  <a14:compatExt spid="_x0000_s59432"/>
                </a:ext>
                <a:ext uri="{FF2B5EF4-FFF2-40B4-BE49-F238E27FC236}">
                  <a16:creationId xmlns:a16="http://schemas.microsoft.com/office/drawing/2014/main" id="{00000000-0008-0000-1000-00002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49</xdr:row>
          <xdr:rowOff>38100</xdr:rowOff>
        </xdr:from>
        <xdr:to>
          <xdr:col>12</xdr:col>
          <xdr:colOff>323850</xdr:colOff>
          <xdr:row>49</xdr:row>
          <xdr:rowOff>304800</xdr:rowOff>
        </xdr:to>
        <xdr:sp macro="" textlink="">
          <xdr:nvSpPr>
            <xdr:cNvPr id="59434" name="Check Box 42" hidden="1">
              <a:extLst>
                <a:ext uri="{63B3BB69-23CF-44E3-9099-C40C66FF867C}">
                  <a14:compatExt spid="_x0000_s59434"/>
                </a:ext>
                <a:ext uri="{FF2B5EF4-FFF2-40B4-BE49-F238E27FC236}">
                  <a16:creationId xmlns:a16="http://schemas.microsoft.com/office/drawing/2014/main" id="{00000000-0008-0000-1000-00002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52</xdr:row>
          <xdr:rowOff>47625</xdr:rowOff>
        </xdr:from>
        <xdr:to>
          <xdr:col>12</xdr:col>
          <xdr:colOff>323850</xdr:colOff>
          <xdr:row>52</xdr:row>
          <xdr:rowOff>314325</xdr:rowOff>
        </xdr:to>
        <xdr:sp macro="" textlink="">
          <xdr:nvSpPr>
            <xdr:cNvPr id="59436" name="Check Box 44" hidden="1">
              <a:extLst>
                <a:ext uri="{63B3BB69-23CF-44E3-9099-C40C66FF867C}">
                  <a14:compatExt spid="_x0000_s59436"/>
                </a:ext>
                <a:ext uri="{FF2B5EF4-FFF2-40B4-BE49-F238E27FC236}">
                  <a16:creationId xmlns:a16="http://schemas.microsoft.com/office/drawing/2014/main" id="{00000000-0008-0000-1000-00002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53</xdr:row>
          <xdr:rowOff>104775</xdr:rowOff>
        </xdr:from>
        <xdr:to>
          <xdr:col>12</xdr:col>
          <xdr:colOff>323850</xdr:colOff>
          <xdr:row>53</xdr:row>
          <xdr:rowOff>371475</xdr:rowOff>
        </xdr:to>
        <xdr:sp macro="" textlink="">
          <xdr:nvSpPr>
            <xdr:cNvPr id="59437" name="Check Box 45" hidden="1">
              <a:extLst>
                <a:ext uri="{63B3BB69-23CF-44E3-9099-C40C66FF867C}">
                  <a14:compatExt spid="_x0000_s59437"/>
                </a:ext>
                <a:ext uri="{FF2B5EF4-FFF2-40B4-BE49-F238E27FC236}">
                  <a16:creationId xmlns:a16="http://schemas.microsoft.com/office/drawing/2014/main" id="{00000000-0008-0000-1000-00002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54</xdr:row>
          <xdr:rowOff>85725</xdr:rowOff>
        </xdr:from>
        <xdr:to>
          <xdr:col>12</xdr:col>
          <xdr:colOff>323850</xdr:colOff>
          <xdr:row>54</xdr:row>
          <xdr:rowOff>352425</xdr:rowOff>
        </xdr:to>
        <xdr:sp macro="" textlink="">
          <xdr:nvSpPr>
            <xdr:cNvPr id="59438" name="Check Box 46" hidden="1">
              <a:extLst>
                <a:ext uri="{63B3BB69-23CF-44E3-9099-C40C66FF867C}">
                  <a14:compatExt spid="_x0000_s59438"/>
                </a:ext>
                <a:ext uri="{FF2B5EF4-FFF2-40B4-BE49-F238E27FC236}">
                  <a16:creationId xmlns:a16="http://schemas.microsoft.com/office/drawing/2014/main" id="{00000000-0008-0000-1000-00002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55</xdr:row>
          <xdr:rowOff>28575</xdr:rowOff>
        </xdr:from>
        <xdr:to>
          <xdr:col>12</xdr:col>
          <xdr:colOff>323850</xdr:colOff>
          <xdr:row>55</xdr:row>
          <xdr:rowOff>295275</xdr:rowOff>
        </xdr:to>
        <xdr:sp macro="" textlink="">
          <xdr:nvSpPr>
            <xdr:cNvPr id="59439" name="Check Box 47" hidden="1">
              <a:extLst>
                <a:ext uri="{63B3BB69-23CF-44E3-9099-C40C66FF867C}">
                  <a14:compatExt spid="_x0000_s59439"/>
                </a:ext>
                <a:ext uri="{FF2B5EF4-FFF2-40B4-BE49-F238E27FC236}">
                  <a16:creationId xmlns:a16="http://schemas.microsoft.com/office/drawing/2014/main" id="{00000000-0008-0000-1000-00002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56</xdr:row>
          <xdr:rowOff>76200</xdr:rowOff>
        </xdr:from>
        <xdr:to>
          <xdr:col>12</xdr:col>
          <xdr:colOff>323850</xdr:colOff>
          <xdr:row>56</xdr:row>
          <xdr:rowOff>342900</xdr:rowOff>
        </xdr:to>
        <xdr:sp macro="" textlink="">
          <xdr:nvSpPr>
            <xdr:cNvPr id="59440" name="Check Box 48" hidden="1">
              <a:extLst>
                <a:ext uri="{63B3BB69-23CF-44E3-9099-C40C66FF867C}">
                  <a14:compatExt spid="_x0000_s59440"/>
                </a:ext>
                <a:ext uri="{FF2B5EF4-FFF2-40B4-BE49-F238E27FC236}">
                  <a16:creationId xmlns:a16="http://schemas.microsoft.com/office/drawing/2014/main" id="{00000000-0008-0000-1000-00003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57</xdr:row>
          <xdr:rowOff>38100</xdr:rowOff>
        </xdr:from>
        <xdr:to>
          <xdr:col>12</xdr:col>
          <xdr:colOff>323850</xdr:colOff>
          <xdr:row>57</xdr:row>
          <xdr:rowOff>304800</xdr:rowOff>
        </xdr:to>
        <xdr:sp macro="" textlink="">
          <xdr:nvSpPr>
            <xdr:cNvPr id="59441" name="Check Box 49" hidden="1">
              <a:extLst>
                <a:ext uri="{63B3BB69-23CF-44E3-9099-C40C66FF867C}">
                  <a14:compatExt spid="_x0000_s59441"/>
                </a:ext>
                <a:ext uri="{FF2B5EF4-FFF2-40B4-BE49-F238E27FC236}">
                  <a16:creationId xmlns:a16="http://schemas.microsoft.com/office/drawing/2014/main" id="{00000000-0008-0000-1000-00003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58</xdr:row>
          <xdr:rowOff>495300</xdr:rowOff>
        </xdr:from>
        <xdr:to>
          <xdr:col>12</xdr:col>
          <xdr:colOff>323850</xdr:colOff>
          <xdr:row>58</xdr:row>
          <xdr:rowOff>762000</xdr:rowOff>
        </xdr:to>
        <xdr:sp macro="" textlink="">
          <xdr:nvSpPr>
            <xdr:cNvPr id="59442" name="Check Box 50" hidden="1">
              <a:extLst>
                <a:ext uri="{63B3BB69-23CF-44E3-9099-C40C66FF867C}">
                  <a14:compatExt spid="_x0000_s59442"/>
                </a:ext>
                <a:ext uri="{FF2B5EF4-FFF2-40B4-BE49-F238E27FC236}">
                  <a16:creationId xmlns:a16="http://schemas.microsoft.com/office/drawing/2014/main" id="{00000000-0008-0000-1000-00003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59</xdr:row>
          <xdr:rowOff>123825</xdr:rowOff>
        </xdr:from>
        <xdr:to>
          <xdr:col>12</xdr:col>
          <xdr:colOff>323850</xdr:colOff>
          <xdr:row>59</xdr:row>
          <xdr:rowOff>390525</xdr:rowOff>
        </xdr:to>
        <xdr:sp macro="" textlink="">
          <xdr:nvSpPr>
            <xdr:cNvPr id="59443" name="Check Box 51" hidden="1">
              <a:extLst>
                <a:ext uri="{63B3BB69-23CF-44E3-9099-C40C66FF867C}">
                  <a14:compatExt spid="_x0000_s59443"/>
                </a:ext>
                <a:ext uri="{FF2B5EF4-FFF2-40B4-BE49-F238E27FC236}">
                  <a16:creationId xmlns:a16="http://schemas.microsoft.com/office/drawing/2014/main" id="{00000000-0008-0000-1000-00003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60</xdr:row>
          <xdr:rowOff>485775</xdr:rowOff>
        </xdr:from>
        <xdr:to>
          <xdr:col>12</xdr:col>
          <xdr:colOff>323850</xdr:colOff>
          <xdr:row>60</xdr:row>
          <xdr:rowOff>752475</xdr:rowOff>
        </xdr:to>
        <xdr:sp macro="" textlink="">
          <xdr:nvSpPr>
            <xdr:cNvPr id="59444" name="Check Box 52" hidden="1">
              <a:extLst>
                <a:ext uri="{63B3BB69-23CF-44E3-9099-C40C66FF867C}">
                  <a14:compatExt spid="_x0000_s59444"/>
                </a:ext>
                <a:ext uri="{FF2B5EF4-FFF2-40B4-BE49-F238E27FC236}">
                  <a16:creationId xmlns:a16="http://schemas.microsoft.com/office/drawing/2014/main" id="{00000000-0008-0000-1000-00003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61</xdr:row>
          <xdr:rowOff>47625</xdr:rowOff>
        </xdr:from>
        <xdr:to>
          <xdr:col>12</xdr:col>
          <xdr:colOff>323850</xdr:colOff>
          <xdr:row>61</xdr:row>
          <xdr:rowOff>314325</xdr:rowOff>
        </xdr:to>
        <xdr:sp macro="" textlink="">
          <xdr:nvSpPr>
            <xdr:cNvPr id="59445" name="Check Box 53" hidden="1">
              <a:extLst>
                <a:ext uri="{63B3BB69-23CF-44E3-9099-C40C66FF867C}">
                  <a14:compatExt spid="_x0000_s59445"/>
                </a:ext>
                <a:ext uri="{FF2B5EF4-FFF2-40B4-BE49-F238E27FC236}">
                  <a16:creationId xmlns:a16="http://schemas.microsoft.com/office/drawing/2014/main" id="{00000000-0008-0000-1000-00003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62</xdr:row>
          <xdr:rowOff>57150</xdr:rowOff>
        </xdr:from>
        <xdr:to>
          <xdr:col>12</xdr:col>
          <xdr:colOff>323850</xdr:colOff>
          <xdr:row>62</xdr:row>
          <xdr:rowOff>323850</xdr:rowOff>
        </xdr:to>
        <xdr:sp macro="" textlink="">
          <xdr:nvSpPr>
            <xdr:cNvPr id="59446" name="Check Box 54" hidden="1">
              <a:extLst>
                <a:ext uri="{63B3BB69-23CF-44E3-9099-C40C66FF867C}">
                  <a14:compatExt spid="_x0000_s59446"/>
                </a:ext>
                <a:ext uri="{FF2B5EF4-FFF2-40B4-BE49-F238E27FC236}">
                  <a16:creationId xmlns:a16="http://schemas.microsoft.com/office/drawing/2014/main" id="{00000000-0008-0000-1000-00003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64</xdr:row>
          <xdr:rowOff>238125</xdr:rowOff>
        </xdr:from>
        <xdr:to>
          <xdr:col>12</xdr:col>
          <xdr:colOff>323850</xdr:colOff>
          <xdr:row>64</xdr:row>
          <xdr:rowOff>504825</xdr:rowOff>
        </xdr:to>
        <xdr:sp macro="" textlink="">
          <xdr:nvSpPr>
            <xdr:cNvPr id="59447" name="Check Box 55" hidden="1">
              <a:extLst>
                <a:ext uri="{63B3BB69-23CF-44E3-9099-C40C66FF867C}">
                  <a14:compatExt spid="_x0000_s59447"/>
                </a:ext>
                <a:ext uri="{FF2B5EF4-FFF2-40B4-BE49-F238E27FC236}">
                  <a16:creationId xmlns:a16="http://schemas.microsoft.com/office/drawing/2014/main" id="{00000000-0008-0000-1000-00003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66</xdr:row>
          <xdr:rowOff>57150</xdr:rowOff>
        </xdr:from>
        <xdr:to>
          <xdr:col>12</xdr:col>
          <xdr:colOff>323850</xdr:colOff>
          <xdr:row>66</xdr:row>
          <xdr:rowOff>323850</xdr:rowOff>
        </xdr:to>
        <xdr:sp macro="" textlink="">
          <xdr:nvSpPr>
            <xdr:cNvPr id="59448" name="Check Box 56" hidden="1">
              <a:extLst>
                <a:ext uri="{63B3BB69-23CF-44E3-9099-C40C66FF867C}">
                  <a14:compatExt spid="_x0000_s59448"/>
                </a:ext>
                <a:ext uri="{FF2B5EF4-FFF2-40B4-BE49-F238E27FC236}">
                  <a16:creationId xmlns:a16="http://schemas.microsoft.com/office/drawing/2014/main" id="{00000000-0008-0000-1000-00003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67</xdr:row>
          <xdr:rowOff>47625</xdr:rowOff>
        </xdr:from>
        <xdr:to>
          <xdr:col>12</xdr:col>
          <xdr:colOff>323850</xdr:colOff>
          <xdr:row>67</xdr:row>
          <xdr:rowOff>314325</xdr:rowOff>
        </xdr:to>
        <xdr:sp macro="" textlink="">
          <xdr:nvSpPr>
            <xdr:cNvPr id="59449" name="Check Box 57" hidden="1">
              <a:extLst>
                <a:ext uri="{63B3BB69-23CF-44E3-9099-C40C66FF867C}">
                  <a14:compatExt spid="_x0000_s59449"/>
                </a:ext>
                <a:ext uri="{FF2B5EF4-FFF2-40B4-BE49-F238E27FC236}">
                  <a16:creationId xmlns:a16="http://schemas.microsoft.com/office/drawing/2014/main" id="{00000000-0008-0000-1000-00003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68</xdr:row>
          <xdr:rowOff>57150</xdr:rowOff>
        </xdr:from>
        <xdr:to>
          <xdr:col>12</xdr:col>
          <xdr:colOff>323850</xdr:colOff>
          <xdr:row>68</xdr:row>
          <xdr:rowOff>323850</xdr:rowOff>
        </xdr:to>
        <xdr:sp macro="" textlink="">
          <xdr:nvSpPr>
            <xdr:cNvPr id="59450" name="Check Box 58" hidden="1">
              <a:extLst>
                <a:ext uri="{63B3BB69-23CF-44E3-9099-C40C66FF867C}">
                  <a14:compatExt spid="_x0000_s59450"/>
                </a:ext>
                <a:ext uri="{FF2B5EF4-FFF2-40B4-BE49-F238E27FC236}">
                  <a16:creationId xmlns:a16="http://schemas.microsoft.com/office/drawing/2014/main" id="{00000000-0008-0000-1000-00003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69</xdr:row>
          <xdr:rowOff>57150</xdr:rowOff>
        </xdr:from>
        <xdr:to>
          <xdr:col>12</xdr:col>
          <xdr:colOff>323850</xdr:colOff>
          <xdr:row>69</xdr:row>
          <xdr:rowOff>323850</xdr:rowOff>
        </xdr:to>
        <xdr:sp macro="" textlink="">
          <xdr:nvSpPr>
            <xdr:cNvPr id="59451" name="Check Box 59" hidden="1">
              <a:extLst>
                <a:ext uri="{63B3BB69-23CF-44E3-9099-C40C66FF867C}">
                  <a14:compatExt spid="_x0000_s59451"/>
                </a:ext>
                <a:ext uri="{FF2B5EF4-FFF2-40B4-BE49-F238E27FC236}">
                  <a16:creationId xmlns:a16="http://schemas.microsoft.com/office/drawing/2014/main" id="{00000000-0008-0000-1000-00003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70</xdr:row>
          <xdr:rowOff>57150</xdr:rowOff>
        </xdr:from>
        <xdr:to>
          <xdr:col>12</xdr:col>
          <xdr:colOff>323850</xdr:colOff>
          <xdr:row>70</xdr:row>
          <xdr:rowOff>323850</xdr:rowOff>
        </xdr:to>
        <xdr:sp macro="" textlink="">
          <xdr:nvSpPr>
            <xdr:cNvPr id="59452" name="Check Box 60" hidden="1">
              <a:extLst>
                <a:ext uri="{63B3BB69-23CF-44E3-9099-C40C66FF867C}">
                  <a14:compatExt spid="_x0000_s59452"/>
                </a:ext>
                <a:ext uri="{FF2B5EF4-FFF2-40B4-BE49-F238E27FC236}">
                  <a16:creationId xmlns:a16="http://schemas.microsoft.com/office/drawing/2014/main" id="{00000000-0008-0000-1000-00003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71</xdr:row>
          <xdr:rowOff>57150</xdr:rowOff>
        </xdr:from>
        <xdr:to>
          <xdr:col>12</xdr:col>
          <xdr:colOff>323850</xdr:colOff>
          <xdr:row>71</xdr:row>
          <xdr:rowOff>323850</xdr:rowOff>
        </xdr:to>
        <xdr:sp macro="" textlink="">
          <xdr:nvSpPr>
            <xdr:cNvPr id="59453" name="Check Box 61" hidden="1">
              <a:extLst>
                <a:ext uri="{63B3BB69-23CF-44E3-9099-C40C66FF867C}">
                  <a14:compatExt spid="_x0000_s59453"/>
                </a:ext>
                <a:ext uri="{FF2B5EF4-FFF2-40B4-BE49-F238E27FC236}">
                  <a16:creationId xmlns:a16="http://schemas.microsoft.com/office/drawing/2014/main" id="{00000000-0008-0000-1000-00003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72</xdr:row>
          <xdr:rowOff>47625</xdr:rowOff>
        </xdr:from>
        <xdr:to>
          <xdr:col>12</xdr:col>
          <xdr:colOff>323850</xdr:colOff>
          <xdr:row>72</xdr:row>
          <xdr:rowOff>314325</xdr:rowOff>
        </xdr:to>
        <xdr:sp macro="" textlink="">
          <xdr:nvSpPr>
            <xdr:cNvPr id="59455" name="Check Box 63" hidden="1">
              <a:extLst>
                <a:ext uri="{63B3BB69-23CF-44E3-9099-C40C66FF867C}">
                  <a14:compatExt spid="_x0000_s59455"/>
                </a:ext>
                <a:ext uri="{FF2B5EF4-FFF2-40B4-BE49-F238E27FC236}">
                  <a16:creationId xmlns:a16="http://schemas.microsoft.com/office/drawing/2014/main" id="{00000000-0008-0000-1000-00003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73</xdr:row>
          <xdr:rowOff>47625</xdr:rowOff>
        </xdr:from>
        <xdr:to>
          <xdr:col>12</xdr:col>
          <xdr:colOff>323850</xdr:colOff>
          <xdr:row>73</xdr:row>
          <xdr:rowOff>314325</xdr:rowOff>
        </xdr:to>
        <xdr:sp macro="" textlink="">
          <xdr:nvSpPr>
            <xdr:cNvPr id="59456" name="Check Box 64" hidden="1">
              <a:extLst>
                <a:ext uri="{63B3BB69-23CF-44E3-9099-C40C66FF867C}">
                  <a14:compatExt spid="_x0000_s59456"/>
                </a:ext>
                <a:ext uri="{FF2B5EF4-FFF2-40B4-BE49-F238E27FC236}">
                  <a16:creationId xmlns:a16="http://schemas.microsoft.com/office/drawing/2014/main" id="{00000000-0008-0000-1000-00004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74</xdr:row>
          <xdr:rowOff>57150</xdr:rowOff>
        </xdr:from>
        <xdr:to>
          <xdr:col>12</xdr:col>
          <xdr:colOff>323850</xdr:colOff>
          <xdr:row>74</xdr:row>
          <xdr:rowOff>323850</xdr:rowOff>
        </xdr:to>
        <xdr:sp macro="" textlink="">
          <xdr:nvSpPr>
            <xdr:cNvPr id="59457" name="Check Box 65" hidden="1">
              <a:extLst>
                <a:ext uri="{63B3BB69-23CF-44E3-9099-C40C66FF867C}">
                  <a14:compatExt spid="_x0000_s59457"/>
                </a:ext>
                <a:ext uri="{FF2B5EF4-FFF2-40B4-BE49-F238E27FC236}">
                  <a16:creationId xmlns:a16="http://schemas.microsoft.com/office/drawing/2014/main" id="{00000000-0008-0000-1000-00004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75</xdr:row>
          <xdr:rowOff>47625</xdr:rowOff>
        </xdr:from>
        <xdr:to>
          <xdr:col>12</xdr:col>
          <xdr:colOff>323850</xdr:colOff>
          <xdr:row>75</xdr:row>
          <xdr:rowOff>314325</xdr:rowOff>
        </xdr:to>
        <xdr:sp macro="" textlink="">
          <xdr:nvSpPr>
            <xdr:cNvPr id="59458" name="Check Box 66" hidden="1">
              <a:extLst>
                <a:ext uri="{63B3BB69-23CF-44E3-9099-C40C66FF867C}">
                  <a14:compatExt spid="_x0000_s59458"/>
                </a:ext>
                <a:ext uri="{FF2B5EF4-FFF2-40B4-BE49-F238E27FC236}">
                  <a16:creationId xmlns:a16="http://schemas.microsoft.com/office/drawing/2014/main" id="{00000000-0008-0000-1000-00004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76</xdr:row>
          <xdr:rowOff>57150</xdr:rowOff>
        </xdr:from>
        <xdr:to>
          <xdr:col>12</xdr:col>
          <xdr:colOff>323850</xdr:colOff>
          <xdr:row>76</xdr:row>
          <xdr:rowOff>323850</xdr:rowOff>
        </xdr:to>
        <xdr:sp macro="" textlink="">
          <xdr:nvSpPr>
            <xdr:cNvPr id="59459" name="Check Box 67" hidden="1">
              <a:extLst>
                <a:ext uri="{63B3BB69-23CF-44E3-9099-C40C66FF867C}">
                  <a14:compatExt spid="_x0000_s59459"/>
                </a:ext>
                <a:ext uri="{FF2B5EF4-FFF2-40B4-BE49-F238E27FC236}">
                  <a16:creationId xmlns:a16="http://schemas.microsoft.com/office/drawing/2014/main" id="{00000000-0008-0000-1000-00004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77</xdr:row>
          <xdr:rowOff>57150</xdr:rowOff>
        </xdr:from>
        <xdr:to>
          <xdr:col>12</xdr:col>
          <xdr:colOff>323850</xdr:colOff>
          <xdr:row>77</xdr:row>
          <xdr:rowOff>323850</xdr:rowOff>
        </xdr:to>
        <xdr:sp macro="" textlink="">
          <xdr:nvSpPr>
            <xdr:cNvPr id="59460" name="Check Box 68" hidden="1">
              <a:extLst>
                <a:ext uri="{63B3BB69-23CF-44E3-9099-C40C66FF867C}">
                  <a14:compatExt spid="_x0000_s59460"/>
                </a:ext>
                <a:ext uri="{FF2B5EF4-FFF2-40B4-BE49-F238E27FC236}">
                  <a16:creationId xmlns:a16="http://schemas.microsoft.com/office/drawing/2014/main" id="{00000000-0008-0000-1000-00004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78</xdr:row>
          <xdr:rowOff>57150</xdr:rowOff>
        </xdr:from>
        <xdr:to>
          <xdr:col>12</xdr:col>
          <xdr:colOff>323850</xdr:colOff>
          <xdr:row>78</xdr:row>
          <xdr:rowOff>323850</xdr:rowOff>
        </xdr:to>
        <xdr:sp macro="" textlink="">
          <xdr:nvSpPr>
            <xdr:cNvPr id="59461" name="Check Box 69" hidden="1">
              <a:extLst>
                <a:ext uri="{63B3BB69-23CF-44E3-9099-C40C66FF867C}">
                  <a14:compatExt spid="_x0000_s59461"/>
                </a:ext>
                <a:ext uri="{FF2B5EF4-FFF2-40B4-BE49-F238E27FC236}">
                  <a16:creationId xmlns:a16="http://schemas.microsoft.com/office/drawing/2014/main" id="{00000000-0008-0000-1000-00004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79</xdr:row>
          <xdr:rowOff>66675</xdr:rowOff>
        </xdr:from>
        <xdr:to>
          <xdr:col>12</xdr:col>
          <xdr:colOff>323850</xdr:colOff>
          <xdr:row>79</xdr:row>
          <xdr:rowOff>333375</xdr:rowOff>
        </xdr:to>
        <xdr:sp macro="" textlink="">
          <xdr:nvSpPr>
            <xdr:cNvPr id="59462" name="Check Box 70" hidden="1">
              <a:extLst>
                <a:ext uri="{63B3BB69-23CF-44E3-9099-C40C66FF867C}">
                  <a14:compatExt spid="_x0000_s59462"/>
                </a:ext>
                <a:ext uri="{FF2B5EF4-FFF2-40B4-BE49-F238E27FC236}">
                  <a16:creationId xmlns:a16="http://schemas.microsoft.com/office/drawing/2014/main" id="{00000000-0008-0000-1000-00004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80</xdr:row>
          <xdr:rowOff>47625</xdr:rowOff>
        </xdr:from>
        <xdr:to>
          <xdr:col>12</xdr:col>
          <xdr:colOff>323850</xdr:colOff>
          <xdr:row>80</xdr:row>
          <xdr:rowOff>314325</xdr:rowOff>
        </xdr:to>
        <xdr:sp macro="" textlink="">
          <xdr:nvSpPr>
            <xdr:cNvPr id="59463" name="Check Box 71" hidden="1">
              <a:extLst>
                <a:ext uri="{63B3BB69-23CF-44E3-9099-C40C66FF867C}">
                  <a14:compatExt spid="_x0000_s59463"/>
                </a:ext>
                <a:ext uri="{FF2B5EF4-FFF2-40B4-BE49-F238E27FC236}">
                  <a16:creationId xmlns:a16="http://schemas.microsoft.com/office/drawing/2014/main" id="{00000000-0008-0000-1000-00004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84</xdr:row>
          <xdr:rowOff>295275</xdr:rowOff>
        </xdr:from>
        <xdr:to>
          <xdr:col>12</xdr:col>
          <xdr:colOff>323850</xdr:colOff>
          <xdr:row>84</xdr:row>
          <xdr:rowOff>561975</xdr:rowOff>
        </xdr:to>
        <xdr:sp macro="" textlink="">
          <xdr:nvSpPr>
            <xdr:cNvPr id="59464" name="Check Box 72" hidden="1">
              <a:extLst>
                <a:ext uri="{63B3BB69-23CF-44E3-9099-C40C66FF867C}">
                  <a14:compatExt spid="_x0000_s59464"/>
                </a:ext>
                <a:ext uri="{FF2B5EF4-FFF2-40B4-BE49-F238E27FC236}">
                  <a16:creationId xmlns:a16="http://schemas.microsoft.com/office/drawing/2014/main" id="{00000000-0008-0000-1000-00004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85</xdr:row>
          <xdr:rowOff>152400</xdr:rowOff>
        </xdr:from>
        <xdr:to>
          <xdr:col>12</xdr:col>
          <xdr:colOff>323850</xdr:colOff>
          <xdr:row>85</xdr:row>
          <xdr:rowOff>419100</xdr:rowOff>
        </xdr:to>
        <xdr:sp macro="" textlink="">
          <xdr:nvSpPr>
            <xdr:cNvPr id="59465" name="Check Box 73" hidden="1">
              <a:extLst>
                <a:ext uri="{63B3BB69-23CF-44E3-9099-C40C66FF867C}">
                  <a14:compatExt spid="_x0000_s59465"/>
                </a:ext>
                <a:ext uri="{FF2B5EF4-FFF2-40B4-BE49-F238E27FC236}">
                  <a16:creationId xmlns:a16="http://schemas.microsoft.com/office/drawing/2014/main" id="{00000000-0008-0000-1000-00004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86</xdr:row>
          <xdr:rowOff>38100</xdr:rowOff>
        </xdr:from>
        <xdr:to>
          <xdr:col>12</xdr:col>
          <xdr:colOff>323850</xdr:colOff>
          <xdr:row>86</xdr:row>
          <xdr:rowOff>304800</xdr:rowOff>
        </xdr:to>
        <xdr:sp macro="" textlink="">
          <xdr:nvSpPr>
            <xdr:cNvPr id="59466" name="Check Box 74" hidden="1">
              <a:extLst>
                <a:ext uri="{63B3BB69-23CF-44E3-9099-C40C66FF867C}">
                  <a14:compatExt spid="_x0000_s59466"/>
                </a:ext>
                <a:ext uri="{FF2B5EF4-FFF2-40B4-BE49-F238E27FC236}">
                  <a16:creationId xmlns:a16="http://schemas.microsoft.com/office/drawing/2014/main" id="{00000000-0008-0000-1000-00004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87</xdr:row>
          <xdr:rowOff>476250</xdr:rowOff>
        </xdr:from>
        <xdr:to>
          <xdr:col>12</xdr:col>
          <xdr:colOff>323850</xdr:colOff>
          <xdr:row>87</xdr:row>
          <xdr:rowOff>742950</xdr:rowOff>
        </xdr:to>
        <xdr:sp macro="" textlink="">
          <xdr:nvSpPr>
            <xdr:cNvPr id="59467" name="Check Box 75" hidden="1">
              <a:extLst>
                <a:ext uri="{63B3BB69-23CF-44E3-9099-C40C66FF867C}">
                  <a14:compatExt spid="_x0000_s59467"/>
                </a:ext>
                <a:ext uri="{FF2B5EF4-FFF2-40B4-BE49-F238E27FC236}">
                  <a16:creationId xmlns:a16="http://schemas.microsoft.com/office/drawing/2014/main" id="{00000000-0008-0000-1000-00004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88</xdr:row>
          <xdr:rowOff>381000</xdr:rowOff>
        </xdr:from>
        <xdr:to>
          <xdr:col>12</xdr:col>
          <xdr:colOff>323850</xdr:colOff>
          <xdr:row>88</xdr:row>
          <xdr:rowOff>647700</xdr:rowOff>
        </xdr:to>
        <xdr:sp macro="" textlink="">
          <xdr:nvSpPr>
            <xdr:cNvPr id="59468" name="Check Box 76" hidden="1">
              <a:extLst>
                <a:ext uri="{63B3BB69-23CF-44E3-9099-C40C66FF867C}">
                  <a14:compatExt spid="_x0000_s59468"/>
                </a:ext>
                <a:ext uri="{FF2B5EF4-FFF2-40B4-BE49-F238E27FC236}">
                  <a16:creationId xmlns:a16="http://schemas.microsoft.com/office/drawing/2014/main" id="{00000000-0008-0000-1000-00004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89</xdr:row>
          <xdr:rowOff>57150</xdr:rowOff>
        </xdr:from>
        <xdr:to>
          <xdr:col>12</xdr:col>
          <xdr:colOff>323850</xdr:colOff>
          <xdr:row>89</xdr:row>
          <xdr:rowOff>323850</xdr:rowOff>
        </xdr:to>
        <xdr:sp macro="" textlink="">
          <xdr:nvSpPr>
            <xdr:cNvPr id="59469" name="Check Box 77" hidden="1">
              <a:extLst>
                <a:ext uri="{63B3BB69-23CF-44E3-9099-C40C66FF867C}">
                  <a14:compatExt spid="_x0000_s59469"/>
                </a:ext>
                <a:ext uri="{FF2B5EF4-FFF2-40B4-BE49-F238E27FC236}">
                  <a16:creationId xmlns:a16="http://schemas.microsoft.com/office/drawing/2014/main" id="{00000000-0008-0000-1000-00004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92</xdr:row>
          <xdr:rowOff>38100</xdr:rowOff>
        </xdr:from>
        <xdr:to>
          <xdr:col>12</xdr:col>
          <xdr:colOff>323850</xdr:colOff>
          <xdr:row>92</xdr:row>
          <xdr:rowOff>304800</xdr:rowOff>
        </xdr:to>
        <xdr:sp macro="" textlink="">
          <xdr:nvSpPr>
            <xdr:cNvPr id="59471" name="Check Box 79" hidden="1">
              <a:extLst>
                <a:ext uri="{63B3BB69-23CF-44E3-9099-C40C66FF867C}">
                  <a14:compatExt spid="_x0000_s59471"/>
                </a:ext>
                <a:ext uri="{FF2B5EF4-FFF2-40B4-BE49-F238E27FC236}">
                  <a16:creationId xmlns:a16="http://schemas.microsoft.com/office/drawing/2014/main" id="{00000000-0008-0000-1000-00004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93</xdr:row>
          <xdr:rowOff>47625</xdr:rowOff>
        </xdr:from>
        <xdr:to>
          <xdr:col>12</xdr:col>
          <xdr:colOff>323850</xdr:colOff>
          <xdr:row>93</xdr:row>
          <xdr:rowOff>314325</xdr:rowOff>
        </xdr:to>
        <xdr:sp macro="" textlink="">
          <xdr:nvSpPr>
            <xdr:cNvPr id="59472" name="Check Box 80" hidden="1">
              <a:extLst>
                <a:ext uri="{63B3BB69-23CF-44E3-9099-C40C66FF867C}">
                  <a14:compatExt spid="_x0000_s59472"/>
                </a:ext>
                <a:ext uri="{FF2B5EF4-FFF2-40B4-BE49-F238E27FC236}">
                  <a16:creationId xmlns:a16="http://schemas.microsoft.com/office/drawing/2014/main" id="{00000000-0008-0000-1000-00005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94</xdr:row>
          <xdr:rowOff>38100</xdr:rowOff>
        </xdr:from>
        <xdr:to>
          <xdr:col>12</xdr:col>
          <xdr:colOff>323850</xdr:colOff>
          <xdr:row>94</xdr:row>
          <xdr:rowOff>304800</xdr:rowOff>
        </xdr:to>
        <xdr:sp macro="" textlink="">
          <xdr:nvSpPr>
            <xdr:cNvPr id="59473" name="Check Box 81" hidden="1">
              <a:extLst>
                <a:ext uri="{63B3BB69-23CF-44E3-9099-C40C66FF867C}">
                  <a14:compatExt spid="_x0000_s59473"/>
                </a:ext>
                <a:ext uri="{FF2B5EF4-FFF2-40B4-BE49-F238E27FC236}">
                  <a16:creationId xmlns:a16="http://schemas.microsoft.com/office/drawing/2014/main" id="{00000000-0008-0000-1000-00005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95</xdr:row>
          <xdr:rowOff>57150</xdr:rowOff>
        </xdr:from>
        <xdr:to>
          <xdr:col>12</xdr:col>
          <xdr:colOff>323850</xdr:colOff>
          <xdr:row>95</xdr:row>
          <xdr:rowOff>323850</xdr:rowOff>
        </xdr:to>
        <xdr:sp macro="" textlink="">
          <xdr:nvSpPr>
            <xdr:cNvPr id="59474" name="Check Box 82" hidden="1">
              <a:extLst>
                <a:ext uri="{63B3BB69-23CF-44E3-9099-C40C66FF867C}">
                  <a14:compatExt spid="_x0000_s59474"/>
                </a:ext>
                <a:ext uri="{FF2B5EF4-FFF2-40B4-BE49-F238E27FC236}">
                  <a16:creationId xmlns:a16="http://schemas.microsoft.com/office/drawing/2014/main" id="{00000000-0008-0000-1000-00005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96</xdr:row>
          <xdr:rowOff>57150</xdr:rowOff>
        </xdr:from>
        <xdr:to>
          <xdr:col>12</xdr:col>
          <xdr:colOff>323850</xdr:colOff>
          <xdr:row>96</xdr:row>
          <xdr:rowOff>323850</xdr:rowOff>
        </xdr:to>
        <xdr:sp macro="" textlink="">
          <xdr:nvSpPr>
            <xdr:cNvPr id="59475" name="Check Box 83" hidden="1">
              <a:extLst>
                <a:ext uri="{63B3BB69-23CF-44E3-9099-C40C66FF867C}">
                  <a14:compatExt spid="_x0000_s59475"/>
                </a:ext>
                <a:ext uri="{FF2B5EF4-FFF2-40B4-BE49-F238E27FC236}">
                  <a16:creationId xmlns:a16="http://schemas.microsoft.com/office/drawing/2014/main" id="{00000000-0008-0000-1000-00005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97</xdr:row>
          <xdr:rowOff>57150</xdr:rowOff>
        </xdr:from>
        <xdr:to>
          <xdr:col>12</xdr:col>
          <xdr:colOff>323850</xdr:colOff>
          <xdr:row>97</xdr:row>
          <xdr:rowOff>323850</xdr:rowOff>
        </xdr:to>
        <xdr:sp macro="" textlink="">
          <xdr:nvSpPr>
            <xdr:cNvPr id="59476" name="Check Box 84" hidden="1">
              <a:extLst>
                <a:ext uri="{63B3BB69-23CF-44E3-9099-C40C66FF867C}">
                  <a14:compatExt spid="_x0000_s59476"/>
                </a:ext>
                <a:ext uri="{FF2B5EF4-FFF2-40B4-BE49-F238E27FC236}">
                  <a16:creationId xmlns:a16="http://schemas.microsoft.com/office/drawing/2014/main" id="{00000000-0008-0000-1000-00005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98</xdr:row>
          <xdr:rowOff>295275</xdr:rowOff>
        </xdr:from>
        <xdr:to>
          <xdr:col>12</xdr:col>
          <xdr:colOff>323850</xdr:colOff>
          <xdr:row>98</xdr:row>
          <xdr:rowOff>561975</xdr:rowOff>
        </xdr:to>
        <xdr:sp macro="" textlink="">
          <xdr:nvSpPr>
            <xdr:cNvPr id="59477" name="Check Box 85" hidden="1">
              <a:extLst>
                <a:ext uri="{63B3BB69-23CF-44E3-9099-C40C66FF867C}">
                  <a14:compatExt spid="_x0000_s59477"/>
                </a:ext>
                <a:ext uri="{FF2B5EF4-FFF2-40B4-BE49-F238E27FC236}">
                  <a16:creationId xmlns:a16="http://schemas.microsoft.com/office/drawing/2014/main" id="{00000000-0008-0000-1000-00005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99</xdr:row>
          <xdr:rowOff>476250</xdr:rowOff>
        </xdr:from>
        <xdr:to>
          <xdr:col>12</xdr:col>
          <xdr:colOff>323850</xdr:colOff>
          <xdr:row>99</xdr:row>
          <xdr:rowOff>742950</xdr:rowOff>
        </xdr:to>
        <xdr:sp macro="" textlink="">
          <xdr:nvSpPr>
            <xdr:cNvPr id="59478" name="Check Box 86" hidden="1">
              <a:extLst>
                <a:ext uri="{63B3BB69-23CF-44E3-9099-C40C66FF867C}">
                  <a14:compatExt spid="_x0000_s59478"/>
                </a:ext>
                <a:ext uri="{FF2B5EF4-FFF2-40B4-BE49-F238E27FC236}">
                  <a16:creationId xmlns:a16="http://schemas.microsoft.com/office/drawing/2014/main" id="{00000000-0008-0000-1000-00005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103</xdr:row>
          <xdr:rowOff>247650</xdr:rowOff>
        </xdr:from>
        <xdr:to>
          <xdr:col>12</xdr:col>
          <xdr:colOff>323850</xdr:colOff>
          <xdr:row>104</xdr:row>
          <xdr:rowOff>133350</xdr:rowOff>
        </xdr:to>
        <xdr:sp macro="" textlink="">
          <xdr:nvSpPr>
            <xdr:cNvPr id="59479" name="Check Box 87" hidden="1">
              <a:extLst>
                <a:ext uri="{63B3BB69-23CF-44E3-9099-C40C66FF867C}">
                  <a14:compatExt spid="_x0000_s59479"/>
                </a:ext>
                <a:ext uri="{FF2B5EF4-FFF2-40B4-BE49-F238E27FC236}">
                  <a16:creationId xmlns:a16="http://schemas.microsoft.com/office/drawing/2014/main" id="{00000000-0008-0000-1000-00005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108</xdr:row>
          <xdr:rowOff>57150</xdr:rowOff>
        </xdr:from>
        <xdr:to>
          <xdr:col>12</xdr:col>
          <xdr:colOff>323850</xdr:colOff>
          <xdr:row>108</xdr:row>
          <xdr:rowOff>323850</xdr:rowOff>
        </xdr:to>
        <xdr:sp macro="" textlink="">
          <xdr:nvSpPr>
            <xdr:cNvPr id="59480" name="Check Box 88" hidden="1">
              <a:extLst>
                <a:ext uri="{63B3BB69-23CF-44E3-9099-C40C66FF867C}">
                  <a14:compatExt spid="_x0000_s59480"/>
                </a:ext>
                <a:ext uri="{FF2B5EF4-FFF2-40B4-BE49-F238E27FC236}">
                  <a16:creationId xmlns:a16="http://schemas.microsoft.com/office/drawing/2014/main" id="{00000000-0008-0000-1000-00005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109</xdr:row>
          <xdr:rowOff>38100</xdr:rowOff>
        </xdr:from>
        <xdr:to>
          <xdr:col>12</xdr:col>
          <xdr:colOff>323850</xdr:colOff>
          <xdr:row>109</xdr:row>
          <xdr:rowOff>304800</xdr:rowOff>
        </xdr:to>
        <xdr:sp macro="" textlink="">
          <xdr:nvSpPr>
            <xdr:cNvPr id="59481" name="Check Box 89" hidden="1">
              <a:extLst>
                <a:ext uri="{63B3BB69-23CF-44E3-9099-C40C66FF867C}">
                  <a14:compatExt spid="_x0000_s59481"/>
                </a:ext>
                <a:ext uri="{FF2B5EF4-FFF2-40B4-BE49-F238E27FC236}">
                  <a16:creationId xmlns:a16="http://schemas.microsoft.com/office/drawing/2014/main" id="{00000000-0008-0000-1000-00005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110</xdr:row>
          <xdr:rowOff>47625</xdr:rowOff>
        </xdr:from>
        <xdr:to>
          <xdr:col>12</xdr:col>
          <xdr:colOff>323850</xdr:colOff>
          <xdr:row>110</xdr:row>
          <xdr:rowOff>314325</xdr:rowOff>
        </xdr:to>
        <xdr:sp macro="" textlink="">
          <xdr:nvSpPr>
            <xdr:cNvPr id="59482" name="Check Box 90" hidden="1">
              <a:extLst>
                <a:ext uri="{63B3BB69-23CF-44E3-9099-C40C66FF867C}">
                  <a14:compatExt spid="_x0000_s59482"/>
                </a:ext>
                <a:ext uri="{FF2B5EF4-FFF2-40B4-BE49-F238E27FC236}">
                  <a16:creationId xmlns:a16="http://schemas.microsoft.com/office/drawing/2014/main" id="{00000000-0008-0000-1000-00005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111</xdr:row>
          <xdr:rowOff>57150</xdr:rowOff>
        </xdr:from>
        <xdr:to>
          <xdr:col>12</xdr:col>
          <xdr:colOff>323850</xdr:colOff>
          <xdr:row>111</xdr:row>
          <xdr:rowOff>323850</xdr:rowOff>
        </xdr:to>
        <xdr:sp macro="" textlink="">
          <xdr:nvSpPr>
            <xdr:cNvPr id="59483" name="Check Box 91" hidden="1">
              <a:extLst>
                <a:ext uri="{63B3BB69-23CF-44E3-9099-C40C66FF867C}">
                  <a14:compatExt spid="_x0000_s59483"/>
                </a:ext>
                <a:ext uri="{FF2B5EF4-FFF2-40B4-BE49-F238E27FC236}">
                  <a16:creationId xmlns:a16="http://schemas.microsoft.com/office/drawing/2014/main" id="{00000000-0008-0000-1000-00005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112</xdr:row>
          <xdr:rowOff>38100</xdr:rowOff>
        </xdr:from>
        <xdr:to>
          <xdr:col>12</xdr:col>
          <xdr:colOff>323850</xdr:colOff>
          <xdr:row>112</xdr:row>
          <xdr:rowOff>304800</xdr:rowOff>
        </xdr:to>
        <xdr:sp macro="" textlink="">
          <xdr:nvSpPr>
            <xdr:cNvPr id="59484" name="Check Box 92" hidden="1">
              <a:extLst>
                <a:ext uri="{63B3BB69-23CF-44E3-9099-C40C66FF867C}">
                  <a14:compatExt spid="_x0000_s59484"/>
                </a:ext>
                <a:ext uri="{FF2B5EF4-FFF2-40B4-BE49-F238E27FC236}">
                  <a16:creationId xmlns:a16="http://schemas.microsoft.com/office/drawing/2014/main" id="{00000000-0008-0000-1000-00005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113</xdr:row>
          <xdr:rowOff>228600</xdr:rowOff>
        </xdr:from>
        <xdr:to>
          <xdr:col>12</xdr:col>
          <xdr:colOff>323850</xdr:colOff>
          <xdr:row>113</xdr:row>
          <xdr:rowOff>495300</xdr:rowOff>
        </xdr:to>
        <xdr:sp macro="" textlink="">
          <xdr:nvSpPr>
            <xdr:cNvPr id="59485" name="Check Box 93" hidden="1">
              <a:extLst>
                <a:ext uri="{63B3BB69-23CF-44E3-9099-C40C66FF867C}">
                  <a14:compatExt spid="_x0000_s59485"/>
                </a:ext>
                <a:ext uri="{FF2B5EF4-FFF2-40B4-BE49-F238E27FC236}">
                  <a16:creationId xmlns:a16="http://schemas.microsoft.com/office/drawing/2014/main" id="{00000000-0008-0000-1000-00005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114</xdr:row>
          <xdr:rowOff>47625</xdr:rowOff>
        </xdr:from>
        <xdr:to>
          <xdr:col>12</xdr:col>
          <xdr:colOff>323850</xdr:colOff>
          <xdr:row>114</xdr:row>
          <xdr:rowOff>314325</xdr:rowOff>
        </xdr:to>
        <xdr:sp macro="" textlink="">
          <xdr:nvSpPr>
            <xdr:cNvPr id="59486" name="Check Box 94" hidden="1">
              <a:extLst>
                <a:ext uri="{63B3BB69-23CF-44E3-9099-C40C66FF867C}">
                  <a14:compatExt spid="_x0000_s59486"/>
                </a:ext>
                <a:ext uri="{FF2B5EF4-FFF2-40B4-BE49-F238E27FC236}">
                  <a16:creationId xmlns:a16="http://schemas.microsoft.com/office/drawing/2014/main" id="{00000000-0008-0000-1000-00005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115</xdr:row>
          <xdr:rowOff>38100</xdr:rowOff>
        </xdr:from>
        <xdr:to>
          <xdr:col>12</xdr:col>
          <xdr:colOff>323850</xdr:colOff>
          <xdr:row>115</xdr:row>
          <xdr:rowOff>304800</xdr:rowOff>
        </xdr:to>
        <xdr:sp macro="" textlink="">
          <xdr:nvSpPr>
            <xdr:cNvPr id="59487" name="Check Box 95" hidden="1">
              <a:extLst>
                <a:ext uri="{63B3BB69-23CF-44E3-9099-C40C66FF867C}">
                  <a14:compatExt spid="_x0000_s59487"/>
                </a:ext>
                <a:ext uri="{FF2B5EF4-FFF2-40B4-BE49-F238E27FC236}">
                  <a16:creationId xmlns:a16="http://schemas.microsoft.com/office/drawing/2014/main" id="{00000000-0008-0000-1000-00005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116</xdr:row>
          <xdr:rowOff>38100</xdr:rowOff>
        </xdr:from>
        <xdr:to>
          <xdr:col>12</xdr:col>
          <xdr:colOff>323850</xdr:colOff>
          <xdr:row>116</xdr:row>
          <xdr:rowOff>304800</xdr:rowOff>
        </xdr:to>
        <xdr:sp macro="" textlink="">
          <xdr:nvSpPr>
            <xdr:cNvPr id="59488" name="Check Box 96" hidden="1">
              <a:extLst>
                <a:ext uri="{63B3BB69-23CF-44E3-9099-C40C66FF867C}">
                  <a14:compatExt spid="_x0000_s59488"/>
                </a:ext>
                <a:ext uri="{FF2B5EF4-FFF2-40B4-BE49-F238E27FC236}">
                  <a16:creationId xmlns:a16="http://schemas.microsoft.com/office/drawing/2014/main" id="{00000000-0008-0000-1000-00006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117</xdr:row>
          <xdr:rowOff>47625</xdr:rowOff>
        </xdr:from>
        <xdr:to>
          <xdr:col>12</xdr:col>
          <xdr:colOff>323850</xdr:colOff>
          <xdr:row>117</xdr:row>
          <xdr:rowOff>314325</xdr:rowOff>
        </xdr:to>
        <xdr:sp macro="" textlink="">
          <xdr:nvSpPr>
            <xdr:cNvPr id="59489" name="Check Box 97" hidden="1">
              <a:extLst>
                <a:ext uri="{63B3BB69-23CF-44E3-9099-C40C66FF867C}">
                  <a14:compatExt spid="_x0000_s59489"/>
                </a:ext>
                <a:ext uri="{FF2B5EF4-FFF2-40B4-BE49-F238E27FC236}">
                  <a16:creationId xmlns:a16="http://schemas.microsoft.com/office/drawing/2014/main" id="{00000000-0008-0000-1000-00006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118</xdr:row>
          <xdr:rowOff>47625</xdr:rowOff>
        </xdr:from>
        <xdr:to>
          <xdr:col>12</xdr:col>
          <xdr:colOff>323850</xdr:colOff>
          <xdr:row>118</xdr:row>
          <xdr:rowOff>314325</xdr:rowOff>
        </xdr:to>
        <xdr:sp macro="" textlink="">
          <xdr:nvSpPr>
            <xdr:cNvPr id="59490" name="Check Box 98" hidden="1">
              <a:extLst>
                <a:ext uri="{63B3BB69-23CF-44E3-9099-C40C66FF867C}">
                  <a14:compatExt spid="_x0000_s59490"/>
                </a:ext>
                <a:ext uri="{FF2B5EF4-FFF2-40B4-BE49-F238E27FC236}">
                  <a16:creationId xmlns:a16="http://schemas.microsoft.com/office/drawing/2014/main" id="{00000000-0008-0000-1000-00006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119</xdr:row>
          <xdr:rowOff>47625</xdr:rowOff>
        </xdr:from>
        <xdr:to>
          <xdr:col>12</xdr:col>
          <xdr:colOff>323850</xdr:colOff>
          <xdr:row>119</xdr:row>
          <xdr:rowOff>314325</xdr:rowOff>
        </xdr:to>
        <xdr:sp macro="" textlink="">
          <xdr:nvSpPr>
            <xdr:cNvPr id="59491" name="Check Box 99" hidden="1">
              <a:extLst>
                <a:ext uri="{63B3BB69-23CF-44E3-9099-C40C66FF867C}">
                  <a14:compatExt spid="_x0000_s59491"/>
                </a:ext>
                <a:ext uri="{FF2B5EF4-FFF2-40B4-BE49-F238E27FC236}">
                  <a16:creationId xmlns:a16="http://schemas.microsoft.com/office/drawing/2014/main" id="{00000000-0008-0000-1000-00006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120</xdr:row>
          <xdr:rowOff>123825</xdr:rowOff>
        </xdr:from>
        <xdr:to>
          <xdr:col>12</xdr:col>
          <xdr:colOff>323850</xdr:colOff>
          <xdr:row>120</xdr:row>
          <xdr:rowOff>390525</xdr:rowOff>
        </xdr:to>
        <xdr:sp macro="" textlink="">
          <xdr:nvSpPr>
            <xdr:cNvPr id="59492" name="Check Box 100" hidden="1">
              <a:extLst>
                <a:ext uri="{63B3BB69-23CF-44E3-9099-C40C66FF867C}">
                  <a14:compatExt spid="_x0000_s59492"/>
                </a:ext>
                <a:ext uri="{FF2B5EF4-FFF2-40B4-BE49-F238E27FC236}">
                  <a16:creationId xmlns:a16="http://schemas.microsoft.com/office/drawing/2014/main" id="{00000000-0008-0000-1000-00006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121</xdr:row>
          <xdr:rowOff>47625</xdr:rowOff>
        </xdr:from>
        <xdr:to>
          <xdr:col>12</xdr:col>
          <xdr:colOff>323850</xdr:colOff>
          <xdr:row>121</xdr:row>
          <xdr:rowOff>314325</xdr:rowOff>
        </xdr:to>
        <xdr:sp macro="" textlink="">
          <xdr:nvSpPr>
            <xdr:cNvPr id="59493" name="Check Box 101" hidden="1">
              <a:extLst>
                <a:ext uri="{63B3BB69-23CF-44E3-9099-C40C66FF867C}">
                  <a14:compatExt spid="_x0000_s59493"/>
                </a:ext>
                <a:ext uri="{FF2B5EF4-FFF2-40B4-BE49-F238E27FC236}">
                  <a16:creationId xmlns:a16="http://schemas.microsoft.com/office/drawing/2014/main" id="{00000000-0008-0000-1000-00006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122</xdr:row>
          <xdr:rowOff>66675</xdr:rowOff>
        </xdr:from>
        <xdr:to>
          <xdr:col>12</xdr:col>
          <xdr:colOff>323850</xdr:colOff>
          <xdr:row>122</xdr:row>
          <xdr:rowOff>333375</xdr:rowOff>
        </xdr:to>
        <xdr:sp macro="" textlink="">
          <xdr:nvSpPr>
            <xdr:cNvPr id="59494" name="Check Box 102" hidden="1">
              <a:extLst>
                <a:ext uri="{63B3BB69-23CF-44E3-9099-C40C66FF867C}">
                  <a14:compatExt spid="_x0000_s59494"/>
                </a:ext>
                <a:ext uri="{FF2B5EF4-FFF2-40B4-BE49-F238E27FC236}">
                  <a16:creationId xmlns:a16="http://schemas.microsoft.com/office/drawing/2014/main" id="{00000000-0008-0000-1000-00006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123</xdr:row>
          <xdr:rowOff>180975</xdr:rowOff>
        </xdr:from>
        <xdr:to>
          <xdr:col>12</xdr:col>
          <xdr:colOff>323850</xdr:colOff>
          <xdr:row>123</xdr:row>
          <xdr:rowOff>447675</xdr:rowOff>
        </xdr:to>
        <xdr:sp macro="" textlink="">
          <xdr:nvSpPr>
            <xdr:cNvPr id="59495" name="Check Box 103" hidden="1">
              <a:extLst>
                <a:ext uri="{63B3BB69-23CF-44E3-9099-C40C66FF867C}">
                  <a14:compatExt spid="_x0000_s59495"/>
                </a:ext>
                <a:ext uri="{FF2B5EF4-FFF2-40B4-BE49-F238E27FC236}">
                  <a16:creationId xmlns:a16="http://schemas.microsoft.com/office/drawing/2014/main" id="{00000000-0008-0000-1000-00006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125</xdr:row>
          <xdr:rowOff>66675</xdr:rowOff>
        </xdr:from>
        <xdr:to>
          <xdr:col>12</xdr:col>
          <xdr:colOff>323850</xdr:colOff>
          <xdr:row>125</xdr:row>
          <xdr:rowOff>333375</xdr:rowOff>
        </xdr:to>
        <xdr:sp macro="" textlink="">
          <xdr:nvSpPr>
            <xdr:cNvPr id="59496" name="Check Box 104" hidden="1">
              <a:extLst>
                <a:ext uri="{63B3BB69-23CF-44E3-9099-C40C66FF867C}">
                  <a14:compatExt spid="_x0000_s59496"/>
                </a:ext>
                <a:ext uri="{FF2B5EF4-FFF2-40B4-BE49-F238E27FC236}">
                  <a16:creationId xmlns:a16="http://schemas.microsoft.com/office/drawing/2014/main" id="{00000000-0008-0000-1000-00006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127</xdr:row>
          <xdr:rowOff>257175</xdr:rowOff>
        </xdr:from>
        <xdr:to>
          <xdr:col>12</xdr:col>
          <xdr:colOff>323850</xdr:colOff>
          <xdr:row>128</xdr:row>
          <xdr:rowOff>142875</xdr:rowOff>
        </xdr:to>
        <xdr:sp macro="" textlink="">
          <xdr:nvSpPr>
            <xdr:cNvPr id="59497" name="Check Box 105" hidden="1">
              <a:extLst>
                <a:ext uri="{63B3BB69-23CF-44E3-9099-C40C66FF867C}">
                  <a14:compatExt spid="_x0000_s59497"/>
                </a:ext>
                <a:ext uri="{FF2B5EF4-FFF2-40B4-BE49-F238E27FC236}">
                  <a16:creationId xmlns:a16="http://schemas.microsoft.com/office/drawing/2014/main" id="{00000000-0008-0000-1000-00006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129</xdr:row>
          <xdr:rowOff>38100</xdr:rowOff>
        </xdr:from>
        <xdr:to>
          <xdr:col>12</xdr:col>
          <xdr:colOff>323850</xdr:colOff>
          <xdr:row>129</xdr:row>
          <xdr:rowOff>304800</xdr:rowOff>
        </xdr:to>
        <xdr:sp macro="" textlink="">
          <xdr:nvSpPr>
            <xdr:cNvPr id="59498" name="Check Box 106" hidden="1">
              <a:extLst>
                <a:ext uri="{63B3BB69-23CF-44E3-9099-C40C66FF867C}">
                  <a14:compatExt spid="_x0000_s59498"/>
                </a:ext>
                <a:ext uri="{FF2B5EF4-FFF2-40B4-BE49-F238E27FC236}">
                  <a16:creationId xmlns:a16="http://schemas.microsoft.com/office/drawing/2014/main" id="{00000000-0008-0000-1000-00006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130</xdr:row>
          <xdr:rowOff>38100</xdr:rowOff>
        </xdr:from>
        <xdr:to>
          <xdr:col>12</xdr:col>
          <xdr:colOff>323850</xdr:colOff>
          <xdr:row>130</xdr:row>
          <xdr:rowOff>304800</xdr:rowOff>
        </xdr:to>
        <xdr:sp macro="" textlink="">
          <xdr:nvSpPr>
            <xdr:cNvPr id="59499" name="Check Box 107" hidden="1">
              <a:extLst>
                <a:ext uri="{63B3BB69-23CF-44E3-9099-C40C66FF867C}">
                  <a14:compatExt spid="_x0000_s59499"/>
                </a:ext>
                <a:ext uri="{FF2B5EF4-FFF2-40B4-BE49-F238E27FC236}">
                  <a16:creationId xmlns:a16="http://schemas.microsoft.com/office/drawing/2014/main" id="{00000000-0008-0000-1000-00006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132</xdr:row>
          <xdr:rowOff>38100</xdr:rowOff>
        </xdr:from>
        <xdr:to>
          <xdr:col>12</xdr:col>
          <xdr:colOff>323850</xdr:colOff>
          <xdr:row>132</xdr:row>
          <xdr:rowOff>304800</xdr:rowOff>
        </xdr:to>
        <xdr:sp macro="" textlink="">
          <xdr:nvSpPr>
            <xdr:cNvPr id="59500" name="Check Box 108" hidden="1">
              <a:extLst>
                <a:ext uri="{63B3BB69-23CF-44E3-9099-C40C66FF867C}">
                  <a14:compatExt spid="_x0000_s59500"/>
                </a:ext>
                <a:ext uri="{FF2B5EF4-FFF2-40B4-BE49-F238E27FC236}">
                  <a16:creationId xmlns:a16="http://schemas.microsoft.com/office/drawing/2014/main" id="{00000000-0008-0000-1000-00006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133</xdr:row>
          <xdr:rowOff>371475</xdr:rowOff>
        </xdr:from>
        <xdr:to>
          <xdr:col>12</xdr:col>
          <xdr:colOff>323850</xdr:colOff>
          <xdr:row>133</xdr:row>
          <xdr:rowOff>638175</xdr:rowOff>
        </xdr:to>
        <xdr:sp macro="" textlink="">
          <xdr:nvSpPr>
            <xdr:cNvPr id="59501" name="Check Box 109" hidden="1">
              <a:extLst>
                <a:ext uri="{63B3BB69-23CF-44E3-9099-C40C66FF867C}">
                  <a14:compatExt spid="_x0000_s59501"/>
                </a:ext>
                <a:ext uri="{FF2B5EF4-FFF2-40B4-BE49-F238E27FC236}">
                  <a16:creationId xmlns:a16="http://schemas.microsoft.com/office/drawing/2014/main" id="{00000000-0008-0000-1000-00006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134</xdr:row>
          <xdr:rowOff>38100</xdr:rowOff>
        </xdr:from>
        <xdr:to>
          <xdr:col>12</xdr:col>
          <xdr:colOff>323850</xdr:colOff>
          <xdr:row>134</xdr:row>
          <xdr:rowOff>304800</xdr:rowOff>
        </xdr:to>
        <xdr:sp macro="" textlink="">
          <xdr:nvSpPr>
            <xdr:cNvPr id="59502" name="Check Box 110" hidden="1">
              <a:extLst>
                <a:ext uri="{63B3BB69-23CF-44E3-9099-C40C66FF867C}">
                  <a14:compatExt spid="_x0000_s59502"/>
                </a:ext>
                <a:ext uri="{FF2B5EF4-FFF2-40B4-BE49-F238E27FC236}">
                  <a16:creationId xmlns:a16="http://schemas.microsoft.com/office/drawing/2014/main" id="{00000000-0008-0000-1000-00006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135</xdr:row>
          <xdr:rowOff>161925</xdr:rowOff>
        </xdr:from>
        <xdr:to>
          <xdr:col>12</xdr:col>
          <xdr:colOff>323850</xdr:colOff>
          <xdr:row>135</xdr:row>
          <xdr:rowOff>428625</xdr:rowOff>
        </xdr:to>
        <xdr:sp macro="" textlink="">
          <xdr:nvSpPr>
            <xdr:cNvPr id="59503" name="Check Box 111" hidden="1">
              <a:extLst>
                <a:ext uri="{63B3BB69-23CF-44E3-9099-C40C66FF867C}">
                  <a14:compatExt spid="_x0000_s59503"/>
                </a:ext>
                <a:ext uri="{FF2B5EF4-FFF2-40B4-BE49-F238E27FC236}">
                  <a16:creationId xmlns:a16="http://schemas.microsoft.com/office/drawing/2014/main" id="{00000000-0008-0000-1000-00006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137</xdr:row>
          <xdr:rowOff>28575</xdr:rowOff>
        </xdr:from>
        <xdr:to>
          <xdr:col>12</xdr:col>
          <xdr:colOff>323850</xdr:colOff>
          <xdr:row>137</xdr:row>
          <xdr:rowOff>295275</xdr:rowOff>
        </xdr:to>
        <xdr:sp macro="" textlink="">
          <xdr:nvSpPr>
            <xdr:cNvPr id="59504" name="Check Box 112" hidden="1">
              <a:extLst>
                <a:ext uri="{63B3BB69-23CF-44E3-9099-C40C66FF867C}">
                  <a14:compatExt spid="_x0000_s59504"/>
                </a:ext>
                <a:ext uri="{FF2B5EF4-FFF2-40B4-BE49-F238E27FC236}">
                  <a16:creationId xmlns:a16="http://schemas.microsoft.com/office/drawing/2014/main" id="{00000000-0008-0000-1000-00007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138</xdr:row>
          <xdr:rowOff>38100</xdr:rowOff>
        </xdr:from>
        <xdr:to>
          <xdr:col>12</xdr:col>
          <xdr:colOff>323850</xdr:colOff>
          <xdr:row>138</xdr:row>
          <xdr:rowOff>304800</xdr:rowOff>
        </xdr:to>
        <xdr:sp macro="" textlink="">
          <xdr:nvSpPr>
            <xdr:cNvPr id="59505" name="Check Box 113" hidden="1">
              <a:extLst>
                <a:ext uri="{63B3BB69-23CF-44E3-9099-C40C66FF867C}">
                  <a14:compatExt spid="_x0000_s59505"/>
                </a:ext>
                <a:ext uri="{FF2B5EF4-FFF2-40B4-BE49-F238E27FC236}">
                  <a16:creationId xmlns:a16="http://schemas.microsoft.com/office/drawing/2014/main" id="{00000000-0008-0000-1000-00007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139</xdr:row>
          <xdr:rowOff>38100</xdr:rowOff>
        </xdr:from>
        <xdr:to>
          <xdr:col>12</xdr:col>
          <xdr:colOff>323850</xdr:colOff>
          <xdr:row>139</xdr:row>
          <xdr:rowOff>304800</xdr:rowOff>
        </xdr:to>
        <xdr:sp macro="" textlink="">
          <xdr:nvSpPr>
            <xdr:cNvPr id="59506" name="Check Box 114" hidden="1">
              <a:extLst>
                <a:ext uri="{63B3BB69-23CF-44E3-9099-C40C66FF867C}">
                  <a14:compatExt spid="_x0000_s59506"/>
                </a:ext>
                <a:ext uri="{FF2B5EF4-FFF2-40B4-BE49-F238E27FC236}">
                  <a16:creationId xmlns:a16="http://schemas.microsoft.com/office/drawing/2014/main" id="{00000000-0008-0000-1000-00007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140</xdr:row>
          <xdr:rowOff>57150</xdr:rowOff>
        </xdr:from>
        <xdr:to>
          <xdr:col>12</xdr:col>
          <xdr:colOff>323850</xdr:colOff>
          <xdr:row>140</xdr:row>
          <xdr:rowOff>323850</xdr:rowOff>
        </xdr:to>
        <xdr:sp macro="" textlink="">
          <xdr:nvSpPr>
            <xdr:cNvPr id="59507" name="Check Box 115" hidden="1">
              <a:extLst>
                <a:ext uri="{63B3BB69-23CF-44E3-9099-C40C66FF867C}">
                  <a14:compatExt spid="_x0000_s59507"/>
                </a:ext>
                <a:ext uri="{FF2B5EF4-FFF2-40B4-BE49-F238E27FC236}">
                  <a16:creationId xmlns:a16="http://schemas.microsoft.com/office/drawing/2014/main" id="{00000000-0008-0000-1000-00007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141</xdr:row>
          <xdr:rowOff>47625</xdr:rowOff>
        </xdr:from>
        <xdr:to>
          <xdr:col>12</xdr:col>
          <xdr:colOff>323850</xdr:colOff>
          <xdr:row>141</xdr:row>
          <xdr:rowOff>314325</xdr:rowOff>
        </xdr:to>
        <xdr:sp macro="" textlink="">
          <xdr:nvSpPr>
            <xdr:cNvPr id="59508" name="Check Box 116" hidden="1">
              <a:extLst>
                <a:ext uri="{63B3BB69-23CF-44E3-9099-C40C66FF867C}">
                  <a14:compatExt spid="_x0000_s59508"/>
                </a:ext>
                <a:ext uri="{FF2B5EF4-FFF2-40B4-BE49-F238E27FC236}">
                  <a16:creationId xmlns:a16="http://schemas.microsoft.com/office/drawing/2014/main" id="{00000000-0008-0000-1000-00007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142</xdr:row>
          <xdr:rowOff>38100</xdr:rowOff>
        </xdr:from>
        <xdr:to>
          <xdr:col>12</xdr:col>
          <xdr:colOff>323850</xdr:colOff>
          <xdr:row>142</xdr:row>
          <xdr:rowOff>304800</xdr:rowOff>
        </xdr:to>
        <xdr:sp macro="" textlink="">
          <xdr:nvSpPr>
            <xdr:cNvPr id="59509" name="Check Box 117" hidden="1">
              <a:extLst>
                <a:ext uri="{63B3BB69-23CF-44E3-9099-C40C66FF867C}">
                  <a14:compatExt spid="_x0000_s59509"/>
                </a:ext>
                <a:ext uri="{FF2B5EF4-FFF2-40B4-BE49-F238E27FC236}">
                  <a16:creationId xmlns:a16="http://schemas.microsoft.com/office/drawing/2014/main" id="{00000000-0008-0000-1000-00007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143</xdr:row>
          <xdr:rowOff>238125</xdr:rowOff>
        </xdr:from>
        <xdr:to>
          <xdr:col>12</xdr:col>
          <xdr:colOff>323850</xdr:colOff>
          <xdr:row>143</xdr:row>
          <xdr:rowOff>504825</xdr:rowOff>
        </xdr:to>
        <xdr:sp macro="" textlink="">
          <xdr:nvSpPr>
            <xdr:cNvPr id="59510" name="Check Box 118" hidden="1">
              <a:extLst>
                <a:ext uri="{63B3BB69-23CF-44E3-9099-C40C66FF867C}">
                  <a14:compatExt spid="_x0000_s59510"/>
                </a:ext>
                <a:ext uri="{FF2B5EF4-FFF2-40B4-BE49-F238E27FC236}">
                  <a16:creationId xmlns:a16="http://schemas.microsoft.com/office/drawing/2014/main" id="{00000000-0008-0000-1000-00007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144</xdr:row>
          <xdr:rowOff>47625</xdr:rowOff>
        </xdr:from>
        <xdr:to>
          <xdr:col>12</xdr:col>
          <xdr:colOff>323850</xdr:colOff>
          <xdr:row>144</xdr:row>
          <xdr:rowOff>314325</xdr:rowOff>
        </xdr:to>
        <xdr:sp macro="" textlink="">
          <xdr:nvSpPr>
            <xdr:cNvPr id="59511" name="Check Box 119" hidden="1">
              <a:extLst>
                <a:ext uri="{63B3BB69-23CF-44E3-9099-C40C66FF867C}">
                  <a14:compatExt spid="_x0000_s59511"/>
                </a:ext>
                <a:ext uri="{FF2B5EF4-FFF2-40B4-BE49-F238E27FC236}">
                  <a16:creationId xmlns:a16="http://schemas.microsoft.com/office/drawing/2014/main" id="{00000000-0008-0000-1000-00007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147</xdr:row>
          <xdr:rowOff>85725</xdr:rowOff>
        </xdr:from>
        <xdr:to>
          <xdr:col>12</xdr:col>
          <xdr:colOff>323850</xdr:colOff>
          <xdr:row>147</xdr:row>
          <xdr:rowOff>314325</xdr:rowOff>
        </xdr:to>
        <xdr:sp macro="" textlink="">
          <xdr:nvSpPr>
            <xdr:cNvPr id="59513" name="Check Box 121" hidden="1">
              <a:extLst>
                <a:ext uri="{63B3BB69-23CF-44E3-9099-C40C66FF867C}">
                  <a14:compatExt spid="_x0000_s59513"/>
                </a:ext>
                <a:ext uri="{FF2B5EF4-FFF2-40B4-BE49-F238E27FC236}">
                  <a16:creationId xmlns:a16="http://schemas.microsoft.com/office/drawing/2014/main" id="{00000000-0008-0000-1000-00007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148</xdr:row>
          <xdr:rowOff>38100</xdr:rowOff>
        </xdr:from>
        <xdr:to>
          <xdr:col>12</xdr:col>
          <xdr:colOff>323850</xdr:colOff>
          <xdr:row>148</xdr:row>
          <xdr:rowOff>304800</xdr:rowOff>
        </xdr:to>
        <xdr:sp macro="" textlink="">
          <xdr:nvSpPr>
            <xdr:cNvPr id="59514" name="Check Box 122" hidden="1">
              <a:extLst>
                <a:ext uri="{63B3BB69-23CF-44E3-9099-C40C66FF867C}">
                  <a14:compatExt spid="_x0000_s59514"/>
                </a:ext>
                <a:ext uri="{FF2B5EF4-FFF2-40B4-BE49-F238E27FC236}">
                  <a16:creationId xmlns:a16="http://schemas.microsoft.com/office/drawing/2014/main" id="{00000000-0008-0000-1000-00007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149</xdr:row>
          <xdr:rowOff>38100</xdr:rowOff>
        </xdr:from>
        <xdr:to>
          <xdr:col>12</xdr:col>
          <xdr:colOff>323850</xdr:colOff>
          <xdr:row>149</xdr:row>
          <xdr:rowOff>304800</xdr:rowOff>
        </xdr:to>
        <xdr:sp macro="" textlink="">
          <xdr:nvSpPr>
            <xdr:cNvPr id="59515" name="Check Box 123" hidden="1">
              <a:extLst>
                <a:ext uri="{63B3BB69-23CF-44E3-9099-C40C66FF867C}">
                  <a14:compatExt spid="_x0000_s59515"/>
                </a:ext>
                <a:ext uri="{FF2B5EF4-FFF2-40B4-BE49-F238E27FC236}">
                  <a16:creationId xmlns:a16="http://schemas.microsoft.com/office/drawing/2014/main" id="{00000000-0008-0000-1000-00007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150</xdr:row>
          <xdr:rowOff>38100</xdr:rowOff>
        </xdr:from>
        <xdr:to>
          <xdr:col>12</xdr:col>
          <xdr:colOff>323850</xdr:colOff>
          <xdr:row>150</xdr:row>
          <xdr:rowOff>304800</xdr:rowOff>
        </xdr:to>
        <xdr:sp macro="" textlink="">
          <xdr:nvSpPr>
            <xdr:cNvPr id="59516" name="Check Box 124" hidden="1">
              <a:extLst>
                <a:ext uri="{63B3BB69-23CF-44E3-9099-C40C66FF867C}">
                  <a14:compatExt spid="_x0000_s59516"/>
                </a:ext>
                <a:ext uri="{FF2B5EF4-FFF2-40B4-BE49-F238E27FC236}">
                  <a16:creationId xmlns:a16="http://schemas.microsoft.com/office/drawing/2014/main" id="{00000000-0008-0000-1000-00007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151</xdr:row>
          <xdr:rowOff>38100</xdr:rowOff>
        </xdr:from>
        <xdr:to>
          <xdr:col>12</xdr:col>
          <xdr:colOff>323850</xdr:colOff>
          <xdr:row>151</xdr:row>
          <xdr:rowOff>304800</xdr:rowOff>
        </xdr:to>
        <xdr:sp macro="" textlink="">
          <xdr:nvSpPr>
            <xdr:cNvPr id="59517" name="Check Box 125" hidden="1">
              <a:extLst>
                <a:ext uri="{63B3BB69-23CF-44E3-9099-C40C66FF867C}">
                  <a14:compatExt spid="_x0000_s59517"/>
                </a:ext>
                <a:ext uri="{FF2B5EF4-FFF2-40B4-BE49-F238E27FC236}">
                  <a16:creationId xmlns:a16="http://schemas.microsoft.com/office/drawing/2014/main" id="{00000000-0008-0000-1000-00007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152</xdr:row>
          <xdr:rowOff>38100</xdr:rowOff>
        </xdr:from>
        <xdr:to>
          <xdr:col>12</xdr:col>
          <xdr:colOff>323850</xdr:colOff>
          <xdr:row>152</xdr:row>
          <xdr:rowOff>304800</xdr:rowOff>
        </xdr:to>
        <xdr:sp macro="" textlink="">
          <xdr:nvSpPr>
            <xdr:cNvPr id="59518" name="Check Box 126" hidden="1">
              <a:extLst>
                <a:ext uri="{63B3BB69-23CF-44E3-9099-C40C66FF867C}">
                  <a14:compatExt spid="_x0000_s59518"/>
                </a:ext>
                <a:ext uri="{FF2B5EF4-FFF2-40B4-BE49-F238E27FC236}">
                  <a16:creationId xmlns:a16="http://schemas.microsoft.com/office/drawing/2014/main" id="{00000000-0008-0000-1000-00007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163</xdr:row>
          <xdr:rowOff>47625</xdr:rowOff>
        </xdr:from>
        <xdr:to>
          <xdr:col>12</xdr:col>
          <xdr:colOff>323850</xdr:colOff>
          <xdr:row>163</xdr:row>
          <xdr:rowOff>314325</xdr:rowOff>
        </xdr:to>
        <xdr:sp macro="" textlink="">
          <xdr:nvSpPr>
            <xdr:cNvPr id="59519" name="Check Box 127" hidden="1">
              <a:extLst>
                <a:ext uri="{63B3BB69-23CF-44E3-9099-C40C66FF867C}">
                  <a14:compatExt spid="_x0000_s59519"/>
                </a:ext>
                <a:ext uri="{FF2B5EF4-FFF2-40B4-BE49-F238E27FC236}">
                  <a16:creationId xmlns:a16="http://schemas.microsoft.com/office/drawing/2014/main" id="{00000000-0008-0000-1000-00007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164</xdr:row>
          <xdr:rowOff>38100</xdr:rowOff>
        </xdr:from>
        <xdr:to>
          <xdr:col>12</xdr:col>
          <xdr:colOff>323850</xdr:colOff>
          <xdr:row>164</xdr:row>
          <xdr:rowOff>304800</xdr:rowOff>
        </xdr:to>
        <xdr:sp macro="" textlink="">
          <xdr:nvSpPr>
            <xdr:cNvPr id="59520" name="Check Box 128" hidden="1">
              <a:extLst>
                <a:ext uri="{63B3BB69-23CF-44E3-9099-C40C66FF867C}">
                  <a14:compatExt spid="_x0000_s59520"/>
                </a:ext>
                <a:ext uri="{FF2B5EF4-FFF2-40B4-BE49-F238E27FC236}">
                  <a16:creationId xmlns:a16="http://schemas.microsoft.com/office/drawing/2014/main" id="{00000000-0008-0000-1000-00008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165</xdr:row>
          <xdr:rowOff>190500</xdr:rowOff>
        </xdr:from>
        <xdr:to>
          <xdr:col>12</xdr:col>
          <xdr:colOff>323850</xdr:colOff>
          <xdr:row>165</xdr:row>
          <xdr:rowOff>457200</xdr:rowOff>
        </xdr:to>
        <xdr:sp macro="" textlink="">
          <xdr:nvSpPr>
            <xdr:cNvPr id="59521" name="Check Box 129" hidden="1">
              <a:extLst>
                <a:ext uri="{63B3BB69-23CF-44E3-9099-C40C66FF867C}">
                  <a14:compatExt spid="_x0000_s59521"/>
                </a:ext>
                <a:ext uri="{FF2B5EF4-FFF2-40B4-BE49-F238E27FC236}">
                  <a16:creationId xmlns:a16="http://schemas.microsoft.com/office/drawing/2014/main" id="{00000000-0008-0000-1000-00008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153</xdr:row>
          <xdr:rowOff>152400</xdr:rowOff>
        </xdr:from>
        <xdr:to>
          <xdr:col>12</xdr:col>
          <xdr:colOff>323850</xdr:colOff>
          <xdr:row>153</xdr:row>
          <xdr:rowOff>419100</xdr:rowOff>
        </xdr:to>
        <xdr:sp macro="" textlink="">
          <xdr:nvSpPr>
            <xdr:cNvPr id="59522" name="Check Box 130" hidden="1">
              <a:extLst>
                <a:ext uri="{63B3BB69-23CF-44E3-9099-C40C66FF867C}">
                  <a14:compatExt spid="_x0000_s59522"/>
                </a:ext>
                <a:ext uri="{FF2B5EF4-FFF2-40B4-BE49-F238E27FC236}">
                  <a16:creationId xmlns:a16="http://schemas.microsoft.com/office/drawing/2014/main" id="{00000000-0008-0000-1000-00008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154</xdr:row>
          <xdr:rowOff>38100</xdr:rowOff>
        </xdr:from>
        <xdr:to>
          <xdr:col>12</xdr:col>
          <xdr:colOff>323850</xdr:colOff>
          <xdr:row>154</xdr:row>
          <xdr:rowOff>304800</xdr:rowOff>
        </xdr:to>
        <xdr:sp macro="" textlink="">
          <xdr:nvSpPr>
            <xdr:cNvPr id="59523" name="Check Box 131" hidden="1">
              <a:extLst>
                <a:ext uri="{63B3BB69-23CF-44E3-9099-C40C66FF867C}">
                  <a14:compatExt spid="_x0000_s59523"/>
                </a:ext>
                <a:ext uri="{FF2B5EF4-FFF2-40B4-BE49-F238E27FC236}">
                  <a16:creationId xmlns:a16="http://schemas.microsoft.com/office/drawing/2014/main" id="{00000000-0008-0000-1000-00008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155</xdr:row>
          <xdr:rowOff>38100</xdr:rowOff>
        </xdr:from>
        <xdr:to>
          <xdr:col>12</xdr:col>
          <xdr:colOff>323850</xdr:colOff>
          <xdr:row>155</xdr:row>
          <xdr:rowOff>304800</xdr:rowOff>
        </xdr:to>
        <xdr:sp macro="" textlink="">
          <xdr:nvSpPr>
            <xdr:cNvPr id="59524" name="Check Box 132" hidden="1">
              <a:extLst>
                <a:ext uri="{63B3BB69-23CF-44E3-9099-C40C66FF867C}">
                  <a14:compatExt spid="_x0000_s59524"/>
                </a:ext>
                <a:ext uri="{FF2B5EF4-FFF2-40B4-BE49-F238E27FC236}">
                  <a16:creationId xmlns:a16="http://schemas.microsoft.com/office/drawing/2014/main" id="{00000000-0008-0000-1000-00008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156</xdr:row>
          <xdr:rowOff>47625</xdr:rowOff>
        </xdr:from>
        <xdr:to>
          <xdr:col>12</xdr:col>
          <xdr:colOff>323850</xdr:colOff>
          <xdr:row>156</xdr:row>
          <xdr:rowOff>314325</xdr:rowOff>
        </xdr:to>
        <xdr:sp macro="" textlink="">
          <xdr:nvSpPr>
            <xdr:cNvPr id="59525" name="Check Box 133" hidden="1">
              <a:extLst>
                <a:ext uri="{63B3BB69-23CF-44E3-9099-C40C66FF867C}">
                  <a14:compatExt spid="_x0000_s59525"/>
                </a:ext>
                <a:ext uri="{FF2B5EF4-FFF2-40B4-BE49-F238E27FC236}">
                  <a16:creationId xmlns:a16="http://schemas.microsoft.com/office/drawing/2014/main" id="{00000000-0008-0000-1000-00008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157</xdr:row>
          <xdr:rowOff>38100</xdr:rowOff>
        </xdr:from>
        <xdr:to>
          <xdr:col>12</xdr:col>
          <xdr:colOff>323850</xdr:colOff>
          <xdr:row>157</xdr:row>
          <xdr:rowOff>304800</xdr:rowOff>
        </xdr:to>
        <xdr:sp macro="" textlink="">
          <xdr:nvSpPr>
            <xdr:cNvPr id="59526" name="Check Box 134" hidden="1">
              <a:extLst>
                <a:ext uri="{63B3BB69-23CF-44E3-9099-C40C66FF867C}">
                  <a14:compatExt spid="_x0000_s59526"/>
                </a:ext>
                <a:ext uri="{FF2B5EF4-FFF2-40B4-BE49-F238E27FC236}">
                  <a16:creationId xmlns:a16="http://schemas.microsoft.com/office/drawing/2014/main" id="{00000000-0008-0000-1000-00008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158</xdr:row>
          <xdr:rowOff>38100</xdr:rowOff>
        </xdr:from>
        <xdr:to>
          <xdr:col>12</xdr:col>
          <xdr:colOff>323850</xdr:colOff>
          <xdr:row>158</xdr:row>
          <xdr:rowOff>304800</xdr:rowOff>
        </xdr:to>
        <xdr:sp macro="" textlink="">
          <xdr:nvSpPr>
            <xdr:cNvPr id="59527" name="Check Box 135" hidden="1">
              <a:extLst>
                <a:ext uri="{63B3BB69-23CF-44E3-9099-C40C66FF867C}">
                  <a14:compatExt spid="_x0000_s59527"/>
                </a:ext>
                <a:ext uri="{FF2B5EF4-FFF2-40B4-BE49-F238E27FC236}">
                  <a16:creationId xmlns:a16="http://schemas.microsoft.com/office/drawing/2014/main" id="{00000000-0008-0000-1000-00008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159</xdr:row>
          <xdr:rowOff>38100</xdr:rowOff>
        </xdr:from>
        <xdr:to>
          <xdr:col>12</xdr:col>
          <xdr:colOff>323850</xdr:colOff>
          <xdr:row>159</xdr:row>
          <xdr:rowOff>304800</xdr:rowOff>
        </xdr:to>
        <xdr:sp macro="" textlink="">
          <xdr:nvSpPr>
            <xdr:cNvPr id="59528" name="Check Box 136" hidden="1">
              <a:extLst>
                <a:ext uri="{63B3BB69-23CF-44E3-9099-C40C66FF867C}">
                  <a14:compatExt spid="_x0000_s59528"/>
                </a:ext>
                <a:ext uri="{FF2B5EF4-FFF2-40B4-BE49-F238E27FC236}">
                  <a16:creationId xmlns:a16="http://schemas.microsoft.com/office/drawing/2014/main" id="{00000000-0008-0000-1000-00008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160</xdr:row>
          <xdr:rowOff>38100</xdr:rowOff>
        </xdr:from>
        <xdr:to>
          <xdr:col>12</xdr:col>
          <xdr:colOff>323850</xdr:colOff>
          <xdr:row>160</xdr:row>
          <xdr:rowOff>304800</xdr:rowOff>
        </xdr:to>
        <xdr:sp macro="" textlink="">
          <xdr:nvSpPr>
            <xdr:cNvPr id="59529" name="Check Box 137" hidden="1">
              <a:extLst>
                <a:ext uri="{63B3BB69-23CF-44E3-9099-C40C66FF867C}">
                  <a14:compatExt spid="_x0000_s59529"/>
                </a:ext>
                <a:ext uri="{FF2B5EF4-FFF2-40B4-BE49-F238E27FC236}">
                  <a16:creationId xmlns:a16="http://schemas.microsoft.com/office/drawing/2014/main" id="{00000000-0008-0000-1000-00008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161</xdr:row>
          <xdr:rowOff>9525</xdr:rowOff>
        </xdr:from>
        <xdr:to>
          <xdr:col>12</xdr:col>
          <xdr:colOff>323850</xdr:colOff>
          <xdr:row>162</xdr:row>
          <xdr:rowOff>0</xdr:rowOff>
        </xdr:to>
        <xdr:sp macro="" textlink="">
          <xdr:nvSpPr>
            <xdr:cNvPr id="59530" name="Check Box 138" hidden="1">
              <a:extLst>
                <a:ext uri="{63B3BB69-23CF-44E3-9099-C40C66FF867C}">
                  <a14:compatExt spid="_x0000_s59530"/>
                </a:ext>
                <a:ext uri="{FF2B5EF4-FFF2-40B4-BE49-F238E27FC236}">
                  <a16:creationId xmlns:a16="http://schemas.microsoft.com/office/drawing/2014/main" id="{00000000-0008-0000-1000-00008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162</xdr:row>
          <xdr:rowOff>47625</xdr:rowOff>
        </xdr:from>
        <xdr:to>
          <xdr:col>12</xdr:col>
          <xdr:colOff>323850</xdr:colOff>
          <xdr:row>162</xdr:row>
          <xdr:rowOff>314325</xdr:rowOff>
        </xdr:to>
        <xdr:sp macro="" textlink="">
          <xdr:nvSpPr>
            <xdr:cNvPr id="59531" name="Check Box 139" hidden="1">
              <a:extLst>
                <a:ext uri="{63B3BB69-23CF-44E3-9099-C40C66FF867C}">
                  <a14:compatExt spid="_x0000_s59531"/>
                </a:ext>
                <a:ext uri="{FF2B5EF4-FFF2-40B4-BE49-F238E27FC236}">
                  <a16:creationId xmlns:a16="http://schemas.microsoft.com/office/drawing/2014/main" id="{00000000-0008-0000-1000-00008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166</xdr:row>
          <xdr:rowOff>38100</xdr:rowOff>
        </xdr:from>
        <xdr:to>
          <xdr:col>12</xdr:col>
          <xdr:colOff>323850</xdr:colOff>
          <xdr:row>166</xdr:row>
          <xdr:rowOff>304800</xdr:rowOff>
        </xdr:to>
        <xdr:sp macro="" textlink="">
          <xdr:nvSpPr>
            <xdr:cNvPr id="59532" name="Check Box 140" hidden="1">
              <a:extLst>
                <a:ext uri="{63B3BB69-23CF-44E3-9099-C40C66FF867C}">
                  <a14:compatExt spid="_x0000_s59532"/>
                </a:ext>
                <a:ext uri="{FF2B5EF4-FFF2-40B4-BE49-F238E27FC236}">
                  <a16:creationId xmlns:a16="http://schemas.microsoft.com/office/drawing/2014/main" id="{00000000-0008-0000-1000-00008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167</xdr:row>
          <xdr:rowOff>76200</xdr:rowOff>
        </xdr:from>
        <xdr:to>
          <xdr:col>12</xdr:col>
          <xdr:colOff>323850</xdr:colOff>
          <xdr:row>167</xdr:row>
          <xdr:rowOff>342900</xdr:rowOff>
        </xdr:to>
        <xdr:sp macro="" textlink="">
          <xdr:nvSpPr>
            <xdr:cNvPr id="59533" name="Check Box 141" hidden="1">
              <a:extLst>
                <a:ext uri="{63B3BB69-23CF-44E3-9099-C40C66FF867C}">
                  <a14:compatExt spid="_x0000_s59533"/>
                </a:ext>
                <a:ext uri="{FF2B5EF4-FFF2-40B4-BE49-F238E27FC236}">
                  <a16:creationId xmlns:a16="http://schemas.microsoft.com/office/drawing/2014/main" id="{00000000-0008-0000-1000-00008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169</xdr:row>
          <xdr:rowOff>76200</xdr:rowOff>
        </xdr:from>
        <xdr:to>
          <xdr:col>12</xdr:col>
          <xdr:colOff>323850</xdr:colOff>
          <xdr:row>169</xdr:row>
          <xdr:rowOff>342900</xdr:rowOff>
        </xdr:to>
        <xdr:sp macro="" textlink="">
          <xdr:nvSpPr>
            <xdr:cNvPr id="59535" name="Check Box 143" hidden="1">
              <a:extLst>
                <a:ext uri="{63B3BB69-23CF-44E3-9099-C40C66FF867C}">
                  <a14:compatExt spid="_x0000_s59535"/>
                </a:ext>
                <a:ext uri="{FF2B5EF4-FFF2-40B4-BE49-F238E27FC236}">
                  <a16:creationId xmlns:a16="http://schemas.microsoft.com/office/drawing/2014/main" id="{00000000-0008-0000-1000-00008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170</xdr:row>
          <xdr:rowOff>85725</xdr:rowOff>
        </xdr:from>
        <xdr:to>
          <xdr:col>12</xdr:col>
          <xdr:colOff>323850</xdr:colOff>
          <xdr:row>170</xdr:row>
          <xdr:rowOff>352425</xdr:rowOff>
        </xdr:to>
        <xdr:sp macro="" textlink="">
          <xdr:nvSpPr>
            <xdr:cNvPr id="59537" name="Check Box 145" hidden="1">
              <a:extLst>
                <a:ext uri="{63B3BB69-23CF-44E3-9099-C40C66FF867C}">
                  <a14:compatExt spid="_x0000_s59537"/>
                </a:ext>
                <a:ext uri="{FF2B5EF4-FFF2-40B4-BE49-F238E27FC236}">
                  <a16:creationId xmlns:a16="http://schemas.microsoft.com/office/drawing/2014/main" id="{00000000-0008-0000-1000-00009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173</xdr:row>
          <xdr:rowOff>38100</xdr:rowOff>
        </xdr:from>
        <xdr:to>
          <xdr:col>12</xdr:col>
          <xdr:colOff>323850</xdr:colOff>
          <xdr:row>173</xdr:row>
          <xdr:rowOff>304800</xdr:rowOff>
        </xdr:to>
        <xdr:sp macro="" textlink="">
          <xdr:nvSpPr>
            <xdr:cNvPr id="59538" name="Check Box 146" hidden="1">
              <a:extLst>
                <a:ext uri="{63B3BB69-23CF-44E3-9099-C40C66FF867C}">
                  <a14:compatExt spid="_x0000_s59538"/>
                </a:ext>
                <a:ext uri="{FF2B5EF4-FFF2-40B4-BE49-F238E27FC236}">
                  <a16:creationId xmlns:a16="http://schemas.microsoft.com/office/drawing/2014/main" id="{00000000-0008-0000-1000-000092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174</xdr:row>
          <xdr:rowOff>47625</xdr:rowOff>
        </xdr:from>
        <xdr:to>
          <xdr:col>12</xdr:col>
          <xdr:colOff>323850</xdr:colOff>
          <xdr:row>174</xdr:row>
          <xdr:rowOff>314325</xdr:rowOff>
        </xdr:to>
        <xdr:sp macro="" textlink="">
          <xdr:nvSpPr>
            <xdr:cNvPr id="59539" name="Check Box 147" hidden="1">
              <a:extLst>
                <a:ext uri="{63B3BB69-23CF-44E3-9099-C40C66FF867C}">
                  <a14:compatExt spid="_x0000_s59539"/>
                </a:ext>
                <a:ext uri="{FF2B5EF4-FFF2-40B4-BE49-F238E27FC236}">
                  <a16:creationId xmlns:a16="http://schemas.microsoft.com/office/drawing/2014/main" id="{00000000-0008-0000-1000-00009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175</xdr:row>
          <xdr:rowOff>209550</xdr:rowOff>
        </xdr:from>
        <xdr:to>
          <xdr:col>12</xdr:col>
          <xdr:colOff>323850</xdr:colOff>
          <xdr:row>176</xdr:row>
          <xdr:rowOff>95250</xdr:rowOff>
        </xdr:to>
        <xdr:sp macro="" textlink="">
          <xdr:nvSpPr>
            <xdr:cNvPr id="59540" name="Check Box 148" hidden="1">
              <a:extLst>
                <a:ext uri="{63B3BB69-23CF-44E3-9099-C40C66FF867C}">
                  <a14:compatExt spid="_x0000_s59540"/>
                </a:ext>
                <a:ext uri="{FF2B5EF4-FFF2-40B4-BE49-F238E27FC236}">
                  <a16:creationId xmlns:a16="http://schemas.microsoft.com/office/drawing/2014/main" id="{00000000-0008-0000-1000-00009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177</xdr:row>
          <xdr:rowOff>38100</xdr:rowOff>
        </xdr:from>
        <xdr:to>
          <xdr:col>12</xdr:col>
          <xdr:colOff>323850</xdr:colOff>
          <xdr:row>177</xdr:row>
          <xdr:rowOff>304800</xdr:rowOff>
        </xdr:to>
        <xdr:sp macro="" textlink="">
          <xdr:nvSpPr>
            <xdr:cNvPr id="59542" name="Check Box 150" hidden="1">
              <a:extLst>
                <a:ext uri="{63B3BB69-23CF-44E3-9099-C40C66FF867C}">
                  <a14:compatExt spid="_x0000_s59542"/>
                </a:ext>
                <a:ext uri="{FF2B5EF4-FFF2-40B4-BE49-F238E27FC236}">
                  <a16:creationId xmlns:a16="http://schemas.microsoft.com/office/drawing/2014/main" id="{00000000-0008-0000-1000-000096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178</xdr:row>
          <xdr:rowOff>38100</xdr:rowOff>
        </xdr:from>
        <xdr:to>
          <xdr:col>12</xdr:col>
          <xdr:colOff>323850</xdr:colOff>
          <xdr:row>178</xdr:row>
          <xdr:rowOff>304800</xdr:rowOff>
        </xdr:to>
        <xdr:sp macro="" textlink="">
          <xdr:nvSpPr>
            <xdr:cNvPr id="59543" name="Check Box 151" hidden="1">
              <a:extLst>
                <a:ext uri="{63B3BB69-23CF-44E3-9099-C40C66FF867C}">
                  <a14:compatExt spid="_x0000_s59543"/>
                </a:ext>
                <a:ext uri="{FF2B5EF4-FFF2-40B4-BE49-F238E27FC236}">
                  <a16:creationId xmlns:a16="http://schemas.microsoft.com/office/drawing/2014/main" id="{00000000-0008-0000-1000-00009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179</xdr:row>
          <xdr:rowOff>38100</xdr:rowOff>
        </xdr:from>
        <xdr:to>
          <xdr:col>12</xdr:col>
          <xdr:colOff>323850</xdr:colOff>
          <xdr:row>179</xdr:row>
          <xdr:rowOff>304800</xdr:rowOff>
        </xdr:to>
        <xdr:sp macro="" textlink="">
          <xdr:nvSpPr>
            <xdr:cNvPr id="59544" name="Check Box 152" hidden="1">
              <a:extLst>
                <a:ext uri="{63B3BB69-23CF-44E3-9099-C40C66FF867C}">
                  <a14:compatExt spid="_x0000_s59544"/>
                </a:ext>
                <a:ext uri="{FF2B5EF4-FFF2-40B4-BE49-F238E27FC236}">
                  <a16:creationId xmlns:a16="http://schemas.microsoft.com/office/drawing/2014/main" id="{00000000-0008-0000-1000-00009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180</xdr:row>
          <xdr:rowOff>38100</xdr:rowOff>
        </xdr:from>
        <xdr:to>
          <xdr:col>12</xdr:col>
          <xdr:colOff>323850</xdr:colOff>
          <xdr:row>180</xdr:row>
          <xdr:rowOff>304800</xdr:rowOff>
        </xdr:to>
        <xdr:sp macro="" textlink="">
          <xdr:nvSpPr>
            <xdr:cNvPr id="59545" name="Check Box 153" hidden="1">
              <a:extLst>
                <a:ext uri="{63B3BB69-23CF-44E3-9099-C40C66FF867C}">
                  <a14:compatExt spid="_x0000_s59545"/>
                </a:ext>
                <a:ext uri="{FF2B5EF4-FFF2-40B4-BE49-F238E27FC236}">
                  <a16:creationId xmlns:a16="http://schemas.microsoft.com/office/drawing/2014/main" id="{00000000-0008-0000-1000-00009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181</xdr:row>
          <xdr:rowOff>57150</xdr:rowOff>
        </xdr:from>
        <xdr:to>
          <xdr:col>12</xdr:col>
          <xdr:colOff>323850</xdr:colOff>
          <xdr:row>181</xdr:row>
          <xdr:rowOff>323850</xdr:rowOff>
        </xdr:to>
        <xdr:sp macro="" textlink="">
          <xdr:nvSpPr>
            <xdr:cNvPr id="59546" name="Check Box 154" hidden="1">
              <a:extLst>
                <a:ext uri="{63B3BB69-23CF-44E3-9099-C40C66FF867C}">
                  <a14:compatExt spid="_x0000_s59546"/>
                </a:ext>
                <a:ext uri="{FF2B5EF4-FFF2-40B4-BE49-F238E27FC236}">
                  <a16:creationId xmlns:a16="http://schemas.microsoft.com/office/drawing/2014/main" id="{00000000-0008-0000-1000-00009A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182</xdr:row>
          <xdr:rowOff>38100</xdr:rowOff>
        </xdr:from>
        <xdr:to>
          <xdr:col>12</xdr:col>
          <xdr:colOff>323850</xdr:colOff>
          <xdr:row>182</xdr:row>
          <xdr:rowOff>304800</xdr:rowOff>
        </xdr:to>
        <xdr:sp macro="" textlink="">
          <xdr:nvSpPr>
            <xdr:cNvPr id="59547" name="Check Box 155" hidden="1">
              <a:extLst>
                <a:ext uri="{63B3BB69-23CF-44E3-9099-C40C66FF867C}">
                  <a14:compatExt spid="_x0000_s59547"/>
                </a:ext>
                <a:ext uri="{FF2B5EF4-FFF2-40B4-BE49-F238E27FC236}">
                  <a16:creationId xmlns:a16="http://schemas.microsoft.com/office/drawing/2014/main" id="{00000000-0008-0000-1000-00009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172</xdr:row>
          <xdr:rowOff>152400</xdr:rowOff>
        </xdr:from>
        <xdr:to>
          <xdr:col>12</xdr:col>
          <xdr:colOff>323850</xdr:colOff>
          <xdr:row>172</xdr:row>
          <xdr:rowOff>600075</xdr:rowOff>
        </xdr:to>
        <xdr:sp macro="" textlink="">
          <xdr:nvSpPr>
            <xdr:cNvPr id="59548" name="Check Box 156" hidden="1">
              <a:extLst>
                <a:ext uri="{63B3BB69-23CF-44E3-9099-C40C66FF867C}">
                  <a14:compatExt spid="_x0000_s59548"/>
                </a:ext>
                <a:ext uri="{FF2B5EF4-FFF2-40B4-BE49-F238E27FC236}">
                  <a16:creationId xmlns:a16="http://schemas.microsoft.com/office/drawing/2014/main" id="{00000000-0008-0000-1000-00009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184</xdr:row>
          <xdr:rowOff>247650</xdr:rowOff>
        </xdr:from>
        <xdr:to>
          <xdr:col>12</xdr:col>
          <xdr:colOff>323850</xdr:colOff>
          <xdr:row>184</xdr:row>
          <xdr:rowOff>476250</xdr:rowOff>
        </xdr:to>
        <xdr:sp macro="" textlink="">
          <xdr:nvSpPr>
            <xdr:cNvPr id="59549" name="Check Box 157" hidden="1">
              <a:extLst>
                <a:ext uri="{63B3BB69-23CF-44E3-9099-C40C66FF867C}">
                  <a14:compatExt spid="_x0000_s59549"/>
                </a:ext>
                <a:ext uri="{FF2B5EF4-FFF2-40B4-BE49-F238E27FC236}">
                  <a16:creationId xmlns:a16="http://schemas.microsoft.com/office/drawing/2014/main" id="{00000000-0008-0000-1000-00009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185</xdr:row>
          <xdr:rowOff>257175</xdr:rowOff>
        </xdr:from>
        <xdr:to>
          <xdr:col>12</xdr:col>
          <xdr:colOff>323850</xdr:colOff>
          <xdr:row>185</xdr:row>
          <xdr:rowOff>523875</xdr:rowOff>
        </xdr:to>
        <xdr:sp macro="" textlink="">
          <xdr:nvSpPr>
            <xdr:cNvPr id="59550" name="Check Box 158" hidden="1">
              <a:extLst>
                <a:ext uri="{63B3BB69-23CF-44E3-9099-C40C66FF867C}">
                  <a14:compatExt spid="_x0000_s59550"/>
                </a:ext>
                <a:ext uri="{FF2B5EF4-FFF2-40B4-BE49-F238E27FC236}">
                  <a16:creationId xmlns:a16="http://schemas.microsoft.com/office/drawing/2014/main" id="{00000000-0008-0000-1000-00009E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186</xdr:row>
          <xdr:rowOff>38100</xdr:rowOff>
        </xdr:from>
        <xdr:to>
          <xdr:col>12</xdr:col>
          <xdr:colOff>323850</xdr:colOff>
          <xdr:row>186</xdr:row>
          <xdr:rowOff>304800</xdr:rowOff>
        </xdr:to>
        <xdr:sp macro="" textlink="">
          <xdr:nvSpPr>
            <xdr:cNvPr id="59551" name="Check Box 159" hidden="1">
              <a:extLst>
                <a:ext uri="{63B3BB69-23CF-44E3-9099-C40C66FF867C}">
                  <a14:compatExt spid="_x0000_s59551"/>
                </a:ext>
                <a:ext uri="{FF2B5EF4-FFF2-40B4-BE49-F238E27FC236}">
                  <a16:creationId xmlns:a16="http://schemas.microsoft.com/office/drawing/2014/main" id="{00000000-0008-0000-1000-00009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188</xdr:row>
          <xdr:rowOff>57150</xdr:rowOff>
        </xdr:from>
        <xdr:to>
          <xdr:col>12</xdr:col>
          <xdr:colOff>323850</xdr:colOff>
          <xdr:row>188</xdr:row>
          <xdr:rowOff>323850</xdr:rowOff>
        </xdr:to>
        <xdr:sp macro="" textlink="">
          <xdr:nvSpPr>
            <xdr:cNvPr id="59552" name="Check Box 160" hidden="1">
              <a:extLst>
                <a:ext uri="{63B3BB69-23CF-44E3-9099-C40C66FF867C}">
                  <a14:compatExt spid="_x0000_s59552"/>
                </a:ext>
                <a:ext uri="{FF2B5EF4-FFF2-40B4-BE49-F238E27FC236}">
                  <a16:creationId xmlns:a16="http://schemas.microsoft.com/office/drawing/2014/main" id="{00000000-0008-0000-1000-0000A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192</xdr:row>
          <xdr:rowOff>76200</xdr:rowOff>
        </xdr:from>
        <xdr:to>
          <xdr:col>12</xdr:col>
          <xdr:colOff>323850</xdr:colOff>
          <xdr:row>192</xdr:row>
          <xdr:rowOff>342900</xdr:rowOff>
        </xdr:to>
        <xdr:sp macro="" textlink="">
          <xdr:nvSpPr>
            <xdr:cNvPr id="59557" name="Check Box 165" hidden="1">
              <a:extLst>
                <a:ext uri="{63B3BB69-23CF-44E3-9099-C40C66FF867C}">
                  <a14:compatExt spid="_x0000_s59557"/>
                </a:ext>
                <a:ext uri="{FF2B5EF4-FFF2-40B4-BE49-F238E27FC236}">
                  <a16:creationId xmlns:a16="http://schemas.microsoft.com/office/drawing/2014/main" id="{00000000-0008-0000-1000-0000A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21</xdr:row>
          <xdr:rowOff>523875</xdr:rowOff>
        </xdr:from>
        <xdr:to>
          <xdr:col>8</xdr:col>
          <xdr:colOff>485775</xdr:colOff>
          <xdr:row>21</xdr:row>
          <xdr:rowOff>742950</xdr:rowOff>
        </xdr:to>
        <xdr:sp macro="" textlink="">
          <xdr:nvSpPr>
            <xdr:cNvPr id="59559" name="Option Button 167" hidden="1">
              <a:extLst>
                <a:ext uri="{63B3BB69-23CF-44E3-9099-C40C66FF867C}">
                  <a14:compatExt spid="_x0000_s59559"/>
                </a:ext>
                <a:ext uri="{FF2B5EF4-FFF2-40B4-BE49-F238E27FC236}">
                  <a16:creationId xmlns:a16="http://schemas.microsoft.com/office/drawing/2014/main" id="{00000000-0008-0000-1000-0000A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21</xdr:row>
          <xdr:rowOff>523875</xdr:rowOff>
        </xdr:from>
        <xdr:to>
          <xdr:col>9</xdr:col>
          <xdr:colOff>485775</xdr:colOff>
          <xdr:row>21</xdr:row>
          <xdr:rowOff>742950</xdr:rowOff>
        </xdr:to>
        <xdr:sp macro="" textlink="">
          <xdr:nvSpPr>
            <xdr:cNvPr id="59560" name="Option Button 168" hidden="1">
              <a:extLst>
                <a:ext uri="{63B3BB69-23CF-44E3-9099-C40C66FF867C}">
                  <a14:compatExt spid="_x0000_s59560"/>
                </a:ext>
                <a:ext uri="{FF2B5EF4-FFF2-40B4-BE49-F238E27FC236}">
                  <a16:creationId xmlns:a16="http://schemas.microsoft.com/office/drawing/2014/main" id="{00000000-0008-0000-1000-0000A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21</xdr:row>
          <xdr:rowOff>523875</xdr:rowOff>
        </xdr:from>
        <xdr:to>
          <xdr:col>10</xdr:col>
          <xdr:colOff>485775</xdr:colOff>
          <xdr:row>21</xdr:row>
          <xdr:rowOff>742950</xdr:rowOff>
        </xdr:to>
        <xdr:sp macro="" textlink="">
          <xdr:nvSpPr>
            <xdr:cNvPr id="59561" name="Option Button 169" hidden="1">
              <a:extLst>
                <a:ext uri="{63B3BB69-23CF-44E3-9099-C40C66FF867C}">
                  <a14:compatExt spid="_x0000_s59561"/>
                </a:ext>
                <a:ext uri="{FF2B5EF4-FFF2-40B4-BE49-F238E27FC236}">
                  <a16:creationId xmlns:a16="http://schemas.microsoft.com/office/drawing/2014/main" id="{00000000-0008-0000-1000-0000A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21</xdr:row>
          <xdr:rowOff>504825</xdr:rowOff>
        </xdr:from>
        <xdr:to>
          <xdr:col>11</xdr:col>
          <xdr:colOff>0</xdr:colOff>
          <xdr:row>21</xdr:row>
          <xdr:rowOff>762000</xdr:rowOff>
        </xdr:to>
        <xdr:sp macro="" textlink="">
          <xdr:nvSpPr>
            <xdr:cNvPr id="59562" name="Group Box 170" hidden="1">
              <a:extLst>
                <a:ext uri="{63B3BB69-23CF-44E3-9099-C40C66FF867C}">
                  <a14:compatExt spid="_x0000_s59562"/>
                </a:ext>
                <a:ext uri="{FF2B5EF4-FFF2-40B4-BE49-F238E27FC236}">
                  <a16:creationId xmlns:a16="http://schemas.microsoft.com/office/drawing/2014/main" id="{00000000-0008-0000-1000-0000AA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23</xdr:row>
          <xdr:rowOff>419100</xdr:rowOff>
        </xdr:from>
        <xdr:to>
          <xdr:col>8</xdr:col>
          <xdr:colOff>485775</xdr:colOff>
          <xdr:row>23</xdr:row>
          <xdr:rowOff>638175</xdr:rowOff>
        </xdr:to>
        <xdr:sp macro="" textlink="">
          <xdr:nvSpPr>
            <xdr:cNvPr id="59563" name="Option Button 171" hidden="1">
              <a:extLst>
                <a:ext uri="{63B3BB69-23CF-44E3-9099-C40C66FF867C}">
                  <a14:compatExt spid="_x0000_s59563"/>
                </a:ext>
                <a:ext uri="{FF2B5EF4-FFF2-40B4-BE49-F238E27FC236}">
                  <a16:creationId xmlns:a16="http://schemas.microsoft.com/office/drawing/2014/main" id="{00000000-0008-0000-1000-0000A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23</xdr:row>
          <xdr:rowOff>419100</xdr:rowOff>
        </xdr:from>
        <xdr:to>
          <xdr:col>9</xdr:col>
          <xdr:colOff>485775</xdr:colOff>
          <xdr:row>23</xdr:row>
          <xdr:rowOff>638175</xdr:rowOff>
        </xdr:to>
        <xdr:sp macro="" textlink="">
          <xdr:nvSpPr>
            <xdr:cNvPr id="59564" name="Option Button 172" hidden="1">
              <a:extLst>
                <a:ext uri="{63B3BB69-23CF-44E3-9099-C40C66FF867C}">
                  <a14:compatExt spid="_x0000_s59564"/>
                </a:ext>
                <a:ext uri="{FF2B5EF4-FFF2-40B4-BE49-F238E27FC236}">
                  <a16:creationId xmlns:a16="http://schemas.microsoft.com/office/drawing/2014/main" id="{00000000-0008-0000-1000-0000A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23</xdr:row>
          <xdr:rowOff>419100</xdr:rowOff>
        </xdr:from>
        <xdr:to>
          <xdr:col>10</xdr:col>
          <xdr:colOff>485775</xdr:colOff>
          <xdr:row>23</xdr:row>
          <xdr:rowOff>638175</xdr:rowOff>
        </xdr:to>
        <xdr:sp macro="" textlink="">
          <xdr:nvSpPr>
            <xdr:cNvPr id="59565" name="Option Button 173" hidden="1">
              <a:extLst>
                <a:ext uri="{63B3BB69-23CF-44E3-9099-C40C66FF867C}">
                  <a14:compatExt spid="_x0000_s59565"/>
                </a:ext>
                <a:ext uri="{FF2B5EF4-FFF2-40B4-BE49-F238E27FC236}">
                  <a16:creationId xmlns:a16="http://schemas.microsoft.com/office/drawing/2014/main" id="{00000000-0008-0000-1000-0000A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23</xdr:row>
          <xdr:rowOff>400050</xdr:rowOff>
        </xdr:from>
        <xdr:to>
          <xdr:col>11</xdr:col>
          <xdr:colOff>0</xdr:colOff>
          <xdr:row>23</xdr:row>
          <xdr:rowOff>647700</xdr:rowOff>
        </xdr:to>
        <xdr:sp macro="" textlink="">
          <xdr:nvSpPr>
            <xdr:cNvPr id="59566" name="Group Box 174" hidden="1">
              <a:extLst>
                <a:ext uri="{63B3BB69-23CF-44E3-9099-C40C66FF867C}">
                  <a14:compatExt spid="_x0000_s59566"/>
                </a:ext>
                <a:ext uri="{FF2B5EF4-FFF2-40B4-BE49-F238E27FC236}">
                  <a16:creationId xmlns:a16="http://schemas.microsoft.com/office/drawing/2014/main" id="{00000000-0008-0000-1000-0000AE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32</xdr:row>
          <xdr:rowOff>609600</xdr:rowOff>
        </xdr:from>
        <xdr:to>
          <xdr:col>8</xdr:col>
          <xdr:colOff>485775</xdr:colOff>
          <xdr:row>32</xdr:row>
          <xdr:rowOff>828675</xdr:rowOff>
        </xdr:to>
        <xdr:sp macro="" textlink="">
          <xdr:nvSpPr>
            <xdr:cNvPr id="59567" name="Option Button 175" hidden="1">
              <a:extLst>
                <a:ext uri="{63B3BB69-23CF-44E3-9099-C40C66FF867C}">
                  <a14:compatExt spid="_x0000_s59567"/>
                </a:ext>
                <a:ext uri="{FF2B5EF4-FFF2-40B4-BE49-F238E27FC236}">
                  <a16:creationId xmlns:a16="http://schemas.microsoft.com/office/drawing/2014/main" id="{00000000-0008-0000-1000-0000A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32</xdr:row>
          <xdr:rowOff>609600</xdr:rowOff>
        </xdr:from>
        <xdr:to>
          <xdr:col>9</xdr:col>
          <xdr:colOff>485775</xdr:colOff>
          <xdr:row>32</xdr:row>
          <xdr:rowOff>828675</xdr:rowOff>
        </xdr:to>
        <xdr:sp macro="" textlink="">
          <xdr:nvSpPr>
            <xdr:cNvPr id="59568" name="Option Button 176" hidden="1">
              <a:extLst>
                <a:ext uri="{63B3BB69-23CF-44E3-9099-C40C66FF867C}">
                  <a14:compatExt spid="_x0000_s59568"/>
                </a:ext>
                <a:ext uri="{FF2B5EF4-FFF2-40B4-BE49-F238E27FC236}">
                  <a16:creationId xmlns:a16="http://schemas.microsoft.com/office/drawing/2014/main" id="{00000000-0008-0000-1000-0000B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32</xdr:row>
          <xdr:rowOff>609600</xdr:rowOff>
        </xdr:from>
        <xdr:to>
          <xdr:col>10</xdr:col>
          <xdr:colOff>485775</xdr:colOff>
          <xdr:row>32</xdr:row>
          <xdr:rowOff>828675</xdr:rowOff>
        </xdr:to>
        <xdr:sp macro="" textlink="">
          <xdr:nvSpPr>
            <xdr:cNvPr id="59569" name="Option Button 177" hidden="1">
              <a:extLst>
                <a:ext uri="{63B3BB69-23CF-44E3-9099-C40C66FF867C}">
                  <a14:compatExt spid="_x0000_s59569"/>
                </a:ext>
                <a:ext uri="{FF2B5EF4-FFF2-40B4-BE49-F238E27FC236}">
                  <a16:creationId xmlns:a16="http://schemas.microsoft.com/office/drawing/2014/main" id="{00000000-0008-0000-1000-0000B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32</xdr:row>
          <xdr:rowOff>590550</xdr:rowOff>
        </xdr:from>
        <xdr:to>
          <xdr:col>11</xdr:col>
          <xdr:colOff>0</xdr:colOff>
          <xdr:row>32</xdr:row>
          <xdr:rowOff>838200</xdr:rowOff>
        </xdr:to>
        <xdr:sp macro="" textlink="">
          <xdr:nvSpPr>
            <xdr:cNvPr id="59570" name="Group Box 178" hidden="1">
              <a:extLst>
                <a:ext uri="{63B3BB69-23CF-44E3-9099-C40C66FF867C}">
                  <a14:compatExt spid="_x0000_s59570"/>
                </a:ext>
                <a:ext uri="{FF2B5EF4-FFF2-40B4-BE49-F238E27FC236}">
                  <a16:creationId xmlns:a16="http://schemas.microsoft.com/office/drawing/2014/main" id="{00000000-0008-0000-1000-0000B2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39</xdr:row>
          <xdr:rowOff>200025</xdr:rowOff>
        </xdr:from>
        <xdr:to>
          <xdr:col>8</xdr:col>
          <xdr:colOff>485775</xdr:colOff>
          <xdr:row>39</xdr:row>
          <xdr:rowOff>419100</xdr:rowOff>
        </xdr:to>
        <xdr:sp macro="" textlink="">
          <xdr:nvSpPr>
            <xdr:cNvPr id="59571" name="Option Button 179" hidden="1">
              <a:extLst>
                <a:ext uri="{63B3BB69-23CF-44E3-9099-C40C66FF867C}">
                  <a14:compatExt spid="_x0000_s59571"/>
                </a:ext>
                <a:ext uri="{FF2B5EF4-FFF2-40B4-BE49-F238E27FC236}">
                  <a16:creationId xmlns:a16="http://schemas.microsoft.com/office/drawing/2014/main" id="{00000000-0008-0000-1000-0000B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39</xdr:row>
          <xdr:rowOff>200025</xdr:rowOff>
        </xdr:from>
        <xdr:to>
          <xdr:col>9</xdr:col>
          <xdr:colOff>485775</xdr:colOff>
          <xdr:row>39</xdr:row>
          <xdr:rowOff>419100</xdr:rowOff>
        </xdr:to>
        <xdr:sp macro="" textlink="">
          <xdr:nvSpPr>
            <xdr:cNvPr id="59572" name="Option Button 180" hidden="1">
              <a:extLst>
                <a:ext uri="{63B3BB69-23CF-44E3-9099-C40C66FF867C}">
                  <a14:compatExt spid="_x0000_s59572"/>
                </a:ext>
                <a:ext uri="{FF2B5EF4-FFF2-40B4-BE49-F238E27FC236}">
                  <a16:creationId xmlns:a16="http://schemas.microsoft.com/office/drawing/2014/main" id="{00000000-0008-0000-1000-0000B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39</xdr:row>
          <xdr:rowOff>200025</xdr:rowOff>
        </xdr:from>
        <xdr:to>
          <xdr:col>10</xdr:col>
          <xdr:colOff>485775</xdr:colOff>
          <xdr:row>39</xdr:row>
          <xdr:rowOff>419100</xdr:rowOff>
        </xdr:to>
        <xdr:sp macro="" textlink="">
          <xdr:nvSpPr>
            <xdr:cNvPr id="59573" name="Option Button 181" hidden="1">
              <a:extLst>
                <a:ext uri="{63B3BB69-23CF-44E3-9099-C40C66FF867C}">
                  <a14:compatExt spid="_x0000_s59573"/>
                </a:ext>
                <a:ext uri="{FF2B5EF4-FFF2-40B4-BE49-F238E27FC236}">
                  <a16:creationId xmlns:a16="http://schemas.microsoft.com/office/drawing/2014/main" id="{00000000-0008-0000-1000-0000B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39</xdr:row>
          <xdr:rowOff>180975</xdr:rowOff>
        </xdr:from>
        <xdr:to>
          <xdr:col>11</xdr:col>
          <xdr:colOff>0</xdr:colOff>
          <xdr:row>39</xdr:row>
          <xdr:rowOff>438150</xdr:rowOff>
        </xdr:to>
        <xdr:sp macro="" textlink="">
          <xdr:nvSpPr>
            <xdr:cNvPr id="59574" name="Group Box 182" hidden="1">
              <a:extLst>
                <a:ext uri="{63B3BB69-23CF-44E3-9099-C40C66FF867C}">
                  <a14:compatExt spid="_x0000_s59574"/>
                </a:ext>
                <a:ext uri="{FF2B5EF4-FFF2-40B4-BE49-F238E27FC236}">
                  <a16:creationId xmlns:a16="http://schemas.microsoft.com/office/drawing/2014/main" id="{00000000-0008-0000-1000-0000B6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40</xdr:row>
          <xdr:rowOff>838200</xdr:rowOff>
        </xdr:from>
        <xdr:to>
          <xdr:col>8</xdr:col>
          <xdr:colOff>485775</xdr:colOff>
          <xdr:row>40</xdr:row>
          <xdr:rowOff>1057275</xdr:rowOff>
        </xdr:to>
        <xdr:sp macro="" textlink="">
          <xdr:nvSpPr>
            <xdr:cNvPr id="59575" name="Option Button 183" hidden="1">
              <a:extLst>
                <a:ext uri="{63B3BB69-23CF-44E3-9099-C40C66FF867C}">
                  <a14:compatExt spid="_x0000_s59575"/>
                </a:ext>
                <a:ext uri="{FF2B5EF4-FFF2-40B4-BE49-F238E27FC236}">
                  <a16:creationId xmlns:a16="http://schemas.microsoft.com/office/drawing/2014/main" id="{00000000-0008-0000-1000-0000B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40</xdr:row>
          <xdr:rowOff>838200</xdr:rowOff>
        </xdr:from>
        <xdr:to>
          <xdr:col>9</xdr:col>
          <xdr:colOff>485775</xdr:colOff>
          <xdr:row>40</xdr:row>
          <xdr:rowOff>1057275</xdr:rowOff>
        </xdr:to>
        <xdr:sp macro="" textlink="">
          <xdr:nvSpPr>
            <xdr:cNvPr id="59576" name="Option Button 184" hidden="1">
              <a:extLst>
                <a:ext uri="{63B3BB69-23CF-44E3-9099-C40C66FF867C}">
                  <a14:compatExt spid="_x0000_s59576"/>
                </a:ext>
                <a:ext uri="{FF2B5EF4-FFF2-40B4-BE49-F238E27FC236}">
                  <a16:creationId xmlns:a16="http://schemas.microsoft.com/office/drawing/2014/main" id="{00000000-0008-0000-1000-0000B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40</xdr:row>
          <xdr:rowOff>838200</xdr:rowOff>
        </xdr:from>
        <xdr:to>
          <xdr:col>10</xdr:col>
          <xdr:colOff>485775</xdr:colOff>
          <xdr:row>40</xdr:row>
          <xdr:rowOff>1057275</xdr:rowOff>
        </xdr:to>
        <xdr:sp macro="" textlink="">
          <xdr:nvSpPr>
            <xdr:cNvPr id="59577" name="Option Button 185" hidden="1">
              <a:extLst>
                <a:ext uri="{63B3BB69-23CF-44E3-9099-C40C66FF867C}">
                  <a14:compatExt spid="_x0000_s59577"/>
                </a:ext>
                <a:ext uri="{FF2B5EF4-FFF2-40B4-BE49-F238E27FC236}">
                  <a16:creationId xmlns:a16="http://schemas.microsoft.com/office/drawing/2014/main" id="{00000000-0008-0000-1000-0000B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40</xdr:row>
          <xdr:rowOff>819150</xdr:rowOff>
        </xdr:from>
        <xdr:to>
          <xdr:col>11</xdr:col>
          <xdr:colOff>0</xdr:colOff>
          <xdr:row>40</xdr:row>
          <xdr:rowOff>1076325</xdr:rowOff>
        </xdr:to>
        <xdr:sp macro="" textlink="">
          <xdr:nvSpPr>
            <xdr:cNvPr id="59578" name="Group Box 186" hidden="1">
              <a:extLst>
                <a:ext uri="{63B3BB69-23CF-44E3-9099-C40C66FF867C}">
                  <a14:compatExt spid="_x0000_s59578"/>
                </a:ext>
                <a:ext uri="{FF2B5EF4-FFF2-40B4-BE49-F238E27FC236}">
                  <a16:creationId xmlns:a16="http://schemas.microsoft.com/office/drawing/2014/main" id="{00000000-0008-0000-1000-0000BA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41</xdr:row>
          <xdr:rowOff>0</xdr:rowOff>
        </xdr:from>
        <xdr:to>
          <xdr:col>11</xdr:col>
          <xdr:colOff>0</xdr:colOff>
          <xdr:row>41</xdr:row>
          <xdr:rowOff>247650</xdr:rowOff>
        </xdr:to>
        <xdr:sp macro="" textlink="">
          <xdr:nvSpPr>
            <xdr:cNvPr id="59582" name="Group Box 190" hidden="1">
              <a:extLst>
                <a:ext uri="{63B3BB69-23CF-44E3-9099-C40C66FF867C}">
                  <a14:compatExt spid="_x0000_s59582"/>
                </a:ext>
                <a:ext uri="{FF2B5EF4-FFF2-40B4-BE49-F238E27FC236}">
                  <a16:creationId xmlns:a16="http://schemas.microsoft.com/office/drawing/2014/main" id="{00000000-0008-0000-1000-0000BE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41</xdr:row>
          <xdr:rowOff>609600</xdr:rowOff>
        </xdr:from>
        <xdr:to>
          <xdr:col>8</xdr:col>
          <xdr:colOff>485775</xdr:colOff>
          <xdr:row>41</xdr:row>
          <xdr:rowOff>828675</xdr:rowOff>
        </xdr:to>
        <xdr:sp macro="" textlink="">
          <xdr:nvSpPr>
            <xdr:cNvPr id="59583" name="Option Button 191" hidden="1">
              <a:extLst>
                <a:ext uri="{63B3BB69-23CF-44E3-9099-C40C66FF867C}">
                  <a14:compatExt spid="_x0000_s59583"/>
                </a:ext>
                <a:ext uri="{FF2B5EF4-FFF2-40B4-BE49-F238E27FC236}">
                  <a16:creationId xmlns:a16="http://schemas.microsoft.com/office/drawing/2014/main" id="{00000000-0008-0000-1000-0000B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41</xdr:row>
          <xdr:rowOff>609600</xdr:rowOff>
        </xdr:from>
        <xdr:to>
          <xdr:col>9</xdr:col>
          <xdr:colOff>485775</xdr:colOff>
          <xdr:row>41</xdr:row>
          <xdr:rowOff>828675</xdr:rowOff>
        </xdr:to>
        <xdr:sp macro="" textlink="">
          <xdr:nvSpPr>
            <xdr:cNvPr id="59584" name="Option Button 192" hidden="1">
              <a:extLst>
                <a:ext uri="{63B3BB69-23CF-44E3-9099-C40C66FF867C}">
                  <a14:compatExt spid="_x0000_s59584"/>
                </a:ext>
                <a:ext uri="{FF2B5EF4-FFF2-40B4-BE49-F238E27FC236}">
                  <a16:creationId xmlns:a16="http://schemas.microsoft.com/office/drawing/2014/main" id="{00000000-0008-0000-1000-0000C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41</xdr:row>
          <xdr:rowOff>609600</xdr:rowOff>
        </xdr:from>
        <xdr:to>
          <xdr:col>10</xdr:col>
          <xdr:colOff>485775</xdr:colOff>
          <xdr:row>41</xdr:row>
          <xdr:rowOff>828675</xdr:rowOff>
        </xdr:to>
        <xdr:sp macro="" textlink="">
          <xdr:nvSpPr>
            <xdr:cNvPr id="59585" name="Option Button 193" hidden="1">
              <a:extLst>
                <a:ext uri="{63B3BB69-23CF-44E3-9099-C40C66FF867C}">
                  <a14:compatExt spid="_x0000_s59585"/>
                </a:ext>
                <a:ext uri="{FF2B5EF4-FFF2-40B4-BE49-F238E27FC236}">
                  <a16:creationId xmlns:a16="http://schemas.microsoft.com/office/drawing/2014/main" id="{00000000-0008-0000-1000-0000C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41</xdr:row>
          <xdr:rowOff>590550</xdr:rowOff>
        </xdr:from>
        <xdr:to>
          <xdr:col>11</xdr:col>
          <xdr:colOff>0</xdr:colOff>
          <xdr:row>41</xdr:row>
          <xdr:rowOff>838200</xdr:rowOff>
        </xdr:to>
        <xdr:sp macro="" textlink="">
          <xdr:nvSpPr>
            <xdr:cNvPr id="59586" name="Group Box 194" hidden="1">
              <a:extLst>
                <a:ext uri="{63B3BB69-23CF-44E3-9099-C40C66FF867C}">
                  <a14:compatExt spid="_x0000_s59586"/>
                </a:ext>
                <a:ext uri="{FF2B5EF4-FFF2-40B4-BE49-F238E27FC236}">
                  <a16:creationId xmlns:a16="http://schemas.microsoft.com/office/drawing/2014/main" id="{00000000-0008-0000-1000-0000C2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43</xdr:row>
          <xdr:rowOff>390525</xdr:rowOff>
        </xdr:from>
        <xdr:to>
          <xdr:col>8</xdr:col>
          <xdr:colOff>485775</xdr:colOff>
          <xdr:row>43</xdr:row>
          <xdr:rowOff>609600</xdr:rowOff>
        </xdr:to>
        <xdr:sp macro="" textlink="">
          <xdr:nvSpPr>
            <xdr:cNvPr id="59591" name="Option Button 199" hidden="1">
              <a:extLst>
                <a:ext uri="{63B3BB69-23CF-44E3-9099-C40C66FF867C}">
                  <a14:compatExt spid="_x0000_s59591"/>
                </a:ext>
                <a:ext uri="{FF2B5EF4-FFF2-40B4-BE49-F238E27FC236}">
                  <a16:creationId xmlns:a16="http://schemas.microsoft.com/office/drawing/2014/main" id="{00000000-0008-0000-1000-0000C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43</xdr:row>
          <xdr:rowOff>390525</xdr:rowOff>
        </xdr:from>
        <xdr:to>
          <xdr:col>9</xdr:col>
          <xdr:colOff>485775</xdr:colOff>
          <xdr:row>43</xdr:row>
          <xdr:rowOff>609600</xdr:rowOff>
        </xdr:to>
        <xdr:sp macro="" textlink="">
          <xdr:nvSpPr>
            <xdr:cNvPr id="59592" name="Option Button 200" hidden="1">
              <a:extLst>
                <a:ext uri="{63B3BB69-23CF-44E3-9099-C40C66FF867C}">
                  <a14:compatExt spid="_x0000_s59592"/>
                </a:ext>
                <a:ext uri="{FF2B5EF4-FFF2-40B4-BE49-F238E27FC236}">
                  <a16:creationId xmlns:a16="http://schemas.microsoft.com/office/drawing/2014/main" id="{00000000-0008-0000-1000-0000C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43</xdr:row>
          <xdr:rowOff>390525</xdr:rowOff>
        </xdr:from>
        <xdr:to>
          <xdr:col>10</xdr:col>
          <xdr:colOff>485775</xdr:colOff>
          <xdr:row>43</xdr:row>
          <xdr:rowOff>609600</xdr:rowOff>
        </xdr:to>
        <xdr:sp macro="" textlink="">
          <xdr:nvSpPr>
            <xdr:cNvPr id="59593" name="Option Button 201" hidden="1">
              <a:extLst>
                <a:ext uri="{63B3BB69-23CF-44E3-9099-C40C66FF867C}">
                  <a14:compatExt spid="_x0000_s59593"/>
                </a:ext>
                <a:ext uri="{FF2B5EF4-FFF2-40B4-BE49-F238E27FC236}">
                  <a16:creationId xmlns:a16="http://schemas.microsoft.com/office/drawing/2014/main" id="{00000000-0008-0000-1000-0000C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43</xdr:row>
          <xdr:rowOff>371475</xdr:rowOff>
        </xdr:from>
        <xdr:to>
          <xdr:col>11</xdr:col>
          <xdr:colOff>0</xdr:colOff>
          <xdr:row>43</xdr:row>
          <xdr:rowOff>628650</xdr:rowOff>
        </xdr:to>
        <xdr:sp macro="" textlink="">
          <xdr:nvSpPr>
            <xdr:cNvPr id="59594" name="Group Box 202" hidden="1">
              <a:extLst>
                <a:ext uri="{63B3BB69-23CF-44E3-9099-C40C66FF867C}">
                  <a14:compatExt spid="_x0000_s59594"/>
                </a:ext>
                <a:ext uri="{FF2B5EF4-FFF2-40B4-BE49-F238E27FC236}">
                  <a16:creationId xmlns:a16="http://schemas.microsoft.com/office/drawing/2014/main" id="{00000000-0008-0000-1000-0000CA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46</xdr:row>
          <xdr:rowOff>200025</xdr:rowOff>
        </xdr:from>
        <xdr:to>
          <xdr:col>8</xdr:col>
          <xdr:colOff>485775</xdr:colOff>
          <xdr:row>46</xdr:row>
          <xdr:rowOff>419100</xdr:rowOff>
        </xdr:to>
        <xdr:sp macro="" textlink="">
          <xdr:nvSpPr>
            <xdr:cNvPr id="59595" name="Option Button 203" hidden="1">
              <a:extLst>
                <a:ext uri="{63B3BB69-23CF-44E3-9099-C40C66FF867C}">
                  <a14:compatExt spid="_x0000_s59595"/>
                </a:ext>
                <a:ext uri="{FF2B5EF4-FFF2-40B4-BE49-F238E27FC236}">
                  <a16:creationId xmlns:a16="http://schemas.microsoft.com/office/drawing/2014/main" id="{00000000-0008-0000-1000-0000C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46</xdr:row>
          <xdr:rowOff>200025</xdr:rowOff>
        </xdr:from>
        <xdr:to>
          <xdr:col>9</xdr:col>
          <xdr:colOff>485775</xdr:colOff>
          <xdr:row>46</xdr:row>
          <xdr:rowOff>419100</xdr:rowOff>
        </xdr:to>
        <xdr:sp macro="" textlink="">
          <xdr:nvSpPr>
            <xdr:cNvPr id="59596" name="Option Button 204" hidden="1">
              <a:extLst>
                <a:ext uri="{63B3BB69-23CF-44E3-9099-C40C66FF867C}">
                  <a14:compatExt spid="_x0000_s59596"/>
                </a:ext>
                <a:ext uri="{FF2B5EF4-FFF2-40B4-BE49-F238E27FC236}">
                  <a16:creationId xmlns:a16="http://schemas.microsoft.com/office/drawing/2014/main" id="{00000000-0008-0000-1000-0000C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46</xdr:row>
          <xdr:rowOff>200025</xdr:rowOff>
        </xdr:from>
        <xdr:to>
          <xdr:col>10</xdr:col>
          <xdr:colOff>485775</xdr:colOff>
          <xdr:row>46</xdr:row>
          <xdr:rowOff>419100</xdr:rowOff>
        </xdr:to>
        <xdr:sp macro="" textlink="">
          <xdr:nvSpPr>
            <xdr:cNvPr id="59597" name="Option Button 205" hidden="1">
              <a:extLst>
                <a:ext uri="{63B3BB69-23CF-44E3-9099-C40C66FF867C}">
                  <a14:compatExt spid="_x0000_s59597"/>
                </a:ext>
                <a:ext uri="{FF2B5EF4-FFF2-40B4-BE49-F238E27FC236}">
                  <a16:creationId xmlns:a16="http://schemas.microsoft.com/office/drawing/2014/main" id="{00000000-0008-0000-1000-0000C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46</xdr:row>
          <xdr:rowOff>180975</xdr:rowOff>
        </xdr:from>
        <xdr:to>
          <xdr:col>11</xdr:col>
          <xdr:colOff>0</xdr:colOff>
          <xdr:row>46</xdr:row>
          <xdr:rowOff>438150</xdr:rowOff>
        </xdr:to>
        <xdr:sp macro="" textlink="">
          <xdr:nvSpPr>
            <xdr:cNvPr id="59598" name="Group Box 206" hidden="1">
              <a:extLst>
                <a:ext uri="{63B3BB69-23CF-44E3-9099-C40C66FF867C}">
                  <a14:compatExt spid="_x0000_s59598"/>
                </a:ext>
                <a:ext uri="{FF2B5EF4-FFF2-40B4-BE49-F238E27FC236}">
                  <a16:creationId xmlns:a16="http://schemas.microsoft.com/office/drawing/2014/main" id="{00000000-0008-0000-1000-0000CE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58</xdr:row>
          <xdr:rowOff>523875</xdr:rowOff>
        </xdr:from>
        <xdr:to>
          <xdr:col>8</xdr:col>
          <xdr:colOff>485775</xdr:colOff>
          <xdr:row>58</xdr:row>
          <xdr:rowOff>742950</xdr:rowOff>
        </xdr:to>
        <xdr:sp macro="" textlink="">
          <xdr:nvSpPr>
            <xdr:cNvPr id="59611" name="Option Button 219" hidden="1">
              <a:extLst>
                <a:ext uri="{63B3BB69-23CF-44E3-9099-C40C66FF867C}">
                  <a14:compatExt spid="_x0000_s59611"/>
                </a:ext>
                <a:ext uri="{FF2B5EF4-FFF2-40B4-BE49-F238E27FC236}">
                  <a16:creationId xmlns:a16="http://schemas.microsoft.com/office/drawing/2014/main" id="{00000000-0008-0000-1000-0000D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58</xdr:row>
          <xdr:rowOff>523875</xdr:rowOff>
        </xdr:from>
        <xdr:to>
          <xdr:col>9</xdr:col>
          <xdr:colOff>485775</xdr:colOff>
          <xdr:row>58</xdr:row>
          <xdr:rowOff>742950</xdr:rowOff>
        </xdr:to>
        <xdr:sp macro="" textlink="">
          <xdr:nvSpPr>
            <xdr:cNvPr id="59612" name="Option Button 220" hidden="1">
              <a:extLst>
                <a:ext uri="{63B3BB69-23CF-44E3-9099-C40C66FF867C}">
                  <a14:compatExt spid="_x0000_s59612"/>
                </a:ext>
                <a:ext uri="{FF2B5EF4-FFF2-40B4-BE49-F238E27FC236}">
                  <a16:creationId xmlns:a16="http://schemas.microsoft.com/office/drawing/2014/main" id="{00000000-0008-0000-1000-0000D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58</xdr:row>
          <xdr:rowOff>523875</xdr:rowOff>
        </xdr:from>
        <xdr:to>
          <xdr:col>10</xdr:col>
          <xdr:colOff>485775</xdr:colOff>
          <xdr:row>58</xdr:row>
          <xdr:rowOff>742950</xdr:rowOff>
        </xdr:to>
        <xdr:sp macro="" textlink="">
          <xdr:nvSpPr>
            <xdr:cNvPr id="59613" name="Option Button 221" hidden="1">
              <a:extLst>
                <a:ext uri="{63B3BB69-23CF-44E3-9099-C40C66FF867C}">
                  <a14:compatExt spid="_x0000_s59613"/>
                </a:ext>
                <a:ext uri="{FF2B5EF4-FFF2-40B4-BE49-F238E27FC236}">
                  <a16:creationId xmlns:a16="http://schemas.microsoft.com/office/drawing/2014/main" id="{00000000-0008-0000-1000-0000D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58</xdr:row>
          <xdr:rowOff>504825</xdr:rowOff>
        </xdr:from>
        <xdr:to>
          <xdr:col>11</xdr:col>
          <xdr:colOff>0</xdr:colOff>
          <xdr:row>58</xdr:row>
          <xdr:rowOff>762000</xdr:rowOff>
        </xdr:to>
        <xdr:sp macro="" textlink="">
          <xdr:nvSpPr>
            <xdr:cNvPr id="59614" name="Group Box 222" hidden="1">
              <a:extLst>
                <a:ext uri="{63B3BB69-23CF-44E3-9099-C40C66FF867C}">
                  <a14:compatExt spid="_x0000_s59614"/>
                </a:ext>
                <a:ext uri="{FF2B5EF4-FFF2-40B4-BE49-F238E27FC236}">
                  <a16:creationId xmlns:a16="http://schemas.microsoft.com/office/drawing/2014/main" id="{00000000-0008-0000-1000-0000DE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59</xdr:row>
          <xdr:rowOff>371475</xdr:rowOff>
        </xdr:from>
        <xdr:to>
          <xdr:col>11</xdr:col>
          <xdr:colOff>0</xdr:colOff>
          <xdr:row>60</xdr:row>
          <xdr:rowOff>133350</xdr:rowOff>
        </xdr:to>
        <xdr:sp macro="" textlink="">
          <xdr:nvSpPr>
            <xdr:cNvPr id="59618" name="Group Box 226" hidden="1">
              <a:extLst>
                <a:ext uri="{63B3BB69-23CF-44E3-9099-C40C66FF867C}">
                  <a14:compatExt spid="_x0000_s59618"/>
                </a:ext>
                <a:ext uri="{FF2B5EF4-FFF2-40B4-BE49-F238E27FC236}">
                  <a16:creationId xmlns:a16="http://schemas.microsoft.com/office/drawing/2014/main" id="{00000000-0008-0000-1000-0000E2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60</xdr:row>
          <xdr:rowOff>514350</xdr:rowOff>
        </xdr:from>
        <xdr:to>
          <xdr:col>8</xdr:col>
          <xdr:colOff>485775</xdr:colOff>
          <xdr:row>60</xdr:row>
          <xdr:rowOff>733425</xdr:rowOff>
        </xdr:to>
        <xdr:sp macro="" textlink="">
          <xdr:nvSpPr>
            <xdr:cNvPr id="59619" name="Option Button 227" hidden="1">
              <a:extLst>
                <a:ext uri="{63B3BB69-23CF-44E3-9099-C40C66FF867C}">
                  <a14:compatExt spid="_x0000_s59619"/>
                </a:ext>
                <a:ext uri="{FF2B5EF4-FFF2-40B4-BE49-F238E27FC236}">
                  <a16:creationId xmlns:a16="http://schemas.microsoft.com/office/drawing/2014/main" id="{00000000-0008-0000-1000-0000E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60</xdr:row>
          <xdr:rowOff>514350</xdr:rowOff>
        </xdr:from>
        <xdr:to>
          <xdr:col>9</xdr:col>
          <xdr:colOff>485775</xdr:colOff>
          <xdr:row>60</xdr:row>
          <xdr:rowOff>733425</xdr:rowOff>
        </xdr:to>
        <xdr:sp macro="" textlink="">
          <xdr:nvSpPr>
            <xdr:cNvPr id="59620" name="Option Button 228" hidden="1">
              <a:extLst>
                <a:ext uri="{63B3BB69-23CF-44E3-9099-C40C66FF867C}">
                  <a14:compatExt spid="_x0000_s59620"/>
                </a:ext>
                <a:ext uri="{FF2B5EF4-FFF2-40B4-BE49-F238E27FC236}">
                  <a16:creationId xmlns:a16="http://schemas.microsoft.com/office/drawing/2014/main" id="{00000000-0008-0000-1000-0000E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60</xdr:row>
          <xdr:rowOff>514350</xdr:rowOff>
        </xdr:from>
        <xdr:to>
          <xdr:col>10</xdr:col>
          <xdr:colOff>485775</xdr:colOff>
          <xdr:row>60</xdr:row>
          <xdr:rowOff>733425</xdr:rowOff>
        </xdr:to>
        <xdr:sp macro="" textlink="">
          <xdr:nvSpPr>
            <xdr:cNvPr id="59621" name="Option Button 229" hidden="1">
              <a:extLst>
                <a:ext uri="{63B3BB69-23CF-44E3-9099-C40C66FF867C}">
                  <a14:compatExt spid="_x0000_s59621"/>
                </a:ext>
                <a:ext uri="{FF2B5EF4-FFF2-40B4-BE49-F238E27FC236}">
                  <a16:creationId xmlns:a16="http://schemas.microsoft.com/office/drawing/2014/main" id="{00000000-0008-0000-1000-0000E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60</xdr:row>
          <xdr:rowOff>495300</xdr:rowOff>
        </xdr:from>
        <xdr:to>
          <xdr:col>11</xdr:col>
          <xdr:colOff>0</xdr:colOff>
          <xdr:row>60</xdr:row>
          <xdr:rowOff>742950</xdr:rowOff>
        </xdr:to>
        <xdr:sp macro="" textlink="">
          <xdr:nvSpPr>
            <xdr:cNvPr id="59622" name="Group Box 230" hidden="1">
              <a:extLst>
                <a:ext uri="{63B3BB69-23CF-44E3-9099-C40C66FF867C}">
                  <a14:compatExt spid="_x0000_s59622"/>
                </a:ext>
                <a:ext uri="{FF2B5EF4-FFF2-40B4-BE49-F238E27FC236}">
                  <a16:creationId xmlns:a16="http://schemas.microsoft.com/office/drawing/2014/main" id="{00000000-0008-0000-1000-0000E6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84</xdr:row>
          <xdr:rowOff>323850</xdr:rowOff>
        </xdr:from>
        <xdr:to>
          <xdr:col>8</xdr:col>
          <xdr:colOff>485775</xdr:colOff>
          <xdr:row>84</xdr:row>
          <xdr:rowOff>542925</xdr:rowOff>
        </xdr:to>
        <xdr:sp macro="" textlink="">
          <xdr:nvSpPr>
            <xdr:cNvPr id="59627" name="Option Button 235" hidden="1">
              <a:extLst>
                <a:ext uri="{63B3BB69-23CF-44E3-9099-C40C66FF867C}">
                  <a14:compatExt spid="_x0000_s59627"/>
                </a:ext>
                <a:ext uri="{FF2B5EF4-FFF2-40B4-BE49-F238E27FC236}">
                  <a16:creationId xmlns:a16="http://schemas.microsoft.com/office/drawing/2014/main" id="{00000000-0008-0000-1000-0000EB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84</xdr:row>
          <xdr:rowOff>323850</xdr:rowOff>
        </xdr:from>
        <xdr:to>
          <xdr:col>9</xdr:col>
          <xdr:colOff>485775</xdr:colOff>
          <xdr:row>84</xdr:row>
          <xdr:rowOff>542925</xdr:rowOff>
        </xdr:to>
        <xdr:sp macro="" textlink="">
          <xdr:nvSpPr>
            <xdr:cNvPr id="59628" name="Option Button 236" hidden="1">
              <a:extLst>
                <a:ext uri="{63B3BB69-23CF-44E3-9099-C40C66FF867C}">
                  <a14:compatExt spid="_x0000_s59628"/>
                </a:ext>
                <a:ext uri="{FF2B5EF4-FFF2-40B4-BE49-F238E27FC236}">
                  <a16:creationId xmlns:a16="http://schemas.microsoft.com/office/drawing/2014/main" id="{00000000-0008-0000-1000-0000EC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84</xdr:row>
          <xdr:rowOff>323850</xdr:rowOff>
        </xdr:from>
        <xdr:to>
          <xdr:col>10</xdr:col>
          <xdr:colOff>485775</xdr:colOff>
          <xdr:row>84</xdr:row>
          <xdr:rowOff>542925</xdr:rowOff>
        </xdr:to>
        <xdr:sp macro="" textlink="">
          <xdr:nvSpPr>
            <xdr:cNvPr id="59629" name="Option Button 237" hidden="1">
              <a:extLst>
                <a:ext uri="{63B3BB69-23CF-44E3-9099-C40C66FF867C}">
                  <a14:compatExt spid="_x0000_s59629"/>
                </a:ext>
                <a:ext uri="{FF2B5EF4-FFF2-40B4-BE49-F238E27FC236}">
                  <a16:creationId xmlns:a16="http://schemas.microsoft.com/office/drawing/2014/main" id="{00000000-0008-0000-1000-0000ED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84</xdr:row>
          <xdr:rowOff>304800</xdr:rowOff>
        </xdr:from>
        <xdr:to>
          <xdr:col>11</xdr:col>
          <xdr:colOff>0</xdr:colOff>
          <xdr:row>84</xdr:row>
          <xdr:rowOff>552450</xdr:rowOff>
        </xdr:to>
        <xdr:sp macro="" textlink="">
          <xdr:nvSpPr>
            <xdr:cNvPr id="59630" name="Group Box 238" hidden="1">
              <a:extLst>
                <a:ext uri="{63B3BB69-23CF-44E3-9099-C40C66FF867C}">
                  <a14:compatExt spid="_x0000_s59630"/>
                </a:ext>
                <a:ext uri="{FF2B5EF4-FFF2-40B4-BE49-F238E27FC236}">
                  <a16:creationId xmlns:a16="http://schemas.microsoft.com/office/drawing/2014/main" id="{00000000-0008-0000-1000-0000EE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85</xdr:row>
          <xdr:rowOff>190500</xdr:rowOff>
        </xdr:from>
        <xdr:to>
          <xdr:col>8</xdr:col>
          <xdr:colOff>485775</xdr:colOff>
          <xdr:row>85</xdr:row>
          <xdr:rowOff>400050</xdr:rowOff>
        </xdr:to>
        <xdr:sp macro="" textlink="">
          <xdr:nvSpPr>
            <xdr:cNvPr id="59631" name="Option Button 239" hidden="1">
              <a:extLst>
                <a:ext uri="{63B3BB69-23CF-44E3-9099-C40C66FF867C}">
                  <a14:compatExt spid="_x0000_s59631"/>
                </a:ext>
                <a:ext uri="{FF2B5EF4-FFF2-40B4-BE49-F238E27FC236}">
                  <a16:creationId xmlns:a16="http://schemas.microsoft.com/office/drawing/2014/main" id="{00000000-0008-0000-1000-0000E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85</xdr:row>
          <xdr:rowOff>190500</xdr:rowOff>
        </xdr:from>
        <xdr:to>
          <xdr:col>9</xdr:col>
          <xdr:colOff>485775</xdr:colOff>
          <xdr:row>85</xdr:row>
          <xdr:rowOff>400050</xdr:rowOff>
        </xdr:to>
        <xdr:sp macro="" textlink="">
          <xdr:nvSpPr>
            <xdr:cNvPr id="59632" name="Option Button 240" hidden="1">
              <a:extLst>
                <a:ext uri="{63B3BB69-23CF-44E3-9099-C40C66FF867C}">
                  <a14:compatExt spid="_x0000_s59632"/>
                </a:ext>
                <a:ext uri="{FF2B5EF4-FFF2-40B4-BE49-F238E27FC236}">
                  <a16:creationId xmlns:a16="http://schemas.microsoft.com/office/drawing/2014/main" id="{00000000-0008-0000-1000-0000F0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85</xdr:row>
          <xdr:rowOff>190500</xdr:rowOff>
        </xdr:from>
        <xdr:to>
          <xdr:col>10</xdr:col>
          <xdr:colOff>485775</xdr:colOff>
          <xdr:row>85</xdr:row>
          <xdr:rowOff>400050</xdr:rowOff>
        </xdr:to>
        <xdr:sp macro="" textlink="">
          <xdr:nvSpPr>
            <xdr:cNvPr id="59633" name="Option Button 241" hidden="1">
              <a:extLst>
                <a:ext uri="{63B3BB69-23CF-44E3-9099-C40C66FF867C}">
                  <a14:compatExt spid="_x0000_s59633"/>
                </a:ext>
                <a:ext uri="{FF2B5EF4-FFF2-40B4-BE49-F238E27FC236}">
                  <a16:creationId xmlns:a16="http://schemas.microsoft.com/office/drawing/2014/main" id="{00000000-0008-0000-1000-0000F1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85</xdr:row>
          <xdr:rowOff>171450</xdr:rowOff>
        </xdr:from>
        <xdr:to>
          <xdr:col>11</xdr:col>
          <xdr:colOff>0</xdr:colOff>
          <xdr:row>85</xdr:row>
          <xdr:rowOff>419100</xdr:rowOff>
        </xdr:to>
        <xdr:sp macro="" textlink="">
          <xdr:nvSpPr>
            <xdr:cNvPr id="59634" name="Group Box 242" hidden="1">
              <a:extLst>
                <a:ext uri="{63B3BB69-23CF-44E3-9099-C40C66FF867C}">
                  <a14:compatExt spid="_x0000_s59634"/>
                </a:ext>
                <a:ext uri="{FF2B5EF4-FFF2-40B4-BE49-F238E27FC236}">
                  <a16:creationId xmlns:a16="http://schemas.microsoft.com/office/drawing/2014/main" id="{00000000-0008-0000-1000-0000F2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87</xdr:row>
          <xdr:rowOff>514350</xdr:rowOff>
        </xdr:from>
        <xdr:to>
          <xdr:col>8</xdr:col>
          <xdr:colOff>485775</xdr:colOff>
          <xdr:row>87</xdr:row>
          <xdr:rowOff>733425</xdr:rowOff>
        </xdr:to>
        <xdr:sp macro="" textlink="">
          <xdr:nvSpPr>
            <xdr:cNvPr id="59635" name="Option Button 243" hidden="1">
              <a:extLst>
                <a:ext uri="{63B3BB69-23CF-44E3-9099-C40C66FF867C}">
                  <a14:compatExt spid="_x0000_s59635"/>
                </a:ext>
                <a:ext uri="{FF2B5EF4-FFF2-40B4-BE49-F238E27FC236}">
                  <a16:creationId xmlns:a16="http://schemas.microsoft.com/office/drawing/2014/main" id="{00000000-0008-0000-1000-0000F3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87</xdr:row>
          <xdr:rowOff>514350</xdr:rowOff>
        </xdr:from>
        <xdr:to>
          <xdr:col>9</xdr:col>
          <xdr:colOff>485775</xdr:colOff>
          <xdr:row>87</xdr:row>
          <xdr:rowOff>733425</xdr:rowOff>
        </xdr:to>
        <xdr:sp macro="" textlink="">
          <xdr:nvSpPr>
            <xdr:cNvPr id="59636" name="Option Button 244" hidden="1">
              <a:extLst>
                <a:ext uri="{63B3BB69-23CF-44E3-9099-C40C66FF867C}">
                  <a14:compatExt spid="_x0000_s59636"/>
                </a:ext>
                <a:ext uri="{FF2B5EF4-FFF2-40B4-BE49-F238E27FC236}">
                  <a16:creationId xmlns:a16="http://schemas.microsoft.com/office/drawing/2014/main" id="{00000000-0008-0000-1000-0000F4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87</xdr:row>
          <xdr:rowOff>514350</xdr:rowOff>
        </xdr:from>
        <xdr:to>
          <xdr:col>10</xdr:col>
          <xdr:colOff>485775</xdr:colOff>
          <xdr:row>87</xdr:row>
          <xdr:rowOff>733425</xdr:rowOff>
        </xdr:to>
        <xdr:sp macro="" textlink="">
          <xdr:nvSpPr>
            <xdr:cNvPr id="59637" name="Option Button 245" hidden="1">
              <a:extLst>
                <a:ext uri="{63B3BB69-23CF-44E3-9099-C40C66FF867C}">
                  <a14:compatExt spid="_x0000_s59637"/>
                </a:ext>
                <a:ext uri="{FF2B5EF4-FFF2-40B4-BE49-F238E27FC236}">
                  <a16:creationId xmlns:a16="http://schemas.microsoft.com/office/drawing/2014/main" id="{00000000-0008-0000-1000-0000F5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87</xdr:row>
          <xdr:rowOff>495300</xdr:rowOff>
        </xdr:from>
        <xdr:to>
          <xdr:col>11</xdr:col>
          <xdr:colOff>0</xdr:colOff>
          <xdr:row>87</xdr:row>
          <xdr:rowOff>742950</xdr:rowOff>
        </xdr:to>
        <xdr:sp macro="" textlink="">
          <xdr:nvSpPr>
            <xdr:cNvPr id="59638" name="Group Box 246" hidden="1">
              <a:extLst>
                <a:ext uri="{63B3BB69-23CF-44E3-9099-C40C66FF867C}">
                  <a14:compatExt spid="_x0000_s59638"/>
                </a:ext>
                <a:ext uri="{FF2B5EF4-FFF2-40B4-BE49-F238E27FC236}">
                  <a16:creationId xmlns:a16="http://schemas.microsoft.com/office/drawing/2014/main" id="{00000000-0008-0000-1000-0000F6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88</xdr:row>
          <xdr:rowOff>419100</xdr:rowOff>
        </xdr:from>
        <xdr:to>
          <xdr:col>8</xdr:col>
          <xdr:colOff>485775</xdr:colOff>
          <xdr:row>88</xdr:row>
          <xdr:rowOff>638175</xdr:rowOff>
        </xdr:to>
        <xdr:sp macro="" textlink="">
          <xdr:nvSpPr>
            <xdr:cNvPr id="59639" name="Option Button 247" hidden="1">
              <a:extLst>
                <a:ext uri="{63B3BB69-23CF-44E3-9099-C40C66FF867C}">
                  <a14:compatExt spid="_x0000_s59639"/>
                </a:ext>
                <a:ext uri="{FF2B5EF4-FFF2-40B4-BE49-F238E27FC236}">
                  <a16:creationId xmlns:a16="http://schemas.microsoft.com/office/drawing/2014/main" id="{00000000-0008-0000-1000-0000F7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88</xdr:row>
          <xdr:rowOff>419100</xdr:rowOff>
        </xdr:from>
        <xdr:to>
          <xdr:col>9</xdr:col>
          <xdr:colOff>485775</xdr:colOff>
          <xdr:row>88</xdr:row>
          <xdr:rowOff>638175</xdr:rowOff>
        </xdr:to>
        <xdr:sp macro="" textlink="">
          <xdr:nvSpPr>
            <xdr:cNvPr id="59640" name="Option Button 248" hidden="1">
              <a:extLst>
                <a:ext uri="{63B3BB69-23CF-44E3-9099-C40C66FF867C}">
                  <a14:compatExt spid="_x0000_s59640"/>
                </a:ext>
                <a:ext uri="{FF2B5EF4-FFF2-40B4-BE49-F238E27FC236}">
                  <a16:creationId xmlns:a16="http://schemas.microsoft.com/office/drawing/2014/main" id="{00000000-0008-0000-1000-0000F8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88</xdr:row>
          <xdr:rowOff>419100</xdr:rowOff>
        </xdr:from>
        <xdr:to>
          <xdr:col>10</xdr:col>
          <xdr:colOff>485775</xdr:colOff>
          <xdr:row>88</xdr:row>
          <xdr:rowOff>638175</xdr:rowOff>
        </xdr:to>
        <xdr:sp macro="" textlink="">
          <xdr:nvSpPr>
            <xdr:cNvPr id="59641" name="Option Button 249" hidden="1">
              <a:extLst>
                <a:ext uri="{63B3BB69-23CF-44E3-9099-C40C66FF867C}">
                  <a14:compatExt spid="_x0000_s59641"/>
                </a:ext>
                <a:ext uri="{FF2B5EF4-FFF2-40B4-BE49-F238E27FC236}">
                  <a16:creationId xmlns:a16="http://schemas.microsoft.com/office/drawing/2014/main" id="{00000000-0008-0000-1000-0000F9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88</xdr:row>
          <xdr:rowOff>400050</xdr:rowOff>
        </xdr:from>
        <xdr:to>
          <xdr:col>11</xdr:col>
          <xdr:colOff>0</xdr:colOff>
          <xdr:row>88</xdr:row>
          <xdr:rowOff>647700</xdr:rowOff>
        </xdr:to>
        <xdr:sp macro="" textlink="">
          <xdr:nvSpPr>
            <xdr:cNvPr id="59642" name="Group Box 250" hidden="1">
              <a:extLst>
                <a:ext uri="{63B3BB69-23CF-44E3-9099-C40C66FF867C}">
                  <a14:compatExt spid="_x0000_s59642"/>
                </a:ext>
                <a:ext uri="{FF2B5EF4-FFF2-40B4-BE49-F238E27FC236}">
                  <a16:creationId xmlns:a16="http://schemas.microsoft.com/office/drawing/2014/main" id="{00000000-0008-0000-1000-0000FAE8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99</xdr:row>
          <xdr:rowOff>542925</xdr:rowOff>
        </xdr:from>
        <xdr:to>
          <xdr:col>8</xdr:col>
          <xdr:colOff>485775</xdr:colOff>
          <xdr:row>99</xdr:row>
          <xdr:rowOff>752475</xdr:rowOff>
        </xdr:to>
        <xdr:sp macro="" textlink="">
          <xdr:nvSpPr>
            <xdr:cNvPr id="59647" name="Option Button 255" hidden="1">
              <a:extLst>
                <a:ext uri="{63B3BB69-23CF-44E3-9099-C40C66FF867C}">
                  <a14:compatExt spid="_x0000_s59647"/>
                </a:ext>
                <a:ext uri="{FF2B5EF4-FFF2-40B4-BE49-F238E27FC236}">
                  <a16:creationId xmlns:a16="http://schemas.microsoft.com/office/drawing/2014/main" id="{00000000-0008-0000-1000-0000FFE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99</xdr:row>
          <xdr:rowOff>542925</xdr:rowOff>
        </xdr:from>
        <xdr:to>
          <xdr:col>9</xdr:col>
          <xdr:colOff>485775</xdr:colOff>
          <xdr:row>99</xdr:row>
          <xdr:rowOff>752475</xdr:rowOff>
        </xdr:to>
        <xdr:sp macro="" textlink="">
          <xdr:nvSpPr>
            <xdr:cNvPr id="59648" name="Option Button 256" hidden="1">
              <a:extLst>
                <a:ext uri="{63B3BB69-23CF-44E3-9099-C40C66FF867C}">
                  <a14:compatExt spid="_x0000_s59648"/>
                </a:ext>
                <a:ext uri="{FF2B5EF4-FFF2-40B4-BE49-F238E27FC236}">
                  <a16:creationId xmlns:a16="http://schemas.microsoft.com/office/drawing/2014/main" id="{00000000-0008-0000-1000-000000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99</xdr:row>
          <xdr:rowOff>542925</xdr:rowOff>
        </xdr:from>
        <xdr:to>
          <xdr:col>10</xdr:col>
          <xdr:colOff>485775</xdr:colOff>
          <xdr:row>99</xdr:row>
          <xdr:rowOff>752475</xdr:rowOff>
        </xdr:to>
        <xdr:sp macro="" textlink="">
          <xdr:nvSpPr>
            <xdr:cNvPr id="59649" name="Option Button 257" hidden="1">
              <a:extLst>
                <a:ext uri="{63B3BB69-23CF-44E3-9099-C40C66FF867C}">
                  <a14:compatExt spid="_x0000_s59649"/>
                </a:ext>
                <a:ext uri="{FF2B5EF4-FFF2-40B4-BE49-F238E27FC236}">
                  <a16:creationId xmlns:a16="http://schemas.microsoft.com/office/drawing/2014/main" id="{00000000-0008-0000-1000-000001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99</xdr:row>
          <xdr:rowOff>523875</xdr:rowOff>
        </xdr:from>
        <xdr:to>
          <xdr:col>11</xdr:col>
          <xdr:colOff>0</xdr:colOff>
          <xdr:row>99</xdr:row>
          <xdr:rowOff>771525</xdr:rowOff>
        </xdr:to>
        <xdr:sp macro="" textlink="">
          <xdr:nvSpPr>
            <xdr:cNvPr id="59650" name="Group Box 258" hidden="1">
              <a:extLst>
                <a:ext uri="{63B3BB69-23CF-44E3-9099-C40C66FF867C}">
                  <a14:compatExt spid="_x0000_s59650"/>
                </a:ext>
                <a:ext uri="{FF2B5EF4-FFF2-40B4-BE49-F238E27FC236}">
                  <a16:creationId xmlns:a16="http://schemas.microsoft.com/office/drawing/2014/main" id="{00000000-0008-0000-1000-000002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135</xdr:row>
          <xdr:rowOff>228600</xdr:rowOff>
        </xdr:from>
        <xdr:to>
          <xdr:col>8</xdr:col>
          <xdr:colOff>485775</xdr:colOff>
          <xdr:row>135</xdr:row>
          <xdr:rowOff>447675</xdr:rowOff>
        </xdr:to>
        <xdr:sp macro="" textlink="">
          <xdr:nvSpPr>
            <xdr:cNvPr id="59655" name="Option Button 263" hidden="1">
              <a:extLst>
                <a:ext uri="{63B3BB69-23CF-44E3-9099-C40C66FF867C}">
                  <a14:compatExt spid="_x0000_s59655"/>
                </a:ext>
                <a:ext uri="{FF2B5EF4-FFF2-40B4-BE49-F238E27FC236}">
                  <a16:creationId xmlns:a16="http://schemas.microsoft.com/office/drawing/2014/main" id="{00000000-0008-0000-1000-000007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135</xdr:row>
          <xdr:rowOff>228600</xdr:rowOff>
        </xdr:from>
        <xdr:to>
          <xdr:col>9</xdr:col>
          <xdr:colOff>485775</xdr:colOff>
          <xdr:row>135</xdr:row>
          <xdr:rowOff>447675</xdr:rowOff>
        </xdr:to>
        <xdr:sp macro="" textlink="">
          <xdr:nvSpPr>
            <xdr:cNvPr id="59656" name="Option Button 264" hidden="1">
              <a:extLst>
                <a:ext uri="{63B3BB69-23CF-44E3-9099-C40C66FF867C}">
                  <a14:compatExt spid="_x0000_s59656"/>
                </a:ext>
                <a:ext uri="{FF2B5EF4-FFF2-40B4-BE49-F238E27FC236}">
                  <a16:creationId xmlns:a16="http://schemas.microsoft.com/office/drawing/2014/main" id="{00000000-0008-0000-1000-000008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135</xdr:row>
          <xdr:rowOff>228600</xdr:rowOff>
        </xdr:from>
        <xdr:to>
          <xdr:col>10</xdr:col>
          <xdr:colOff>485775</xdr:colOff>
          <xdr:row>135</xdr:row>
          <xdr:rowOff>447675</xdr:rowOff>
        </xdr:to>
        <xdr:sp macro="" textlink="">
          <xdr:nvSpPr>
            <xdr:cNvPr id="59657" name="Option Button 265" hidden="1">
              <a:extLst>
                <a:ext uri="{63B3BB69-23CF-44E3-9099-C40C66FF867C}">
                  <a14:compatExt spid="_x0000_s59657"/>
                </a:ext>
                <a:ext uri="{FF2B5EF4-FFF2-40B4-BE49-F238E27FC236}">
                  <a16:creationId xmlns:a16="http://schemas.microsoft.com/office/drawing/2014/main" id="{00000000-0008-0000-1000-000009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135</xdr:row>
          <xdr:rowOff>209550</xdr:rowOff>
        </xdr:from>
        <xdr:to>
          <xdr:col>11</xdr:col>
          <xdr:colOff>0</xdr:colOff>
          <xdr:row>135</xdr:row>
          <xdr:rowOff>457200</xdr:rowOff>
        </xdr:to>
        <xdr:sp macro="" textlink="">
          <xdr:nvSpPr>
            <xdr:cNvPr id="59658" name="Group Box 266" hidden="1">
              <a:extLst>
                <a:ext uri="{63B3BB69-23CF-44E3-9099-C40C66FF867C}">
                  <a14:compatExt spid="_x0000_s59658"/>
                </a:ext>
                <a:ext uri="{FF2B5EF4-FFF2-40B4-BE49-F238E27FC236}">
                  <a16:creationId xmlns:a16="http://schemas.microsoft.com/office/drawing/2014/main" id="{00000000-0008-0000-1000-00000A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153</xdr:row>
          <xdr:rowOff>200025</xdr:rowOff>
        </xdr:from>
        <xdr:to>
          <xdr:col>8</xdr:col>
          <xdr:colOff>485775</xdr:colOff>
          <xdr:row>153</xdr:row>
          <xdr:rowOff>419100</xdr:rowOff>
        </xdr:to>
        <xdr:sp macro="" textlink="">
          <xdr:nvSpPr>
            <xdr:cNvPr id="59663" name="Option Button 271" hidden="1">
              <a:extLst>
                <a:ext uri="{63B3BB69-23CF-44E3-9099-C40C66FF867C}">
                  <a14:compatExt spid="_x0000_s59663"/>
                </a:ext>
                <a:ext uri="{FF2B5EF4-FFF2-40B4-BE49-F238E27FC236}">
                  <a16:creationId xmlns:a16="http://schemas.microsoft.com/office/drawing/2014/main" id="{00000000-0008-0000-1000-00000F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153</xdr:row>
          <xdr:rowOff>200025</xdr:rowOff>
        </xdr:from>
        <xdr:to>
          <xdr:col>9</xdr:col>
          <xdr:colOff>485775</xdr:colOff>
          <xdr:row>153</xdr:row>
          <xdr:rowOff>419100</xdr:rowOff>
        </xdr:to>
        <xdr:sp macro="" textlink="">
          <xdr:nvSpPr>
            <xdr:cNvPr id="59664" name="Option Button 272" hidden="1">
              <a:extLst>
                <a:ext uri="{63B3BB69-23CF-44E3-9099-C40C66FF867C}">
                  <a14:compatExt spid="_x0000_s59664"/>
                </a:ext>
                <a:ext uri="{FF2B5EF4-FFF2-40B4-BE49-F238E27FC236}">
                  <a16:creationId xmlns:a16="http://schemas.microsoft.com/office/drawing/2014/main" id="{00000000-0008-0000-1000-000010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153</xdr:row>
          <xdr:rowOff>200025</xdr:rowOff>
        </xdr:from>
        <xdr:to>
          <xdr:col>10</xdr:col>
          <xdr:colOff>485775</xdr:colOff>
          <xdr:row>153</xdr:row>
          <xdr:rowOff>419100</xdr:rowOff>
        </xdr:to>
        <xdr:sp macro="" textlink="">
          <xdr:nvSpPr>
            <xdr:cNvPr id="59665" name="Option Button 273" hidden="1">
              <a:extLst>
                <a:ext uri="{63B3BB69-23CF-44E3-9099-C40C66FF867C}">
                  <a14:compatExt spid="_x0000_s59665"/>
                </a:ext>
                <a:ext uri="{FF2B5EF4-FFF2-40B4-BE49-F238E27FC236}">
                  <a16:creationId xmlns:a16="http://schemas.microsoft.com/office/drawing/2014/main" id="{00000000-0008-0000-1000-000011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153</xdr:row>
          <xdr:rowOff>180975</xdr:rowOff>
        </xdr:from>
        <xdr:to>
          <xdr:col>11</xdr:col>
          <xdr:colOff>0</xdr:colOff>
          <xdr:row>153</xdr:row>
          <xdr:rowOff>438150</xdr:rowOff>
        </xdr:to>
        <xdr:sp macro="" textlink="">
          <xdr:nvSpPr>
            <xdr:cNvPr id="59666" name="Group Box 274" hidden="1">
              <a:extLst>
                <a:ext uri="{63B3BB69-23CF-44E3-9099-C40C66FF867C}">
                  <a14:compatExt spid="_x0000_s59666"/>
                </a:ext>
                <a:ext uri="{FF2B5EF4-FFF2-40B4-BE49-F238E27FC236}">
                  <a16:creationId xmlns:a16="http://schemas.microsoft.com/office/drawing/2014/main" id="{00000000-0008-0000-1000-000012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188</xdr:row>
          <xdr:rowOff>95250</xdr:rowOff>
        </xdr:from>
        <xdr:to>
          <xdr:col>8</xdr:col>
          <xdr:colOff>485775</xdr:colOff>
          <xdr:row>188</xdr:row>
          <xdr:rowOff>304800</xdr:rowOff>
        </xdr:to>
        <xdr:sp macro="" textlink="">
          <xdr:nvSpPr>
            <xdr:cNvPr id="59675" name="Option Button 283" hidden="1">
              <a:extLst>
                <a:ext uri="{63B3BB69-23CF-44E3-9099-C40C66FF867C}">
                  <a14:compatExt spid="_x0000_s59675"/>
                </a:ext>
                <a:ext uri="{FF2B5EF4-FFF2-40B4-BE49-F238E27FC236}">
                  <a16:creationId xmlns:a16="http://schemas.microsoft.com/office/drawing/2014/main" id="{00000000-0008-0000-1000-00001B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188</xdr:row>
          <xdr:rowOff>95250</xdr:rowOff>
        </xdr:from>
        <xdr:to>
          <xdr:col>9</xdr:col>
          <xdr:colOff>485775</xdr:colOff>
          <xdr:row>188</xdr:row>
          <xdr:rowOff>304800</xdr:rowOff>
        </xdr:to>
        <xdr:sp macro="" textlink="">
          <xdr:nvSpPr>
            <xdr:cNvPr id="59676" name="Option Button 284" hidden="1">
              <a:extLst>
                <a:ext uri="{63B3BB69-23CF-44E3-9099-C40C66FF867C}">
                  <a14:compatExt spid="_x0000_s59676"/>
                </a:ext>
                <a:ext uri="{FF2B5EF4-FFF2-40B4-BE49-F238E27FC236}">
                  <a16:creationId xmlns:a16="http://schemas.microsoft.com/office/drawing/2014/main" id="{00000000-0008-0000-1000-00001C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188</xdr:row>
          <xdr:rowOff>95250</xdr:rowOff>
        </xdr:from>
        <xdr:to>
          <xdr:col>10</xdr:col>
          <xdr:colOff>485775</xdr:colOff>
          <xdr:row>188</xdr:row>
          <xdr:rowOff>304800</xdr:rowOff>
        </xdr:to>
        <xdr:sp macro="" textlink="">
          <xdr:nvSpPr>
            <xdr:cNvPr id="59677" name="Option Button 285" hidden="1">
              <a:extLst>
                <a:ext uri="{63B3BB69-23CF-44E3-9099-C40C66FF867C}">
                  <a14:compatExt spid="_x0000_s59677"/>
                </a:ext>
                <a:ext uri="{FF2B5EF4-FFF2-40B4-BE49-F238E27FC236}">
                  <a16:creationId xmlns:a16="http://schemas.microsoft.com/office/drawing/2014/main" id="{00000000-0008-0000-1000-00001D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188</xdr:row>
          <xdr:rowOff>76200</xdr:rowOff>
        </xdr:from>
        <xdr:to>
          <xdr:col>11</xdr:col>
          <xdr:colOff>0</xdr:colOff>
          <xdr:row>188</xdr:row>
          <xdr:rowOff>323850</xdr:rowOff>
        </xdr:to>
        <xdr:sp macro="" textlink="">
          <xdr:nvSpPr>
            <xdr:cNvPr id="59678" name="Group Box 286" hidden="1">
              <a:extLst>
                <a:ext uri="{63B3BB69-23CF-44E3-9099-C40C66FF867C}">
                  <a14:compatExt spid="_x0000_s59678"/>
                </a:ext>
                <a:ext uri="{FF2B5EF4-FFF2-40B4-BE49-F238E27FC236}">
                  <a16:creationId xmlns:a16="http://schemas.microsoft.com/office/drawing/2014/main" id="{00000000-0008-0000-1000-00001E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12</xdr:row>
          <xdr:rowOff>66675</xdr:rowOff>
        </xdr:from>
        <xdr:to>
          <xdr:col>12</xdr:col>
          <xdr:colOff>323850</xdr:colOff>
          <xdr:row>12</xdr:row>
          <xdr:rowOff>342900</xdr:rowOff>
        </xdr:to>
        <xdr:sp macro="" textlink="">
          <xdr:nvSpPr>
            <xdr:cNvPr id="59701" name="Check Box 309" hidden="1">
              <a:extLst>
                <a:ext uri="{63B3BB69-23CF-44E3-9099-C40C66FF867C}">
                  <a14:compatExt spid="_x0000_s59701"/>
                </a:ext>
                <a:ext uri="{FF2B5EF4-FFF2-40B4-BE49-F238E27FC236}">
                  <a16:creationId xmlns:a16="http://schemas.microsoft.com/office/drawing/2014/main" id="{00000000-0008-0000-1000-000035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xdr:row>
          <xdr:rowOff>85725</xdr:rowOff>
        </xdr:from>
        <xdr:to>
          <xdr:col>12</xdr:col>
          <xdr:colOff>323850</xdr:colOff>
          <xdr:row>13</xdr:row>
          <xdr:rowOff>352425</xdr:rowOff>
        </xdr:to>
        <xdr:sp macro="" textlink="">
          <xdr:nvSpPr>
            <xdr:cNvPr id="59702" name="Check Box 310" hidden="1">
              <a:extLst>
                <a:ext uri="{63B3BB69-23CF-44E3-9099-C40C66FF867C}">
                  <a14:compatExt spid="_x0000_s59702"/>
                </a:ext>
                <a:ext uri="{FF2B5EF4-FFF2-40B4-BE49-F238E27FC236}">
                  <a16:creationId xmlns:a16="http://schemas.microsoft.com/office/drawing/2014/main" id="{00000000-0008-0000-1000-000036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xdr:row>
          <xdr:rowOff>85725</xdr:rowOff>
        </xdr:from>
        <xdr:to>
          <xdr:col>12</xdr:col>
          <xdr:colOff>323850</xdr:colOff>
          <xdr:row>14</xdr:row>
          <xdr:rowOff>352425</xdr:rowOff>
        </xdr:to>
        <xdr:sp macro="" textlink="">
          <xdr:nvSpPr>
            <xdr:cNvPr id="59703" name="Check Box 311" hidden="1">
              <a:extLst>
                <a:ext uri="{63B3BB69-23CF-44E3-9099-C40C66FF867C}">
                  <a14:compatExt spid="_x0000_s59703"/>
                </a:ext>
                <a:ext uri="{FF2B5EF4-FFF2-40B4-BE49-F238E27FC236}">
                  <a16:creationId xmlns:a16="http://schemas.microsoft.com/office/drawing/2014/main" id="{00000000-0008-0000-1000-000037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15</xdr:row>
          <xdr:rowOff>66675</xdr:rowOff>
        </xdr:from>
        <xdr:to>
          <xdr:col>12</xdr:col>
          <xdr:colOff>323850</xdr:colOff>
          <xdr:row>15</xdr:row>
          <xdr:rowOff>342900</xdr:rowOff>
        </xdr:to>
        <xdr:sp macro="" textlink="">
          <xdr:nvSpPr>
            <xdr:cNvPr id="59704" name="Check Box 312" hidden="1">
              <a:extLst>
                <a:ext uri="{63B3BB69-23CF-44E3-9099-C40C66FF867C}">
                  <a14:compatExt spid="_x0000_s59704"/>
                </a:ext>
                <a:ext uri="{FF2B5EF4-FFF2-40B4-BE49-F238E27FC236}">
                  <a16:creationId xmlns:a16="http://schemas.microsoft.com/office/drawing/2014/main" id="{00000000-0008-0000-1000-000038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xdr:row>
          <xdr:rowOff>66675</xdr:rowOff>
        </xdr:from>
        <xdr:to>
          <xdr:col>12</xdr:col>
          <xdr:colOff>323850</xdr:colOff>
          <xdr:row>16</xdr:row>
          <xdr:rowOff>342900</xdr:rowOff>
        </xdr:to>
        <xdr:sp macro="" textlink="">
          <xdr:nvSpPr>
            <xdr:cNvPr id="59705" name="Check Box 313" hidden="1">
              <a:extLst>
                <a:ext uri="{63B3BB69-23CF-44E3-9099-C40C66FF867C}">
                  <a14:compatExt spid="_x0000_s59705"/>
                </a:ext>
                <a:ext uri="{FF2B5EF4-FFF2-40B4-BE49-F238E27FC236}">
                  <a16:creationId xmlns:a16="http://schemas.microsoft.com/office/drawing/2014/main" id="{00000000-0008-0000-1000-000039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44</xdr:row>
          <xdr:rowOff>47625</xdr:rowOff>
        </xdr:from>
        <xdr:to>
          <xdr:col>12</xdr:col>
          <xdr:colOff>323850</xdr:colOff>
          <xdr:row>44</xdr:row>
          <xdr:rowOff>314325</xdr:rowOff>
        </xdr:to>
        <xdr:sp macro="" textlink="">
          <xdr:nvSpPr>
            <xdr:cNvPr id="59706" name="Check Box 314" hidden="1">
              <a:extLst>
                <a:ext uri="{63B3BB69-23CF-44E3-9099-C40C66FF867C}">
                  <a14:compatExt spid="_x0000_s59706"/>
                </a:ext>
                <a:ext uri="{FF2B5EF4-FFF2-40B4-BE49-F238E27FC236}">
                  <a16:creationId xmlns:a16="http://schemas.microsoft.com/office/drawing/2014/main" id="{00000000-0008-0000-1000-00003A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45</xdr:row>
          <xdr:rowOff>285750</xdr:rowOff>
        </xdr:from>
        <xdr:to>
          <xdr:col>12</xdr:col>
          <xdr:colOff>323850</xdr:colOff>
          <xdr:row>45</xdr:row>
          <xdr:rowOff>552450</xdr:rowOff>
        </xdr:to>
        <xdr:sp macro="" textlink="">
          <xdr:nvSpPr>
            <xdr:cNvPr id="59707" name="Check Box 315" hidden="1">
              <a:extLst>
                <a:ext uri="{63B3BB69-23CF-44E3-9099-C40C66FF867C}">
                  <a14:compatExt spid="_x0000_s59707"/>
                </a:ext>
                <a:ext uri="{FF2B5EF4-FFF2-40B4-BE49-F238E27FC236}">
                  <a16:creationId xmlns:a16="http://schemas.microsoft.com/office/drawing/2014/main" id="{00000000-0008-0000-1000-00003B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45</xdr:row>
          <xdr:rowOff>295275</xdr:rowOff>
        </xdr:from>
        <xdr:to>
          <xdr:col>8</xdr:col>
          <xdr:colOff>485775</xdr:colOff>
          <xdr:row>45</xdr:row>
          <xdr:rowOff>514350</xdr:rowOff>
        </xdr:to>
        <xdr:sp macro="" textlink="">
          <xdr:nvSpPr>
            <xdr:cNvPr id="59708" name="Option Button 316" hidden="1">
              <a:extLst>
                <a:ext uri="{63B3BB69-23CF-44E3-9099-C40C66FF867C}">
                  <a14:compatExt spid="_x0000_s59708"/>
                </a:ext>
                <a:ext uri="{FF2B5EF4-FFF2-40B4-BE49-F238E27FC236}">
                  <a16:creationId xmlns:a16="http://schemas.microsoft.com/office/drawing/2014/main" id="{00000000-0008-0000-1000-00003C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45</xdr:row>
          <xdr:rowOff>295275</xdr:rowOff>
        </xdr:from>
        <xdr:to>
          <xdr:col>9</xdr:col>
          <xdr:colOff>485775</xdr:colOff>
          <xdr:row>45</xdr:row>
          <xdr:rowOff>514350</xdr:rowOff>
        </xdr:to>
        <xdr:sp macro="" textlink="">
          <xdr:nvSpPr>
            <xdr:cNvPr id="59709" name="Option Button 317" hidden="1">
              <a:extLst>
                <a:ext uri="{63B3BB69-23CF-44E3-9099-C40C66FF867C}">
                  <a14:compatExt spid="_x0000_s59709"/>
                </a:ext>
                <a:ext uri="{FF2B5EF4-FFF2-40B4-BE49-F238E27FC236}">
                  <a16:creationId xmlns:a16="http://schemas.microsoft.com/office/drawing/2014/main" id="{00000000-0008-0000-1000-00003D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45</xdr:row>
          <xdr:rowOff>295275</xdr:rowOff>
        </xdr:from>
        <xdr:to>
          <xdr:col>10</xdr:col>
          <xdr:colOff>485775</xdr:colOff>
          <xdr:row>45</xdr:row>
          <xdr:rowOff>514350</xdr:rowOff>
        </xdr:to>
        <xdr:sp macro="" textlink="">
          <xdr:nvSpPr>
            <xdr:cNvPr id="59710" name="Option Button 318" hidden="1">
              <a:extLst>
                <a:ext uri="{63B3BB69-23CF-44E3-9099-C40C66FF867C}">
                  <a14:compatExt spid="_x0000_s59710"/>
                </a:ext>
                <a:ext uri="{FF2B5EF4-FFF2-40B4-BE49-F238E27FC236}">
                  <a16:creationId xmlns:a16="http://schemas.microsoft.com/office/drawing/2014/main" id="{00000000-0008-0000-1000-00003E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45</xdr:row>
          <xdr:rowOff>276225</xdr:rowOff>
        </xdr:from>
        <xdr:to>
          <xdr:col>11</xdr:col>
          <xdr:colOff>0</xdr:colOff>
          <xdr:row>45</xdr:row>
          <xdr:rowOff>533400</xdr:rowOff>
        </xdr:to>
        <xdr:sp macro="" textlink="">
          <xdr:nvSpPr>
            <xdr:cNvPr id="59711" name="Group Box 319" hidden="1">
              <a:extLst>
                <a:ext uri="{63B3BB69-23CF-44E3-9099-C40C66FF867C}">
                  <a14:compatExt spid="_x0000_s59711"/>
                </a:ext>
                <a:ext uri="{FF2B5EF4-FFF2-40B4-BE49-F238E27FC236}">
                  <a16:creationId xmlns:a16="http://schemas.microsoft.com/office/drawing/2014/main" id="{00000000-0008-0000-1000-00003F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52</xdr:row>
          <xdr:rowOff>47625</xdr:rowOff>
        </xdr:from>
        <xdr:to>
          <xdr:col>12</xdr:col>
          <xdr:colOff>323850</xdr:colOff>
          <xdr:row>52</xdr:row>
          <xdr:rowOff>314325</xdr:rowOff>
        </xdr:to>
        <xdr:sp macro="" textlink="">
          <xdr:nvSpPr>
            <xdr:cNvPr id="59741" name="Check Box 349" hidden="1">
              <a:extLst>
                <a:ext uri="{63B3BB69-23CF-44E3-9099-C40C66FF867C}">
                  <a14:compatExt spid="_x0000_s59741"/>
                </a:ext>
                <a:ext uri="{FF2B5EF4-FFF2-40B4-BE49-F238E27FC236}">
                  <a16:creationId xmlns:a16="http://schemas.microsoft.com/office/drawing/2014/main" id="{00000000-0008-0000-1000-00005D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52</xdr:row>
          <xdr:rowOff>47625</xdr:rowOff>
        </xdr:from>
        <xdr:to>
          <xdr:col>12</xdr:col>
          <xdr:colOff>323850</xdr:colOff>
          <xdr:row>52</xdr:row>
          <xdr:rowOff>314325</xdr:rowOff>
        </xdr:to>
        <xdr:sp macro="" textlink="">
          <xdr:nvSpPr>
            <xdr:cNvPr id="59742" name="Check Box 350" hidden="1">
              <a:extLst>
                <a:ext uri="{63B3BB69-23CF-44E3-9099-C40C66FF867C}">
                  <a14:compatExt spid="_x0000_s59742"/>
                </a:ext>
                <a:ext uri="{FF2B5EF4-FFF2-40B4-BE49-F238E27FC236}">
                  <a16:creationId xmlns:a16="http://schemas.microsoft.com/office/drawing/2014/main" id="{00000000-0008-0000-1000-00005E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50</xdr:row>
          <xdr:rowOff>171450</xdr:rowOff>
        </xdr:from>
        <xdr:to>
          <xdr:col>12</xdr:col>
          <xdr:colOff>323850</xdr:colOff>
          <xdr:row>50</xdr:row>
          <xdr:rowOff>438150</xdr:rowOff>
        </xdr:to>
        <xdr:sp macro="" textlink="">
          <xdr:nvSpPr>
            <xdr:cNvPr id="59748" name="Check Box 356" hidden="1">
              <a:extLst>
                <a:ext uri="{63B3BB69-23CF-44E3-9099-C40C66FF867C}">
                  <a14:compatExt spid="_x0000_s59748"/>
                </a:ext>
                <a:ext uri="{FF2B5EF4-FFF2-40B4-BE49-F238E27FC236}">
                  <a16:creationId xmlns:a16="http://schemas.microsoft.com/office/drawing/2014/main" id="{00000000-0008-0000-1000-000064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50</xdr:row>
          <xdr:rowOff>200025</xdr:rowOff>
        </xdr:from>
        <xdr:to>
          <xdr:col>8</xdr:col>
          <xdr:colOff>485775</xdr:colOff>
          <xdr:row>50</xdr:row>
          <xdr:rowOff>419100</xdr:rowOff>
        </xdr:to>
        <xdr:sp macro="" textlink="">
          <xdr:nvSpPr>
            <xdr:cNvPr id="59749" name="Option Button 357" hidden="1">
              <a:extLst>
                <a:ext uri="{63B3BB69-23CF-44E3-9099-C40C66FF867C}">
                  <a14:compatExt spid="_x0000_s59749"/>
                </a:ext>
                <a:ext uri="{FF2B5EF4-FFF2-40B4-BE49-F238E27FC236}">
                  <a16:creationId xmlns:a16="http://schemas.microsoft.com/office/drawing/2014/main" id="{00000000-0008-0000-1000-000065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50</xdr:row>
          <xdr:rowOff>200025</xdr:rowOff>
        </xdr:from>
        <xdr:to>
          <xdr:col>9</xdr:col>
          <xdr:colOff>485775</xdr:colOff>
          <xdr:row>50</xdr:row>
          <xdr:rowOff>419100</xdr:rowOff>
        </xdr:to>
        <xdr:sp macro="" textlink="">
          <xdr:nvSpPr>
            <xdr:cNvPr id="59750" name="Option Button 358" hidden="1">
              <a:extLst>
                <a:ext uri="{63B3BB69-23CF-44E3-9099-C40C66FF867C}">
                  <a14:compatExt spid="_x0000_s59750"/>
                </a:ext>
                <a:ext uri="{FF2B5EF4-FFF2-40B4-BE49-F238E27FC236}">
                  <a16:creationId xmlns:a16="http://schemas.microsoft.com/office/drawing/2014/main" id="{00000000-0008-0000-1000-000066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50</xdr:row>
          <xdr:rowOff>200025</xdr:rowOff>
        </xdr:from>
        <xdr:to>
          <xdr:col>10</xdr:col>
          <xdr:colOff>485775</xdr:colOff>
          <xdr:row>50</xdr:row>
          <xdr:rowOff>419100</xdr:rowOff>
        </xdr:to>
        <xdr:sp macro="" textlink="">
          <xdr:nvSpPr>
            <xdr:cNvPr id="59751" name="Option Button 359" hidden="1">
              <a:extLst>
                <a:ext uri="{63B3BB69-23CF-44E3-9099-C40C66FF867C}">
                  <a14:compatExt spid="_x0000_s59751"/>
                </a:ext>
                <a:ext uri="{FF2B5EF4-FFF2-40B4-BE49-F238E27FC236}">
                  <a16:creationId xmlns:a16="http://schemas.microsoft.com/office/drawing/2014/main" id="{00000000-0008-0000-1000-000067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50</xdr:row>
          <xdr:rowOff>180975</xdr:rowOff>
        </xdr:from>
        <xdr:to>
          <xdr:col>11</xdr:col>
          <xdr:colOff>0</xdr:colOff>
          <xdr:row>50</xdr:row>
          <xdr:rowOff>438150</xdr:rowOff>
        </xdr:to>
        <xdr:sp macro="" textlink="">
          <xdr:nvSpPr>
            <xdr:cNvPr id="59752" name="Group Box 360" hidden="1">
              <a:extLst>
                <a:ext uri="{63B3BB69-23CF-44E3-9099-C40C66FF867C}">
                  <a14:compatExt spid="_x0000_s59752"/>
                </a:ext>
                <a:ext uri="{FF2B5EF4-FFF2-40B4-BE49-F238E27FC236}">
                  <a16:creationId xmlns:a16="http://schemas.microsoft.com/office/drawing/2014/main" id="{00000000-0008-0000-1000-000068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52</xdr:row>
          <xdr:rowOff>47625</xdr:rowOff>
        </xdr:from>
        <xdr:to>
          <xdr:col>12</xdr:col>
          <xdr:colOff>323850</xdr:colOff>
          <xdr:row>52</xdr:row>
          <xdr:rowOff>314325</xdr:rowOff>
        </xdr:to>
        <xdr:sp macro="" textlink="">
          <xdr:nvSpPr>
            <xdr:cNvPr id="59753" name="Check Box 361" hidden="1">
              <a:extLst>
                <a:ext uri="{63B3BB69-23CF-44E3-9099-C40C66FF867C}">
                  <a14:compatExt spid="_x0000_s59753"/>
                </a:ext>
                <a:ext uri="{FF2B5EF4-FFF2-40B4-BE49-F238E27FC236}">
                  <a16:creationId xmlns:a16="http://schemas.microsoft.com/office/drawing/2014/main" id="{00000000-0008-0000-1000-000069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51</xdr:row>
          <xdr:rowOff>161925</xdr:rowOff>
        </xdr:from>
        <xdr:to>
          <xdr:col>12</xdr:col>
          <xdr:colOff>323850</xdr:colOff>
          <xdr:row>51</xdr:row>
          <xdr:rowOff>428625</xdr:rowOff>
        </xdr:to>
        <xdr:sp macro="" textlink="">
          <xdr:nvSpPr>
            <xdr:cNvPr id="59799" name="Check Box 407" hidden="1">
              <a:extLst>
                <a:ext uri="{63B3BB69-23CF-44E3-9099-C40C66FF867C}">
                  <a14:compatExt spid="_x0000_s59799"/>
                </a:ext>
                <a:ext uri="{FF2B5EF4-FFF2-40B4-BE49-F238E27FC236}">
                  <a16:creationId xmlns:a16="http://schemas.microsoft.com/office/drawing/2014/main" id="{00000000-0008-0000-1000-000097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51</xdr:row>
          <xdr:rowOff>228600</xdr:rowOff>
        </xdr:from>
        <xdr:to>
          <xdr:col>8</xdr:col>
          <xdr:colOff>485775</xdr:colOff>
          <xdr:row>51</xdr:row>
          <xdr:rowOff>447675</xdr:rowOff>
        </xdr:to>
        <xdr:sp macro="" textlink="">
          <xdr:nvSpPr>
            <xdr:cNvPr id="59800" name="Option Button 408" hidden="1">
              <a:extLst>
                <a:ext uri="{63B3BB69-23CF-44E3-9099-C40C66FF867C}">
                  <a14:compatExt spid="_x0000_s59800"/>
                </a:ext>
                <a:ext uri="{FF2B5EF4-FFF2-40B4-BE49-F238E27FC236}">
                  <a16:creationId xmlns:a16="http://schemas.microsoft.com/office/drawing/2014/main" id="{00000000-0008-0000-1000-000098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51</xdr:row>
          <xdr:rowOff>228600</xdr:rowOff>
        </xdr:from>
        <xdr:to>
          <xdr:col>9</xdr:col>
          <xdr:colOff>485775</xdr:colOff>
          <xdr:row>51</xdr:row>
          <xdr:rowOff>447675</xdr:rowOff>
        </xdr:to>
        <xdr:sp macro="" textlink="">
          <xdr:nvSpPr>
            <xdr:cNvPr id="59801" name="Option Button 409" hidden="1">
              <a:extLst>
                <a:ext uri="{63B3BB69-23CF-44E3-9099-C40C66FF867C}">
                  <a14:compatExt spid="_x0000_s59801"/>
                </a:ext>
                <a:ext uri="{FF2B5EF4-FFF2-40B4-BE49-F238E27FC236}">
                  <a16:creationId xmlns:a16="http://schemas.microsoft.com/office/drawing/2014/main" id="{00000000-0008-0000-1000-000099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51</xdr:row>
          <xdr:rowOff>228600</xdr:rowOff>
        </xdr:from>
        <xdr:to>
          <xdr:col>10</xdr:col>
          <xdr:colOff>485775</xdr:colOff>
          <xdr:row>51</xdr:row>
          <xdr:rowOff>447675</xdr:rowOff>
        </xdr:to>
        <xdr:sp macro="" textlink="">
          <xdr:nvSpPr>
            <xdr:cNvPr id="59802" name="Option Button 410" hidden="1">
              <a:extLst>
                <a:ext uri="{63B3BB69-23CF-44E3-9099-C40C66FF867C}">
                  <a14:compatExt spid="_x0000_s59802"/>
                </a:ext>
                <a:ext uri="{FF2B5EF4-FFF2-40B4-BE49-F238E27FC236}">
                  <a16:creationId xmlns:a16="http://schemas.microsoft.com/office/drawing/2014/main" id="{00000000-0008-0000-1000-00009A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51</xdr:row>
          <xdr:rowOff>209550</xdr:rowOff>
        </xdr:from>
        <xdr:to>
          <xdr:col>11</xdr:col>
          <xdr:colOff>0</xdr:colOff>
          <xdr:row>51</xdr:row>
          <xdr:rowOff>457200</xdr:rowOff>
        </xdr:to>
        <xdr:sp macro="" textlink="">
          <xdr:nvSpPr>
            <xdr:cNvPr id="59803" name="Group Box 411" hidden="1">
              <a:extLst>
                <a:ext uri="{63B3BB69-23CF-44E3-9099-C40C66FF867C}">
                  <a14:compatExt spid="_x0000_s59803"/>
                </a:ext>
                <a:ext uri="{FF2B5EF4-FFF2-40B4-BE49-F238E27FC236}">
                  <a16:creationId xmlns:a16="http://schemas.microsoft.com/office/drawing/2014/main" id="{00000000-0008-0000-1000-00009B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65</xdr:row>
          <xdr:rowOff>552450</xdr:rowOff>
        </xdr:from>
        <xdr:to>
          <xdr:col>12</xdr:col>
          <xdr:colOff>323850</xdr:colOff>
          <xdr:row>65</xdr:row>
          <xdr:rowOff>819150</xdr:rowOff>
        </xdr:to>
        <xdr:sp macro="" textlink="">
          <xdr:nvSpPr>
            <xdr:cNvPr id="59809" name="Check Box 417" hidden="1">
              <a:extLst>
                <a:ext uri="{63B3BB69-23CF-44E3-9099-C40C66FF867C}">
                  <a14:compatExt spid="_x0000_s59809"/>
                </a:ext>
                <a:ext uri="{FF2B5EF4-FFF2-40B4-BE49-F238E27FC236}">
                  <a16:creationId xmlns:a16="http://schemas.microsoft.com/office/drawing/2014/main" id="{00000000-0008-0000-1000-0000A1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65</xdr:row>
          <xdr:rowOff>590550</xdr:rowOff>
        </xdr:from>
        <xdr:to>
          <xdr:col>8</xdr:col>
          <xdr:colOff>485775</xdr:colOff>
          <xdr:row>65</xdr:row>
          <xdr:rowOff>809625</xdr:rowOff>
        </xdr:to>
        <xdr:sp macro="" textlink="">
          <xdr:nvSpPr>
            <xdr:cNvPr id="59810" name="Option Button 418" hidden="1">
              <a:extLst>
                <a:ext uri="{63B3BB69-23CF-44E3-9099-C40C66FF867C}">
                  <a14:compatExt spid="_x0000_s59810"/>
                </a:ext>
                <a:ext uri="{FF2B5EF4-FFF2-40B4-BE49-F238E27FC236}">
                  <a16:creationId xmlns:a16="http://schemas.microsoft.com/office/drawing/2014/main" id="{00000000-0008-0000-1000-0000A2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65</xdr:row>
          <xdr:rowOff>590550</xdr:rowOff>
        </xdr:from>
        <xdr:to>
          <xdr:col>9</xdr:col>
          <xdr:colOff>485775</xdr:colOff>
          <xdr:row>65</xdr:row>
          <xdr:rowOff>809625</xdr:rowOff>
        </xdr:to>
        <xdr:sp macro="" textlink="">
          <xdr:nvSpPr>
            <xdr:cNvPr id="59811" name="Option Button 419" hidden="1">
              <a:extLst>
                <a:ext uri="{63B3BB69-23CF-44E3-9099-C40C66FF867C}">
                  <a14:compatExt spid="_x0000_s59811"/>
                </a:ext>
                <a:ext uri="{FF2B5EF4-FFF2-40B4-BE49-F238E27FC236}">
                  <a16:creationId xmlns:a16="http://schemas.microsoft.com/office/drawing/2014/main" id="{00000000-0008-0000-1000-0000A3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65</xdr:row>
          <xdr:rowOff>590550</xdr:rowOff>
        </xdr:from>
        <xdr:to>
          <xdr:col>10</xdr:col>
          <xdr:colOff>485775</xdr:colOff>
          <xdr:row>65</xdr:row>
          <xdr:rowOff>809625</xdr:rowOff>
        </xdr:to>
        <xdr:sp macro="" textlink="">
          <xdr:nvSpPr>
            <xdr:cNvPr id="59812" name="Option Button 420" hidden="1">
              <a:extLst>
                <a:ext uri="{63B3BB69-23CF-44E3-9099-C40C66FF867C}">
                  <a14:compatExt spid="_x0000_s59812"/>
                </a:ext>
                <a:ext uri="{FF2B5EF4-FFF2-40B4-BE49-F238E27FC236}">
                  <a16:creationId xmlns:a16="http://schemas.microsoft.com/office/drawing/2014/main" id="{00000000-0008-0000-1000-0000A4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65</xdr:row>
          <xdr:rowOff>581025</xdr:rowOff>
        </xdr:from>
        <xdr:to>
          <xdr:col>11</xdr:col>
          <xdr:colOff>0</xdr:colOff>
          <xdr:row>65</xdr:row>
          <xdr:rowOff>828675</xdr:rowOff>
        </xdr:to>
        <xdr:sp macro="" textlink="">
          <xdr:nvSpPr>
            <xdr:cNvPr id="59813" name="Group Box 421" hidden="1">
              <a:extLst>
                <a:ext uri="{63B3BB69-23CF-44E3-9099-C40C66FF867C}">
                  <a14:compatExt spid="_x0000_s59813"/>
                </a:ext>
                <a:ext uri="{FF2B5EF4-FFF2-40B4-BE49-F238E27FC236}">
                  <a16:creationId xmlns:a16="http://schemas.microsoft.com/office/drawing/2014/main" id="{00000000-0008-0000-1000-0000A5E9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81</xdr:row>
          <xdr:rowOff>57150</xdr:rowOff>
        </xdr:from>
        <xdr:to>
          <xdr:col>12</xdr:col>
          <xdr:colOff>323850</xdr:colOff>
          <xdr:row>81</xdr:row>
          <xdr:rowOff>323850</xdr:rowOff>
        </xdr:to>
        <xdr:sp macro="" textlink="">
          <xdr:nvSpPr>
            <xdr:cNvPr id="59814" name="Check Box 422" hidden="1">
              <a:extLst>
                <a:ext uri="{63B3BB69-23CF-44E3-9099-C40C66FF867C}">
                  <a14:compatExt spid="_x0000_s59814"/>
                </a:ext>
                <a:ext uri="{FF2B5EF4-FFF2-40B4-BE49-F238E27FC236}">
                  <a16:creationId xmlns:a16="http://schemas.microsoft.com/office/drawing/2014/main" id="{00000000-0008-0000-1000-0000A6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82</xdr:row>
          <xdr:rowOff>47625</xdr:rowOff>
        </xdr:from>
        <xdr:to>
          <xdr:col>12</xdr:col>
          <xdr:colOff>323850</xdr:colOff>
          <xdr:row>82</xdr:row>
          <xdr:rowOff>314325</xdr:rowOff>
        </xdr:to>
        <xdr:sp macro="" textlink="">
          <xdr:nvSpPr>
            <xdr:cNvPr id="59815" name="Check Box 423" hidden="1">
              <a:extLst>
                <a:ext uri="{63B3BB69-23CF-44E3-9099-C40C66FF867C}">
                  <a14:compatExt spid="_x0000_s59815"/>
                </a:ext>
                <a:ext uri="{FF2B5EF4-FFF2-40B4-BE49-F238E27FC236}">
                  <a16:creationId xmlns:a16="http://schemas.microsoft.com/office/drawing/2014/main" id="{00000000-0008-0000-1000-0000A7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83</xdr:row>
          <xdr:rowOff>38100</xdr:rowOff>
        </xdr:from>
        <xdr:to>
          <xdr:col>12</xdr:col>
          <xdr:colOff>323850</xdr:colOff>
          <xdr:row>83</xdr:row>
          <xdr:rowOff>304800</xdr:rowOff>
        </xdr:to>
        <xdr:sp macro="" textlink="">
          <xdr:nvSpPr>
            <xdr:cNvPr id="59816" name="Check Box 424" hidden="1">
              <a:extLst>
                <a:ext uri="{63B3BB69-23CF-44E3-9099-C40C66FF867C}">
                  <a14:compatExt spid="_x0000_s59816"/>
                </a:ext>
                <a:ext uri="{FF2B5EF4-FFF2-40B4-BE49-F238E27FC236}">
                  <a16:creationId xmlns:a16="http://schemas.microsoft.com/office/drawing/2014/main" id="{00000000-0008-0000-1000-0000A8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91</xdr:row>
          <xdr:rowOff>38100</xdr:rowOff>
        </xdr:from>
        <xdr:to>
          <xdr:col>12</xdr:col>
          <xdr:colOff>323850</xdr:colOff>
          <xdr:row>91</xdr:row>
          <xdr:rowOff>304800</xdr:rowOff>
        </xdr:to>
        <xdr:sp macro="" textlink="">
          <xdr:nvSpPr>
            <xdr:cNvPr id="59817" name="Check Box 425" hidden="1">
              <a:extLst>
                <a:ext uri="{63B3BB69-23CF-44E3-9099-C40C66FF867C}">
                  <a14:compatExt spid="_x0000_s59817"/>
                </a:ext>
                <a:ext uri="{FF2B5EF4-FFF2-40B4-BE49-F238E27FC236}">
                  <a16:creationId xmlns:a16="http://schemas.microsoft.com/office/drawing/2014/main" id="{00000000-0008-0000-1000-0000A9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131</xdr:row>
          <xdr:rowOff>85725</xdr:rowOff>
        </xdr:from>
        <xdr:to>
          <xdr:col>12</xdr:col>
          <xdr:colOff>323850</xdr:colOff>
          <xdr:row>131</xdr:row>
          <xdr:rowOff>352425</xdr:rowOff>
        </xdr:to>
        <xdr:sp macro="" textlink="">
          <xdr:nvSpPr>
            <xdr:cNvPr id="59829" name="Check Box 437" hidden="1">
              <a:extLst>
                <a:ext uri="{63B3BB69-23CF-44E3-9099-C40C66FF867C}">
                  <a14:compatExt spid="_x0000_s59829"/>
                </a:ext>
                <a:ext uri="{FF2B5EF4-FFF2-40B4-BE49-F238E27FC236}">
                  <a16:creationId xmlns:a16="http://schemas.microsoft.com/office/drawing/2014/main" id="{00000000-0008-0000-1000-0000B5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145</xdr:row>
          <xdr:rowOff>38100</xdr:rowOff>
        </xdr:from>
        <xdr:to>
          <xdr:col>12</xdr:col>
          <xdr:colOff>323850</xdr:colOff>
          <xdr:row>145</xdr:row>
          <xdr:rowOff>304800</xdr:rowOff>
        </xdr:to>
        <xdr:sp macro="" textlink="">
          <xdr:nvSpPr>
            <xdr:cNvPr id="59851" name="Check Box 459" hidden="1">
              <a:extLst>
                <a:ext uri="{63B3BB69-23CF-44E3-9099-C40C66FF867C}">
                  <a14:compatExt spid="_x0000_s59851"/>
                </a:ext>
                <a:ext uri="{FF2B5EF4-FFF2-40B4-BE49-F238E27FC236}">
                  <a16:creationId xmlns:a16="http://schemas.microsoft.com/office/drawing/2014/main" id="{00000000-0008-0000-1000-0000CB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146</xdr:row>
          <xdr:rowOff>57150</xdr:rowOff>
        </xdr:from>
        <xdr:to>
          <xdr:col>12</xdr:col>
          <xdr:colOff>323850</xdr:colOff>
          <xdr:row>146</xdr:row>
          <xdr:rowOff>323850</xdr:rowOff>
        </xdr:to>
        <xdr:sp macro="" textlink="">
          <xdr:nvSpPr>
            <xdr:cNvPr id="59852" name="Check Box 460" hidden="1">
              <a:extLst>
                <a:ext uri="{63B3BB69-23CF-44E3-9099-C40C66FF867C}">
                  <a14:compatExt spid="_x0000_s59852"/>
                </a:ext>
                <a:ext uri="{FF2B5EF4-FFF2-40B4-BE49-F238E27FC236}">
                  <a16:creationId xmlns:a16="http://schemas.microsoft.com/office/drawing/2014/main" id="{00000000-0008-0000-1000-0000CC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90</xdr:row>
          <xdr:rowOff>390525</xdr:rowOff>
        </xdr:from>
        <xdr:to>
          <xdr:col>12</xdr:col>
          <xdr:colOff>323850</xdr:colOff>
          <xdr:row>90</xdr:row>
          <xdr:rowOff>657225</xdr:rowOff>
        </xdr:to>
        <xdr:sp macro="" textlink="">
          <xdr:nvSpPr>
            <xdr:cNvPr id="59882" name="Check Box 490" hidden="1">
              <a:extLst>
                <a:ext uri="{63B3BB69-23CF-44E3-9099-C40C66FF867C}">
                  <a14:compatExt spid="_x0000_s59882"/>
                </a:ext>
                <a:ext uri="{FF2B5EF4-FFF2-40B4-BE49-F238E27FC236}">
                  <a16:creationId xmlns:a16="http://schemas.microsoft.com/office/drawing/2014/main" id="{00000000-0008-0000-1000-0000EA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171</xdr:row>
          <xdr:rowOff>800100</xdr:rowOff>
        </xdr:from>
        <xdr:to>
          <xdr:col>12</xdr:col>
          <xdr:colOff>323850</xdr:colOff>
          <xdr:row>171</xdr:row>
          <xdr:rowOff>1066800</xdr:rowOff>
        </xdr:to>
        <xdr:sp macro="" textlink="">
          <xdr:nvSpPr>
            <xdr:cNvPr id="59897" name="Check Box 505" hidden="1">
              <a:extLst>
                <a:ext uri="{63B3BB69-23CF-44E3-9099-C40C66FF867C}">
                  <a14:compatExt spid="_x0000_s59897"/>
                </a:ext>
                <a:ext uri="{FF2B5EF4-FFF2-40B4-BE49-F238E27FC236}">
                  <a16:creationId xmlns:a16="http://schemas.microsoft.com/office/drawing/2014/main" id="{00000000-0008-0000-1000-0000F9E9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107</xdr:row>
          <xdr:rowOff>428625</xdr:rowOff>
        </xdr:from>
        <xdr:to>
          <xdr:col>12</xdr:col>
          <xdr:colOff>323850</xdr:colOff>
          <xdr:row>107</xdr:row>
          <xdr:rowOff>695325</xdr:rowOff>
        </xdr:to>
        <xdr:sp macro="" textlink="">
          <xdr:nvSpPr>
            <xdr:cNvPr id="59932" name="Check Box 540" hidden="1">
              <a:extLst>
                <a:ext uri="{63B3BB69-23CF-44E3-9099-C40C66FF867C}">
                  <a14:compatExt spid="_x0000_s59932"/>
                </a:ext>
                <a:ext uri="{FF2B5EF4-FFF2-40B4-BE49-F238E27FC236}">
                  <a16:creationId xmlns:a16="http://schemas.microsoft.com/office/drawing/2014/main" id="{00000000-0008-0000-1000-00001C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63</xdr:row>
          <xdr:rowOff>57150</xdr:rowOff>
        </xdr:from>
        <xdr:to>
          <xdr:col>12</xdr:col>
          <xdr:colOff>323850</xdr:colOff>
          <xdr:row>63</xdr:row>
          <xdr:rowOff>323850</xdr:rowOff>
        </xdr:to>
        <xdr:sp macro="" textlink="">
          <xdr:nvSpPr>
            <xdr:cNvPr id="59947" name="Check Box 555" hidden="1">
              <a:extLst>
                <a:ext uri="{63B3BB69-23CF-44E3-9099-C40C66FF867C}">
                  <a14:compatExt spid="_x0000_s59947"/>
                </a:ext>
                <a:ext uri="{FF2B5EF4-FFF2-40B4-BE49-F238E27FC236}">
                  <a16:creationId xmlns:a16="http://schemas.microsoft.com/office/drawing/2014/main" id="{00000000-0008-0000-1000-00002B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168</xdr:row>
          <xdr:rowOff>457200</xdr:rowOff>
        </xdr:from>
        <xdr:to>
          <xdr:col>12</xdr:col>
          <xdr:colOff>323850</xdr:colOff>
          <xdr:row>168</xdr:row>
          <xdr:rowOff>723900</xdr:rowOff>
        </xdr:to>
        <xdr:sp macro="" textlink="">
          <xdr:nvSpPr>
            <xdr:cNvPr id="59952" name="Check Box 560" hidden="1">
              <a:extLst>
                <a:ext uri="{63B3BB69-23CF-44E3-9099-C40C66FF867C}">
                  <a14:compatExt spid="_x0000_s59952"/>
                </a:ext>
                <a:ext uri="{FF2B5EF4-FFF2-40B4-BE49-F238E27FC236}">
                  <a16:creationId xmlns:a16="http://schemas.microsoft.com/office/drawing/2014/main" id="{00000000-0008-0000-1000-000030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190</xdr:row>
          <xdr:rowOff>85725</xdr:rowOff>
        </xdr:from>
        <xdr:to>
          <xdr:col>12</xdr:col>
          <xdr:colOff>323850</xdr:colOff>
          <xdr:row>190</xdr:row>
          <xdr:rowOff>352425</xdr:rowOff>
        </xdr:to>
        <xdr:sp macro="" textlink="">
          <xdr:nvSpPr>
            <xdr:cNvPr id="59961" name="Check Box 569" hidden="1">
              <a:extLst>
                <a:ext uri="{63B3BB69-23CF-44E3-9099-C40C66FF867C}">
                  <a14:compatExt spid="_x0000_s59961"/>
                </a:ext>
                <a:ext uri="{FF2B5EF4-FFF2-40B4-BE49-F238E27FC236}">
                  <a16:creationId xmlns:a16="http://schemas.microsoft.com/office/drawing/2014/main" id="{00000000-0008-0000-1000-000039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194</xdr:row>
          <xdr:rowOff>295275</xdr:rowOff>
        </xdr:from>
        <xdr:to>
          <xdr:col>12</xdr:col>
          <xdr:colOff>323850</xdr:colOff>
          <xdr:row>194</xdr:row>
          <xdr:rowOff>561975</xdr:rowOff>
        </xdr:to>
        <xdr:sp macro="" textlink="">
          <xdr:nvSpPr>
            <xdr:cNvPr id="59971" name="Check Box 579" hidden="1">
              <a:extLst>
                <a:ext uri="{63B3BB69-23CF-44E3-9099-C40C66FF867C}">
                  <a14:compatExt spid="_x0000_s59971"/>
                </a:ext>
                <a:ext uri="{FF2B5EF4-FFF2-40B4-BE49-F238E27FC236}">
                  <a16:creationId xmlns:a16="http://schemas.microsoft.com/office/drawing/2014/main" id="{00000000-0008-0000-1000-000043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195</xdr:row>
          <xdr:rowOff>57150</xdr:rowOff>
        </xdr:from>
        <xdr:to>
          <xdr:col>12</xdr:col>
          <xdr:colOff>323850</xdr:colOff>
          <xdr:row>195</xdr:row>
          <xdr:rowOff>323850</xdr:rowOff>
        </xdr:to>
        <xdr:sp macro="" textlink="">
          <xdr:nvSpPr>
            <xdr:cNvPr id="59976" name="Check Box 584" hidden="1">
              <a:extLst>
                <a:ext uri="{63B3BB69-23CF-44E3-9099-C40C66FF867C}">
                  <a14:compatExt spid="_x0000_s59976"/>
                </a:ext>
                <a:ext uri="{FF2B5EF4-FFF2-40B4-BE49-F238E27FC236}">
                  <a16:creationId xmlns:a16="http://schemas.microsoft.com/office/drawing/2014/main" id="{00000000-0008-0000-1000-000048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195</xdr:row>
          <xdr:rowOff>95250</xdr:rowOff>
        </xdr:from>
        <xdr:to>
          <xdr:col>8</xdr:col>
          <xdr:colOff>485775</xdr:colOff>
          <xdr:row>195</xdr:row>
          <xdr:rowOff>304800</xdr:rowOff>
        </xdr:to>
        <xdr:sp macro="" textlink="">
          <xdr:nvSpPr>
            <xdr:cNvPr id="59977" name="Option Button 585" hidden="1">
              <a:extLst>
                <a:ext uri="{63B3BB69-23CF-44E3-9099-C40C66FF867C}">
                  <a14:compatExt spid="_x0000_s59977"/>
                </a:ext>
                <a:ext uri="{FF2B5EF4-FFF2-40B4-BE49-F238E27FC236}">
                  <a16:creationId xmlns:a16="http://schemas.microsoft.com/office/drawing/2014/main" id="{00000000-0008-0000-1000-000049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195</xdr:row>
          <xdr:rowOff>95250</xdr:rowOff>
        </xdr:from>
        <xdr:to>
          <xdr:col>9</xdr:col>
          <xdr:colOff>485775</xdr:colOff>
          <xdr:row>195</xdr:row>
          <xdr:rowOff>304800</xdr:rowOff>
        </xdr:to>
        <xdr:sp macro="" textlink="">
          <xdr:nvSpPr>
            <xdr:cNvPr id="59978" name="Option Button 586" hidden="1">
              <a:extLst>
                <a:ext uri="{63B3BB69-23CF-44E3-9099-C40C66FF867C}">
                  <a14:compatExt spid="_x0000_s59978"/>
                </a:ext>
                <a:ext uri="{FF2B5EF4-FFF2-40B4-BE49-F238E27FC236}">
                  <a16:creationId xmlns:a16="http://schemas.microsoft.com/office/drawing/2014/main" id="{00000000-0008-0000-1000-00004A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195</xdr:row>
          <xdr:rowOff>95250</xdr:rowOff>
        </xdr:from>
        <xdr:to>
          <xdr:col>10</xdr:col>
          <xdr:colOff>485775</xdr:colOff>
          <xdr:row>195</xdr:row>
          <xdr:rowOff>304800</xdr:rowOff>
        </xdr:to>
        <xdr:sp macro="" textlink="">
          <xdr:nvSpPr>
            <xdr:cNvPr id="59979" name="Option Button 587" hidden="1">
              <a:extLst>
                <a:ext uri="{63B3BB69-23CF-44E3-9099-C40C66FF867C}">
                  <a14:compatExt spid="_x0000_s59979"/>
                </a:ext>
                <a:ext uri="{FF2B5EF4-FFF2-40B4-BE49-F238E27FC236}">
                  <a16:creationId xmlns:a16="http://schemas.microsoft.com/office/drawing/2014/main" id="{00000000-0008-0000-1000-00004B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195</xdr:row>
          <xdr:rowOff>76200</xdr:rowOff>
        </xdr:from>
        <xdr:to>
          <xdr:col>11</xdr:col>
          <xdr:colOff>0</xdr:colOff>
          <xdr:row>195</xdr:row>
          <xdr:rowOff>323850</xdr:rowOff>
        </xdr:to>
        <xdr:sp macro="" textlink="">
          <xdr:nvSpPr>
            <xdr:cNvPr id="59980" name="Group Box 588" hidden="1">
              <a:extLst>
                <a:ext uri="{63B3BB69-23CF-44E3-9099-C40C66FF867C}">
                  <a14:compatExt spid="_x0000_s59980"/>
                </a:ext>
                <a:ext uri="{FF2B5EF4-FFF2-40B4-BE49-F238E27FC236}">
                  <a16:creationId xmlns:a16="http://schemas.microsoft.com/office/drawing/2014/main" id="{00000000-0008-0000-1000-00004C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196</xdr:row>
          <xdr:rowOff>228600</xdr:rowOff>
        </xdr:from>
        <xdr:to>
          <xdr:col>12</xdr:col>
          <xdr:colOff>323850</xdr:colOff>
          <xdr:row>196</xdr:row>
          <xdr:rowOff>495300</xdr:rowOff>
        </xdr:to>
        <xdr:sp macro="" textlink="">
          <xdr:nvSpPr>
            <xdr:cNvPr id="59981" name="Check Box 589" hidden="1">
              <a:extLst>
                <a:ext uri="{63B3BB69-23CF-44E3-9099-C40C66FF867C}">
                  <a14:compatExt spid="_x0000_s59981"/>
                </a:ext>
                <a:ext uri="{FF2B5EF4-FFF2-40B4-BE49-F238E27FC236}">
                  <a16:creationId xmlns:a16="http://schemas.microsoft.com/office/drawing/2014/main" id="{00000000-0008-0000-1000-00004D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196</xdr:row>
          <xdr:rowOff>228600</xdr:rowOff>
        </xdr:from>
        <xdr:to>
          <xdr:col>8</xdr:col>
          <xdr:colOff>485775</xdr:colOff>
          <xdr:row>196</xdr:row>
          <xdr:rowOff>438150</xdr:rowOff>
        </xdr:to>
        <xdr:sp macro="" textlink="">
          <xdr:nvSpPr>
            <xdr:cNvPr id="59986" name="Option Button 594" hidden="1">
              <a:extLst>
                <a:ext uri="{63B3BB69-23CF-44E3-9099-C40C66FF867C}">
                  <a14:compatExt spid="_x0000_s59986"/>
                </a:ext>
                <a:ext uri="{FF2B5EF4-FFF2-40B4-BE49-F238E27FC236}">
                  <a16:creationId xmlns:a16="http://schemas.microsoft.com/office/drawing/2014/main" id="{00000000-0008-0000-1000-000052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196</xdr:row>
          <xdr:rowOff>228600</xdr:rowOff>
        </xdr:from>
        <xdr:to>
          <xdr:col>9</xdr:col>
          <xdr:colOff>485775</xdr:colOff>
          <xdr:row>196</xdr:row>
          <xdr:rowOff>438150</xdr:rowOff>
        </xdr:to>
        <xdr:sp macro="" textlink="">
          <xdr:nvSpPr>
            <xdr:cNvPr id="59987" name="Option Button 595" hidden="1">
              <a:extLst>
                <a:ext uri="{63B3BB69-23CF-44E3-9099-C40C66FF867C}">
                  <a14:compatExt spid="_x0000_s59987"/>
                </a:ext>
                <a:ext uri="{FF2B5EF4-FFF2-40B4-BE49-F238E27FC236}">
                  <a16:creationId xmlns:a16="http://schemas.microsoft.com/office/drawing/2014/main" id="{00000000-0008-0000-1000-000053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196</xdr:row>
          <xdr:rowOff>228600</xdr:rowOff>
        </xdr:from>
        <xdr:to>
          <xdr:col>10</xdr:col>
          <xdr:colOff>485775</xdr:colOff>
          <xdr:row>196</xdr:row>
          <xdr:rowOff>438150</xdr:rowOff>
        </xdr:to>
        <xdr:sp macro="" textlink="">
          <xdr:nvSpPr>
            <xdr:cNvPr id="59988" name="Option Button 596" hidden="1">
              <a:extLst>
                <a:ext uri="{63B3BB69-23CF-44E3-9099-C40C66FF867C}">
                  <a14:compatExt spid="_x0000_s59988"/>
                </a:ext>
                <a:ext uri="{FF2B5EF4-FFF2-40B4-BE49-F238E27FC236}">
                  <a16:creationId xmlns:a16="http://schemas.microsoft.com/office/drawing/2014/main" id="{00000000-0008-0000-1000-000054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196</xdr:row>
          <xdr:rowOff>209550</xdr:rowOff>
        </xdr:from>
        <xdr:to>
          <xdr:col>11</xdr:col>
          <xdr:colOff>0</xdr:colOff>
          <xdr:row>196</xdr:row>
          <xdr:rowOff>457200</xdr:rowOff>
        </xdr:to>
        <xdr:sp macro="" textlink="">
          <xdr:nvSpPr>
            <xdr:cNvPr id="59989" name="Group Box 597" hidden="1">
              <a:extLst>
                <a:ext uri="{63B3BB69-23CF-44E3-9099-C40C66FF867C}">
                  <a14:compatExt spid="_x0000_s59989"/>
                </a:ext>
                <a:ext uri="{FF2B5EF4-FFF2-40B4-BE49-F238E27FC236}">
                  <a16:creationId xmlns:a16="http://schemas.microsoft.com/office/drawing/2014/main" id="{00000000-0008-0000-1000-000055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194</xdr:row>
          <xdr:rowOff>304800</xdr:rowOff>
        </xdr:from>
        <xdr:to>
          <xdr:col>8</xdr:col>
          <xdr:colOff>485775</xdr:colOff>
          <xdr:row>194</xdr:row>
          <xdr:rowOff>514350</xdr:rowOff>
        </xdr:to>
        <xdr:sp macro="" textlink="">
          <xdr:nvSpPr>
            <xdr:cNvPr id="59990" name="Option Button 598" hidden="1">
              <a:extLst>
                <a:ext uri="{63B3BB69-23CF-44E3-9099-C40C66FF867C}">
                  <a14:compatExt spid="_x0000_s59990"/>
                </a:ext>
                <a:ext uri="{FF2B5EF4-FFF2-40B4-BE49-F238E27FC236}">
                  <a16:creationId xmlns:a16="http://schemas.microsoft.com/office/drawing/2014/main" id="{00000000-0008-0000-1000-000056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194</xdr:row>
          <xdr:rowOff>304800</xdr:rowOff>
        </xdr:from>
        <xdr:to>
          <xdr:col>9</xdr:col>
          <xdr:colOff>485775</xdr:colOff>
          <xdr:row>194</xdr:row>
          <xdr:rowOff>514350</xdr:rowOff>
        </xdr:to>
        <xdr:sp macro="" textlink="">
          <xdr:nvSpPr>
            <xdr:cNvPr id="59991" name="Option Button 599" hidden="1">
              <a:extLst>
                <a:ext uri="{63B3BB69-23CF-44E3-9099-C40C66FF867C}">
                  <a14:compatExt spid="_x0000_s59991"/>
                </a:ext>
                <a:ext uri="{FF2B5EF4-FFF2-40B4-BE49-F238E27FC236}">
                  <a16:creationId xmlns:a16="http://schemas.microsoft.com/office/drawing/2014/main" id="{00000000-0008-0000-1000-000057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194</xdr:row>
          <xdr:rowOff>304800</xdr:rowOff>
        </xdr:from>
        <xdr:to>
          <xdr:col>10</xdr:col>
          <xdr:colOff>485775</xdr:colOff>
          <xdr:row>194</xdr:row>
          <xdr:rowOff>514350</xdr:rowOff>
        </xdr:to>
        <xdr:sp macro="" textlink="">
          <xdr:nvSpPr>
            <xdr:cNvPr id="59992" name="Option Button 600" hidden="1">
              <a:extLst>
                <a:ext uri="{63B3BB69-23CF-44E3-9099-C40C66FF867C}">
                  <a14:compatExt spid="_x0000_s59992"/>
                </a:ext>
                <a:ext uri="{FF2B5EF4-FFF2-40B4-BE49-F238E27FC236}">
                  <a16:creationId xmlns:a16="http://schemas.microsoft.com/office/drawing/2014/main" id="{00000000-0008-0000-1000-000058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194</xdr:row>
          <xdr:rowOff>285750</xdr:rowOff>
        </xdr:from>
        <xdr:to>
          <xdr:col>11</xdr:col>
          <xdr:colOff>0</xdr:colOff>
          <xdr:row>194</xdr:row>
          <xdr:rowOff>533400</xdr:rowOff>
        </xdr:to>
        <xdr:sp macro="" textlink="">
          <xdr:nvSpPr>
            <xdr:cNvPr id="59993" name="Group Box 601" hidden="1">
              <a:extLst>
                <a:ext uri="{63B3BB69-23CF-44E3-9099-C40C66FF867C}">
                  <a14:compatExt spid="_x0000_s59993"/>
                </a:ext>
                <a:ext uri="{FF2B5EF4-FFF2-40B4-BE49-F238E27FC236}">
                  <a16:creationId xmlns:a16="http://schemas.microsoft.com/office/drawing/2014/main" id="{00000000-0008-0000-1000-000059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193</xdr:row>
          <xdr:rowOff>571500</xdr:rowOff>
        </xdr:from>
        <xdr:to>
          <xdr:col>11</xdr:col>
          <xdr:colOff>0</xdr:colOff>
          <xdr:row>194</xdr:row>
          <xdr:rowOff>247650</xdr:rowOff>
        </xdr:to>
        <xdr:sp macro="" textlink="">
          <xdr:nvSpPr>
            <xdr:cNvPr id="59997" name="Group Box 605" hidden="1">
              <a:extLst>
                <a:ext uri="{63B3BB69-23CF-44E3-9099-C40C66FF867C}">
                  <a14:compatExt spid="_x0000_s59997"/>
                </a:ext>
                <a:ext uri="{FF2B5EF4-FFF2-40B4-BE49-F238E27FC236}">
                  <a16:creationId xmlns:a16="http://schemas.microsoft.com/office/drawing/2014/main" id="{00000000-0008-0000-1000-00005D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190</xdr:row>
          <xdr:rowOff>409575</xdr:rowOff>
        </xdr:from>
        <xdr:to>
          <xdr:col>11</xdr:col>
          <xdr:colOff>0</xdr:colOff>
          <xdr:row>191</xdr:row>
          <xdr:rowOff>247650</xdr:rowOff>
        </xdr:to>
        <xdr:sp macro="" textlink="">
          <xdr:nvSpPr>
            <xdr:cNvPr id="60001" name="Group Box 609" hidden="1">
              <a:extLst>
                <a:ext uri="{63B3BB69-23CF-44E3-9099-C40C66FF867C}">
                  <a14:compatExt spid="_x0000_s60001"/>
                </a:ext>
                <a:ext uri="{FF2B5EF4-FFF2-40B4-BE49-F238E27FC236}">
                  <a16:creationId xmlns:a16="http://schemas.microsoft.com/office/drawing/2014/main" id="{00000000-0008-0000-1000-000061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171</xdr:row>
          <xdr:rowOff>800100</xdr:rowOff>
        </xdr:from>
        <xdr:to>
          <xdr:col>8</xdr:col>
          <xdr:colOff>485775</xdr:colOff>
          <xdr:row>171</xdr:row>
          <xdr:rowOff>1009650</xdr:rowOff>
        </xdr:to>
        <xdr:sp macro="" textlink="">
          <xdr:nvSpPr>
            <xdr:cNvPr id="60002" name="Option Button 610" hidden="1">
              <a:extLst>
                <a:ext uri="{63B3BB69-23CF-44E3-9099-C40C66FF867C}">
                  <a14:compatExt spid="_x0000_s60002"/>
                </a:ext>
                <a:ext uri="{FF2B5EF4-FFF2-40B4-BE49-F238E27FC236}">
                  <a16:creationId xmlns:a16="http://schemas.microsoft.com/office/drawing/2014/main" id="{00000000-0008-0000-1000-000062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171</xdr:row>
          <xdr:rowOff>800100</xdr:rowOff>
        </xdr:from>
        <xdr:to>
          <xdr:col>9</xdr:col>
          <xdr:colOff>485775</xdr:colOff>
          <xdr:row>171</xdr:row>
          <xdr:rowOff>1009650</xdr:rowOff>
        </xdr:to>
        <xdr:sp macro="" textlink="">
          <xdr:nvSpPr>
            <xdr:cNvPr id="60003" name="Option Button 611" hidden="1">
              <a:extLst>
                <a:ext uri="{63B3BB69-23CF-44E3-9099-C40C66FF867C}">
                  <a14:compatExt spid="_x0000_s60003"/>
                </a:ext>
                <a:ext uri="{FF2B5EF4-FFF2-40B4-BE49-F238E27FC236}">
                  <a16:creationId xmlns:a16="http://schemas.microsoft.com/office/drawing/2014/main" id="{00000000-0008-0000-1000-000063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171</xdr:row>
          <xdr:rowOff>800100</xdr:rowOff>
        </xdr:from>
        <xdr:to>
          <xdr:col>10</xdr:col>
          <xdr:colOff>485775</xdr:colOff>
          <xdr:row>171</xdr:row>
          <xdr:rowOff>1009650</xdr:rowOff>
        </xdr:to>
        <xdr:sp macro="" textlink="">
          <xdr:nvSpPr>
            <xdr:cNvPr id="60004" name="Option Button 612" hidden="1">
              <a:extLst>
                <a:ext uri="{63B3BB69-23CF-44E3-9099-C40C66FF867C}">
                  <a14:compatExt spid="_x0000_s60004"/>
                </a:ext>
                <a:ext uri="{FF2B5EF4-FFF2-40B4-BE49-F238E27FC236}">
                  <a16:creationId xmlns:a16="http://schemas.microsoft.com/office/drawing/2014/main" id="{00000000-0008-0000-1000-000064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171</xdr:row>
          <xdr:rowOff>781050</xdr:rowOff>
        </xdr:from>
        <xdr:to>
          <xdr:col>11</xdr:col>
          <xdr:colOff>0</xdr:colOff>
          <xdr:row>171</xdr:row>
          <xdr:rowOff>1028700</xdr:rowOff>
        </xdr:to>
        <xdr:sp macro="" textlink="">
          <xdr:nvSpPr>
            <xdr:cNvPr id="60005" name="Group Box 613" hidden="1">
              <a:extLst>
                <a:ext uri="{63B3BB69-23CF-44E3-9099-C40C66FF867C}">
                  <a14:compatExt spid="_x0000_s60005"/>
                </a:ext>
                <a:ext uri="{FF2B5EF4-FFF2-40B4-BE49-F238E27FC236}">
                  <a16:creationId xmlns:a16="http://schemas.microsoft.com/office/drawing/2014/main" id="{00000000-0008-0000-1000-000065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168</xdr:row>
          <xdr:rowOff>514350</xdr:rowOff>
        </xdr:from>
        <xdr:to>
          <xdr:col>8</xdr:col>
          <xdr:colOff>485775</xdr:colOff>
          <xdr:row>168</xdr:row>
          <xdr:rowOff>723900</xdr:rowOff>
        </xdr:to>
        <xdr:sp macro="" textlink="">
          <xdr:nvSpPr>
            <xdr:cNvPr id="60006" name="Option Button 614" hidden="1">
              <a:extLst>
                <a:ext uri="{63B3BB69-23CF-44E3-9099-C40C66FF867C}">
                  <a14:compatExt spid="_x0000_s60006"/>
                </a:ext>
                <a:ext uri="{FF2B5EF4-FFF2-40B4-BE49-F238E27FC236}">
                  <a16:creationId xmlns:a16="http://schemas.microsoft.com/office/drawing/2014/main" id="{00000000-0008-0000-1000-000066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168</xdr:row>
          <xdr:rowOff>514350</xdr:rowOff>
        </xdr:from>
        <xdr:to>
          <xdr:col>9</xdr:col>
          <xdr:colOff>485775</xdr:colOff>
          <xdr:row>168</xdr:row>
          <xdr:rowOff>723900</xdr:rowOff>
        </xdr:to>
        <xdr:sp macro="" textlink="">
          <xdr:nvSpPr>
            <xdr:cNvPr id="60007" name="Option Button 615" hidden="1">
              <a:extLst>
                <a:ext uri="{63B3BB69-23CF-44E3-9099-C40C66FF867C}">
                  <a14:compatExt spid="_x0000_s60007"/>
                </a:ext>
                <a:ext uri="{FF2B5EF4-FFF2-40B4-BE49-F238E27FC236}">
                  <a16:creationId xmlns:a16="http://schemas.microsoft.com/office/drawing/2014/main" id="{00000000-0008-0000-1000-000067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168</xdr:row>
          <xdr:rowOff>514350</xdr:rowOff>
        </xdr:from>
        <xdr:to>
          <xdr:col>10</xdr:col>
          <xdr:colOff>485775</xdr:colOff>
          <xdr:row>168</xdr:row>
          <xdr:rowOff>723900</xdr:rowOff>
        </xdr:to>
        <xdr:sp macro="" textlink="">
          <xdr:nvSpPr>
            <xdr:cNvPr id="60008" name="Option Button 616" hidden="1">
              <a:extLst>
                <a:ext uri="{63B3BB69-23CF-44E3-9099-C40C66FF867C}">
                  <a14:compatExt spid="_x0000_s60008"/>
                </a:ext>
                <a:ext uri="{FF2B5EF4-FFF2-40B4-BE49-F238E27FC236}">
                  <a16:creationId xmlns:a16="http://schemas.microsoft.com/office/drawing/2014/main" id="{00000000-0008-0000-1000-000068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168</xdr:row>
          <xdr:rowOff>276225</xdr:rowOff>
        </xdr:from>
        <xdr:to>
          <xdr:col>11</xdr:col>
          <xdr:colOff>0</xdr:colOff>
          <xdr:row>168</xdr:row>
          <xdr:rowOff>523875</xdr:rowOff>
        </xdr:to>
        <xdr:sp macro="" textlink="">
          <xdr:nvSpPr>
            <xdr:cNvPr id="60009" name="Group Box 617" hidden="1">
              <a:extLst>
                <a:ext uri="{63B3BB69-23CF-44E3-9099-C40C66FF867C}">
                  <a14:compatExt spid="_x0000_s60009"/>
                </a:ext>
                <a:ext uri="{FF2B5EF4-FFF2-40B4-BE49-F238E27FC236}">
                  <a16:creationId xmlns:a16="http://schemas.microsoft.com/office/drawing/2014/main" id="{00000000-0008-0000-1000-000069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107</xdr:row>
          <xdr:rowOff>466725</xdr:rowOff>
        </xdr:from>
        <xdr:to>
          <xdr:col>8</xdr:col>
          <xdr:colOff>485775</xdr:colOff>
          <xdr:row>107</xdr:row>
          <xdr:rowOff>676275</xdr:rowOff>
        </xdr:to>
        <xdr:sp macro="" textlink="">
          <xdr:nvSpPr>
            <xdr:cNvPr id="60010" name="Option Button 618" hidden="1">
              <a:extLst>
                <a:ext uri="{63B3BB69-23CF-44E3-9099-C40C66FF867C}">
                  <a14:compatExt spid="_x0000_s60010"/>
                </a:ext>
                <a:ext uri="{FF2B5EF4-FFF2-40B4-BE49-F238E27FC236}">
                  <a16:creationId xmlns:a16="http://schemas.microsoft.com/office/drawing/2014/main" id="{00000000-0008-0000-1000-00006A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107</xdr:row>
          <xdr:rowOff>466725</xdr:rowOff>
        </xdr:from>
        <xdr:to>
          <xdr:col>9</xdr:col>
          <xdr:colOff>485775</xdr:colOff>
          <xdr:row>107</xdr:row>
          <xdr:rowOff>676275</xdr:rowOff>
        </xdr:to>
        <xdr:sp macro="" textlink="">
          <xdr:nvSpPr>
            <xdr:cNvPr id="60011" name="Option Button 619" hidden="1">
              <a:extLst>
                <a:ext uri="{63B3BB69-23CF-44E3-9099-C40C66FF867C}">
                  <a14:compatExt spid="_x0000_s60011"/>
                </a:ext>
                <a:ext uri="{FF2B5EF4-FFF2-40B4-BE49-F238E27FC236}">
                  <a16:creationId xmlns:a16="http://schemas.microsoft.com/office/drawing/2014/main" id="{00000000-0008-0000-1000-00006B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107</xdr:row>
          <xdr:rowOff>466725</xdr:rowOff>
        </xdr:from>
        <xdr:to>
          <xdr:col>10</xdr:col>
          <xdr:colOff>485775</xdr:colOff>
          <xdr:row>107</xdr:row>
          <xdr:rowOff>676275</xdr:rowOff>
        </xdr:to>
        <xdr:sp macro="" textlink="">
          <xdr:nvSpPr>
            <xdr:cNvPr id="60012" name="Option Button 620" hidden="1">
              <a:extLst>
                <a:ext uri="{63B3BB69-23CF-44E3-9099-C40C66FF867C}">
                  <a14:compatExt spid="_x0000_s60012"/>
                </a:ext>
                <a:ext uri="{FF2B5EF4-FFF2-40B4-BE49-F238E27FC236}">
                  <a16:creationId xmlns:a16="http://schemas.microsoft.com/office/drawing/2014/main" id="{00000000-0008-0000-1000-00006C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107</xdr:row>
          <xdr:rowOff>447675</xdr:rowOff>
        </xdr:from>
        <xdr:to>
          <xdr:col>11</xdr:col>
          <xdr:colOff>0</xdr:colOff>
          <xdr:row>107</xdr:row>
          <xdr:rowOff>695325</xdr:rowOff>
        </xdr:to>
        <xdr:sp macro="" textlink="">
          <xdr:nvSpPr>
            <xdr:cNvPr id="60013" name="Group Box 621" hidden="1">
              <a:extLst>
                <a:ext uri="{63B3BB69-23CF-44E3-9099-C40C66FF867C}">
                  <a14:compatExt spid="_x0000_s60013"/>
                </a:ext>
                <a:ext uri="{FF2B5EF4-FFF2-40B4-BE49-F238E27FC236}">
                  <a16:creationId xmlns:a16="http://schemas.microsoft.com/office/drawing/2014/main" id="{00000000-0008-0000-1000-00006D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219075</xdr:colOff>
          <xdr:row>50</xdr:row>
          <xdr:rowOff>333375</xdr:rowOff>
        </xdr:from>
        <xdr:to>
          <xdr:col>11</xdr:col>
          <xdr:colOff>104775</xdr:colOff>
          <xdr:row>50</xdr:row>
          <xdr:rowOff>590550</xdr:rowOff>
        </xdr:to>
        <xdr:sp macro="" textlink="">
          <xdr:nvSpPr>
            <xdr:cNvPr id="60014" name="Group Box 622" hidden="1">
              <a:extLst>
                <a:ext uri="{63B3BB69-23CF-44E3-9099-C40C66FF867C}">
                  <a14:compatExt spid="_x0000_s60014"/>
                </a:ext>
                <a:ext uri="{FF2B5EF4-FFF2-40B4-BE49-F238E27FC236}">
                  <a16:creationId xmlns:a16="http://schemas.microsoft.com/office/drawing/2014/main" id="{00000000-0008-0000-1000-00006E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27432" tIns="18288" rIns="0" bIns="0" anchor="t" upright="1"/>
            <a:lstStyle/>
            <a:p>
              <a:pPr algn="l" rtl="0">
                <a:defRPr sz="1000"/>
              </a:pPr>
              <a:r>
                <a:rPr lang="ja-JP" altLang="en-US" sz="1100" b="0" i="0" u="none" strike="noStrike" baseline="0">
                  <a:solidFill>
                    <a:srgbClr val="000000"/>
                  </a:solidFill>
                  <a:latin typeface="ＭＳ Ｐゴシック"/>
                  <a:ea typeface="ＭＳ Ｐゴシック"/>
                </a:rPr>
                <a:t>aaaa</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85725</xdr:colOff>
          <xdr:row>187</xdr:row>
          <xdr:rowOff>66675</xdr:rowOff>
        </xdr:from>
        <xdr:to>
          <xdr:col>12</xdr:col>
          <xdr:colOff>333375</xdr:colOff>
          <xdr:row>187</xdr:row>
          <xdr:rowOff>333375</xdr:rowOff>
        </xdr:to>
        <xdr:sp macro="" textlink="">
          <xdr:nvSpPr>
            <xdr:cNvPr id="60015" name="Check Box 623" hidden="1">
              <a:extLst>
                <a:ext uri="{63B3BB69-23CF-44E3-9099-C40C66FF867C}">
                  <a14:compatExt spid="_x0000_s60015"/>
                </a:ext>
                <a:ext uri="{FF2B5EF4-FFF2-40B4-BE49-F238E27FC236}">
                  <a16:creationId xmlns:a16="http://schemas.microsoft.com/office/drawing/2014/main" id="{00000000-0008-0000-1000-00006F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136</xdr:row>
          <xdr:rowOff>66675</xdr:rowOff>
        </xdr:from>
        <xdr:to>
          <xdr:col>12</xdr:col>
          <xdr:colOff>323850</xdr:colOff>
          <xdr:row>136</xdr:row>
          <xdr:rowOff>323850</xdr:rowOff>
        </xdr:to>
        <xdr:sp macro="" textlink="">
          <xdr:nvSpPr>
            <xdr:cNvPr id="60017" name="Check Box 625" hidden="1">
              <a:extLst>
                <a:ext uri="{63B3BB69-23CF-44E3-9099-C40C66FF867C}">
                  <a14:compatExt spid="_x0000_s60017"/>
                </a:ext>
                <a:ext uri="{FF2B5EF4-FFF2-40B4-BE49-F238E27FC236}">
                  <a16:creationId xmlns:a16="http://schemas.microsoft.com/office/drawing/2014/main" id="{00000000-0008-0000-1000-000071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191</xdr:row>
          <xdr:rowOff>57150</xdr:rowOff>
        </xdr:from>
        <xdr:to>
          <xdr:col>12</xdr:col>
          <xdr:colOff>323850</xdr:colOff>
          <xdr:row>191</xdr:row>
          <xdr:rowOff>323850</xdr:rowOff>
        </xdr:to>
        <xdr:sp macro="" textlink="">
          <xdr:nvSpPr>
            <xdr:cNvPr id="60021" name="Check Box 629" hidden="1">
              <a:extLst>
                <a:ext uri="{63B3BB69-23CF-44E3-9099-C40C66FF867C}">
                  <a14:compatExt spid="_x0000_s60021"/>
                </a:ext>
                <a:ext uri="{FF2B5EF4-FFF2-40B4-BE49-F238E27FC236}">
                  <a16:creationId xmlns:a16="http://schemas.microsoft.com/office/drawing/2014/main" id="{00000000-0008-0000-1000-000075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98</xdr:row>
          <xdr:rowOff>333375</xdr:rowOff>
        </xdr:from>
        <xdr:to>
          <xdr:col>8</xdr:col>
          <xdr:colOff>485775</xdr:colOff>
          <xdr:row>98</xdr:row>
          <xdr:rowOff>542925</xdr:rowOff>
        </xdr:to>
        <xdr:sp macro="" textlink="">
          <xdr:nvSpPr>
            <xdr:cNvPr id="60029" name="Option Button 637" hidden="1">
              <a:extLst>
                <a:ext uri="{63B3BB69-23CF-44E3-9099-C40C66FF867C}">
                  <a14:compatExt spid="_x0000_s60029"/>
                </a:ext>
                <a:ext uri="{FF2B5EF4-FFF2-40B4-BE49-F238E27FC236}">
                  <a16:creationId xmlns:a16="http://schemas.microsoft.com/office/drawing/2014/main" id="{00000000-0008-0000-1000-00007D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98</xdr:row>
          <xdr:rowOff>333375</xdr:rowOff>
        </xdr:from>
        <xdr:to>
          <xdr:col>9</xdr:col>
          <xdr:colOff>485775</xdr:colOff>
          <xdr:row>98</xdr:row>
          <xdr:rowOff>542925</xdr:rowOff>
        </xdr:to>
        <xdr:sp macro="" textlink="">
          <xdr:nvSpPr>
            <xdr:cNvPr id="60030" name="Option Button 638" hidden="1">
              <a:extLst>
                <a:ext uri="{63B3BB69-23CF-44E3-9099-C40C66FF867C}">
                  <a14:compatExt spid="_x0000_s60030"/>
                </a:ext>
                <a:ext uri="{FF2B5EF4-FFF2-40B4-BE49-F238E27FC236}">
                  <a16:creationId xmlns:a16="http://schemas.microsoft.com/office/drawing/2014/main" id="{00000000-0008-0000-1000-00007E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98</xdr:row>
          <xdr:rowOff>333375</xdr:rowOff>
        </xdr:from>
        <xdr:to>
          <xdr:col>10</xdr:col>
          <xdr:colOff>485775</xdr:colOff>
          <xdr:row>98</xdr:row>
          <xdr:rowOff>542925</xdr:rowOff>
        </xdr:to>
        <xdr:sp macro="" textlink="">
          <xdr:nvSpPr>
            <xdr:cNvPr id="60031" name="Option Button 639" hidden="1">
              <a:extLst>
                <a:ext uri="{63B3BB69-23CF-44E3-9099-C40C66FF867C}">
                  <a14:compatExt spid="_x0000_s60031"/>
                </a:ext>
                <a:ext uri="{FF2B5EF4-FFF2-40B4-BE49-F238E27FC236}">
                  <a16:creationId xmlns:a16="http://schemas.microsoft.com/office/drawing/2014/main" id="{00000000-0008-0000-1000-00007F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98</xdr:row>
          <xdr:rowOff>314325</xdr:rowOff>
        </xdr:from>
        <xdr:to>
          <xdr:col>11</xdr:col>
          <xdr:colOff>0</xdr:colOff>
          <xdr:row>98</xdr:row>
          <xdr:rowOff>561975</xdr:rowOff>
        </xdr:to>
        <xdr:sp macro="" textlink="">
          <xdr:nvSpPr>
            <xdr:cNvPr id="60032" name="Group Box 640" hidden="1">
              <a:extLst>
                <a:ext uri="{63B3BB69-23CF-44E3-9099-C40C66FF867C}">
                  <a14:compatExt spid="_x0000_s60032"/>
                </a:ext>
                <a:ext uri="{FF2B5EF4-FFF2-40B4-BE49-F238E27FC236}">
                  <a16:creationId xmlns:a16="http://schemas.microsoft.com/office/drawing/2014/main" id="{00000000-0008-0000-1000-000080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90</xdr:row>
          <xdr:rowOff>390525</xdr:rowOff>
        </xdr:from>
        <xdr:to>
          <xdr:col>8</xdr:col>
          <xdr:colOff>485775</xdr:colOff>
          <xdr:row>90</xdr:row>
          <xdr:rowOff>600075</xdr:rowOff>
        </xdr:to>
        <xdr:sp macro="" textlink="">
          <xdr:nvSpPr>
            <xdr:cNvPr id="60033" name="Option Button 641" hidden="1">
              <a:extLst>
                <a:ext uri="{63B3BB69-23CF-44E3-9099-C40C66FF867C}">
                  <a14:compatExt spid="_x0000_s60033"/>
                </a:ext>
                <a:ext uri="{FF2B5EF4-FFF2-40B4-BE49-F238E27FC236}">
                  <a16:creationId xmlns:a16="http://schemas.microsoft.com/office/drawing/2014/main" id="{00000000-0008-0000-1000-000081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90</xdr:row>
          <xdr:rowOff>390525</xdr:rowOff>
        </xdr:from>
        <xdr:to>
          <xdr:col>9</xdr:col>
          <xdr:colOff>485775</xdr:colOff>
          <xdr:row>90</xdr:row>
          <xdr:rowOff>600075</xdr:rowOff>
        </xdr:to>
        <xdr:sp macro="" textlink="">
          <xdr:nvSpPr>
            <xdr:cNvPr id="60034" name="Option Button 642" hidden="1">
              <a:extLst>
                <a:ext uri="{63B3BB69-23CF-44E3-9099-C40C66FF867C}">
                  <a14:compatExt spid="_x0000_s60034"/>
                </a:ext>
                <a:ext uri="{FF2B5EF4-FFF2-40B4-BE49-F238E27FC236}">
                  <a16:creationId xmlns:a16="http://schemas.microsoft.com/office/drawing/2014/main" id="{00000000-0008-0000-1000-000082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90</xdr:row>
          <xdr:rowOff>390525</xdr:rowOff>
        </xdr:from>
        <xdr:to>
          <xdr:col>10</xdr:col>
          <xdr:colOff>485775</xdr:colOff>
          <xdr:row>90</xdr:row>
          <xdr:rowOff>600075</xdr:rowOff>
        </xdr:to>
        <xdr:sp macro="" textlink="">
          <xdr:nvSpPr>
            <xdr:cNvPr id="60035" name="Option Button 643" hidden="1">
              <a:extLst>
                <a:ext uri="{63B3BB69-23CF-44E3-9099-C40C66FF867C}">
                  <a14:compatExt spid="_x0000_s60035"/>
                </a:ext>
                <a:ext uri="{FF2B5EF4-FFF2-40B4-BE49-F238E27FC236}">
                  <a16:creationId xmlns:a16="http://schemas.microsoft.com/office/drawing/2014/main" id="{00000000-0008-0000-1000-000083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90</xdr:row>
          <xdr:rowOff>371475</xdr:rowOff>
        </xdr:from>
        <xdr:to>
          <xdr:col>11</xdr:col>
          <xdr:colOff>0</xdr:colOff>
          <xdr:row>90</xdr:row>
          <xdr:rowOff>619125</xdr:rowOff>
        </xdr:to>
        <xdr:sp macro="" textlink="">
          <xdr:nvSpPr>
            <xdr:cNvPr id="60036" name="Group Box 644" hidden="1">
              <a:extLst>
                <a:ext uri="{63B3BB69-23CF-44E3-9099-C40C66FF867C}">
                  <a14:compatExt spid="_x0000_s60036"/>
                </a:ext>
                <a:ext uri="{FF2B5EF4-FFF2-40B4-BE49-F238E27FC236}">
                  <a16:creationId xmlns:a16="http://schemas.microsoft.com/office/drawing/2014/main" id="{00000000-0008-0000-1000-000084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238125</xdr:colOff>
          <xdr:row>63</xdr:row>
          <xdr:rowOff>95250</xdr:rowOff>
        </xdr:from>
        <xdr:to>
          <xdr:col>8</xdr:col>
          <xdr:colOff>485775</xdr:colOff>
          <xdr:row>63</xdr:row>
          <xdr:rowOff>304800</xdr:rowOff>
        </xdr:to>
        <xdr:sp macro="" textlink="">
          <xdr:nvSpPr>
            <xdr:cNvPr id="60037" name="Option Button 645" hidden="1">
              <a:extLst>
                <a:ext uri="{63B3BB69-23CF-44E3-9099-C40C66FF867C}">
                  <a14:compatExt spid="_x0000_s60037"/>
                </a:ext>
                <a:ext uri="{FF2B5EF4-FFF2-40B4-BE49-F238E27FC236}">
                  <a16:creationId xmlns:a16="http://schemas.microsoft.com/office/drawing/2014/main" id="{00000000-0008-0000-1000-000085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63</xdr:row>
          <xdr:rowOff>95250</xdr:rowOff>
        </xdr:from>
        <xdr:to>
          <xdr:col>9</xdr:col>
          <xdr:colOff>485775</xdr:colOff>
          <xdr:row>63</xdr:row>
          <xdr:rowOff>304800</xdr:rowOff>
        </xdr:to>
        <xdr:sp macro="" textlink="">
          <xdr:nvSpPr>
            <xdr:cNvPr id="60038" name="Option Button 646" hidden="1">
              <a:extLst>
                <a:ext uri="{63B3BB69-23CF-44E3-9099-C40C66FF867C}">
                  <a14:compatExt spid="_x0000_s60038"/>
                </a:ext>
                <a:ext uri="{FF2B5EF4-FFF2-40B4-BE49-F238E27FC236}">
                  <a16:creationId xmlns:a16="http://schemas.microsoft.com/office/drawing/2014/main" id="{00000000-0008-0000-1000-000086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238125</xdr:colOff>
          <xdr:row>63</xdr:row>
          <xdr:rowOff>95250</xdr:rowOff>
        </xdr:from>
        <xdr:to>
          <xdr:col>10</xdr:col>
          <xdr:colOff>485775</xdr:colOff>
          <xdr:row>63</xdr:row>
          <xdr:rowOff>304800</xdr:rowOff>
        </xdr:to>
        <xdr:sp macro="" textlink="">
          <xdr:nvSpPr>
            <xdr:cNvPr id="60039" name="Option Button 647" hidden="1">
              <a:extLst>
                <a:ext uri="{63B3BB69-23CF-44E3-9099-C40C66FF867C}">
                  <a14:compatExt spid="_x0000_s60039"/>
                </a:ext>
                <a:ext uri="{FF2B5EF4-FFF2-40B4-BE49-F238E27FC236}">
                  <a16:creationId xmlns:a16="http://schemas.microsoft.com/office/drawing/2014/main" id="{00000000-0008-0000-1000-000087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63</xdr:row>
          <xdr:rowOff>76200</xdr:rowOff>
        </xdr:from>
        <xdr:to>
          <xdr:col>11</xdr:col>
          <xdr:colOff>0</xdr:colOff>
          <xdr:row>63</xdr:row>
          <xdr:rowOff>323850</xdr:rowOff>
        </xdr:to>
        <xdr:sp macro="" textlink="">
          <xdr:nvSpPr>
            <xdr:cNvPr id="60040" name="Group Box 648" hidden="1">
              <a:extLst>
                <a:ext uri="{63B3BB69-23CF-44E3-9099-C40C66FF867C}">
                  <a14:compatExt spid="_x0000_s60040"/>
                </a:ext>
                <a:ext uri="{FF2B5EF4-FFF2-40B4-BE49-F238E27FC236}">
                  <a16:creationId xmlns:a16="http://schemas.microsoft.com/office/drawing/2014/main" id="{00000000-0008-0000-1000-000088EA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76200</xdr:colOff>
          <xdr:row>193</xdr:row>
          <xdr:rowOff>57150</xdr:rowOff>
        </xdr:from>
        <xdr:to>
          <xdr:col>12</xdr:col>
          <xdr:colOff>323850</xdr:colOff>
          <xdr:row>193</xdr:row>
          <xdr:rowOff>323850</xdr:rowOff>
        </xdr:to>
        <xdr:sp macro="" textlink="">
          <xdr:nvSpPr>
            <xdr:cNvPr id="60042" name="Check Box 650" hidden="1">
              <a:extLst>
                <a:ext uri="{63B3BB69-23CF-44E3-9099-C40C66FF867C}">
                  <a14:compatExt spid="_x0000_s60042"/>
                </a:ext>
                <a:ext uri="{FF2B5EF4-FFF2-40B4-BE49-F238E27FC236}">
                  <a16:creationId xmlns:a16="http://schemas.microsoft.com/office/drawing/2014/main" id="{00000000-0008-0000-1000-00008AEA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31116</xdr:colOff>
      <xdr:row>100</xdr:row>
      <xdr:rowOff>583248</xdr:rowOff>
    </xdr:from>
    <xdr:to>
      <xdr:col>0</xdr:col>
      <xdr:colOff>665481</xdr:colOff>
      <xdr:row>100</xdr:row>
      <xdr:rowOff>1234758</xdr:rowOff>
    </xdr:to>
    <xdr:pic>
      <xdr:nvPicPr>
        <xdr:cNvPr id="2" name="図 1" descr="アイコン&#10;&#10;自動的に生成された説明">
          <a:extLst>
            <a:ext uri="{FF2B5EF4-FFF2-40B4-BE49-F238E27FC236}">
              <a16:creationId xmlns:a16="http://schemas.microsoft.com/office/drawing/2014/main" id="{FC036731-525E-DDAF-2B80-D682DA82DFE3}"/>
            </a:ext>
          </a:extLst>
        </xdr:cNvPr>
        <xdr:cNvPicPr>
          <a:picLocks noChangeAspect="1"/>
        </xdr:cNvPicPr>
      </xdr:nvPicPr>
      <xdr:blipFill>
        <a:blip xmlns:r="http://schemas.openxmlformats.org/officeDocument/2006/relationships" r:embed="rId1"/>
        <a:stretch>
          <a:fillRect/>
        </a:stretch>
      </xdr:blipFill>
      <xdr:spPr>
        <a:xfrm>
          <a:off x="31116" y="53962936"/>
          <a:ext cx="647700" cy="647700"/>
        </a:xfrm>
        <a:prstGeom prst="rect">
          <a:avLst/>
        </a:prstGeom>
      </xdr:spPr>
    </xdr:pic>
    <xdr:clientData/>
  </xdr:twoCellAnchor>
  <xdr:twoCellAnchor editAs="oneCell">
    <xdr:from>
      <xdr:col>0</xdr:col>
      <xdr:colOff>31750</xdr:colOff>
      <xdr:row>103</xdr:row>
      <xdr:rowOff>158750</xdr:rowOff>
    </xdr:from>
    <xdr:to>
      <xdr:col>0</xdr:col>
      <xdr:colOff>666115</xdr:colOff>
      <xdr:row>105</xdr:row>
      <xdr:rowOff>57785</xdr:rowOff>
    </xdr:to>
    <xdr:pic>
      <xdr:nvPicPr>
        <xdr:cNvPr id="3" name="図 2" descr="テーブル が含まれている画像&#10;&#10;自動的に生成された説明">
          <a:extLst>
            <a:ext uri="{FF2B5EF4-FFF2-40B4-BE49-F238E27FC236}">
              <a16:creationId xmlns:a16="http://schemas.microsoft.com/office/drawing/2014/main" id="{0BA84195-CD2A-2425-4A61-7A425D962CD3}"/>
            </a:ext>
          </a:extLst>
        </xdr:cNvPr>
        <xdr:cNvPicPr>
          <a:picLocks noChangeAspect="1"/>
        </xdr:cNvPicPr>
      </xdr:nvPicPr>
      <xdr:blipFill>
        <a:blip xmlns:r="http://schemas.openxmlformats.org/officeDocument/2006/relationships" r:embed="rId2"/>
        <a:stretch>
          <a:fillRect/>
        </a:stretch>
      </xdr:blipFill>
      <xdr:spPr>
        <a:xfrm>
          <a:off x="31750" y="55602188"/>
          <a:ext cx="647700" cy="647700"/>
        </a:xfrm>
        <a:prstGeom prst="rect">
          <a:avLst/>
        </a:prstGeom>
      </xdr:spPr>
    </xdr:pic>
    <xdr:clientData/>
  </xdr:twoCellAnchor>
  <xdr:twoCellAnchor editAs="oneCell">
    <xdr:from>
      <xdr:col>0</xdr:col>
      <xdr:colOff>23813</xdr:colOff>
      <xdr:row>139</xdr:row>
      <xdr:rowOff>373063</xdr:rowOff>
    </xdr:from>
    <xdr:to>
      <xdr:col>0</xdr:col>
      <xdr:colOff>667703</xdr:colOff>
      <xdr:row>141</xdr:row>
      <xdr:rowOff>251143</xdr:rowOff>
    </xdr:to>
    <xdr:pic>
      <xdr:nvPicPr>
        <xdr:cNvPr id="4" name="図 3" descr="テキスト が含まれている画像&#10;&#10;自動的に生成された説明">
          <a:extLst>
            <a:ext uri="{FF2B5EF4-FFF2-40B4-BE49-F238E27FC236}">
              <a16:creationId xmlns:a16="http://schemas.microsoft.com/office/drawing/2014/main" id="{B8D58B65-A741-B1AF-5FBB-8078D54A27B7}"/>
            </a:ext>
          </a:extLst>
        </xdr:cNvPr>
        <xdr:cNvPicPr>
          <a:picLocks noChangeAspect="1"/>
        </xdr:cNvPicPr>
      </xdr:nvPicPr>
      <xdr:blipFill>
        <a:blip xmlns:r="http://schemas.openxmlformats.org/officeDocument/2006/relationships" r:embed="rId3"/>
        <a:stretch>
          <a:fillRect/>
        </a:stretch>
      </xdr:blipFill>
      <xdr:spPr>
        <a:xfrm>
          <a:off x="23813" y="73517126"/>
          <a:ext cx="647700" cy="647700"/>
        </a:xfrm>
        <a:prstGeom prst="rect">
          <a:avLst/>
        </a:prstGeom>
      </xdr:spPr>
    </xdr:pic>
    <xdr:clientData/>
  </xdr:twoCellAnchor>
  <xdr:twoCellAnchor editAs="oneCell">
    <xdr:from>
      <xdr:col>0</xdr:col>
      <xdr:colOff>23813</xdr:colOff>
      <xdr:row>171</xdr:row>
      <xdr:rowOff>71438</xdr:rowOff>
    </xdr:from>
    <xdr:to>
      <xdr:col>0</xdr:col>
      <xdr:colOff>667703</xdr:colOff>
      <xdr:row>171</xdr:row>
      <xdr:rowOff>707708</xdr:rowOff>
    </xdr:to>
    <xdr:pic>
      <xdr:nvPicPr>
        <xdr:cNvPr id="5" name="図 4" descr="アイコン&#10;&#10;中程度の精度で自動的に生成された説明">
          <a:extLst>
            <a:ext uri="{FF2B5EF4-FFF2-40B4-BE49-F238E27FC236}">
              <a16:creationId xmlns:a16="http://schemas.microsoft.com/office/drawing/2014/main" id="{7DDDCC10-EB7E-CE46-16BD-330FF54C0163}"/>
            </a:ext>
          </a:extLst>
        </xdr:cNvPr>
        <xdr:cNvPicPr>
          <a:picLocks noChangeAspect="1"/>
        </xdr:cNvPicPr>
      </xdr:nvPicPr>
      <xdr:blipFill>
        <a:blip xmlns:r="http://schemas.openxmlformats.org/officeDocument/2006/relationships" r:embed="rId4"/>
        <a:stretch>
          <a:fillRect/>
        </a:stretch>
      </xdr:blipFill>
      <xdr:spPr>
        <a:xfrm>
          <a:off x="23813" y="88677751"/>
          <a:ext cx="647700" cy="647700"/>
        </a:xfrm>
        <a:prstGeom prst="rect">
          <a:avLst/>
        </a:prstGeom>
      </xdr:spPr>
    </xdr:pic>
    <xdr:clientData/>
  </xdr:twoCellAnchor>
  <xdr:twoCellAnchor editAs="oneCell">
    <xdr:from>
      <xdr:col>0</xdr:col>
      <xdr:colOff>23812</xdr:colOff>
      <xdr:row>183</xdr:row>
      <xdr:rowOff>619125</xdr:rowOff>
    </xdr:from>
    <xdr:to>
      <xdr:col>0</xdr:col>
      <xdr:colOff>667702</xdr:colOff>
      <xdr:row>183</xdr:row>
      <xdr:rowOff>1276350</xdr:rowOff>
    </xdr:to>
    <xdr:pic>
      <xdr:nvPicPr>
        <xdr:cNvPr id="6" name="図 5" descr="ロゴ&#10;&#10;中程度の精度で自動的に生成された説明">
          <a:extLst>
            <a:ext uri="{FF2B5EF4-FFF2-40B4-BE49-F238E27FC236}">
              <a16:creationId xmlns:a16="http://schemas.microsoft.com/office/drawing/2014/main" id="{67DA80DA-E0B1-4163-61EF-30277EEE2784}"/>
            </a:ext>
          </a:extLst>
        </xdr:cNvPr>
        <xdr:cNvPicPr>
          <a:picLocks noChangeAspect="1"/>
        </xdr:cNvPicPr>
      </xdr:nvPicPr>
      <xdr:blipFill>
        <a:blip xmlns:r="http://schemas.openxmlformats.org/officeDocument/2006/relationships" r:embed="rId5"/>
        <a:stretch>
          <a:fillRect/>
        </a:stretch>
      </xdr:blipFill>
      <xdr:spPr>
        <a:xfrm>
          <a:off x="23812" y="95837375"/>
          <a:ext cx="647700" cy="647700"/>
        </a:xfrm>
        <a:prstGeom prst="rect">
          <a:avLst/>
        </a:prstGeom>
      </xdr:spPr>
    </xdr:pic>
    <xdr:clientData/>
  </xdr:twoCellAnchor>
  <xdr:twoCellAnchor editAs="oneCell">
    <xdr:from>
      <xdr:col>0</xdr:col>
      <xdr:colOff>28258</xdr:colOff>
      <xdr:row>185</xdr:row>
      <xdr:rowOff>57789</xdr:rowOff>
    </xdr:from>
    <xdr:to>
      <xdr:col>0</xdr:col>
      <xdr:colOff>666433</xdr:colOff>
      <xdr:row>185</xdr:row>
      <xdr:rowOff>705489</xdr:rowOff>
    </xdr:to>
    <xdr:pic>
      <xdr:nvPicPr>
        <xdr:cNvPr id="7" name="図 6" descr="グラフィカル ユーザー インターフェイス, アプリケーション, アイコン&#10;&#10;自動的に生成された説明">
          <a:extLst>
            <a:ext uri="{FF2B5EF4-FFF2-40B4-BE49-F238E27FC236}">
              <a16:creationId xmlns:a16="http://schemas.microsoft.com/office/drawing/2014/main" id="{2009C187-8E6F-B8C4-5DAF-90E1B9168A52}"/>
            </a:ext>
          </a:extLst>
        </xdr:cNvPr>
        <xdr:cNvPicPr>
          <a:picLocks noChangeAspect="1"/>
        </xdr:cNvPicPr>
      </xdr:nvPicPr>
      <xdr:blipFill>
        <a:blip xmlns:r="http://schemas.openxmlformats.org/officeDocument/2006/relationships" r:embed="rId6"/>
        <a:stretch>
          <a:fillRect/>
        </a:stretch>
      </xdr:blipFill>
      <xdr:spPr>
        <a:xfrm>
          <a:off x="28258" y="97323914"/>
          <a:ext cx="647700" cy="643890"/>
        </a:xfrm>
        <a:prstGeom prst="rect">
          <a:avLst/>
        </a:prstGeom>
      </xdr:spPr>
    </xdr:pic>
    <xdr:clientData/>
  </xdr:twoCellAnchor>
  <xdr:twoCellAnchor editAs="oneCell">
    <xdr:from>
      <xdr:col>0</xdr:col>
      <xdr:colOff>33655</xdr:colOff>
      <xdr:row>189</xdr:row>
      <xdr:rowOff>684530</xdr:rowOff>
    </xdr:from>
    <xdr:to>
      <xdr:col>0</xdr:col>
      <xdr:colOff>669925</xdr:colOff>
      <xdr:row>189</xdr:row>
      <xdr:rowOff>1332230</xdr:rowOff>
    </xdr:to>
    <xdr:pic>
      <xdr:nvPicPr>
        <xdr:cNvPr id="8" name="図 7" descr="テキスト&#10;&#10;自動的に生成された説明">
          <a:extLst>
            <a:ext uri="{FF2B5EF4-FFF2-40B4-BE49-F238E27FC236}">
              <a16:creationId xmlns:a16="http://schemas.microsoft.com/office/drawing/2014/main" id="{09DAFD67-27CF-FB4E-AA56-886364A0733C}"/>
            </a:ext>
          </a:extLst>
        </xdr:cNvPr>
        <xdr:cNvPicPr>
          <a:picLocks noChangeAspect="1"/>
        </xdr:cNvPicPr>
      </xdr:nvPicPr>
      <xdr:blipFill>
        <a:blip xmlns:r="http://schemas.openxmlformats.org/officeDocument/2006/relationships" r:embed="rId7"/>
        <a:stretch>
          <a:fillRect/>
        </a:stretch>
      </xdr:blipFill>
      <xdr:spPr>
        <a:xfrm>
          <a:off x="33655" y="99903280"/>
          <a:ext cx="643890" cy="647700"/>
        </a:xfrm>
        <a:prstGeom prst="rect">
          <a:avLst/>
        </a:prstGeom>
      </xdr:spPr>
    </xdr:pic>
    <xdr:clientData/>
  </xdr:twoCellAnchor>
  <xdr:twoCellAnchor editAs="oneCell">
    <xdr:from>
      <xdr:col>0</xdr:col>
      <xdr:colOff>23813</xdr:colOff>
      <xdr:row>191</xdr:row>
      <xdr:rowOff>531812</xdr:rowOff>
    </xdr:from>
    <xdr:to>
      <xdr:col>0</xdr:col>
      <xdr:colOff>667703</xdr:colOff>
      <xdr:row>191</xdr:row>
      <xdr:rowOff>1179512</xdr:rowOff>
    </xdr:to>
    <xdr:pic>
      <xdr:nvPicPr>
        <xdr:cNvPr id="9" name="図 8" descr="アイコン&#10;&#10;中程度の精度で自動的に生成された説明">
          <a:extLst>
            <a:ext uri="{FF2B5EF4-FFF2-40B4-BE49-F238E27FC236}">
              <a16:creationId xmlns:a16="http://schemas.microsoft.com/office/drawing/2014/main" id="{1FE49D4D-3560-62C4-F78F-CBBB3FE0D9B8}"/>
            </a:ext>
          </a:extLst>
        </xdr:cNvPr>
        <xdr:cNvPicPr>
          <a:picLocks noChangeAspect="1"/>
        </xdr:cNvPicPr>
      </xdr:nvPicPr>
      <xdr:blipFill>
        <a:blip xmlns:r="http://schemas.openxmlformats.org/officeDocument/2006/relationships" r:embed="rId8"/>
        <a:stretch>
          <a:fillRect/>
        </a:stretch>
      </xdr:blipFill>
      <xdr:spPr>
        <a:xfrm>
          <a:off x="23813" y="101504750"/>
          <a:ext cx="647700" cy="647700"/>
        </a:xfrm>
        <a:prstGeom prst="rect">
          <a:avLst/>
        </a:prstGeom>
      </xdr:spPr>
    </xdr:pic>
    <xdr:clientData/>
  </xdr:twoCellAnchor>
  <xdr:twoCellAnchor editAs="oneCell">
    <xdr:from>
      <xdr:col>0</xdr:col>
      <xdr:colOff>31750</xdr:colOff>
      <xdr:row>6</xdr:row>
      <xdr:rowOff>428625</xdr:rowOff>
    </xdr:from>
    <xdr:to>
      <xdr:col>0</xdr:col>
      <xdr:colOff>666115</xdr:colOff>
      <xdr:row>6</xdr:row>
      <xdr:rowOff>1085850</xdr:rowOff>
    </xdr:to>
    <xdr:pic>
      <xdr:nvPicPr>
        <xdr:cNvPr id="10" name="図 9" descr="テキスト&#10;&#10;自動的に生成された説明">
          <a:extLst>
            <a:ext uri="{FF2B5EF4-FFF2-40B4-BE49-F238E27FC236}">
              <a16:creationId xmlns:a16="http://schemas.microsoft.com/office/drawing/2014/main" id="{91159BC6-97E5-A494-C44B-60F111F9444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1750" y="1920875"/>
          <a:ext cx="647700" cy="647700"/>
        </a:xfrm>
        <a:prstGeom prst="rect">
          <a:avLst/>
        </a:prstGeom>
      </xdr:spPr>
    </xdr:pic>
    <xdr:clientData/>
  </xdr:twoCellAnchor>
  <xdr:twoCellAnchor editAs="oneCell">
    <xdr:from>
      <xdr:col>0</xdr:col>
      <xdr:colOff>31750</xdr:colOff>
      <xdr:row>7</xdr:row>
      <xdr:rowOff>428625</xdr:rowOff>
    </xdr:from>
    <xdr:to>
      <xdr:col>0</xdr:col>
      <xdr:colOff>666115</xdr:colOff>
      <xdr:row>7</xdr:row>
      <xdr:rowOff>1085850</xdr:rowOff>
    </xdr:to>
    <xdr:pic>
      <xdr:nvPicPr>
        <xdr:cNvPr id="11" name="図 10" descr="アイコン&#10;&#10;自動的に生成された説明">
          <a:extLst>
            <a:ext uri="{FF2B5EF4-FFF2-40B4-BE49-F238E27FC236}">
              <a16:creationId xmlns:a16="http://schemas.microsoft.com/office/drawing/2014/main" id="{8F4B7C35-0593-8995-A770-EA4537FC54F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1750" y="3079750"/>
          <a:ext cx="647700" cy="647700"/>
        </a:xfrm>
        <a:prstGeom prst="rect">
          <a:avLst/>
        </a:prstGeom>
      </xdr:spPr>
    </xdr:pic>
    <xdr:clientData/>
  </xdr:twoCellAnchor>
  <xdr:twoCellAnchor editAs="oneCell">
    <xdr:from>
      <xdr:col>0</xdr:col>
      <xdr:colOff>31750</xdr:colOff>
      <xdr:row>10</xdr:row>
      <xdr:rowOff>103188</xdr:rowOff>
    </xdr:from>
    <xdr:to>
      <xdr:col>0</xdr:col>
      <xdr:colOff>666115</xdr:colOff>
      <xdr:row>11</xdr:row>
      <xdr:rowOff>379413</xdr:rowOff>
    </xdr:to>
    <xdr:pic>
      <xdr:nvPicPr>
        <xdr:cNvPr id="12" name="図 11" descr="アイコン&#10;&#10;低い精度で自動的に生成された説明">
          <a:extLst>
            <a:ext uri="{FF2B5EF4-FFF2-40B4-BE49-F238E27FC236}">
              <a16:creationId xmlns:a16="http://schemas.microsoft.com/office/drawing/2014/main" id="{B0478F45-633A-084F-A9C3-D99804186E6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1750" y="4706938"/>
          <a:ext cx="647700" cy="647700"/>
        </a:xfrm>
        <a:prstGeom prst="rect">
          <a:avLst/>
        </a:prstGeom>
      </xdr:spPr>
    </xdr:pic>
    <xdr:clientData/>
  </xdr:twoCellAnchor>
  <xdr:twoCellAnchor editAs="oneCell">
    <xdr:from>
      <xdr:col>0</xdr:col>
      <xdr:colOff>31750</xdr:colOff>
      <xdr:row>32</xdr:row>
      <xdr:rowOff>722312</xdr:rowOff>
    </xdr:from>
    <xdr:to>
      <xdr:col>0</xdr:col>
      <xdr:colOff>666115</xdr:colOff>
      <xdr:row>33</xdr:row>
      <xdr:rowOff>60007</xdr:rowOff>
    </xdr:to>
    <xdr:pic>
      <xdr:nvPicPr>
        <xdr:cNvPr id="13" name="図 12" descr="抽象, 挿絵 が含まれている画像&#10;&#10;自動的に生成された説明">
          <a:extLst>
            <a:ext uri="{FF2B5EF4-FFF2-40B4-BE49-F238E27FC236}">
              <a16:creationId xmlns:a16="http://schemas.microsoft.com/office/drawing/2014/main" id="{FD5FCDBC-DBD4-8EA7-8B64-2FB8480474B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1750" y="15803562"/>
          <a:ext cx="647700" cy="647700"/>
        </a:xfrm>
        <a:prstGeom prst="rect">
          <a:avLst/>
        </a:prstGeom>
      </xdr:spPr>
    </xdr:pic>
    <xdr:clientData/>
  </xdr:twoCellAnchor>
  <xdr:twoCellAnchor editAs="oneCell">
    <xdr:from>
      <xdr:col>0</xdr:col>
      <xdr:colOff>28258</xdr:colOff>
      <xdr:row>43</xdr:row>
      <xdr:rowOff>365442</xdr:rowOff>
    </xdr:from>
    <xdr:to>
      <xdr:col>0</xdr:col>
      <xdr:colOff>670243</xdr:colOff>
      <xdr:row>43</xdr:row>
      <xdr:rowOff>1007427</xdr:rowOff>
    </xdr:to>
    <xdr:pic>
      <xdr:nvPicPr>
        <xdr:cNvPr id="14" name="図 13" descr="アイコン&#10;&#10;自動的に生成された説明">
          <a:extLst>
            <a:ext uri="{FF2B5EF4-FFF2-40B4-BE49-F238E27FC236}">
              <a16:creationId xmlns:a16="http://schemas.microsoft.com/office/drawing/2014/main" id="{13D8C717-FFD0-F09C-2AF4-54BCC83F129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8258" y="22550755"/>
          <a:ext cx="647700" cy="641985"/>
        </a:xfrm>
        <a:prstGeom prst="rect">
          <a:avLst/>
        </a:prstGeom>
      </xdr:spPr>
    </xdr:pic>
    <xdr:clientData/>
  </xdr:twoCellAnchor>
  <xdr:twoCellAnchor editAs="oneCell">
    <xdr:from>
      <xdr:col>0</xdr:col>
      <xdr:colOff>31750</xdr:colOff>
      <xdr:row>49</xdr:row>
      <xdr:rowOff>206375</xdr:rowOff>
    </xdr:from>
    <xdr:to>
      <xdr:col>0</xdr:col>
      <xdr:colOff>669925</xdr:colOff>
      <xdr:row>50</xdr:row>
      <xdr:rowOff>516255</xdr:rowOff>
    </xdr:to>
    <xdr:pic>
      <xdr:nvPicPr>
        <xdr:cNvPr id="15" name="図 14" descr="図形 が含まれている画像&#10;&#10;自動的に生成された説明">
          <a:extLst>
            <a:ext uri="{FF2B5EF4-FFF2-40B4-BE49-F238E27FC236}">
              <a16:creationId xmlns:a16="http://schemas.microsoft.com/office/drawing/2014/main" id="{04E8D8BB-3CA2-26DB-F1B6-8CBC28C2D41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1750" y="25876250"/>
          <a:ext cx="647700" cy="651510"/>
        </a:xfrm>
        <a:prstGeom prst="rect">
          <a:avLst/>
        </a:prstGeom>
      </xdr:spPr>
    </xdr:pic>
    <xdr:clientData/>
  </xdr:twoCellAnchor>
  <xdr:twoCellAnchor editAs="oneCell">
    <xdr:from>
      <xdr:col>0</xdr:col>
      <xdr:colOff>31750</xdr:colOff>
      <xdr:row>58</xdr:row>
      <xdr:rowOff>71438</xdr:rowOff>
    </xdr:from>
    <xdr:to>
      <xdr:col>0</xdr:col>
      <xdr:colOff>669925</xdr:colOff>
      <xdr:row>58</xdr:row>
      <xdr:rowOff>721043</xdr:rowOff>
    </xdr:to>
    <xdr:pic>
      <xdr:nvPicPr>
        <xdr:cNvPr id="16" name="図 15" descr="アイコン&#10;&#10;自動的に生成された説明">
          <a:extLst>
            <a:ext uri="{FF2B5EF4-FFF2-40B4-BE49-F238E27FC236}">
              <a16:creationId xmlns:a16="http://schemas.microsoft.com/office/drawing/2014/main" id="{39DE63FA-D78D-A984-8A9F-87A74530570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1750" y="30106938"/>
          <a:ext cx="647700" cy="649605"/>
        </a:xfrm>
        <a:prstGeom prst="rect">
          <a:avLst/>
        </a:prstGeom>
      </xdr:spPr>
    </xdr:pic>
    <xdr:clientData/>
  </xdr:twoCellAnchor>
  <xdr:twoCellAnchor editAs="oneCell">
    <xdr:from>
      <xdr:col>0</xdr:col>
      <xdr:colOff>29529</xdr:colOff>
      <xdr:row>65</xdr:row>
      <xdr:rowOff>897255</xdr:rowOff>
    </xdr:from>
    <xdr:to>
      <xdr:col>0</xdr:col>
      <xdr:colOff>669609</xdr:colOff>
      <xdr:row>66</xdr:row>
      <xdr:rowOff>53975</xdr:rowOff>
    </xdr:to>
    <xdr:pic>
      <xdr:nvPicPr>
        <xdr:cNvPr id="17" name="図 16" descr="アイコン&#10;&#10;低い精度で自動的に生成された説明">
          <a:extLst>
            <a:ext uri="{FF2B5EF4-FFF2-40B4-BE49-F238E27FC236}">
              <a16:creationId xmlns:a16="http://schemas.microsoft.com/office/drawing/2014/main" id="{653370DF-DF84-0514-528F-1C44EE880BB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9529" y="36314380"/>
          <a:ext cx="647700" cy="661035"/>
        </a:xfrm>
        <a:prstGeom prst="rect">
          <a:avLst/>
        </a:prstGeom>
      </xdr:spPr>
    </xdr:pic>
    <xdr:clientData/>
  </xdr:twoCellAnchor>
  <xdr:twoCellAnchor editAs="oneCell">
    <xdr:from>
      <xdr:col>0</xdr:col>
      <xdr:colOff>23813</xdr:colOff>
      <xdr:row>87</xdr:row>
      <xdr:rowOff>968375</xdr:rowOff>
    </xdr:from>
    <xdr:to>
      <xdr:col>0</xdr:col>
      <xdr:colOff>663893</xdr:colOff>
      <xdr:row>88</xdr:row>
      <xdr:rowOff>361950</xdr:rowOff>
    </xdr:to>
    <xdr:pic>
      <xdr:nvPicPr>
        <xdr:cNvPr id="18" name="図 17" descr="アイコン が含まれている画像&#10;&#10;自動的に生成された説明">
          <a:extLst>
            <a:ext uri="{FF2B5EF4-FFF2-40B4-BE49-F238E27FC236}">
              <a16:creationId xmlns:a16="http://schemas.microsoft.com/office/drawing/2014/main" id="{76DD5C1F-3207-3C39-8BC4-BB2AC724101C}"/>
            </a:ext>
          </a:extLst>
        </xdr:cNvPr>
        <xdr:cNvPicPr>
          <a:picLocks noChangeAspect="1"/>
        </xdr:cNvPicPr>
      </xdr:nvPicPr>
      <xdr:blipFill>
        <a:blip xmlns:r="http://schemas.openxmlformats.org/officeDocument/2006/relationships" r:embed="rId17"/>
        <a:stretch>
          <a:fillRect/>
        </a:stretch>
      </xdr:blipFill>
      <xdr:spPr>
        <a:xfrm>
          <a:off x="23813" y="47124938"/>
          <a:ext cx="647700" cy="6477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314325</xdr:colOff>
      <xdr:row>0</xdr:row>
      <xdr:rowOff>104775</xdr:rowOff>
    </xdr:from>
    <xdr:to>
      <xdr:col>17</xdr:col>
      <xdr:colOff>657225</xdr:colOff>
      <xdr:row>35</xdr:row>
      <xdr:rowOff>161925</xdr:rowOff>
    </xdr:to>
    <xdr:sp macro="" textlink="">
      <xdr:nvSpPr>
        <xdr:cNvPr id="4098" name="Text Box 2">
          <a:extLst>
            <a:ext uri="{FF2B5EF4-FFF2-40B4-BE49-F238E27FC236}">
              <a16:creationId xmlns:a16="http://schemas.microsoft.com/office/drawing/2014/main" id="{00000000-0008-0000-1500-000002100000}"/>
            </a:ext>
          </a:extLst>
        </xdr:cNvPr>
        <xdr:cNvSpPr txBox="1">
          <a:spLocks noChangeArrowheads="1"/>
        </xdr:cNvSpPr>
      </xdr:nvSpPr>
      <xdr:spPr bwMode="auto">
        <a:xfrm>
          <a:off x="4400550" y="104775"/>
          <a:ext cx="7010400" cy="6124575"/>
        </a:xfrm>
        <a:prstGeom prst="rect">
          <a:avLst/>
        </a:prstGeom>
        <a:noFill/>
        <a:ln w="12700">
          <a:solidFill>
            <a:srgbClr val="000000"/>
          </a:solidFill>
          <a:miter lim="800000"/>
          <a:headEnd/>
          <a:tailEnd/>
        </a:ln>
      </xdr:spPr>
      <xdr:txBody>
        <a:bodyPr vertOverflow="clip" wrap="square" lIns="180000" tIns="180000" rIns="180000" bIns="180000" anchor="t" upright="1"/>
        <a:lstStyle/>
        <a:p>
          <a:pPr algn="l" rtl="0">
            <a:lnSpc>
              <a:spcPts val="1300"/>
            </a:lnSpc>
            <a:defRPr sz="1000"/>
          </a:pPr>
          <a:r>
            <a:rPr lang="en-US" altLang="ja-JP" sz="1400" b="1" i="0" u="none" strike="noStrike" baseline="0">
              <a:solidFill>
                <a:sysClr val="windowText" lastClr="000000"/>
              </a:solidFill>
              <a:latin typeface="Arial" panose="020B0604020202020204" pitchFamily="34" charset="0"/>
              <a:ea typeface="ＭＳ Ｐゴシック"/>
              <a:cs typeface="Arial" panose="020B0604020202020204" pitchFamily="34" charset="0"/>
            </a:rPr>
            <a:t>Comprehensive Assessment System for Built Environment Efficiency</a:t>
          </a:r>
        </a:p>
        <a:p>
          <a:pPr algn="l" rtl="0">
            <a:lnSpc>
              <a:spcPts val="1300"/>
            </a:lnSpc>
            <a:defRPr sz="1000"/>
          </a:pPr>
          <a:endParaRPr lang="en-US" altLang="ja-JP" sz="1400" b="1"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en-US" altLang="ja-JP" sz="1400" b="1" i="0" u="none" strike="noStrike" baseline="0">
              <a:solidFill>
                <a:sysClr val="windowText" lastClr="000000"/>
              </a:solidFill>
              <a:latin typeface="Arial" panose="020B0604020202020204" pitchFamily="34" charset="0"/>
              <a:ea typeface="ＭＳ Ｐゴシック"/>
              <a:cs typeface="Arial" panose="020B0604020202020204" pitchFamily="34" charset="0"/>
            </a:rPr>
            <a:t>CASBEE for Building Design (New Construction) 2024 Edition</a:t>
          </a:r>
        </a:p>
        <a:p>
          <a:pPr algn="l" rtl="0">
            <a:lnSpc>
              <a:spcPts val="1300"/>
            </a:lnSpc>
            <a:defRPr sz="1000"/>
          </a:pPr>
          <a:endParaRPr lang="en-US" altLang="ja-JP" sz="1400" b="1"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en-US" altLang="ja-JP" sz="1400" b="1" i="0" baseline="0">
              <a:solidFill>
                <a:sysClr val="windowText" lastClr="000000"/>
              </a:solidFill>
              <a:effectLst/>
              <a:latin typeface="Arial" panose="020B0604020202020204" pitchFamily="34" charset="0"/>
              <a:ea typeface="+mn-ea"/>
              <a:cs typeface="Arial" panose="020B0604020202020204" pitchFamily="34" charset="0"/>
            </a:rPr>
            <a:t>Assessment Software </a:t>
          </a:r>
          <a:endParaRPr lang="en-US" altLang="ja-JP" sz="1400" b="1"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a:t>
          </a:r>
        </a:p>
        <a:p>
          <a:pPr algn="l" rtl="0">
            <a:lnSpc>
              <a:spcPts val="1300"/>
            </a:lnSpc>
            <a:defRPr sz="1000"/>
          </a:pPr>
          <a:endPar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endPar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Microsoft Excel 20</a:t>
          </a: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19</a:t>
          </a:r>
          <a:endPar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CASBEE-BD_NCe_2024v1.21</a:t>
          </a:r>
          <a:endPar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a:t>
          </a:r>
        </a:p>
        <a:p>
          <a:pPr rtl="0"/>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Published in </a:t>
          </a:r>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2025</a:t>
          </a:r>
          <a:endParaRPr lang="ja-JP" altLang="ja-JP" sz="1200">
            <a:solidFill>
              <a:sysClr val="windowText" lastClr="000000"/>
            </a:solidFill>
            <a:effectLst/>
            <a:latin typeface="Arial" panose="020B0604020202020204" pitchFamily="34" charset="0"/>
            <a:cs typeface="Arial" panose="020B0604020202020204" pitchFamily="34" charset="0"/>
          </a:endParaRPr>
        </a:p>
        <a:p>
          <a:pPr rtl="0"/>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Software development: Japan Sustainable Building Consortium</a:t>
          </a:r>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 (JSBC)</a:t>
          </a:r>
          <a:endParaRPr lang="ja-JP" altLang="ja-JP" sz="1200">
            <a:solidFill>
              <a:sysClr val="windowText" lastClr="000000"/>
            </a:solidFill>
            <a:effectLst/>
            <a:latin typeface="Arial" panose="020B0604020202020204" pitchFamily="34" charset="0"/>
            <a:cs typeface="Arial" panose="020B0604020202020204" pitchFamily="34" charset="0"/>
          </a:endParaRPr>
        </a:p>
        <a:p>
          <a:pPr rtl="0"/>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(Research Committee</a:t>
          </a:r>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 on</a:t>
          </a:r>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 Comprehensive Assessment System for Buil</a:t>
          </a:r>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t </a:t>
          </a:r>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Environment Efficiency)</a:t>
          </a:r>
          <a:endParaRPr lang="ja-JP" altLang="ja-JP" sz="1200">
            <a:solidFill>
              <a:sysClr val="windowText" lastClr="000000"/>
            </a:solidFill>
            <a:effectLst/>
            <a:latin typeface="Arial" panose="020B0604020202020204" pitchFamily="34" charset="0"/>
            <a:cs typeface="Arial" panose="020B0604020202020204" pitchFamily="34" charset="0"/>
          </a:endParaRPr>
        </a:p>
        <a:p>
          <a:pPr rtl="0"/>
          <a:endParaRPr lang="en-US" altLang="ja-JP" sz="1200" b="0" i="0" baseline="0">
            <a:solidFill>
              <a:sysClr val="windowText" lastClr="000000"/>
            </a:solidFill>
            <a:effectLst/>
            <a:latin typeface="Arial" panose="020B0604020202020204" pitchFamily="34" charset="0"/>
            <a:ea typeface="+mn-ea"/>
            <a:cs typeface="Arial" panose="020B0604020202020204" pitchFamily="34" charset="0"/>
          </a:endParaRPr>
        </a:p>
        <a:p>
          <a:pPr rtl="0"/>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Inquiries concerning software content, etc. :</a:t>
          </a:r>
          <a:endParaRPr lang="ja-JP" altLang="ja-JP" sz="1200">
            <a:solidFill>
              <a:sysClr val="windowText" lastClr="000000"/>
            </a:solidFill>
            <a:effectLst/>
            <a:latin typeface="Arial" panose="020B0604020202020204" pitchFamily="34" charset="0"/>
            <a:cs typeface="Arial" panose="020B0604020202020204" pitchFamily="34" charset="0"/>
          </a:endParaRPr>
        </a:p>
        <a:p>
          <a:pPr rtl="0"/>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Inquiries concerning the content of this software should be sent by e-mail only to the address below. A few days may be required before you receive a reply. Please refer to the manuals for Microsoft Windows, Microsoft Excel 20</a:t>
          </a:r>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19</a:t>
          </a:r>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 and other software for instructions on their use.</a:t>
          </a:r>
          <a:endParaRPr lang="en-US" altLang="ja-JP" sz="1200" b="0" i="0" baseline="0">
            <a:solidFill>
              <a:sysClr val="windowText" lastClr="000000"/>
            </a:solidFill>
            <a:effectLst/>
            <a:latin typeface="Arial" panose="020B0604020202020204" pitchFamily="34" charset="0"/>
            <a:ea typeface="+mn-ea"/>
            <a:cs typeface="Arial" panose="020B0604020202020204" pitchFamily="34" charset="0"/>
          </a:endParaRPr>
        </a:p>
        <a:p>
          <a:pPr rtl="0"/>
          <a:endParaRPr lang="ja-JP" altLang="ja-JP" sz="1200">
            <a:solidFill>
              <a:sysClr val="windowText" lastClr="000000"/>
            </a:solidFill>
            <a:effectLst/>
            <a:latin typeface="Arial" panose="020B0604020202020204" pitchFamily="34" charset="0"/>
            <a:cs typeface="Arial" panose="020B0604020202020204" pitchFamily="34" charset="0"/>
          </a:endParaRPr>
        </a:p>
        <a:p>
          <a:pPr rtl="0"/>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Institute for Built Environment and Carbon Neutral for SDGs(IBECs)</a:t>
          </a:r>
        </a:p>
        <a:p>
          <a:pPr rtl="0"/>
          <a:r>
            <a:rPr lang="en-US" altLang="ja-JP" sz="1200" b="0" i="0" baseline="0">
              <a:solidFill>
                <a:sysClr val="windowText" lastClr="000000"/>
              </a:solidFill>
              <a:effectLst/>
              <a:latin typeface="Arial" panose="020B0604020202020204" pitchFamily="34" charset="0"/>
              <a:ea typeface="+mn-ea"/>
              <a:cs typeface="Arial" panose="020B0604020202020204" pitchFamily="34" charset="0"/>
            </a:rPr>
            <a:t>HB Hirakawacho bldg. 2-8-9. Hirakawacho, Chiyoda-ku,Tokyo,102-0093 Japa</a:t>
          </a:r>
          <a:r>
            <a:rPr lang="ja-JP" altLang="ja-JP" sz="1200" b="0" i="0" baseline="0">
              <a:solidFill>
                <a:sysClr val="windowText" lastClr="000000"/>
              </a:solidFill>
              <a:effectLst/>
              <a:latin typeface="Arial" panose="020B0604020202020204" pitchFamily="34" charset="0"/>
              <a:ea typeface="+mn-ea"/>
              <a:cs typeface="Arial" panose="020B0604020202020204" pitchFamily="34" charset="0"/>
            </a:rPr>
            <a:t>n</a:t>
          </a:r>
          <a:endParaRPr lang="ja-JP" altLang="ja-JP" sz="1200">
            <a:solidFill>
              <a:sysClr val="windowText" lastClr="000000"/>
            </a:solidFill>
            <a:effectLst/>
            <a:latin typeface="Arial" panose="020B0604020202020204" pitchFamily="34" charset="0"/>
            <a:cs typeface="Arial" panose="020B0604020202020204" pitchFamily="34" charset="0"/>
          </a:endParaRPr>
        </a:p>
        <a:p>
          <a:pPr algn="l" rtl="0">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a:t>
          </a:r>
        </a:p>
        <a:p>
          <a:pPr algn="l" rtl="0">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E-Mail  casbee-info@</a:t>
          </a: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ibecs</a:t>
          </a: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.or.jp</a:t>
          </a:r>
        </a:p>
        <a:p>
          <a:pPr algn="l" rtl="0">
            <a:lnSpc>
              <a:spcPts val="1300"/>
            </a:lnSpc>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URL　</a:t>
          </a: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https://www.jsbc.or.jp/research-study/casbee.html</a:t>
          </a: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a:t>
          </a:r>
        </a:p>
        <a:p>
          <a:pPr algn="l" rtl="0">
            <a:lnSpc>
              <a:spcPts val="1300"/>
            </a:lnSpc>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a:t>
          </a:r>
        </a:p>
        <a:p>
          <a:pPr algn="l" rtl="0">
            <a:lnSpc>
              <a:spcPts val="1300"/>
            </a:lnSpc>
            <a:defRPr sz="1000"/>
          </a:pP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Copyright ©20</a:t>
          </a: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25</a:t>
          </a: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 </a:t>
          </a: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Japan Sustainable Building Consortium</a:t>
          </a: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a:t>
          </a:r>
          <a:r>
            <a:rPr lang="en-US" altLang="ja-JP"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JSBC</a:t>
          </a:r>
          <a:r>
            <a:rPr lang="ja-JP" altLang="en-US" sz="1200" b="0" i="0" u="none" strike="noStrike" baseline="0">
              <a:solidFill>
                <a:sysClr val="windowText" lastClr="000000"/>
              </a:solidFill>
              <a:latin typeface="Arial" panose="020B0604020202020204" pitchFamily="34" charset="0"/>
              <a:ea typeface="ＭＳ Ｐゴシック"/>
              <a:cs typeface="Arial" panose="020B0604020202020204" pitchFamily="34" charset="0"/>
            </a:rPr>
            <a:t>）</a:t>
          </a:r>
        </a:p>
      </xdr:txBody>
    </xdr:sp>
    <xdr:clientData/>
  </xdr:twoCellAnchor>
  <xdr:twoCellAnchor>
    <xdr:from>
      <xdr:col>1</xdr:col>
      <xdr:colOff>47625</xdr:colOff>
      <xdr:row>0</xdr:row>
      <xdr:rowOff>95250</xdr:rowOff>
    </xdr:from>
    <xdr:to>
      <xdr:col>7</xdr:col>
      <xdr:colOff>200025</xdr:colOff>
      <xdr:row>35</xdr:row>
      <xdr:rowOff>152400</xdr:rowOff>
    </xdr:to>
    <xdr:sp macro="" textlink="">
      <xdr:nvSpPr>
        <xdr:cNvPr id="4099" name="Text Box 3">
          <a:extLst>
            <a:ext uri="{FF2B5EF4-FFF2-40B4-BE49-F238E27FC236}">
              <a16:creationId xmlns:a16="http://schemas.microsoft.com/office/drawing/2014/main" id="{00000000-0008-0000-1500-000003100000}"/>
            </a:ext>
          </a:extLst>
        </xdr:cNvPr>
        <xdr:cNvSpPr txBox="1">
          <a:spLocks noChangeArrowheads="1"/>
        </xdr:cNvSpPr>
      </xdr:nvSpPr>
      <xdr:spPr bwMode="auto">
        <a:xfrm>
          <a:off x="133350" y="95250"/>
          <a:ext cx="4152900" cy="6124575"/>
        </a:xfrm>
        <a:prstGeom prst="rect">
          <a:avLst/>
        </a:prstGeom>
        <a:noFill/>
        <a:ln w="12700">
          <a:solidFill>
            <a:srgbClr val="000000"/>
          </a:solidFill>
          <a:miter lim="800000"/>
          <a:headEnd/>
          <a:tailEnd/>
        </a:ln>
      </xdr:spPr>
      <xdr:txBody>
        <a:bodyPr vertOverflow="clip" wrap="square" lIns="180000" tIns="180000" rIns="180000" bIns="180000" anchor="t" upright="1"/>
        <a:lstStyle/>
        <a:p>
          <a:pPr algn="l" rtl="0">
            <a:lnSpc>
              <a:spcPts val="1300"/>
            </a:lnSpc>
            <a:defRPr sz="1000"/>
          </a:pPr>
          <a:r>
            <a:rPr lang="en-US" altLang="ja-JP" sz="1200" b="1" i="0" u="sng" strike="noStrike" baseline="0">
              <a:solidFill>
                <a:srgbClr val="000000"/>
              </a:solidFill>
              <a:latin typeface="Arial" panose="020B0604020202020204" pitchFamily="34" charset="0"/>
              <a:ea typeface="ＭＳ Ｐゴシック"/>
              <a:cs typeface="Arial" panose="020B0604020202020204" pitchFamily="34" charset="0"/>
            </a:rPr>
            <a:t>Important Notes</a:t>
          </a:r>
          <a:r>
            <a:rPr lang="ja-JP" altLang="en-US" sz="1200" b="1" i="0" u="sng" strike="noStrike" baseline="0">
              <a:solidFill>
                <a:srgbClr val="000000"/>
              </a:solidFill>
              <a:latin typeface="Arial" panose="020B0604020202020204" pitchFamily="34" charset="0"/>
              <a:ea typeface="ＭＳ Ｐゴシック"/>
              <a:cs typeface="Arial" panose="020B0604020202020204" pitchFamily="34" charset="0"/>
            </a:rPr>
            <a:t> </a:t>
          </a:r>
          <a:r>
            <a:rPr lang="en-US" altLang="ja-JP" sz="1200" b="1" i="0" u="sng" strike="noStrike" baseline="0">
              <a:solidFill>
                <a:srgbClr val="000000"/>
              </a:solidFill>
              <a:latin typeface="Arial" panose="020B0604020202020204" pitchFamily="34" charset="0"/>
              <a:ea typeface="ＭＳ Ｐゴシック"/>
              <a:cs typeface="Arial" panose="020B0604020202020204" pitchFamily="34" charset="0"/>
            </a:rPr>
            <a:t>(Conditions of Use)</a:t>
          </a:r>
        </a:p>
        <a:p>
          <a:pPr algn="l" rtl="0">
            <a:lnSpc>
              <a:spcPts val="1300"/>
            </a:lnSpc>
            <a:defRPr sz="1000"/>
          </a:pPr>
          <a:endPar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endParaRP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1) Microsoft Excel 2019 is a registered trademark of Microsoft Corporation in the United States of America and other countries.</a:t>
          </a: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2) Other company names and product names are trademarks or registered trademarks of the companies concerned.</a:t>
          </a: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3) CASBEE for Building Design (New Construction) consists of data files that were developed using Microsoft Excel 2019. These data files are protected by copyright law. They may not be duplicated or transferred (even in modified form) without the consent of the developers, authors, planners, and publishers.</a:t>
          </a: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4) This restriction does not apply to the use of input data and output results prepared on this software by its users. In such cases, the data concerned should include a statement to the effect that it was prepared using this assessment software. Note that the additional consent of Microsoft Corporation may be required for the use of screen images.</a:t>
          </a: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5) We accept no liability for the results of using this software or its instruction manual.</a:t>
          </a: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6) The specifications of this software and the contents of the operation manual are subject to change without prior notice.</a:t>
          </a:r>
        </a:p>
        <a:p>
          <a:pPr algn="l" rtl="0">
            <a:lnSpc>
              <a:spcPts val="1300"/>
            </a:lnSpc>
            <a:defRPr sz="1000"/>
          </a:pPr>
          <a:r>
            <a:rPr lang="en-US" altLang="ja-JP" sz="1200" b="0" i="0" u="none" strike="noStrike" baseline="0">
              <a:solidFill>
                <a:srgbClr val="000000"/>
              </a:solidFill>
              <a:latin typeface="Arial" panose="020B0604020202020204" pitchFamily="34" charset="0"/>
              <a:ea typeface="ＭＳ Ｐゴシック"/>
              <a:cs typeface="Arial" panose="020B0604020202020204" pitchFamily="34" charset="0"/>
            </a:rPr>
            <a:t>7) This software was created using Microsoft Excel 2019. We do not guarantee its operation on all computers.</a:t>
          </a:r>
        </a:p>
        <a:p>
          <a:pPr algn="l" rtl="0">
            <a:lnSpc>
              <a:spcPts val="1100"/>
            </a:lnSpc>
            <a:defRPr sz="1000"/>
          </a:pPr>
          <a:endParaRPr lang="ja-JP" altLang="en-US" sz="1200" b="0" i="0" u="none" strike="noStrike" baseline="0">
            <a:solidFill>
              <a:srgbClr val="000000"/>
            </a:solidFill>
            <a:latin typeface="Arial" panose="020B0604020202020204" pitchFamily="34" charset="0"/>
            <a:ea typeface="ＭＳ Ｐゴシック"/>
            <a:cs typeface="Arial" panose="020B0604020202020204" pitchFamily="34" charset="0"/>
          </a:endParaRP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8" Type="http://schemas.openxmlformats.org/officeDocument/2006/relationships/ctrlProp" Target="../ctrlProps/ctrlProp5.xml"/><Relationship Id="rId3" Type="http://schemas.openxmlformats.org/officeDocument/2006/relationships/vmlDrawing" Target="../drawings/vmlDrawing2.vml"/><Relationship Id="rId7" Type="http://schemas.openxmlformats.org/officeDocument/2006/relationships/ctrlProp" Target="../ctrlProps/ctrlProp4.xml"/><Relationship Id="rId2" Type="http://schemas.openxmlformats.org/officeDocument/2006/relationships/drawing" Target="../drawings/drawing21.xml"/><Relationship Id="rId1" Type="http://schemas.openxmlformats.org/officeDocument/2006/relationships/printerSettings" Target="../printerSettings/printerSettings7.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4.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5.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6.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7.v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17" Type="http://schemas.openxmlformats.org/officeDocument/2006/relationships/ctrlProp" Target="../ctrlProps/ctrlProp119.xml"/><Relationship Id="rId299" Type="http://schemas.openxmlformats.org/officeDocument/2006/relationships/ctrlProp" Target="../ctrlProps/ctrlProp301.xml"/><Relationship Id="rId21" Type="http://schemas.openxmlformats.org/officeDocument/2006/relationships/ctrlProp" Target="../ctrlProps/ctrlProp23.xml"/><Relationship Id="rId63" Type="http://schemas.openxmlformats.org/officeDocument/2006/relationships/ctrlProp" Target="../ctrlProps/ctrlProp65.xml"/><Relationship Id="rId159" Type="http://schemas.openxmlformats.org/officeDocument/2006/relationships/ctrlProp" Target="../ctrlProps/ctrlProp161.xml"/><Relationship Id="rId170" Type="http://schemas.openxmlformats.org/officeDocument/2006/relationships/ctrlProp" Target="../ctrlProps/ctrlProp172.xml"/><Relationship Id="rId226" Type="http://schemas.openxmlformats.org/officeDocument/2006/relationships/ctrlProp" Target="../ctrlProps/ctrlProp228.xml"/><Relationship Id="rId268" Type="http://schemas.openxmlformats.org/officeDocument/2006/relationships/ctrlProp" Target="../ctrlProps/ctrlProp270.xml"/><Relationship Id="rId32" Type="http://schemas.openxmlformats.org/officeDocument/2006/relationships/ctrlProp" Target="../ctrlProps/ctrlProp34.xml"/><Relationship Id="rId74" Type="http://schemas.openxmlformats.org/officeDocument/2006/relationships/ctrlProp" Target="../ctrlProps/ctrlProp76.xml"/><Relationship Id="rId128" Type="http://schemas.openxmlformats.org/officeDocument/2006/relationships/ctrlProp" Target="../ctrlProps/ctrlProp130.xml"/><Relationship Id="rId5" Type="http://schemas.openxmlformats.org/officeDocument/2006/relationships/ctrlProp" Target="../ctrlProps/ctrlProp7.xml"/><Relationship Id="rId181" Type="http://schemas.openxmlformats.org/officeDocument/2006/relationships/ctrlProp" Target="../ctrlProps/ctrlProp183.xml"/><Relationship Id="rId237" Type="http://schemas.openxmlformats.org/officeDocument/2006/relationships/ctrlProp" Target="../ctrlProps/ctrlProp239.xml"/><Relationship Id="rId279" Type="http://schemas.openxmlformats.org/officeDocument/2006/relationships/ctrlProp" Target="../ctrlProps/ctrlProp281.xml"/><Relationship Id="rId43" Type="http://schemas.openxmlformats.org/officeDocument/2006/relationships/ctrlProp" Target="../ctrlProps/ctrlProp45.xml"/><Relationship Id="rId139" Type="http://schemas.openxmlformats.org/officeDocument/2006/relationships/ctrlProp" Target="../ctrlProps/ctrlProp141.xml"/><Relationship Id="rId290" Type="http://schemas.openxmlformats.org/officeDocument/2006/relationships/ctrlProp" Target="../ctrlProps/ctrlProp292.xml"/><Relationship Id="rId304" Type="http://schemas.openxmlformats.org/officeDocument/2006/relationships/ctrlProp" Target="../ctrlProps/ctrlProp306.xml"/><Relationship Id="rId85" Type="http://schemas.openxmlformats.org/officeDocument/2006/relationships/ctrlProp" Target="../ctrlProps/ctrlProp87.xml"/><Relationship Id="rId150" Type="http://schemas.openxmlformats.org/officeDocument/2006/relationships/ctrlProp" Target="../ctrlProps/ctrlProp152.xml"/><Relationship Id="rId192" Type="http://schemas.openxmlformats.org/officeDocument/2006/relationships/ctrlProp" Target="../ctrlProps/ctrlProp194.xml"/><Relationship Id="rId206" Type="http://schemas.openxmlformats.org/officeDocument/2006/relationships/ctrlProp" Target="../ctrlProps/ctrlProp208.xml"/><Relationship Id="rId248" Type="http://schemas.openxmlformats.org/officeDocument/2006/relationships/ctrlProp" Target="../ctrlProps/ctrlProp250.xml"/><Relationship Id="rId12" Type="http://schemas.openxmlformats.org/officeDocument/2006/relationships/ctrlProp" Target="../ctrlProps/ctrlProp14.xml"/><Relationship Id="rId108" Type="http://schemas.openxmlformats.org/officeDocument/2006/relationships/ctrlProp" Target="../ctrlProps/ctrlProp110.xml"/><Relationship Id="rId54" Type="http://schemas.openxmlformats.org/officeDocument/2006/relationships/ctrlProp" Target="../ctrlProps/ctrlProp56.xml"/><Relationship Id="rId96" Type="http://schemas.openxmlformats.org/officeDocument/2006/relationships/ctrlProp" Target="../ctrlProps/ctrlProp98.xml"/><Relationship Id="rId161" Type="http://schemas.openxmlformats.org/officeDocument/2006/relationships/ctrlProp" Target="../ctrlProps/ctrlProp163.xml"/><Relationship Id="rId217" Type="http://schemas.openxmlformats.org/officeDocument/2006/relationships/ctrlProp" Target="../ctrlProps/ctrlProp219.xml"/><Relationship Id="rId259" Type="http://schemas.openxmlformats.org/officeDocument/2006/relationships/ctrlProp" Target="../ctrlProps/ctrlProp261.xml"/><Relationship Id="rId23" Type="http://schemas.openxmlformats.org/officeDocument/2006/relationships/ctrlProp" Target="../ctrlProps/ctrlProp25.xml"/><Relationship Id="rId119" Type="http://schemas.openxmlformats.org/officeDocument/2006/relationships/ctrlProp" Target="../ctrlProps/ctrlProp121.xml"/><Relationship Id="rId270" Type="http://schemas.openxmlformats.org/officeDocument/2006/relationships/ctrlProp" Target="../ctrlProps/ctrlProp272.xml"/><Relationship Id="rId291" Type="http://schemas.openxmlformats.org/officeDocument/2006/relationships/ctrlProp" Target="../ctrlProps/ctrlProp293.xml"/><Relationship Id="rId305" Type="http://schemas.openxmlformats.org/officeDocument/2006/relationships/ctrlProp" Target="../ctrlProps/ctrlProp307.xml"/><Relationship Id="rId44" Type="http://schemas.openxmlformats.org/officeDocument/2006/relationships/ctrlProp" Target="../ctrlProps/ctrlProp46.xml"/><Relationship Id="rId65" Type="http://schemas.openxmlformats.org/officeDocument/2006/relationships/ctrlProp" Target="../ctrlProps/ctrlProp67.xml"/><Relationship Id="rId86" Type="http://schemas.openxmlformats.org/officeDocument/2006/relationships/ctrlProp" Target="../ctrlProps/ctrlProp88.xml"/><Relationship Id="rId130" Type="http://schemas.openxmlformats.org/officeDocument/2006/relationships/ctrlProp" Target="../ctrlProps/ctrlProp132.xml"/><Relationship Id="rId151" Type="http://schemas.openxmlformats.org/officeDocument/2006/relationships/ctrlProp" Target="../ctrlProps/ctrlProp153.xml"/><Relationship Id="rId172" Type="http://schemas.openxmlformats.org/officeDocument/2006/relationships/ctrlProp" Target="../ctrlProps/ctrlProp174.xml"/><Relationship Id="rId193" Type="http://schemas.openxmlformats.org/officeDocument/2006/relationships/ctrlProp" Target="../ctrlProps/ctrlProp195.xml"/><Relationship Id="rId207" Type="http://schemas.openxmlformats.org/officeDocument/2006/relationships/ctrlProp" Target="../ctrlProps/ctrlProp209.xml"/><Relationship Id="rId228" Type="http://schemas.openxmlformats.org/officeDocument/2006/relationships/ctrlProp" Target="../ctrlProps/ctrlProp230.xml"/><Relationship Id="rId249" Type="http://schemas.openxmlformats.org/officeDocument/2006/relationships/ctrlProp" Target="../ctrlProps/ctrlProp251.xml"/><Relationship Id="rId13" Type="http://schemas.openxmlformats.org/officeDocument/2006/relationships/ctrlProp" Target="../ctrlProps/ctrlProp15.xml"/><Relationship Id="rId109" Type="http://schemas.openxmlformats.org/officeDocument/2006/relationships/ctrlProp" Target="../ctrlProps/ctrlProp111.xml"/><Relationship Id="rId260" Type="http://schemas.openxmlformats.org/officeDocument/2006/relationships/ctrlProp" Target="../ctrlProps/ctrlProp262.xml"/><Relationship Id="rId281" Type="http://schemas.openxmlformats.org/officeDocument/2006/relationships/ctrlProp" Target="../ctrlProps/ctrlProp283.xml"/><Relationship Id="rId34" Type="http://schemas.openxmlformats.org/officeDocument/2006/relationships/ctrlProp" Target="../ctrlProps/ctrlProp36.xml"/><Relationship Id="rId55" Type="http://schemas.openxmlformats.org/officeDocument/2006/relationships/ctrlProp" Target="../ctrlProps/ctrlProp57.xml"/><Relationship Id="rId76" Type="http://schemas.openxmlformats.org/officeDocument/2006/relationships/ctrlProp" Target="../ctrlProps/ctrlProp78.xml"/><Relationship Id="rId97" Type="http://schemas.openxmlformats.org/officeDocument/2006/relationships/ctrlProp" Target="../ctrlProps/ctrlProp99.xml"/><Relationship Id="rId120" Type="http://schemas.openxmlformats.org/officeDocument/2006/relationships/ctrlProp" Target="../ctrlProps/ctrlProp122.xml"/><Relationship Id="rId141" Type="http://schemas.openxmlformats.org/officeDocument/2006/relationships/ctrlProp" Target="../ctrlProps/ctrlProp143.xml"/><Relationship Id="rId7" Type="http://schemas.openxmlformats.org/officeDocument/2006/relationships/ctrlProp" Target="../ctrlProps/ctrlProp9.xml"/><Relationship Id="rId162" Type="http://schemas.openxmlformats.org/officeDocument/2006/relationships/ctrlProp" Target="../ctrlProps/ctrlProp164.xml"/><Relationship Id="rId183" Type="http://schemas.openxmlformats.org/officeDocument/2006/relationships/ctrlProp" Target="../ctrlProps/ctrlProp185.xml"/><Relationship Id="rId218" Type="http://schemas.openxmlformats.org/officeDocument/2006/relationships/ctrlProp" Target="../ctrlProps/ctrlProp220.xml"/><Relationship Id="rId239" Type="http://schemas.openxmlformats.org/officeDocument/2006/relationships/ctrlProp" Target="../ctrlProps/ctrlProp241.xml"/><Relationship Id="rId250" Type="http://schemas.openxmlformats.org/officeDocument/2006/relationships/ctrlProp" Target="../ctrlProps/ctrlProp252.xml"/><Relationship Id="rId271" Type="http://schemas.openxmlformats.org/officeDocument/2006/relationships/ctrlProp" Target="../ctrlProps/ctrlProp273.xml"/><Relationship Id="rId292" Type="http://schemas.openxmlformats.org/officeDocument/2006/relationships/ctrlProp" Target="../ctrlProps/ctrlProp294.xml"/><Relationship Id="rId306" Type="http://schemas.openxmlformats.org/officeDocument/2006/relationships/ctrlProp" Target="../ctrlProps/ctrlProp308.xml"/><Relationship Id="rId24" Type="http://schemas.openxmlformats.org/officeDocument/2006/relationships/ctrlProp" Target="../ctrlProps/ctrlProp26.xml"/><Relationship Id="rId45" Type="http://schemas.openxmlformats.org/officeDocument/2006/relationships/ctrlProp" Target="../ctrlProps/ctrlProp47.xml"/><Relationship Id="rId66" Type="http://schemas.openxmlformats.org/officeDocument/2006/relationships/ctrlProp" Target="../ctrlProps/ctrlProp68.xml"/><Relationship Id="rId87" Type="http://schemas.openxmlformats.org/officeDocument/2006/relationships/ctrlProp" Target="../ctrlProps/ctrlProp89.xml"/><Relationship Id="rId110" Type="http://schemas.openxmlformats.org/officeDocument/2006/relationships/ctrlProp" Target="../ctrlProps/ctrlProp112.xml"/><Relationship Id="rId131" Type="http://schemas.openxmlformats.org/officeDocument/2006/relationships/ctrlProp" Target="../ctrlProps/ctrlProp133.xml"/><Relationship Id="rId152" Type="http://schemas.openxmlformats.org/officeDocument/2006/relationships/ctrlProp" Target="../ctrlProps/ctrlProp154.xml"/><Relationship Id="rId173" Type="http://schemas.openxmlformats.org/officeDocument/2006/relationships/ctrlProp" Target="../ctrlProps/ctrlProp175.xml"/><Relationship Id="rId194" Type="http://schemas.openxmlformats.org/officeDocument/2006/relationships/ctrlProp" Target="../ctrlProps/ctrlProp196.xml"/><Relationship Id="rId208" Type="http://schemas.openxmlformats.org/officeDocument/2006/relationships/ctrlProp" Target="../ctrlProps/ctrlProp210.xml"/><Relationship Id="rId229" Type="http://schemas.openxmlformats.org/officeDocument/2006/relationships/ctrlProp" Target="../ctrlProps/ctrlProp231.xml"/><Relationship Id="rId240" Type="http://schemas.openxmlformats.org/officeDocument/2006/relationships/ctrlProp" Target="../ctrlProps/ctrlProp242.xml"/><Relationship Id="rId261" Type="http://schemas.openxmlformats.org/officeDocument/2006/relationships/ctrlProp" Target="../ctrlProps/ctrlProp263.xml"/><Relationship Id="rId14" Type="http://schemas.openxmlformats.org/officeDocument/2006/relationships/ctrlProp" Target="../ctrlProps/ctrlProp16.xml"/><Relationship Id="rId35" Type="http://schemas.openxmlformats.org/officeDocument/2006/relationships/ctrlProp" Target="../ctrlProps/ctrlProp37.xml"/><Relationship Id="rId56" Type="http://schemas.openxmlformats.org/officeDocument/2006/relationships/ctrlProp" Target="../ctrlProps/ctrlProp58.xml"/><Relationship Id="rId77" Type="http://schemas.openxmlformats.org/officeDocument/2006/relationships/ctrlProp" Target="../ctrlProps/ctrlProp79.xml"/><Relationship Id="rId100" Type="http://schemas.openxmlformats.org/officeDocument/2006/relationships/ctrlProp" Target="../ctrlProps/ctrlProp102.xml"/><Relationship Id="rId282" Type="http://schemas.openxmlformats.org/officeDocument/2006/relationships/ctrlProp" Target="../ctrlProps/ctrlProp284.xml"/><Relationship Id="rId8" Type="http://schemas.openxmlformats.org/officeDocument/2006/relationships/ctrlProp" Target="../ctrlProps/ctrlProp10.xml"/><Relationship Id="rId98" Type="http://schemas.openxmlformats.org/officeDocument/2006/relationships/ctrlProp" Target="../ctrlProps/ctrlProp100.xml"/><Relationship Id="rId121" Type="http://schemas.openxmlformats.org/officeDocument/2006/relationships/ctrlProp" Target="../ctrlProps/ctrlProp123.xml"/><Relationship Id="rId142" Type="http://schemas.openxmlformats.org/officeDocument/2006/relationships/ctrlProp" Target="../ctrlProps/ctrlProp144.xml"/><Relationship Id="rId163" Type="http://schemas.openxmlformats.org/officeDocument/2006/relationships/ctrlProp" Target="../ctrlProps/ctrlProp165.xml"/><Relationship Id="rId184" Type="http://schemas.openxmlformats.org/officeDocument/2006/relationships/ctrlProp" Target="../ctrlProps/ctrlProp186.xml"/><Relationship Id="rId219" Type="http://schemas.openxmlformats.org/officeDocument/2006/relationships/ctrlProp" Target="../ctrlProps/ctrlProp221.xml"/><Relationship Id="rId230" Type="http://schemas.openxmlformats.org/officeDocument/2006/relationships/ctrlProp" Target="../ctrlProps/ctrlProp232.xml"/><Relationship Id="rId251" Type="http://schemas.openxmlformats.org/officeDocument/2006/relationships/ctrlProp" Target="../ctrlProps/ctrlProp253.xml"/><Relationship Id="rId25" Type="http://schemas.openxmlformats.org/officeDocument/2006/relationships/ctrlProp" Target="../ctrlProps/ctrlProp27.xml"/><Relationship Id="rId46" Type="http://schemas.openxmlformats.org/officeDocument/2006/relationships/ctrlProp" Target="../ctrlProps/ctrlProp48.xml"/><Relationship Id="rId67" Type="http://schemas.openxmlformats.org/officeDocument/2006/relationships/ctrlProp" Target="../ctrlProps/ctrlProp69.xml"/><Relationship Id="rId272" Type="http://schemas.openxmlformats.org/officeDocument/2006/relationships/ctrlProp" Target="../ctrlProps/ctrlProp274.xml"/><Relationship Id="rId293" Type="http://schemas.openxmlformats.org/officeDocument/2006/relationships/ctrlProp" Target="../ctrlProps/ctrlProp295.xml"/><Relationship Id="rId307" Type="http://schemas.openxmlformats.org/officeDocument/2006/relationships/ctrlProp" Target="../ctrlProps/ctrlProp309.xml"/><Relationship Id="rId88" Type="http://schemas.openxmlformats.org/officeDocument/2006/relationships/ctrlProp" Target="../ctrlProps/ctrlProp90.xml"/><Relationship Id="rId111" Type="http://schemas.openxmlformats.org/officeDocument/2006/relationships/ctrlProp" Target="../ctrlProps/ctrlProp113.xml"/><Relationship Id="rId132" Type="http://schemas.openxmlformats.org/officeDocument/2006/relationships/ctrlProp" Target="../ctrlProps/ctrlProp134.xml"/><Relationship Id="rId153" Type="http://schemas.openxmlformats.org/officeDocument/2006/relationships/ctrlProp" Target="../ctrlProps/ctrlProp155.xml"/><Relationship Id="rId174" Type="http://schemas.openxmlformats.org/officeDocument/2006/relationships/ctrlProp" Target="../ctrlProps/ctrlProp176.xml"/><Relationship Id="rId195" Type="http://schemas.openxmlformats.org/officeDocument/2006/relationships/ctrlProp" Target="../ctrlProps/ctrlProp197.xml"/><Relationship Id="rId209" Type="http://schemas.openxmlformats.org/officeDocument/2006/relationships/ctrlProp" Target="../ctrlProps/ctrlProp211.xml"/><Relationship Id="rId220" Type="http://schemas.openxmlformats.org/officeDocument/2006/relationships/ctrlProp" Target="../ctrlProps/ctrlProp222.xml"/><Relationship Id="rId241" Type="http://schemas.openxmlformats.org/officeDocument/2006/relationships/ctrlProp" Target="../ctrlProps/ctrlProp243.xml"/><Relationship Id="rId15" Type="http://schemas.openxmlformats.org/officeDocument/2006/relationships/ctrlProp" Target="../ctrlProps/ctrlProp17.xml"/><Relationship Id="rId36" Type="http://schemas.openxmlformats.org/officeDocument/2006/relationships/ctrlProp" Target="../ctrlProps/ctrlProp38.xml"/><Relationship Id="rId57" Type="http://schemas.openxmlformats.org/officeDocument/2006/relationships/ctrlProp" Target="../ctrlProps/ctrlProp59.xml"/><Relationship Id="rId262" Type="http://schemas.openxmlformats.org/officeDocument/2006/relationships/ctrlProp" Target="../ctrlProps/ctrlProp264.xml"/><Relationship Id="rId283" Type="http://schemas.openxmlformats.org/officeDocument/2006/relationships/ctrlProp" Target="../ctrlProps/ctrlProp285.xml"/><Relationship Id="rId78" Type="http://schemas.openxmlformats.org/officeDocument/2006/relationships/ctrlProp" Target="../ctrlProps/ctrlProp80.xml"/><Relationship Id="rId99" Type="http://schemas.openxmlformats.org/officeDocument/2006/relationships/ctrlProp" Target="../ctrlProps/ctrlProp101.xml"/><Relationship Id="rId101" Type="http://schemas.openxmlformats.org/officeDocument/2006/relationships/ctrlProp" Target="../ctrlProps/ctrlProp103.xml"/><Relationship Id="rId122" Type="http://schemas.openxmlformats.org/officeDocument/2006/relationships/ctrlProp" Target="../ctrlProps/ctrlProp124.xml"/><Relationship Id="rId143" Type="http://schemas.openxmlformats.org/officeDocument/2006/relationships/ctrlProp" Target="../ctrlProps/ctrlProp145.xml"/><Relationship Id="rId164" Type="http://schemas.openxmlformats.org/officeDocument/2006/relationships/ctrlProp" Target="../ctrlProps/ctrlProp166.xml"/><Relationship Id="rId185" Type="http://schemas.openxmlformats.org/officeDocument/2006/relationships/ctrlProp" Target="../ctrlProps/ctrlProp187.xml"/><Relationship Id="rId9" Type="http://schemas.openxmlformats.org/officeDocument/2006/relationships/ctrlProp" Target="../ctrlProps/ctrlProp11.xml"/><Relationship Id="rId210" Type="http://schemas.openxmlformats.org/officeDocument/2006/relationships/ctrlProp" Target="../ctrlProps/ctrlProp212.xml"/><Relationship Id="rId26" Type="http://schemas.openxmlformats.org/officeDocument/2006/relationships/ctrlProp" Target="../ctrlProps/ctrlProp28.xml"/><Relationship Id="rId231" Type="http://schemas.openxmlformats.org/officeDocument/2006/relationships/ctrlProp" Target="../ctrlProps/ctrlProp233.xml"/><Relationship Id="rId252" Type="http://schemas.openxmlformats.org/officeDocument/2006/relationships/ctrlProp" Target="../ctrlProps/ctrlProp254.xml"/><Relationship Id="rId273" Type="http://schemas.openxmlformats.org/officeDocument/2006/relationships/ctrlProp" Target="../ctrlProps/ctrlProp275.xml"/><Relationship Id="rId294" Type="http://schemas.openxmlformats.org/officeDocument/2006/relationships/ctrlProp" Target="../ctrlProps/ctrlProp296.xml"/><Relationship Id="rId308" Type="http://schemas.openxmlformats.org/officeDocument/2006/relationships/ctrlProp" Target="../ctrlProps/ctrlProp310.xml"/><Relationship Id="rId47" Type="http://schemas.openxmlformats.org/officeDocument/2006/relationships/ctrlProp" Target="../ctrlProps/ctrlProp49.xml"/><Relationship Id="rId68" Type="http://schemas.openxmlformats.org/officeDocument/2006/relationships/ctrlProp" Target="../ctrlProps/ctrlProp70.xml"/><Relationship Id="rId89" Type="http://schemas.openxmlformats.org/officeDocument/2006/relationships/ctrlProp" Target="../ctrlProps/ctrlProp91.xml"/><Relationship Id="rId112" Type="http://schemas.openxmlformats.org/officeDocument/2006/relationships/ctrlProp" Target="../ctrlProps/ctrlProp114.xml"/><Relationship Id="rId133" Type="http://schemas.openxmlformats.org/officeDocument/2006/relationships/ctrlProp" Target="../ctrlProps/ctrlProp135.xml"/><Relationship Id="rId154" Type="http://schemas.openxmlformats.org/officeDocument/2006/relationships/ctrlProp" Target="../ctrlProps/ctrlProp156.xml"/><Relationship Id="rId175" Type="http://schemas.openxmlformats.org/officeDocument/2006/relationships/ctrlProp" Target="../ctrlProps/ctrlProp177.xml"/><Relationship Id="rId196" Type="http://schemas.openxmlformats.org/officeDocument/2006/relationships/ctrlProp" Target="../ctrlProps/ctrlProp198.xml"/><Relationship Id="rId200" Type="http://schemas.openxmlformats.org/officeDocument/2006/relationships/ctrlProp" Target="../ctrlProps/ctrlProp202.xml"/><Relationship Id="rId16" Type="http://schemas.openxmlformats.org/officeDocument/2006/relationships/ctrlProp" Target="../ctrlProps/ctrlProp18.xml"/><Relationship Id="rId221" Type="http://schemas.openxmlformats.org/officeDocument/2006/relationships/ctrlProp" Target="../ctrlProps/ctrlProp223.xml"/><Relationship Id="rId242" Type="http://schemas.openxmlformats.org/officeDocument/2006/relationships/ctrlProp" Target="../ctrlProps/ctrlProp244.xml"/><Relationship Id="rId263" Type="http://schemas.openxmlformats.org/officeDocument/2006/relationships/ctrlProp" Target="../ctrlProps/ctrlProp265.xml"/><Relationship Id="rId284" Type="http://schemas.openxmlformats.org/officeDocument/2006/relationships/ctrlProp" Target="../ctrlProps/ctrlProp286.xml"/><Relationship Id="rId37" Type="http://schemas.openxmlformats.org/officeDocument/2006/relationships/ctrlProp" Target="../ctrlProps/ctrlProp39.xml"/><Relationship Id="rId58" Type="http://schemas.openxmlformats.org/officeDocument/2006/relationships/ctrlProp" Target="../ctrlProps/ctrlProp60.xml"/><Relationship Id="rId79" Type="http://schemas.openxmlformats.org/officeDocument/2006/relationships/ctrlProp" Target="../ctrlProps/ctrlProp81.xml"/><Relationship Id="rId102" Type="http://schemas.openxmlformats.org/officeDocument/2006/relationships/ctrlProp" Target="../ctrlProps/ctrlProp104.xml"/><Relationship Id="rId123" Type="http://schemas.openxmlformats.org/officeDocument/2006/relationships/ctrlProp" Target="../ctrlProps/ctrlProp125.xml"/><Relationship Id="rId144" Type="http://schemas.openxmlformats.org/officeDocument/2006/relationships/ctrlProp" Target="../ctrlProps/ctrlProp146.xml"/><Relationship Id="rId90" Type="http://schemas.openxmlformats.org/officeDocument/2006/relationships/ctrlProp" Target="../ctrlProps/ctrlProp92.xml"/><Relationship Id="rId165" Type="http://schemas.openxmlformats.org/officeDocument/2006/relationships/ctrlProp" Target="../ctrlProps/ctrlProp167.xml"/><Relationship Id="rId186" Type="http://schemas.openxmlformats.org/officeDocument/2006/relationships/ctrlProp" Target="../ctrlProps/ctrlProp188.xml"/><Relationship Id="rId211" Type="http://schemas.openxmlformats.org/officeDocument/2006/relationships/ctrlProp" Target="../ctrlProps/ctrlProp213.xml"/><Relationship Id="rId232" Type="http://schemas.openxmlformats.org/officeDocument/2006/relationships/ctrlProp" Target="../ctrlProps/ctrlProp234.xml"/><Relationship Id="rId253" Type="http://schemas.openxmlformats.org/officeDocument/2006/relationships/ctrlProp" Target="../ctrlProps/ctrlProp255.xml"/><Relationship Id="rId274" Type="http://schemas.openxmlformats.org/officeDocument/2006/relationships/ctrlProp" Target="../ctrlProps/ctrlProp276.xml"/><Relationship Id="rId295" Type="http://schemas.openxmlformats.org/officeDocument/2006/relationships/ctrlProp" Target="../ctrlProps/ctrlProp297.xml"/><Relationship Id="rId27" Type="http://schemas.openxmlformats.org/officeDocument/2006/relationships/ctrlProp" Target="../ctrlProps/ctrlProp29.xml"/><Relationship Id="rId48" Type="http://schemas.openxmlformats.org/officeDocument/2006/relationships/ctrlProp" Target="../ctrlProps/ctrlProp50.xml"/><Relationship Id="rId69" Type="http://schemas.openxmlformats.org/officeDocument/2006/relationships/ctrlProp" Target="../ctrlProps/ctrlProp71.xml"/><Relationship Id="rId113" Type="http://schemas.openxmlformats.org/officeDocument/2006/relationships/ctrlProp" Target="../ctrlProps/ctrlProp115.xml"/><Relationship Id="rId134" Type="http://schemas.openxmlformats.org/officeDocument/2006/relationships/ctrlProp" Target="../ctrlProps/ctrlProp136.xml"/><Relationship Id="rId80" Type="http://schemas.openxmlformats.org/officeDocument/2006/relationships/ctrlProp" Target="../ctrlProps/ctrlProp82.xml"/><Relationship Id="rId155" Type="http://schemas.openxmlformats.org/officeDocument/2006/relationships/ctrlProp" Target="../ctrlProps/ctrlProp157.xml"/><Relationship Id="rId176" Type="http://schemas.openxmlformats.org/officeDocument/2006/relationships/ctrlProp" Target="../ctrlProps/ctrlProp178.xml"/><Relationship Id="rId197" Type="http://schemas.openxmlformats.org/officeDocument/2006/relationships/ctrlProp" Target="../ctrlProps/ctrlProp199.xml"/><Relationship Id="rId201" Type="http://schemas.openxmlformats.org/officeDocument/2006/relationships/ctrlProp" Target="../ctrlProps/ctrlProp203.xml"/><Relationship Id="rId222" Type="http://schemas.openxmlformats.org/officeDocument/2006/relationships/ctrlProp" Target="../ctrlProps/ctrlProp224.xml"/><Relationship Id="rId243" Type="http://schemas.openxmlformats.org/officeDocument/2006/relationships/ctrlProp" Target="../ctrlProps/ctrlProp245.xml"/><Relationship Id="rId264" Type="http://schemas.openxmlformats.org/officeDocument/2006/relationships/ctrlProp" Target="../ctrlProps/ctrlProp266.xml"/><Relationship Id="rId285" Type="http://schemas.openxmlformats.org/officeDocument/2006/relationships/ctrlProp" Target="../ctrlProps/ctrlProp287.xml"/><Relationship Id="rId17" Type="http://schemas.openxmlformats.org/officeDocument/2006/relationships/ctrlProp" Target="../ctrlProps/ctrlProp19.xml"/><Relationship Id="rId38" Type="http://schemas.openxmlformats.org/officeDocument/2006/relationships/ctrlProp" Target="../ctrlProps/ctrlProp40.xml"/><Relationship Id="rId59" Type="http://schemas.openxmlformats.org/officeDocument/2006/relationships/ctrlProp" Target="../ctrlProps/ctrlProp61.xml"/><Relationship Id="rId103" Type="http://schemas.openxmlformats.org/officeDocument/2006/relationships/ctrlProp" Target="../ctrlProps/ctrlProp105.xml"/><Relationship Id="rId124" Type="http://schemas.openxmlformats.org/officeDocument/2006/relationships/ctrlProp" Target="../ctrlProps/ctrlProp126.xml"/><Relationship Id="rId70" Type="http://schemas.openxmlformats.org/officeDocument/2006/relationships/ctrlProp" Target="../ctrlProps/ctrlProp72.xml"/><Relationship Id="rId91" Type="http://schemas.openxmlformats.org/officeDocument/2006/relationships/ctrlProp" Target="../ctrlProps/ctrlProp93.xml"/><Relationship Id="rId145" Type="http://schemas.openxmlformats.org/officeDocument/2006/relationships/ctrlProp" Target="../ctrlProps/ctrlProp147.xml"/><Relationship Id="rId166" Type="http://schemas.openxmlformats.org/officeDocument/2006/relationships/ctrlProp" Target="../ctrlProps/ctrlProp168.xml"/><Relationship Id="rId187" Type="http://schemas.openxmlformats.org/officeDocument/2006/relationships/ctrlProp" Target="../ctrlProps/ctrlProp189.xml"/><Relationship Id="rId1" Type="http://schemas.openxmlformats.org/officeDocument/2006/relationships/printerSettings" Target="../printerSettings/printerSettings16.bin"/><Relationship Id="rId212" Type="http://schemas.openxmlformats.org/officeDocument/2006/relationships/ctrlProp" Target="../ctrlProps/ctrlProp214.xml"/><Relationship Id="rId233" Type="http://schemas.openxmlformats.org/officeDocument/2006/relationships/ctrlProp" Target="../ctrlProps/ctrlProp235.xml"/><Relationship Id="rId254" Type="http://schemas.openxmlformats.org/officeDocument/2006/relationships/ctrlProp" Target="../ctrlProps/ctrlProp256.xml"/><Relationship Id="rId28" Type="http://schemas.openxmlformats.org/officeDocument/2006/relationships/ctrlProp" Target="../ctrlProps/ctrlProp30.xml"/><Relationship Id="rId49" Type="http://schemas.openxmlformats.org/officeDocument/2006/relationships/ctrlProp" Target="../ctrlProps/ctrlProp51.xml"/><Relationship Id="rId114" Type="http://schemas.openxmlformats.org/officeDocument/2006/relationships/ctrlProp" Target="../ctrlProps/ctrlProp116.xml"/><Relationship Id="rId275" Type="http://schemas.openxmlformats.org/officeDocument/2006/relationships/ctrlProp" Target="../ctrlProps/ctrlProp277.xml"/><Relationship Id="rId296" Type="http://schemas.openxmlformats.org/officeDocument/2006/relationships/ctrlProp" Target="../ctrlProps/ctrlProp298.xml"/><Relationship Id="rId300" Type="http://schemas.openxmlformats.org/officeDocument/2006/relationships/ctrlProp" Target="../ctrlProps/ctrlProp302.xml"/><Relationship Id="rId60" Type="http://schemas.openxmlformats.org/officeDocument/2006/relationships/ctrlProp" Target="../ctrlProps/ctrlProp62.xml"/><Relationship Id="rId81" Type="http://schemas.openxmlformats.org/officeDocument/2006/relationships/ctrlProp" Target="../ctrlProps/ctrlProp83.xml"/><Relationship Id="rId135" Type="http://schemas.openxmlformats.org/officeDocument/2006/relationships/ctrlProp" Target="../ctrlProps/ctrlProp137.xml"/><Relationship Id="rId156" Type="http://schemas.openxmlformats.org/officeDocument/2006/relationships/ctrlProp" Target="../ctrlProps/ctrlProp158.xml"/><Relationship Id="rId177" Type="http://schemas.openxmlformats.org/officeDocument/2006/relationships/ctrlProp" Target="../ctrlProps/ctrlProp179.xml"/><Relationship Id="rId198" Type="http://schemas.openxmlformats.org/officeDocument/2006/relationships/ctrlProp" Target="../ctrlProps/ctrlProp200.xml"/><Relationship Id="rId202" Type="http://schemas.openxmlformats.org/officeDocument/2006/relationships/ctrlProp" Target="../ctrlProps/ctrlProp204.xml"/><Relationship Id="rId223" Type="http://schemas.openxmlformats.org/officeDocument/2006/relationships/ctrlProp" Target="../ctrlProps/ctrlProp225.xml"/><Relationship Id="rId244" Type="http://schemas.openxmlformats.org/officeDocument/2006/relationships/ctrlProp" Target="../ctrlProps/ctrlProp246.xml"/><Relationship Id="rId18" Type="http://schemas.openxmlformats.org/officeDocument/2006/relationships/ctrlProp" Target="../ctrlProps/ctrlProp20.xml"/><Relationship Id="rId39" Type="http://schemas.openxmlformats.org/officeDocument/2006/relationships/ctrlProp" Target="../ctrlProps/ctrlProp41.xml"/><Relationship Id="rId265" Type="http://schemas.openxmlformats.org/officeDocument/2006/relationships/ctrlProp" Target="../ctrlProps/ctrlProp267.xml"/><Relationship Id="rId286" Type="http://schemas.openxmlformats.org/officeDocument/2006/relationships/ctrlProp" Target="../ctrlProps/ctrlProp288.xml"/><Relationship Id="rId50" Type="http://schemas.openxmlformats.org/officeDocument/2006/relationships/ctrlProp" Target="../ctrlProps/ctrlProp52.xml"/><Relationship Id="rId104" Type="http://schemas.openxmlformats.org/officeDocument/2006/relationships/ctrlProp" Target="../ctrlProps/ctrlProp106.xml"/><Relationship Id="rId125" Type="http://schemas.openxmlformats.org/officeDocument/2006/relationships/ctrlProp" Target="../ctrlProps/ctrlProp127.xml"/><Relationship Id="rId146" Type="http://schemas.openxmlformats.org/officeDocument/2006/relationships/ctrlProp" Target="../ctrlProps/ctrlProp148.xml"/><Relationship Id="rId167" Type="http://schemas.openxmlformats.org/officeDocument/2006/relationships/ctrlProp" Target="../ctrlProps/ctrlProp169.xml"/><Relationship Id="rId188" Type="http://schemas.openxmlformats.org/officeDocument/2006/relationships/ctrlProp" Target="../ctrlProps/ctrlProp190.xml"/><Relationship Id="rId71" Type="http://schemas.openxmlformats.org/officeDocument/2006/relationships/ctrlProp" Target="../ctrlProps/ctrlProp73.xml"/><Relationship Id="rId92" Type="http://schemas.openxmlformats.org/officeDocument/2006/relationships/ctrlProp" Target="../ctrlProps/ctrlProp94.xml"/><Relationship Id="rId213" Type="http://schemas.openxmlformats.org/officeDocument/2006/relationships/ctrlProp" Target="../ctrlProps/ctrlProp215.xml"/><Relationship Id="rId234" Type="http://schemas.openxmlformats.org/officeDocument/2006/relationships/ctrlProp" Target="../ctrlProps/ctrlProp236.xml"/><Relationship Id="rId2" Type="http://schemas.openxmlformats.org/officeDocument/2006/relationships/drawing" Target="../drawings/drawing22.xml"/><Relationship Id="rId29" Type="http://schemas.openxmlformats.org/officeDocument/2006/relationships/ctrlProp" Target="../ctrlProps/ctrlProp31.xml"/><Relationship Id="rId255" Type="http://schemas.openxmlformats.org/officeDocument/2006/relationships/ctrlProp" Target="../ctrlProps/ctrlProp257.xml"/><Relationship Id="rId276" Type="http://schemas.openxmlformats.org/officeDocument/2006/relationships/ctrlProp" Target="../ctrlProps/ctrlProp278.xml"/><Relationship Id="rId297" Type="http://schemas.openxmlformats.org/officeDocument/2006/relationships/ctrlProp" Target="../ctrlProps/ctrlProp299.xml"/><Relationship Id="rId40" Type="http://schemas.openxmlformats.org/officeDocument/2006/relationships/ctrlProp" Target="../ctrlProps/ctrlProp42.xml"/><Relationship Id="rId115" Type="http://schemas.openxmlformats.org/officeDocument/2006/relationships/ctrlProp" Target="../ctrlProps/ctrlProp117.xml"/><Relationship Id="rId136" Type="http://schemas.openxmlformats.org/officeDocument/2006/relationships/ctrlProp" Target="../ctrlProps/ctrlProp138.xml"/><Relationship Id="rId157" Type="http://schemas.openxmlformats.org/officeDocument/2006/relationships/ctrlProp" Target="../ctrlProps/ctrlProp159.xml"/><Relationship Id="rId178" Type="http://schemas.openxmlformats.org/officeDocument/2006/relationships/ctrlProp" Target="../ctrlProps/ctrlProp180.xml"/><Relationship Id="rId301" Type="http://schemas.openxmlformats.org/officeDocument/2006/relationships/ctrlProp" Target="../ctrlProps/ctrlProp303.xml"/><Relationship Id="rId61" Type="http://schemas.openxmlformats.org/officeDocument/2006/relationships/ctrlProp" Target="../ctrlProps/ctrlProp63.xml"/><Relationship Id="rId82" Type="http://schemas.openxmlformats.org/officeDocument/2006/relationships/ctrlProp" Target="../ctrlProps/ctrlProp84.xml"/><Relationship Id="rId199" Type="http://schemas.openxmlformats.org/officeDocument/2006/relationships/ctrlProp" Target="../ctrlProps/ctrlProp201.xml"/><Relationship Id="rId203" Type="http://schemas.openxmlformats.org/officeDocument/2006/relationships/ctrlProp" Target="../ctrlProps/ctrlProp205.xml"/><Relationship Id="rId19" Type="http://schemas.openxmlformats.org/officeDocument/2006/relationships/ctrlProp" Target="../ctrlProps/ctrlProp21.xml"/><Relationship Id="rId224" Type="http://schemas.openxmlformats.org/officeDocument/2006/relationships/ctrlProp" Target="../ctrlProps/ctrlProp226.xml"/><Relationship Id="rId245" Type="http://schemas.openxmlformats.org/officeDocument/2006/relationships/ctrlProp" Target="../ctrlProps/ctrlProp247.xml"/><Relationship Id="rId266" Type="http://schemas.openxmlformats.org/officeDocument/2006/relationships/ctrlProp" Target="../ctrlProps/ctrlProp268.xml"/><Relationship Id="rId287" Type="http://schemas.openxmlformats.org/officeDocument/2006/relationships/ctrlProp" Target="../ctrlProps/ctrlProp289.xml"/><Relationship Id="rId30" Type="http://schemas.openxmlformats.org/officeDocument/2006/relationships/ctrlProp" Target="../ctrlProps/ctrlProp32.xml"/><Relationship Id="rId105" Type="http://schemas.openxmlformats.org/officeDocument/2006/relationships/ctrlProp" Target="../ctrlProps/ctrlProp107.xml"/><Relationship Id="rId126" Type="http://schemas.openxmlformats.org/officeDocument/2006/relationships/ctrlProp" Target="../ctrlProps/ctrlProp128.xml"/><Relationship Id="rId147" Type="http://schemas.openxmlformats.org/officeDocument/2006/relationships/ctrlProp" Target="../ctrlProps/ctrlProp149.xml"/><Relationship Id="rId168" Type="http://schemas.openxmlformats.org/officeDocument/2006/relationships/ctrlProp" Target="../ctrlProps/ctrlProp170.xml"/><Relationship Id="rId51" Type="http://schemas.openxmlformats.org/officeDocument/2006/relationships/ctrlProp" Target="../ctrlProps/ctrlProp53.xml"/><Relationship Id="rId72" Type="http://schemas.openxmlformats.org/officeDocument/2006/relationships/ctrlProp" Target="../ctrlProps/ctrlProp74.xml"/><Relationship Id="rId93" Type="http://schemas.openxmlformats.org/officeDocument/2006/relationships/ctrlProp" Target="../ctrlProps/ctrlProp95.xml"/><Relationship Id="rId189" Type="http://schemas.openxmlformats.org/officeDocument/2006/relationships/ctrlProp" Target="../ctrlProps/ctrlProp191.xml"/><Relationship Id="rId3" Type="http://schemas.openxmlformats.org/officeDocument/2006/relationships/vmlDrawing" Target="../drawings/vmlDrawing8.vml"/><Relationship Id="rId214" Type="http://schemas.openxmlformats.org/officeDocument/2006/relationships/ctrlProp" Target="../ctrlProps/ctrlProp216.xml"/><Relationship Id="rId235" Type="http://schemas.openxmlformats.org/officeDocument/2006/relationships/ctrlProp" Target="../ctrlProps/ctrlProp237.xml"/><Relationship Id="rId256" Type="http://schemas.openxmlformats.org/officeDocument/2006/relationships/ctrlProp" Target="../ctrlProps/ctrlProp258.xml"/><Relationship Id="rId277" Type="http://schemas.openxmlformats.org/officeDocument/2006/relationships/ctrlProp" Target="../ctrlProps/ctrlProp279.xml"/><Relationship Id="rId298" Type="http://schemas.openxmlformats.org/officeDocument/2006/relationships/ctrlProp" Target="../ctrlProps/ctrlProp300.xml"/><Relationship Id="rId116" Type="http://schemas.openxmlformats.org/officeDocument/2006/relationships/ctrlProp" Target="../ctrlProps/ctrlProp118.xml"/><Relationship Id="rId137" Type="http://schemas.openxmlformats.org/officeDocument/2006/relationships/ctrlProp" Target="../ctrlProps/ctrlProp139.xml"/><Relationship Id="rId158" Type="http://schemas.openxmlformats.org/officeDocument/2006/relationships/ctrlProp" Target="../ctrlProps/ctrlProp160.xml"/><Relationship Id="rId302" Type="http://schemas.openxmlformats.org/officeDocument/2006/relationships/ctrlProp" Target="../ctrlProps/ctrlProp304.xml"/><Relationship Id="rId20" Type="http://schemas.openxmlformats.org/officeDocument/2006/relationships/ctrlProp" Target="../ctrlProps/ctrlProp22.xml"/><Relationship Id="rId41" Type="http://schemas.openxmlformats.org/officeDocument/2006/relationships/ctrlProp" Target="../ctrlProps/ctrlProp43.xml"/><Relationship Id="rId62" Type="http://schemas.openxmlformats.org/officeDocument/2006/relationships/ctrlProp" Target="../ctrlProps/ctrlProp64.xml"/><Relationship Id="rId83" Type="http://schemas.openxmlformats.org/officeDocument/2006/relationships/ctrlProp" Target="../ctrlProps/ctrlProp85.xml"/><Relationship Id="rId179" Type="http://schemas.openxmlformats.org/officeDocument/2006/relationships/ctrlProp" Target="../ctrlProps/ctrlProp181.xml"/><Relationship Id="rId190" Type="http://schemas.openxmlformats.org/officeDocument/2006/relationships/ctrlProp" Target="../ctrlProps/ctrlProp192.xml"/><Relationship Id="rId204" Type="http://schemas.openxmlformats.org/officeDocument/2006/relationships/ctrlProp" Target="../ctrlProps/ctrlProp206.xml"/><Relationship Id="rId225" Type="http://schemas.openxmlformats.org/officeDocument/2006/relationships/ctrlProp" Target="../ctrlProps/ctrlProp227.xml"/><Relationship Id="rId246" Type="http://schemas.openxmlformats.org/officeDocument/2006/relationships/ctrlProp" Target="../ctrlProps/ctrlProp248.xml"/><Relationship Id="rId267" Type="http://schemas.openxmlformats.org/officeDocument/2006/relationships/ctrlProp" Target="../ctrlProps/ctrlProp269.xml"/><Relationship Id="rId288" Type="http://schemas.openxmlformats.org/officeDocument/2006/relationships/ctrlProp" Target="../ctrlProps/ctrlProp290.xml"/><Relationship Id="rId106" Type="http://schemas.openxmlformats.org/officeDocument/2006/relationships/ctrlProp" Target="../ctrlProps/ctrlProp108.xml"/><Relationship Id="rId127" Type="http://schemas.openxmlformats.org/officeDocument/2006/relationships/ctrlProp" Target="../ctrlProps/ctrlProp129.xml"/><Relationship Id="rId10" Type="http://schemas.openxmlformats.org/officeDocument/2006/relationships/ctrlProp" Target="../ctrlProps/ctrlProp12.xml"/><Relationship Id="rId31" Type="http://schemas.openxmlformats.org/officeDocument/2006/relationships/ctrlProp" Target="../ctrlProps/ctrlProp33.xml"/><Relationship Id="rId52" Type="http://schemas.openxmlformats.org/officeDocument/2006/relationships/ctrlProp" Target="../ctrlProps/ctrlProp54.xml"/><Relationship Id="rId73" Type="http://schemas.openxmlformats.org/officeDocument/2006/relationships/ctrlProp" Target="../ctrlProps/ctrlProp75.xml"/><Relationship Id="rId94" Type="http://schemas.openxmlformats.org/officeDocument/2006/relationships/ctrlProp" Target="../ctrlProps/ctrlProp96.xml"/><Relationship Id="rId148" Type="http://schemas.openxmlformats.org/officeDocument/2006/relationships/ctrlProp" Target="../ctrlProps/ctrlProp150.xml"/><Relationship Id="rId169" Type="http://schemas.openxmlformats.org/officeDocument/2006/relationships/ctrlProp" Target="../ctrlProps/ctrlProp171.xml"/><Relationship Id="rId4" Type="http://schemas.openxmlformats.org/officeDocument/2006/relationships/ctrlProp" Target="../ctrlProps/ctrlProp6.xml"/><Relationship Id="rId180" Type="http://schemas.openxmlformats.org/officeDocument/2006/relationships/ctrlProp" Target="../ctrlProps/ctrlProp182.xml"/><Relationship Id="rId215" Type="http://schemas.openxmlformats.org/officeDocument/2006/relationships/ctrlProp" Target="../ctrlProps/ctrlProp217.xml"/><Relationship Id="rId236" Type="http://schemas.openxmlformats.org/officeDocument/2006/relationships/ctrlProp" Target="../ctrlProps/ctrlProp238.xml"/><Relationship Id="rId257" Type="http://schemas.openxmlformats.org/officeDocument/2006/relationships/ctrlProp" Target="../ctrlProps/ctrlProp259.xml"/><Relationship Id="rId278" Type="http://schemas.openxmlformats.org/officeDocument/2006/relationships/ctrlProp" Target="../ctrlProps/ctrlProp280.xml"/><Relationship Id="rId303" Type="http://schemas.openxmlformats.org/officeDocument/2006/relationships/ctrlProp" Target="../ctrlProps/ctrlProp305.xml"/><Relationship Id="rId42" Type="http://schemas.openxmlformats.org/officeDocument/2006/relationships/ctrlProp" Target="../ctrlProps/ctrlProp44.xml"/><Relationship Id="rId84" Type="http://schemas.openxmlformats.org/officeDocument/2006/relationships/ctrlProp" Target="../ctrlProps/ctrlProp86.xml"/><Relationship Id="rId138" Type="http://schemas.openxmlformats.org/officeDocument/2006/relationships/ctrlProp" Target="../ctrlProps/ctrlProp140.xml"/><Relationship Id="rId191" Type="http://schemas.openxmlformats.org/officeDocument/2006/relationships/ctrlProp" Target="../ctrlProps/ctrlProp193.xml"/><Relationship Id="rId205" Type="http://schemas.openxmlformats.org/officeDocument/2006/relationships/ctrlProp" Target="../ctrlProps/ctrlProp207.xml"/><Relationship Id="rId247" Type="http://schemas.openxmlformats.org/officeDocument/2006/relationships/ctrlProp" Target="../ctrlProps/ctrlProp249.xml"/><Relationship Id="rId107" Type="http://schemas.openxmlformats.org/officeDocument/2006/relationships/ctrlProp" Target="../ctrlProps/ctrlProp109.xml"/><Relationship Id="rId289" Type="http://schemas.openxmlformats.org/officeDocument/2006/relationships/ctrlProp" Target="../ctrlProps/ctrlProp291.xml"/><Relationship Id="rId11" Type="http://schemas.openxmlformats.org/officeDocument/2006/relationships/ctrlProp" Target="../ctrlProps/ctrlProp13.xml"/><Relationship Id="rId53" Type="http://schemas.openxmlformats.org/officeDocument/2006/relationships/ctrlProp" Target="../ctrlProps/ctrlProp55.xml"/><Relationship Id="rId149" Type="http://schemas.openxmlformats.org/officeDocument/2006/relationships/ctrlProp" Target="../ctrlProps/ctrlProp151.xml"/><Relationship Id="rId95" Type="http://schemas.openxmlformats.org/officeDocument/2006/relationships/ctrlProp" Target="../ctrlProps/ctrlProp97.xml"/><Relationship Id="rId160" Type="http://schemas.openxmlformats.org/officeDocument/2006/relationships/ctrlProp" Target="../ctrlProps/ctrlProp162.xml"/><Relationship Id="rId216" Type="http://schemas.openxmlformats.org/officeDocument/2006/relationships/ctrlProp" Target="../ctrlProps/ctrlProp218.xml"/><Relationship Id="rId258" Type="http://schemas.openxmlformats.org/officeDocument/2006/relationships/ctrlProp" Target="../ctrlProps/ctrlProp260.xml"/><Relationship Id="rId22" Type="http://schemas.openxmlformats.org/officeDocument/2006/relationships/ctrlProp" Target="../ctrlProps/ctrlProp24.xml"/><Relationship Id="rId64" Type="http://schemas.openxmlformats.org/officeDocument/2006/relationships/ctrlProp" Target="../ctrlProps/ctrlProp66.xml"/><Relationship Id="rId118" Type="http://schemas.openxmlformats.org/officeDocument/2006/relationships/ctrlProp" Target="../ctrlProps/ctrlProp120.xml"/><Relationship Id="rId171" Type="http://schemas.openxmlformats.org/officeDocument/2006/relationships/ctrlProp" Target="../ctrlProps/ctrlProp173.xml"/><Relationship Id="rId227" Type="http://schemas.openxmlformats.org/officeDocument/2006/relationships/ctrlProp" Target="../ctrlProps/ctrlProp229.xml"/><Relationship Id="rId269" Type="http://schemas.openxmlformats.org/officeDocument/2006/relationships/ctrlProp" Target="../ctrlProps/ctrlProp271.xml"/><Relationship Id="rId33" Type="http://schemas.openxmlformats.org/officeDocument/2006/relationships/ctrlProp" Target="../ctrlProps/ctrlProp35.xml"/><Relationship Id="rId129" Type="http://schemas.openxmlformats.org/officeDocument/2006/relationships/ctrlProp" Target="../ctrlProps/ctrlProp131.xml"/><Relationship Id="rId280" Type="http://schemas.openxmlformats.org/officeDocument/2006/relationships/ctrlProp" Target="../ctrlProps/ctrlProp282.xml"/><Relationship Id="rId75" Type="http://schemas.openxmlformats.org/officeDocument/2006/relationships/ctrlProp" Target="../ctrlProps/ctrlProp77.xml"/><Relationship Id="rId140" Type="http://schemas.openxmlformats.org/officeDocument/2006/relationships/ctrlProp" Target="../ctrlProps/ctrlProp142.xml"/><Relationship Id="rId182" Type="http://schemas.openxmlformats.org/officeDocument/2006/relationships/ctrlProp" Target="../ctrlProps/ctrlProp184.xml"/><Relationship Id="rId6" Type="http://schemas.openxmlformats.org/officeDocument/2006/relationships/ctrlProp" Target="../ctrlProps/ctrlProp8.xml"/><Relationship Id="rId238" Type="http://schemas.openxmlformats.org/officeDocument/2006/relationships/ctrlProp" Target="../ctrlProps/ctrlProp240.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9.v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1">
    <pageSetUpPr autoPageBreaks="0" fitToPage="1"/>
  </sheetPr>
  <dimension ref="A1:R91"/>
  <sheetViews>
    <sheetView showGridLines="0" tabSelected="1" workbookViewId="0">
      <selection activeCell="U23" sqref="U23"/>
    </sheetView>
  </sheetViews>
  <sheetFormatPr defaultColWidth="9" defaultRowHeight="13.5" zeroHeight="1"/>
  <cols>
    <col min="1" max="1" width="1.75" customWidth="1"/>
    <col min="2" max="2" width="21.625" customWidth="1"/>
    <col min="3" max="3" width="15.125" customWidth="1"/>
    <col min="4" max="4" width="18.375" customWidth="1"/>
    <col min="5" max="5" width="13.875" customWidth="1"/>
    <col min="6" max="6" width="11.5" customWidth="1"/>
    <col min="7" max="7" width="3.125" customWidth="1"/>
    <col min="8" max="8" width="4.75" hidden="1" customWidth="1"/>
    <col min="9" max="9" width="13" hidden="1" customWidth="1"/>
    <col min="10" max="10" width="15.125" hidden="1" customWidth="1"/>
    <col min="11" max="11" width="6.875" hidden="1" customWidth="1"/>
    <col min="12" max="12" width="39" hidden="1" customWidth="1"/>
    <col min="13" max="13" width="28.25" hidden="1" customWidth="1"/>
    <col min="14" max="14" width="2.5" hidden="1" customWidth="1"/>
    <col min="15" max="15" width="7.5" hidden="1" customWidth="1"/>
    <col min="16" max="16" width="11.625" hidden="1" customWidth="1"/>
    <col min="17" max="17" width="16.875" hidden="1" customWidth="1"/>
    <col min="18" max="18" width="9.5" hidden="1" customWidth="1"/>
  </cols>
  <sheetData>
    <row r="1" spans="1:11" ht="8.1" customHeight="1">
      <c r="A1" s="3"/>
      <c r="B1" s="4"/>
      <c r="C1" s="3"/>
      <c r="D1" s="3"/>
      <c r="E1" s="3"/>
      <c r="F1" s="3"/>
      <c r="G1" s="3"/>
    </row>
    <row r="2" spans="1:11" ht="25.5" customHeight="1">
      <c r="A2" s="3"/>
      <c r="B2" s="4"/>
      <c r="C2" s="3"/>
      <c r="D2" s="3"/>
      <c r="E2" s="3"/>
      <c r="F2" s="3"/>
      <c r="G2" s="3"/>
    </row>
    <row r="3" spans="1:11" ht="25.5" customHeight="1">
      <c r="A3" s="3"/>
      <c r="B3" s="4"/>
      <c r="C3" s="3"/>
      <c r="D3" s="3"/>
      <c r="E3" s="3"/>
      <c r="F3" s="3"/>
      <c r="G3" s="3"/>
      <c r="I3" s="1">
        <v>2</v>
      </c>
      <c r="J3" s="1" t="str">
        <f>IF(I3=2,J4,IF(I3=0,J5,IF(I3=3,J6,IF(I3=4,J7,""))))</f>
        <v>NC</v>
      </c>
      <c r="K3" s="1" t="str">
        <f>IF(I3=2,K4,IF(I3=0,K5,IF(I3=3,K6,IF(I3=4,K7,""))))</f>
        <v>CASBEE for Building Design (New Construction) 2024 Edition</v>
      </c>
    </row>
    <row r="4" spans="1:11" ht="25.5" customHeight="1">
      <c r="A4" s="1136"/>
      <c r="B4" s="1121" t="s">
        <v>1398</v>
      </c>
      <c r="C4" s="1135"/>
      <c r="D4" s="1135"/>
      <c r="E4" s="1135"/>
      <c r="F4" s="1137"/>
      <c r="G4" s="1136"/>
      <c r="J4" t="s">
        <v>730</v>
      </c>
      <c r="K4" t="s">
        <v>1407</v>
      </c>
    </row>
    <row r="5" spans="1:11" ht="14.25">
      <c r="A5" s="1136"/>
      <c r="B5" s="1122" t="s">
        <v>1469</v>
      </c>
      <c r="C5" s="5" t="s">
        <v>5032</v>
      </c>
      <c r="D5" s="5"/>
      <c r="E5" s="1136"/>
      <c r="F5" s="1136"/>
      <c r="G5" s="1136"/>
      <c r="J5" t="s">
        <v>731</v>
      </c>
      <c r="K5" t="s">
        <v>761</v>
      </c>
    </row>
    <row r="6" spans="1:11" ht="14.25">
      <c r="A6" s="1136"/>
      <c r="B6" s="6" t="s">
        <v>1470</v>
      </c>
      <c r="C6" s="6" t="str">
        <f>K3</f>
        <v>CASBEE for Building Design (New Construction) 2024 Edition</v>
      </c>
      <c r="D6" s="6"/>
      <c r="E6" s="1136"/>
      <c r="F6" s="1136"/>
      <c r="G6" s="1136"/>
      <c r="J6" t="s">
        <v>729</v>
      </c>
      <c r="K6" t="s">
        <v>760</v>
      </c>
    </row>
    <row r="7" spans="1:11" ht="6.75" customHeight="1" thickBot="1">
      <c r="A7" s="1136"/>
      <c r="B7" s="1123"/>
      <c r="C7" s="1123"/>
      <c r="D7" s="1123"/>
      <c r="E7" s="1123"/>
      <c r="F7" s="1123"/>
      <c r="G7" s="1136"/>
      <c r="J7" t="s">
        <v>758</v>
      </c>
      <c r="K7" t="s">
        <v>762</v>
      </c>
    </row>
    <row r="8" spans="1:11" ht="15" customHeight="1">
      <c r="A8" s="1136"/>
      <c r="B8" s="1124" t="s">
        <v>1408</v>
      </c>
      <c r="C8" s="1138"/>
      <c r="D8" s="1138"/>
      <c r="E8" s="1138"/>
      <c r="F8" s="1139"/>
      <c r="G8" s="1136"/>
    </row>
    <row r="9" spans="1:11" ht="15" customHeight="1">
      <c r="A9" s="1136"/>
      <c r="B9" s="1125" t="s">
        <v>1409</v>
      </c>
      <c r="C9" s="1140"/>
      <c r="D9" s="1140"/>
      <c r="E9" s="1140"/>
      <c r="F9" s="1141"/>
      <c r="G9" s="1136"/>
    </row>
    <row r="10" spans="1:11" ht="15" hidden="1" customHeight="1">
      <c r="A10" s="1136"/>
      <c r="B10" s="1126"/>
      <c r="C10" s="1142"/>
      <c r="D10" s="1142"/>
      <c r="E10" s="1142"/>
      <c r="F10" s="1143"/>
      <c r="G10" s="1136"/>
    </row>
    <row r="11" spans="1:11" ht="15" customHeight="1">
      <c r="A11" s="1136"/>
      <c r="B11" s="1127" t="s">
        <v>1410</v>
      </c>
      <c r="C11" s="3813" t="s">
        <v>1423</v>
      </c>
      <c r="D11" s="3814"/>
      <c r="E11" s="3815"/>
      <c r="F11" s="1092"/>
      <c r="G11" s="1136"/>
      <c r="I11" t="s">
        <v>1399</v>
      </c>
      <c r="J11" t="s">
        <v>342</v>
      </c>
      <c r="K11">
        <v>1</v>
      </c>
    </row>
    <row r="12" spans="1:11" ht="15" customHeight="1">
      <c r="A12" s="1136"/>
      <c r="B12" s="1823" t="s">
        <v>1956</v>
      </c>
      <c r="C12" s="3813" t="s">
        <v>1424</v>
      </c>
      <c r="D12" s="3814"/>
      <c r="E12" s="3819"/>
      <c r="F12" s="1144" t="s">
        <v>1401</v>
      </c>
      <c r="G12" s="1136"/>
      <c r="I12" t="s">
        <v>1400</v>
      </c>
      <c r="J12" t="s">
        <v>309</v>
      </c>
      <c r="K12">
        <v>2</v>
      </c>
    </row>
    <row r="13" spans="1:11" ht="15" hidden="1" customHeight="1">
      <c r="A13" s="1136"/>
      <c r="B13" s="1128"/>
      <c r="C13" s="1145"/>
      <c r="D13" s="1146"/>
      <c r="E13" s="1147"/>
      <c r="F13" s="1144"/>
      <c r="G13" s="1136"/>
      <c r="I13" t="s">
        <v>1401</v>
      </c>
      <c r="J13" t="s">
        <v>498</v>
      </c>
      <c r="K13">
        <v>3</v>
      </c>
    </row>
    <row r="14" spans="1:11" ht="15" customHeight="1">
      <c r="A14" s="1136"/>
      <c r="B14" s="1128" t="s">
        <v>1411</v>
      </c>
      <c r="C14" s="3813" t="s">
        <v>3393</v>
      </c>
      <c r="D14" s="3814"/>
      <c r="E14" s="3819"/>
      <c r="F14" s="1092"/>
      <c r="G14" s="1136"/>
      <c r="I14" t="s">
        <v>1402</v>
      </c>
      <c r="J14" t="s">
        <v>499</v>
      </c>
      <c r="K14">
        <v>4</v>
      </c>
    </row>
    <row r="15" spans="1:11" ht="15" customHeight="1">
      <c r="A15" s="1136"/>
      <c r="B15" s="1128" t="s">
        <v>1412</v>
      </c>
      <c r="C15" s="1820">
        <v>46447</v>
      </c>
      <c r="D15" s="1497" t="s">
        <v>1425</v>
      </c>
      <c r="E15" s="1095"/>
      <c r="F15" s="1144" t="s">
        <v>1426</v>
      </c>
      <c r="G15" s="1136"/>
      <c r="I15" t="s">
        <v>1403</v>
      </c>
      <c r="J15" t="s">
        <v>500</v>
      </c>
      <c r="K15">
        <v>5</v>
      </c>
    </row>
    <row r="16" spans="1:11" ht="15" hidden="1" customHeight="1">
      <c r="A16" s="1136"/>
      <c r="B16" s="1128"/>
      <c r="C16" s="1148" t="s">
        <v>1082</v>
      </c>
      <c r="D16" s="1095"/>
      <c r="E16" s="1095"/>
      <c r="F16" s="1092"/>
      <c r="G16" s="1136"/>
      <c r="I16" t="s">
        <v>1404</v>
      </c>
      <c r="J16" t="s">
        <v>501</v>
      </c>
      <c r="K16">
        <v>6</v>
      </c>
    </row>
    <row r="17" spans="1:12" ht="15" customHeight="1">
      <c r="A17" s="1136"/>
      <c r="B17" s="1128" t="s">
        <v>1413</v>
      </c>
      <c r="C17" s="1090">
        <v>5000</v>
      </c>
      <c r="D17" s="1091" t="s">
        <v>1071</v>
      </c>
      <c r="E17" s="1091"/>
      <c r="F17" s="1092"/>
      <c r="G17" s="1136"/>
      <c r="I17" t="s">
        <v>1405</v>
      </c>
      <c r="K17">
        <v>7</v>
      </c>
    </row>
    <row r="18" spans="1:12" ht="15" customHeight="1">
      <c r="A18" s="1136"/>
      <c r="B18" s="1128" t="s">
        <v>1414</v>
      </c>
      <c r="C18" s="1090">
        <v>4000</v>
      </c>
      <c r="D18" s="1091" t="s">
        <v>1071</v>
      </c>
      <c r="E18" s="1091"/>
      <c r="F18" s="1092"/>
      <c r="G18" s="1136"/>
      <c r="I18" t="s">
        <v>1406</v>
      </c>
      <c r="K18">
        <v>8</v>
      </c>
    </row>
    <row r="19" spans="1:12" ht="15" customHeight="1">
      <c r="A19" s="1136"/>
      <c r="B19" s="1128" t="s">
        <v>1415</v>
      </c>
      <c r="C19" s="1093">
        <f>SUM(C66:C67)</f>
        <v>7000</v>
      </c>
      <c r="D19" s="1091" t="s">
        <v>1071</v>
      </c>
      <c r="E19" s="1091"/>
      <c r="F19" s="1092"/>
      <c r="G19" s="1136"/>
      <c r="K19" s="1">
        <f>VLOOKUP(F12,I11:K18,3)</f>
        <v>3</v>
      </c>
    </row>
    <row r="20" spans="1:12" ht="15" customHeight="1">
      <c r="A20" s="1136"/>
      <c r="B20" s="1128" t="s">
        <v>1416</v>
      </c>
      <c r="C20" s="3813" t="s">
        <v>117</v>
      </c>
      <c r="D20" s="3814"/>
      <c r="E20" s="3819"/>
      <c r="F20" s="1092"/>
      <c r="G20" s="1136"/>
      <c r="I20" t="s">
        <v>1427</v>
      </c>
    </row>
    <row r="21" spans="1:12" ht="15" customHeight="1">
      <c r="A21" s="1136"/>
      <c r="B21" s="1130"/>
      <c r="C21" s="3820" t="str">
        <f>O70</f>
        <v xml:space="preserve"> Offices,</v>
      </c>
      <c r="D21" s="3821"/>
      <c r="E21" s="3822"/>
      <c r="F21" s="1092"/>
      <c r="G21" s="1136"/>
      <c r="I21" t="s">
        <v>1428</v>
      </c>
    </row>
    <row r="22" spans="1:12" ht="15" customHeight="1">
      <c r="A22" s="1136"/>
      <c r="B22" s="1128" t="s">
        <v>1417</v>
      </c>
      <c r="C22" s="1094" t="s">
        <v>1430</v>
      </c>
      <c r="D22" s="1095"/>
      <c r="E22" s="1095"/>
      <c r="F22" s="1092"/>
      <c r="G22" s="1136"/>
    </row>
    <row r="23" spans="1:12" ht="15" customHeight="1">
      <c r="A23" s="1136"/>
      <c r="B23" s="1128" t="s">
        <v>1418</v>
      </c>
      <c r="C23" s="1094" t="s">
        <v>1386</v>
      </c>
      <c r="D23" s="1095"/>
      <c r="E23" s="1095"/>
      <c r="F23" s="1092"/>
      <c r="G23" s="1136"/>
      <c r="I23" t="s">
        <v>1387</v>
      </c>
      <c r="J23" t="s">
        <v>1386</v>
      </c>
      <c r="K23" t="s">
        <v>1385</v>
      </c>
      <c r="L23" t="s">
        <v>1429</v>
      </c>
    </row>
    <row r="24" spans="1:12" ht="13.5" hidden="1" customHeight="1" thickBot="1">
      <c r="A24" s="1136"/>
      <c r="B24" s="1128"/>
      <c r="C24" s="1096"/>
      <c r="D24" s="1096"/>
      <c r="E24" s="1096"/>
      <c r="F24" s="1097"/>
      <c r="G24" s="1136"/>
    </row>
    <row r="25" spans="1:12" ht="15" hidden="1" thickBot="1">
      <c r="A25" s="1136"/>
      <c r="B25" s="1131" t="s">
        <v>1075</v>
      </c>
      <c r="C25" s="1098"/>
      <c r="D25" s="1098"/>
      <c r="E25" s="1098"/>
      <c r="F25" s="1099"/>
      <c r="G25" s="1136"/>
    </row>
    <row r="26" spans="1:12" ht="14.25" hidden="1">
      <c r="A26" s="1136"/>
      <c r="B26" s="1132" t="s">
        <v>1076</v>
      </c>
      <c r="C26" s="1094" t="s">
        <v>1083</v>
      </c>
      <c r="D26" s="1095"/>
      <c r="E26" s="1095"/>
      <c r="F26" s="1100"/>
      <c r="G26" s="1136"/>
    </row>
    <row r="27" spans="1:12" ht="14.25" hidden="1">
      <c r="A27" s="1136"/>
      <c r="B27" s="1132" t="s">
        <v>1077</v>
      </c>
      <c r="C27" s="3816" t="s">
        <v>1072</v>
      </c>
      <c r="D27" s="3817"/>
      <c r="E27" s="3818"/>
      <c r="F27" s="1092"/>
      <c r="G27" s="1136"/>
    </row>
    <row r="28" spans="1:12" ht="14.25" hidden="1">
      <c r="A28" s="1136"/>
      <c r="B28" s="1132" t="s">
        <v>1078</v>
      </c>
      <c r="C28" s="1101">
        <v>41831</v>
      </c>
      <c r="D28" s="1095"/>
      <c r="E28" s="1095"/>
      <c r="F28" s="1092"/>
      <c r="G28" s="1136"/>
    </row>
    <row r="29" spans="1:12" ht="14.25" hidden="1">
      <c r="A29" s="1136"/>
      <c r="B29" s="1132" t="s">
        <v>1079</v>
      </c>
      <c r="C29" s="1102" t="s">
        <v>763</v>
      </c>
      <c r="D29" s="1091" t="s">
        <v>1071</v>
      </c>
      <c r="E29" s="1095"/>
      <c r="F29" s="1092"/>
      <c r="G29" s="1136"/>
    </row>
    <row r="30" spans="1:12" ht="14.25" hidden="1">
      <c r="A30" s="1136"/>
      <c r="B30" s="1132" t="s">
        <v>1080</v>
      </c>
      <c r="C30" s="1094" t="s">
        <v>1073</v>
      </c>
      <c r="D30" s="1095"/>
      <c r="E30" s="1095"/>
      <c r="F30" s="1092"/>
      <c r="G30" s="1136"/>
    </row>
    <row r="31" spans="1:12" ht="14.25" hidden="1">
      <c r="A31" s="1136"/>
      <c r="B31" s="1128"/>
      <c r="C31" s="1096"/>
      <c r="D31" s="1096"/>
      <c r="E31" s="1096"/>
      <c r="F31" s="1097"/>
      <c r="G31" s="1136"/>
    </row>
    <row r="32" spans="1:12" ht="14.25">
      <c r="A32" s="1136"/>
      <c r="B32" s="1128" t="s">
        <v>1419</v>
      </c>
      <c r="C32" s="1103" t="s">
        <v>117</v>
      </c>
      <c r="D32" s="1091" t="s">
        <v>1421</v>
      </c>
      <c r="E32" s="1091"/>
      <c r="F32" s="1092"/>
      <c r="G32" s="1136"/>
    </row>
    <row r="33" spans="1:18" ht="15" thickBot="1">
      <c r="A33" s="1136"/>
      <c r="B33" s="1496" t="s">
        <v>1420</v>
      </c>
      <c r="C33" s="1103" t="s">
        <v>118</v>
      </c>
      <c r="D33" s="1091" t="s">
        <v>1422</v>
      </c>
      <c r="E33" s="1091"/>
      <c r="F33" s="1092"/>
      <c r="G33" s="1136"/>
      <c r="I33" t="s">
        <v>782</v>
      </c>
      <c r="J33" t="s">
        <v>783</v>
      </c>
    </row>
    <row r="34" spans="1:18" ht="14.25" hidden="1">
      <c r="A34" s="1136"/>
      <c r="B34" s="1129" t="s">
        <v>1081</v>
      </c>
      <c r="C34" s="1103" t="s">
        <v>116</v>
      </c>
      <c r="D34" s="1104" t="s">
        <v>1074</v>
      </c>
      <c r="E34" s="1091"/>
      <c r="F34" s="1092"/>
      <c r="G34" s="1136"/>
    </row>
    <row r="35" spans="1:18" ht="14.25" hidden="1">
      <c r="A35" s="1136"/>
      <c r="B35" s="1128"/>
      <c r="C35" s="1096"/>
      <c r="D35" s="1096"/>
      <c r="E35" s="1096"/>
      <c r="F35" s="1097"/>
      <c r="G35" s="1136"/>
    </row>
    <row r="36" spans="1:18" ht="14.25" hidden="1">
      <c r="A36" s="1136"/>
      <c r="B36" s="1105"/>
      <c r="C36" s="1105"/>
      <c r="D36" s="1105"/>
      <c r="E36" s="1105"/>
      <c r="F36" s="1105"/>
      <c r="G36" s="1136"/>
      <c r="I36" s="1" t="s">
        <v>1434</v>
      </c>
      <c r="J36" s="1">
        <v>0</v>
      </c>
    </row>
    <row r="37" spans="1:18" ht="15" hidden="1" thickBot="1">
      <c r="A37" s="1136"/>
      <c r="B37" s="1105"/>
      <c r="C37" s="1105"/>
      <c r="D37" s="1105"/>
      <c r="E37" s="1105"/>
      <c r="F37" s="1105"/>
      <c r="G37" s="1136"/>
      <c r="I37" s="1" t="s">
        <v>1431</v>
      </c>
      <c r="J37" s="1">
        <v>2</v>
      </c>
    </row>
    <row r="38" spans="1:18" ht="15" thickBot="1">
      <c r="A38" s="1136"/>
      <c r="B38" s="1131" t="s">
        <v>2315</v>
      </c>
      <c r="C38" s="1098"/>
      <c r="D38" s="1098"/>
      <c r="E38" s="1098"/>
      <c r="F38" s="1099"/>
      <c r="G38" s="1136"/>
      <c r="I38" s="1" t="s">
        <v>1432</v>
      </c>
      <c r="J38" s="1">
        <v>2</v>
      </c>
      <c r="L38" s="1" t="s">
        <v>1435</v>
      </c>
      <c r="M38" s="1" t="s">
        <v>150</v>
      </c>
    </row>
    <row r="39" spans="1:18" ht="14.25">
      <c r="A39" s="1149"/>
      <c r="B39" s="1133" t="s">
        <v>1438</v>
      </c>
      <c r="C39" s="1500">
        <v>45846</v>
      </c>
      <c r="D39" s="1095"/>
      <c r="E39" s="1106" t="s">
        <v>1432</v>
      </c>
      <c r="F39" s="1100"/>
      <c r="G39" s="1136"/>
      <c r="I39" s="1" t="s">
        <v>1433</v>
      </c>
      <c r="J39" s="1">
        <v>2</v>
      </c>
      <c r="L39" s="1" t="s">
        <v>1431</v>
      </c>
      <c r="M39" s="1" t="s">
        <v>73</v>
      </c>
    </row>
    <row r="40" spans="1:18" ht="14.25">
      <c r="A40" s="1149"/>
      <c r="B40" s="1133" t="s">
        <v>1439</v>
      </c>
      <c r="C40" s="1094" t="s">
        <v>1442</v>
      </c>
      <c r="D40" s="1095"/>
      <c r="E40" s="1095"/>
      <c r="F40" s="1092"/>
      <c r="G40" s="1136"/>
      <c r="I40" s="1" t="s">
        <v>749</v>
      </c>
      <c r="J40" s="1">
        <v>3</v>
      </c>
      <c r="L40" s="1" t="s">
        <v>1432</v>
      </c>
      <c r="M40" s="1" t="s">
        <v>74</v>
      </c>
    </row>
    <row r="41" spans="1:18" ht="14.25">
      <c r="A41" s="1150"/>
      <c r="B41" s="1133" t="s">
        <v>1440</v>
      </c>
      <c r="C41" s="1500">
        <v>45848</v>
      </c>
      <c r="D41" s="1095"/>
      <c r="E41" s="1095"/>
      <c r="F41" s="1092"/>
      <c r="G41" s="1136"/>
      <c r="I41" s="1" t="s">
        <v>759</v>
      </c>
      <c r="J41" s="1">
        <v>4</v>
      </c>
      <c r="L41" s="1" t="s">
        <v>1433</v>
      </c>
      <c r="M41" s="1"/>
    </row>
    <row r="42" spans="1:18" ht="14.25">
      <c r="A42" s="1150"/>
      <c r="B42" s="1133" t="s">
        <v>1441</v>
      </c>
      <c r="C42" s="1094" t="s">
        <v>1442</v>
      </c>
      <c r="D42" s="1095"/>
      <c r="E42" s="1095"/>
      <c r="F42" s="1092"/>
      <c r="G42" s="1136"/>
    </row>
    <row r="43" spans="1:18" ht="16.149999999999999" customHeight="1" thickBot="1">
      <c r="A43" s="1150"/>
      <c r="B43" s="1501" t="s">
        <v>1443</v>
      </c>
      <c r="C43" s="1499" t="s">
        <v>3444</v>
      </c>
      <c r="D43" s="1512" t="str">
        <f>IF(C43=I43,L43,L44)</f>
        <v>--&gt; Input WLC Calculation Conditions Sheet (Std. calc)</v>
      </c>
      <c r="E43" s="1513"/>
      <c r="F43" s="1514"/>
      <c r="G43" s="1136"/>
      <c r="I43" t="s">
        <v>1511</v>
      </c>
      <c r="J43" t="s">
        <v>1436</v>
      </c>
      <c r="L43" s="1498" t="s">
        <v>1514</v>
      </c>
    </row>
    <row r="44" spans="1:18" ht="4.9000000000000004" customHeight="1" thickBot="1">
      <c r="A44" s="1150"/>
      <c r="B44" s="1107"/>
      <c r="C44" s="1107"/>
      <c r="D44" s="1107"/>
      <c r="E44" s="1107"/>
      <c r="F44" s="1107"/>
      <c r="G44" s="1136"/>
      <c r="I44" t="s">
        <v>1510</v>
      </c>
      <c r="J44" t="s">
        <v>1437</v>
      </c>
      <c r="L44" s="1498" t="s">
        <v>1515</v>
      </c>
    </row>
    <row r="45" spans="1:18" ht="15" customHeight="1">
      <c r="A45" s="1150"/>
      <c r="B45" s="1151" t="s">
        <v>1444</v>
      </c>
      <c r="C45" s="1108"/>
      <c r="D45" s="1108"/>
      <c r="E45" s="1108"/>
      <c r="F45" s="1109"/>
      <c r="G45" s="1136"/>
    </row>
    <row r="46" spans="1:18" ht="15" customHeight="1" thickBot="1">
      <c r="A46" s="1150"/>
      <c r="B46" s="1126" t="s">
        <v>1445</v>
      </c>
      <c r="C46" s="1110"/>
      <c r="D46" s="1111"/>
      <c r="E46" s="1111"/>
      <c r="F46" s="1112"/>
      <c r="G46" s="1136"/>
      <c r="I46" s="1"/>
      <c r="J46" s="1" t="s">
        <v>119</v>
      </c>
      <c r="K46" s="1" t="s">
        <v>315</v>
      </c>
      <c r="L46" s="1" t="s">
        <v>120</v>
      </c>
    </row>
    <row r="47" spans="1:18" ht="15" customHeight="1">
      <c r="A47" s="1150"/>
      <c r="B47" s="1152" t="s">
        <v>1446</v>
      </c>
      <c r="C47" s="1093">
        <f>E47+E48+E49</f>
        <v>7000</v>
      </c>
      <c r="D47" s="1091" t="s">
        <v>2335</v>
      </c>
      <c r="E47" s="1090">
        <v>7000</v>
      </c>
      <c r="F47" s="1100" t="s">
        <v>1070</v>
      </c>
      <c r="G47" s="1136"/>
      <c r="I47" s="1" t="str">
        <f>B47</f>
        <v xml:space="preserve"> Offices</v>
      </c>
      <c r="J47" s="1">
        <f>C47</f>
        <v>7000</v>
      </c>
      <c r="K47" s="1">
        <f>J47/$J$69</f>
        <v>1</v>
      </c>
      <c r="L47" s="1"/>
      <c r="N47" s="1">
        <f>IF(J47=0,0,RANK(J47,$J$47:$J$67))</f>
        <v>1</v>
      </c>
      <c r="O47" s="1" t="str">
        <f>IF(AND(0&lt;N47,N47&lt;4),I47&amp;",","")</f>
        <v xml:space="preserve"> Offices,</v>
      </c>
      <c r="P47" s="536" t="s">
        <v>406</v>
      </c>
      <c r="Q47" s="537" t="s">
        <v>75</v>
      </c>
      <c r="R47" s="544">
        <f>E47</f>
        <v>7000</v>
      </c>
    </row>
    <row r="48" spans="1:18" ht="15" customHeight="1">
      <c r="A48" s="1150"/>
      <c r="B48" s="1133"/>
      <c r="C48" s="1091"/>
      <c r="D48" s="1113" t="s">
        <v>1455</v>
      </c>
      <c r="E48" s="1090"/>
      <c r="F48" s="1100" t="s">
        <v>1071</v>
      </c>
      <c r="G48" s="1136"/>
      <c r="I48" s="1"/>
      <c r="J48" s="1"/>
      <c r="K48" s="1"/>
      <c r="L48" s="1"/>
      <c r="N48" s="1">
        <f t="shared" ref="N48:N67" si="0">IF(J48=0,0,RANK(J48,$J$47:$J$67))</f>
        <v>0</v>
      </c>
      <c r="O48" s="1" t="str">
        <f t="shared" ref="O48:O67" si="1">IF(AND(0&lt;N48,N48&lt;4),I48&amp;",","")</f>
        <v/>
      </c>
      <c r="Q48" s="537" t="s">
        <v>526</v>
      </c>
      <c r="R48" s="544">
        <f t="shared" ref="R48:R62" si="2">E48</f>
        <v>0</v>
      </c>
    </row>
    <row r="49" spans="1:18" ht="15" customHeight="1">
      <c r="A49" s="1150"/>
      <c r="B49" s="1133"/>
      <c r="C49" s="1091"/>
      <c r="D49" s="1113" t="s">
        <v>2325</v>
      </c>
      <c r="E49" s="1090"/>
      <c r="F49" s="1100" t="s">
        <v>1071</v>
      </c>
      <c r="G49" s="1136"/>
      <c r="I49" s="1"/>
      <c r="J49" s="1"/>
      <c r="K49" s="1"/>
      <c r="L49" s="1"/>
      <c r="N49" s="1"/>
      <c r="O49" s="1"/>
      <c r="P49" s="538"/>
      <c r="Q49" s="537" t="s">
        <v>1252</v>
      </c>
      <c r="R49" s="544">
        <f t="shared" si="2"/>
        <v>0</v>
      </c>
    </row>
    <row r="50" spans="1:18" ht="22.15" customHeight="1">
      <c r="A50" s="1150"/>
      <c r="B50" s="1133" t="s">
        <v>1447</v>
      </c>
      <c r="C50" s="1093">
        <f>SUM(E50:E54)</f>
        <v>0</v>
      </c>
      <c r="D50" s="1502" t="s">
        <v>2329</v>
      </c>
      <c r="E50" s="1090"/>
      <c r="F50" s="1100" t="s">
        <v>1071</v>
      </c>
      <c r="G50" s="1136"/>
      <c r="I50" s="1" t="str">
        <f>B50</f>
        <v xml:space="preserve"> Schools</v>
      </c>
      <c r="J50" s="566">
        <f>C50</f>
        <v>0</v>
      </c>
      <c r="K50" s="1">
        <f>J50/$J$69</f>
        <v>0</v>
      </c>
      <c r="L50" s="1"/>
      <c r="N50" s="1">
        <f t="shared" si="0"/>
        <v>0</v>
      </c>
      <c r="O50" s="1" t="str">
        <f t="shared" si="1"/>
        <v/>
      </c>
      <c r="P50" s="540" t="s">
        <v>530</v>
      </c>
      <c r="Q50" s="537" t="s">
        <v>531</v>
      </c>
      <c r="R50" s="544">
        <f t="shared" si="2"/>
        <v>0</v>
      </c>
    </row>
    <row r="51" spans="1:18" ht="15" customHeight="1">
      <c r="A51" s="1150"/>
      <c r="B51" s="1133"/>
      <c r="C51" s="1091"/>
      <c r="D51" s="1113" t="s">
        <v>1456</v>
      </c>
      <c r="E51" s="1090"/>
      <c r="F51" s="1100" t="s">
        <v>1071</v>
      </c>
      <c r="G51" s="1136"/>
      <c r="I51" s="1"/>
      <c r="J51" s="642"/>
      <c r="K51" s="1"/>
      <c r="L51" s="1"/>
      <c r="N51" s="1">
        <f t="shared" si="0"/>
        <v>0</v>
      </c>
      <c r="O51" s="1" t="str">
        <f t="shared" si="1"/>
        <v/>
      </c>
      <c r="P51" s="540"/>
      <c r="Q51" s="537" t="s">
        <v>313</v>
      </c>
      <c r="R51" s="544">
        <f t="shared" si="2"/>
        <v>0</v>
      </c>
    </row>
    <row r="52" spans="1:18" ht="15" customHeight="1">
      <c r="A52" s="1150"/>
      <c r="B52" s="1133"/>
      <c r="C52" s="1091"/>
      <c r="D52" s="1113" t="s">
        <v>1457</v>
      </c>
      <c r="E52" s="1090"/>
      <c r="F52" s="1100" t="s">
        <v>1071</v>
      </c>
      <c r="G52" s="1136"/>
      <c r="I52" s="1"/>
      <c r="J52" s="1"/>
      <c r="K52" s="1"/>
      <c r="L52" s="1"/>
      <c r="N52" s="1">
        <f t="shared" si="0"/>
        <v>0</v>
      </c>
      <c r="O52" s="1" t="str">
        <f t="shared" si="1"/>
        <v/>
      </c>
      <c r="P52" s="540"/>
      <c r="Q52" s="537" t="s">
        <v>314</v>
      </c>
      <c r="R52" s="544">
        <f t="shared" si="2"/>
        <v>0</v>
      </c>
    </row>
    <row r="53" spans="1:18" ht="15" customHeight="1">
      <c r="A53" s="1150"/>
      <c r="B53" s="1133"/>
      <c r="C53" s="1091"/>
      <c r="D53" s="1113" t="s">
        <v>1458</v>
      </c>
      <c r="E53" s="1090"/>
      <c r="F53" s="1100" t="s">
        <v>1071</v>
      </c>
      <c r="G53" s="1136"/>
      <c r="I53" s="1"/>
      <c r="J53" s="1"/>
      <c r="K53" s="1"/>
      <c r="L53" s="1"/>
      <c r="N53" s="1">
        <f t="shared" si="0"/>
        <v>0</v>
      </c>
      <c r="O53" s="1" t="str">
        <f t="shared" si="1"/>
        <v/>
      </c>
      <c r="P53" s="540"/>
      <c r="Q53" s="537" t="s">
        <v>532</v>
      </c>
      <c r="R53" s="544">
        <f t="shared" si="2"/>
        <v>0</v>
      </c>
    </row>
    <row r="54" spans="1:18" ht="15" customHeight="1">
      <c r="A54" s="1150"/>
      <c r="B54" s="1133"/>
      <c r="C54" s="1091"/>
      <c r="D54" s="1113" t="s">
        <v>1459</v>
      </c>
      <c r="E54" s="1090"/>
      <c r="F54" s="1100" t="s">
        <v>1071</v>
      </c>
      <c r="G54" s="1136"/>
      <c r="I54" s="1"/>
      <c r="J54" s="1"/>
      <c r="K54" s="1"/>
      <c r="L54" s="1"/>
      <c r="N54" s="1">
        <f t="shared" si="0"/>
        <v>0</v>
      </c>
      <c r="O54" s="1" t="str">
        <f t="shared" si="1"/>
        <v/>
      </c>
      <c r="P54" s="538"/>
      <c r="Q54" s="537" t="s">
        <v>533</v>
      </c>
      <c r="R54" s="544">
        <f t="shared" si="2"/>
        <v>0</v>
      </c>
    </row>
    <row r="55" spans="1:18" ht="21.6" customHeight="1">
      <c r="A55" s="1150"/>
      <c r="B55" s="1133" t="s">
        <v>1448</v>
      </c>
      <c r="C55" s="1093">
        <f>E55+E56+E57+E58</f>
        <v>0</v>
      </c>
      <c r="D55" s="2329" t="s">
        <v>2330</v>
      </c>
      <c r="E55" s="1090"/>
      <c r="F55" s="1100" t="s">
        <v>1071</v>
      </c>
      <c r="G55" s="1136"/>
      <c r="I55" s="1" t="str">
        <f>B55</f>
        <v xml:space="preserve"> Retailers</v>
      </c>
      <c r="J55" s="566">
        <f>C55</f>
        <v>0</v>
      </c>
      <c r="K55" s="1">
        <f>J55/$J$69</f>
        <v>0</v>
      </c>
      <c r="L55" s="1"/>
      <c r="N55" s="1">
        <f t="shared" si="0"/>
        <v>0</v>
      </c>
      <c r="O55" s="1" t="str">
        <f t="shared" si="1"/>
        <v/>
      </c>
      <c r="P55" s="536" t="s">
        <v>527</v>
      </c>
      <c r="Q55" s="537" t="s">
        <v>446</v>
      </c>
      <c r="R55" s="544">
        <f t="shared" si="2"/>
        <v>0</v>
      </c>
    </row>
    <row r="56" spans="1:18" ht="15" customHeight="1">
      <c r="A56" s="1150"/>
      <c r="B56" s="1133"/>
      <c r="C56" s="1457"/>
      <c r="D56" s="1113" t="s">
        <v>3392</v>
      </c>
      <c r="E56" s="1090"/>
      <c r="F56" s="1100" t="s">
        <v>1071</v>
      </c>
      <c r="G56" s="1136"/>
      <c r="I56" s="1"/>
      <c r="J56" s="566"/>
      <c r="K56" s="1"/>
      <c r="L56" s="1"/>
      <c r="N56" s="1"/>
      <c r="O56" s="1"/>
      <c r="P56" s="540"/>
      <c r="Q56" s="537" t="s">
        <v>1250</v>
      </c>
      <c r="R56" s="544">
        <f>E56</f>
        <v>0</v>
      </c>
    </row>
    <row r="57" spans="1:18" ht="15" customHeight="1">
      <c r="A57" s="1150"/>
      <c r="B57" s="1133"/>
      <c r="C57" s="1457"/>
      <c r="D57" s="1113" t="s">
        <v>2324</v>
      </c>
      <c r="E57" s="1090"/>
      <c r="F57" s="1100" t="s">
        <v>1071</v>
      </c>
      <c r="G57" s="1136"/>
      <c r="I57" s="1"/>
      <c r="J57" s="566"/>
      <c r="K57" s="1"/>
      <c r="L57" s="1"/>
      <c r="N57" s="1"/>
      <c r="O57" s="1"/>
      <c r="P57" s="540"/>
      <c r="Q57" s="537" t="s">
        <v>1251</v>
      </c>
      <c r="R57" s="544">
        <f t="shared" si="2"/>
        <v>0</v>
      </c>
    </row>
    <row r="58" spans="1:18" ht="15" customHeight="1">
      <c r="A58" s="1150"/>
      <c r="B58" s="1133"/>
      <c r="C58" s="1091"/>
      <c r="D58" s="1113" t="s">
        <v>1460</v>
      </c>
      <c r="E58" s="1090"/>
      <c r="F58" s="1100" t="s">
        <v>1071</v>
      </c>
      <c r="G58" s="1136"/>
      <c r="I58" s="1"/>
      <c r="J58" s="1"/>
      <c r="K58" s="1"/>
      <c r="L58" s="1"/>
      <c r="N58" s="1">
        <f t="shared" si="0"/>
        <v>0</v>
      </c>
      <c r="O58" s="1" t="str">
        <f t="shared" si="1"/>
        <v/>
      </c>
      <c r="P58" s="538"/>
      <c r="Q58" s="537" t="s">
        <v>528</v>
      </c>
      <c r="R58" s="544">
        <f t="shared" si="2"/>
        <v>0</v>
      </c>
    </row>
    <row r="59" spans="1:18" ht="15" customHeight="1">
      <c r="A59" s="1150"/>
      <c r="B59" s="1133" t="s">
        <v>1449</v>
      </c>
      <c r="C59" s="1090"/>
      <c r="D59" s="1091" t="s">
        <v>2331</v>
      </c>
      <c r="E59" s="1174"/>
      <c r="F59" s="1100"/>
      <c r="G59" s="1136"/>
      <c r="I59" s="1" t="str">
        <f t="shared" ref="I59:I60" si="3">B59</f>
        <v xml:space="preserve"> Restaurants</v>
      </c>
      <c r="J59" s="642">
        <f>C59</f>
        <v>0</v>
      </c>
      <c r="K59" s="1">
        <f>J59/$J$69</f>
        <v>0</v>
      </c>
      <c r="L59" s="1"/>
      <c r="N59" s="1">
        <f t="shared" si="0"/>
        <v>0</v>
      </c>
      <c r="O59" s="1" t="str">
        <f t="shared" si="1"/>
        <v/>
      </c>
      <c r="P59" s="537" t="s">
        <v>78</v>
      </c>
      <c r="Q59" s="539"/>
      <c r="R59" s="544">
        <f>C59</f>
        <v>0</v>
      </c>
    </row>
    <row r="60" spans="1:18" ht="15" customHeight="1">
      <c r="A60" s="1150"/>
      <c r="B60" s="1133" t="s">
        <v>1450</v>
      </c>
      <c r="C60" s="1093">
        <f>E60+E61+E62</f>
        <v>0</v>
      </c>
      <c r="D60" s="1091" t="s">
        <v>2332</v>
      </c>
      <c r="E60" s="1090"/>
      <c r="F60" s="1100" t="s">
        <v>1071</v>
      </c>
      <c r="G60" s="1136"/>
      <c r="I60" s="1" t="str">
        <f t="shared" si="3"/>
        <v xml:space="preserve"> Halls</v>
      </c>
      <c r="J60" s="566">
        <f>C60</f>
        <v>0</v>
      </c>
      <c r="K60" s="1">
        <f>J60/$J$69</f>
        <v>0</v>
      </c>
      <c r="L60" s="1"/>
      <c r="N60" s="1">
        <f t="shared" si="0"/>
        <v>0</v>
      </c>
      <c r="O60" s="1" t="str">
        <f t="shared" si="1"/>
        <v/>
      </c>
      <c r="P60" s="536" t="s">
        <v>534</v>
      </c>
      <c r="Q60" s="537" t="s">
        <v>535</v>
      </c>
      <c r="R60" s="544">
        <f t="shared" si="2"/>
        <v>0</v>
      </c>
    </row>
    <row r="61" spans="1:18" ht="15" customHeight="1">
      <c r="A61" s="1150"/>
      <c r="B61" s="1133"/>
      <c r="C61" s="1091"/>
      <c r="D61" s="1113" t="s">
        <v>1461</v>
      </c>
      <c r="E61" s="1090"/>
      <c r="F61" s="1100" t="s">
        <v>1071</v>
      </c>
      <c r="G61" s="1136"/>
      <c r="I61" s="1"/>
      <c r="J61" s="1"/>
      <c r="K61" s="1"/>
      <c r="L61" s="1"/>
      <c r="N61" s="1">
        <f t="shared" si="0"/>
        <v>0</v>
      </c>
      <c r="O61" s="1" t="str">
        <f t="shared" si="1"/>
        <v/>
      </c>
      <c r="P61" s="540"/>
      <c r="Q61" s="537" t="s">
        <v>536</v>
      </c>
      <c r="R61" s="544">
        <f t="shared" si="2"/>
        <v>0</v>
      </c>
    </row>
    <row r="62" spans="1:18" ht="15" customHeight="1">
      <c r="A62" s="1150"/>
      <c r="B62" s="1133"/>
      <c r="C62" s="1091"/>
      <c r="D62" s="1113" t="s">
        <v>1462</v>
      </c>
      <c r="E62" s="1090"/>
      <c r="F62" s="1100" t="s">
        <v>1071</v>
      </c>
      <c r="G62" s="1136"/>
      <c r="I62" s="1"/>
      <c r="J62" s="1"/>
      <c r="K62" s="1"/>
      <c r="L62" s="1"/>
      <c r="N62" s="1">
        <f t="shared" si="0"/>
        <v>0</v>
      </c>
      <c r="O62" s="1" t="str">
        <f t="shared" si="1"/>
        <v/>
      </c>
      <c r="P62" s="540"/>
      <c r="Q62" s="534" t="s">
        <v>537</v>
      </c>
      <c r="R62" s="544">
        <f t="shared" si="2"/>
        <v>0</v>
      </c>
    </row>
    <row r="63" spans="1:18" ht="21" customHeight="1">
      <c r="A63" s="1150"/>
      <c r="B63" s="1133" t="s">
        <v>1451</v>
      </c>
      <c r="C63" s="1090"/>
      <c r="D63" s="2882" t="s">
        <v>3304</v>
      </c>
      <c r="E63" s="1090"/>
      <c r="F63" s="1100" t="s">
        <v>1071</v>
      </c>
      <c r="G63" s="1136"/>
      <c r="I63" s="1" t="str">
        <f t="shared" ref="I63:I65" si="4">B63</f>
        <v xml:space="preserve"> Factories</v>
      </c>
      <c r="J63" s="1">
        <f>C63</f>
        <v>0</v>
      </c>
      <c r="K63" s="1">
        <f>J63/$J$69</f>
        <v>0</v>
      </c>
      <c r="L63" s="1"/>
      <c r="N63" s="1">
        <f t="shared" si="0"/>
        <v>0</v>
      </c>
      <c r="O63" s="1" t="str">
        <f t="shared" si="1"/>
        <v/>
      </c>
      <c r="P63" s="537" t="s">
        <v>82</v>
      </c>
      <c r="Q63" s="539"/>
      <c r="R63" s="544">
        <f>C63</f>
        <v>0</v>
      </c>
    </row>
    <row r="64" spans="1:18" ht="15" customHeight="1">
      <c r="A64" s="1150"/>
      <c r="B64" s="1133" t="s">
        <v>1452</v>
      </c>
      <c r="C64" s="1090"/>
      <c r="D64" s="1091" t="s">
        <v>1071</v>
      </c>
      <c r="E64" s="1174"/>
      <c r="F64" s="1100"/>
      <c r="G64" s="1136"/>
      <c r="I64" s="1" t="str">
        <f t="shared" si="4"/>
        <v xml:space="preserve"> Hospitals</v>
      </c>
      <c r="J64" s="1">
        <f>C64</f>
        <v>0</v>
      </c>
      <c r="K64" s="1">
        <f>J64/$J$69</f>
        <v>0</v>
      </c>
      <c r="L64" s="1">
        <f>J64*F71</f>
        <v>0</v>
      </c>
      <c r="N64" s="1">
        <f t="shared" si="0"/>
        <v>0</v>
      </c>
      <c r="O64" s="1" t="str">
        <f t="shared" si="1"/>
        <v/>
      </c>
      <c r="P64" s="537" t="s">
        <v>79</v>
      </c>
      <c r="Q64" s="539"/>
      <c r="R64" s="544">
        <f>C64</f>
        <v>0</v>
      </c>
    </row>
    <row r="65" spans="1:18" ht="15" customHeight="1">
      <c r="A65" s="1150"/>
      <c r="B65" s="1133" t="s">
        <v>1453</v>
      </c>
      <c r="C65" s="1090"/>
      <c r="D65" s="1091" t="s">
        <v>1071</v>
      </c>
      <c r="E65" s="1174"/>
      <c r="F65" s="1100"/>
      <c r="G65" s="1136"/>
      <c r="I65" s="1" t="str">
        <f t="shared" si="4"/>
        <v xml:space="preserve"> Hotels</v>
      </c>
      <c r="J65" s="1">
        <f>C65</f>
        <v>0</v>
      </c>
      <c r="K65" s="1">
        <f>J65/$J$69</f>
        <v>0</v>
      </c>
      <c r="L65" s="1">
        <f>J65*F72</f>
        <v>0</v>
      </c>
      <c r="N65" s="1">
        <f t="shared" si="0"/>
        <v>0</v>
      </c>
      <c r="O65" s="1" t="str">
        <f t="shared" si="1"/>
        <v/>
      </c>
      <c r="P65" s="537" t="s">
        <v>529</v>
      </c>
      <c r="Q65" s="539"/>
      <c r="R65" s="544">
        <f>C65</f>
        <v>0</v>
      </c>
    </row>
    <row r="66" spans="1:18" ht="15" customHeight="1">
      <c r="A66" s="1150"/>
      <c r="B66" s="1133" t="s">
        <v>5023</v>
      </c>
      <c r="C66" s="1093">
        <f>SUM(C47:C65)</f>
        <v>7000</v>
      </c>
      <c r="D66" s="1091" t="s">
        <v>1071</v>
      </c>
      <c r="E66" s="1174"/>
      <c r="F66" s="1100"/>
      <c r="G66" s="1136"/>
      <c r="I66" s="1"/>
      <c r="J66" s="1"/>
      <c r="K66" s="1"/>
      <c r="L66" s="1"/>
      <c r="N66" s="1">
        <f t="shared" si="0"/>
        <v>0</v>
      </c>
      <c r="O66" s="1" t="str">
        <f t="shared" si="1"/>
        <v/>
      </c>
      <c r="P66" s="543"/>
      <c r="Q66" s="535"/>
    </row>
    <row r="67" spans="1:18" ht="15" customHeight="1">
      <c r="A67" s="1150"/>
      <c r="B67" s="1133" t="s">
        <v>1454</v>
      </c>
      <c r="C67" s="1090"/>
      <c r="D67" s="1502" t="s">
        <v>2327</v>
      </c>
      <c r="E67" s="1093">
        <f>C67-E68</f>
        <v>0</v>
      </c>
      <c r="F67" s="1100" t="s">
        <v>1071</v>
      </c>
      <c r="G67" s="1136"/>
      <c r="I67" s="1" t="str">
        <f>B67</f>
        <v xml:space="preserve"> Apartments</v>
      </c>
      <c r="J67" s="1">
        <f>C67</f>
        <v>0</v>
      </c>
      <c r="K67" s="1">
        <f>J67/$J$69</f>
        <v>0</v>
      </c>
      <c r="L67" s="642">
        <f>E67</f>
        <v>0</v>
      </c>
      <c r="N67" s="1">
        <f t="shared" si="0"/>
        <v>0</v>
      </c>
      <c r="O67" s="1" t="str">
        <f t="shared" si="1"/>
        <v/>
      </c>
      <c r="P67" s="2" t="s">
        <v>497</v>
      </c>
      <c r="Q67" s="541" t="s">
        <v>539</v>
      </c>
      <c r="R67" s="544">
        <f>E67</f>
        <v>0</v>
      </c>
    </row>
    <row r="68" spans="1:18" ht="15" customHeight="1">
      <c r="A68" s="1150"/>
      <c r="B68" s="1153"/>
      <c r="C68" s="1091"/>
      <c r="D68" s="1113" t="s">
        <v>2328</v>
      </c>
      <c r="E68" s="1090"/>
      <c r="F68" s="1100" t="s">
        <v>1071</v>
      </c>
      <c r="G68" s="1136"/>
      <c r="I68" s="1"/>
      <c r="J68" s="1"/>
      <c r="K68" s="1"/>
      <c r="L68" s="1"/>
      <c r="N68" s="1"/>
      <c r="O68" s="1"/>
      <c r="P68" s="542"/>
      <c r="Q68" s="537" t="s">
        <v>83</v>
      </c>
      <c r="R68" s="544">
        <f>E68</f>
        <v>0</v>
      </c>
    </row>
    <row r="69" spans="1:18" ht="3" customHeight="1">
      <c r="A69" s="1150"/>
      <c r="B69" s="1153"/>
      <c r="C69" s="1091"/>
      <c r="D69" s="1091"/>
      <c r="E69" s="1091"/>
      <c r="F69" s="1092"/>
      <c r="G69" s="1136"/>
      <c r="I69" s="1" t="s">
        <v>1468</v>
      </c>
      <c r="J69" s="1">
        <f>SUM(J47:J67)</f>
        <v>7000</v>
      </c>
      <c r="K69" s="1">
        <f>J69/$J$69</f>
        <v>1</v>
      </c>
      <c r="L69" s="1">
        <f>SUM(L47:L67)</f>
        <v>0</v>
      </c>
      <c r="O69" s="1" t="str">
        <f>IF(MAX(N47:N66)&gt;3,"等","")</f>
        <v/>
      </c>
    </row>
    <row r="70" spans="1:18" ht="15" customHeight="1">
      <c r="A70" s="1150"/>
      <c r="B70" s="1521" t="s">
        <v>1540</v>
      </c>
      <c r="C70" s="1110"/>
      <c r="D70" s="1114"/>
      <c r="E70" s="1111"/>
      <c r="F70" s="1112"/>
      <c r="G70" s="1136"/>
      <c r="O70" s="1" t="str">
        <f>O47&amp;O50&amp;O55&amp;O59&amp;O60&amp;O64&amp;O65&amp;O67&amp;O63&amp;O69</f>
        <v xml:space="preserve"> Offices,</v>
      </c>
    </row>
    <row r="71" spans="1:18" ht="15" customHeight="1">
      <c r="A71" s="1150"/>
      <c r="B71" s="1522" t="s">
        <v>1539</v>
      </c>
      <c r="C71" s="1115"/>
      <c r="D71" s="1115"/>
      <c r="E71" s="1115"/>
      <c r="F71" s="1116"/>
      <c r="G71" s="1136"/>
    </row>
    <row r="72" spans="1:18" ht="15" customHeight="1">
      <c r="A72" s="1150"/>
      <c r="B72" s="1522" t="s">
        <v>1537</v>
      </c>
      <c r="C72" s="1115"/>
      <c r="D72" s="1115"/>
      <c r="E72" s="1115"/>
      <c r="F72" s="1116"/>
      <c r="G72" s="1136"/>
    </row>
    <row r="73" spans="1:18" ht="15" customHeight="1">
      <c r="A73" s="1150"/>
      <c r="B73" s="1522" t="s">
        <v>1538</v>
      </c>
      <c r="C73" s="1117"/>
      <c r="D73" s="1117"/>
      <c r="E73" s="1117"/>
      <c r="F73" s="1118">
        <f>IF(C67=0,0,E67/C67)</f>
        <v>0</v>
      </c>
      <c r="G73" s="1136"/>
    </row>
    <row r="74" spans="1:18" ht="4.1500000000000004" customHeight="1" thickBot="1">
      <c r="A74" s="1115"/>
      <c r="B74" s="1134"/>
      <c r="C74" s="1119"/>
      <c r="D74" s="1119"/>
      <c r="E74" s="1119"/>
      <c r="F74" s="1120"/>
      <c r="G74" s="1115"/>
    </row>
    <row r="75" spans="1:18" ht="5.25" customHeight="1" thickBot="1">
      <c r="A75" s="1115"/>
      <c r="B75" s="1115"/>
      <c r="C75" s="1115"/>
      <c r="D75" s="1115"/>
      <c r="E75" s="1115"/>
      <c r="F75" s="1115"/>
      <c r="G75" s="1115"/>
    </row>
    <row r="76" spans="1:18" ht="15" customHeight="1" thickBot="1">
      <c r="A76" s="1150"/>
      <c r="B76" s="1154" t="s">
        <v>1463</v>
      </c>
      <c r="C76" s="1155"/>
      <c r="D76" s="1155"/>
      <c r="E76" s="1156"/>
      <c r="F76" s="1157"/>
      <c r="G76" s="1136"/>
    </row>
    <row r="77" spans="1:18" ht="15" customHeight="1" thickBot="1">
      <c r="A77" s="1150"/>
      <c r="B77" s="1158" t="s">
        <v>1464</v>
      </c>
      <c r="C77" s="3803" t="s">
        <v>5024</v>
      </c>
      <c r="D77" s="2342"/>
      <c r="E77" s="1159"/>
      <c r="F77" s="1160"/>
      <c r="G77" s="1136"/>
    </row>
    <row r="78" spans="1:18" ht="15" customHeight="1">
      <c r="A78" s="1150"/>
      <c r="B78" s="2341" t="s">
        <v>1465</v>
      </c>
      <c r="C78" s="3804" t="s">
        <v>5025</v>
      </c>
      <c r="D78" s="3805" t="s">
        <v>5027</v>
      </c>
      <c r="E78" s="2343" t="s">
        <v>5028</v>
      </c>
      <c r="F78" s="1482"/>
      <c r="G78" s="1136"/>
    </row>
    <row r="79" spans="1:18" ht="15" customHeight="1" thickBot="1">
      <c r="A79" s="1136"/>
      <c r="B79" s="2340" t="s">
        <v>2334</v>
      </c>
      <c r="C79" s="3806" t="s">
        <v>5029</v>
      </c>
      <c r="D79" s="2344"/>
      <c r="E79" s="3807" t="s">
        <v>5030</v>
      </c>
      <c r="F79" s="1161"/>
      <c r="G79" s="1136"/>
    </row>
    <row r="80" spans="1:18" ht="5.25" customHeight="1">
      <c r="A80" s="1150"/>
      <c r="B80" s="1150"/>
      <c r="C80" s="1150"/>
      <c r="D80" s="1150"/>
      <c r="E80" s="1150"/>
      <c r="F80" s="1150"/>
      <c r="G80" s="1136"/>
    </row>
    <row r="81" spans="1:7" ht="15" customHeight="1">
      <c r="A81" s="1136"/>
      <c r="B81" s="1162" t="s">
        <v>1466</v>
      </c>
      <c r="C81" s="1163" t="s">
        <v>1467</v>
      </c>
      <c r="D81" s="1164"/>
      <c r="E81" s="1165"/>
      <c r="F81" s="1166"/>
      <c r="G81" s="1136"/>
    </row>
    <row r="82" spans="1:7" ht="15" customHeight="1">
      <c r="A82" s="1136"/>
      <c r="B82" s="1167" t="s">
        <v>1446</v>
      </c>
      <c r="C82" s="2345" t="s">
        <v>2323</v>
      </c>
      <c r="D82" s="2330"/>
      <c r="E82" s="2331"/>
      <c r="F82" s="2332"/>
      <c r="G82" s="1168"/>
    </row>
    <row r="83" spans="1:7" ht="28.9" customHeight="1">
      <c r="A83" s="1136"/>
      <c r="B83" s="1169" t="s">
        <v>1447</v>
      </c>
      <c r="C83" s="3808" t="s">
        <v>2333</v>
      </c>
      <c r="D83" s="3809"/>
      <c r="E83" s="3809"/>
      <c r="F83" s="3810"/>
      <c r="G83" s="1168"/>
    </row>
    <row r="84" spans="1:7" ht="15" customHeight="1">
      <c r="A84" s="1136"/>
      <c r="B84" s="1169" t="s">
        <v>1448</v>
      </c>
      <c r="C84" s="1170" t="s">
        <v>2316</v>
      </c>
      <c r="D84" s="2333"/>
      <c r="E84" s="2334"/>
      <c r="F84" s="2335"/>
      <c r="G84" s="1168"/>
    </row>
    <row r="85" spans="1:7" ht="15" customHeight="1">
      <c r="A85" s="1136"/>
      <c r="B85" s="1169" t="s">
        <v>1449</v>
      </c>
      <c r="C85" s="1170" t="s">
        <v>2317</v>
      </c>
      <c r="D85" s="2333"/>
      <c r="E85" s="2334"/>
      <c r="F85" s="2335"/>
      <c r="G85" s="1168"/>
    </row>
    <row r="86" spans="1:7" ht="28.9" customHeight="1">
      <c r="A86" s="1136"/>
      <c r="B86" s="1169" t="s">
        <v>1450</v>
      </c>
      <c r="C86" s="3808" t="s">
        <v>2318</v>
      </c>
      <c r="D86" s="3811"/>
      <c r="E86" s="3811"/>
      <c r="F86" s="3812"/>
      <c r="G86" s="1168"/>
    </row>
    <row r="87" spans="1:7" ht="28.9" customHeight="1">
      <c r="A87" s="1136"/>
      <c r="B87" s="1169" t="s">
        <v>1451</v>
      </c>
      <c r="C87" s="3808" t="s">
        <v>2321</v>
      </c>
      <c r="D87" s="3811"/>
      <c r="E87" s="3811"/>
      <c r="F87" s="3812"/>
      <c r="G87" s="1168"/>
    </row>
    <row r="88" spans="1:7" ht="15" customHeight="1">
      <c r="A88" s="1136"/>
      <c r="B88" s="1169" t="s">
        <v>1452</v>
      </c>
      <c r="C88" s="1170" t="s">
        <v>2322</v>
      </c>
      <c r="D88" s="2333"/>
      <c r="E88" s="2334"/>
      <c r="F88" s="2335"/>
      <c r="G88" s="1168"/>
    </row>
    <row r="89" spans="1:7" ht="15" customHeight="1">
      <c r="A89" s="1136"/>
      <c r="B89" s="1169" t="s">
        <v>1453</v>
      </c>
      <c r="C89" s="1170" t="s">
        <v>2320</v>
      </c>
      <c r="D89" s="2333"/>
      <c r="E89" s="2334"/>
      <c r="F89" s="2335"/>
      <c r="G89" s="1168"/>
    </row>
    <row r="90" spans="1:7" ht="15" customHeight="1">
      <c r="A90" s="1136"/>
      <c r="B90" s="1171" t="s">
        <v>1454</v>
      </c>
      <c r="C90" s="2336" t="s">
        <v>2319</v>
      </c>
      <c r="D90" s="2337"/>
      <c r="E90" s="2338"/>
      <c r="F90" s="2339"/>
      <c r="G90" s="1168"/>
    </row>
    <row r="91" spans="1:7" ht="14.25">
      <c r="A91" s="1136"/>
      <c r="B91" s="1136"/>
      <c r="C91" s="1136"/>
      <c r="D91" s="1136"/>
      <c r="E91" s="1136"/>
      <c r="F91" s="1136"/>
      <c r="G91" s="1136"/>
    </row>
  </sheetData>
  <sheetProtection algorithmName="SHA-512" hashValue="pubQ6CsR+7xcsD7B5IwLAAsEU1tBxvpEKGPiW1Zcrmjk4G7i32jCph4OFDwK6Pez6JyejX7hdpup0vbRzJx+Lg==" saltValue="HI1pY+JcypAG7v8LKqv9gQ==" spinCount="100000" sheet="1" objects="1" scenarios="1"/>
  <mergeCells count="9">
    <mergeCell ref="C83:F83"/>
    <mergeCell ref="C86:F86"/>
    <mergeCell ref="C87:F87"/>
    <mergeCell ref="C11:E11"/>
    <mergeCell ref="C27:E27"/>
    <mergeCell ref="C12:E12"/>
    <mergeCell ref="C14:E14"/>
    <mergeCell ref="C20:E20"/>
    <mergeCell ref="C21:E21"/>
  </mergeCells>
  <phoneticPr fontId="26"/>
  <conditionalFormatting sqref="C11:C18 F12:F13 D12:E14 F15 C20:E20 C22:C23 E39 E47:E58 C59 C63:C65 E68">
    <cfRule type="cellIs" dxfId="131" priority="12" stopIfTrue="1" operator="equal">
      <formula>0</formula>
    </cfRule>
  </conditionalFormatting>
  <conditionalFormatting sqref="C26">
    <cfRule type="cellIs" dxfId="130" priority="9" stopIfTrue="1" operator="equal">
      <formula>0</formula>
    </cfRule>
  </conditionalFormatting>
  <conditionalFormatting sqref="C29:C30">
    <cfRule type="cellIs" dxfId="129" priority="6" stopIfTrue="1" operator="equal">
      <formula>0</formula>
    </cfRule>
  </conditionalFormatting>
  <conditionalFormatting sqref="C32:C34">
    <cfRule type="cellIs" dxfId="128" priority="10" stopIfTrue="1" operator="equal">
      <formula>0</formula>
    </cfRule>
  </conditionalFormatting>
  <conditionalFormatting sqref="C39:C40">
    <cfRule type="cellIs" dxfId="127" priority="3" stopIfTrue="1" operator="equal">
      <formula>0</formula>
    </cfRule>
  </conditionalFormatting>
  <conditionalFormatting sqref="C67">
    <cfRule type="cellIs" dxfId="126" priority="4" stopIfTrue="1" operator="equal">
      <formula>0</formula>
    </cfRule>
  </conditionalFormatting>
  <conditionalFormatting sqref="C27:E27">
    <cfRule type="cellIs" dxfId="125" priority="8" stopIfTrue="1" operator="equal">
      <formula>0</formula>
    </cfRule>
  </conditionalFormatting>
  <conditionalFormatting sqref="E60:E63">
    <cfRule type="cellIs" dxfId="124" priority="11" stopIfTrue="1" operator="equal">
      <formula>0</formula>
    </cfRule>
  </conditionalFormatting>
  <conditionalFormatting sqref="F71">
    <cfRule type="expression" dxfId="123" priority="2" stopIfTrue="1">
      <formula>AND($C$64&gt;0,F71=0)</formula>
    </cfRule>
  </conditionalFormatting>
  <conditionalFormatting sqref="F72">
    <cfRule type="expression" dxfId="122" priority="1" stopIfTrue="1">
      <formula>AND($C$65&gt;0,F72=0)</formula>
    </cfRule>
  </conditionalFormatting>
  <dataValidations count="7">
    <dataValidation type="list" allowBlank="1" showInputMessage="1" showErrorMessage="1" sqref="F15" xr:uid="{00000000-0002-0000-0200-000000000000}">
      <formula1>$I$20:$I$21</formula1>
    </dataValidation>
    <dataValidation type="decimal" allowBlank="1" showInputMessage="1" showErrorMessage="1" sqref="F71:F72" xr:uid="{9807315C-D6B2-4CDB-8389-023B9C5C593B}">
      <formula1>0</formula1>
      <formula2>1</formula2>
    </dataValidation>
    <dataValidation type="list" allowBlank="1" showInputMessage="1" showErrorMessage="1" sqref="C23" xr:uid="{00000000-0002-0000-0200-000002000000}">
      <formula1>$I$23:$L$23</formula1>
    </dataValidation>
    <dataValidation type="list" allowBlank="1" showInputMessage="1" showErrorMessage="1" sqref="C43" xr:uid="{00000000-0002-0000-0200-000003000000}">
      <formula1>$I$43:$I$44</formula1>
    </dataValidation>
    <dataValidation type="list" allowBlank="1" showInputMessage="1" showErrorMessage="1" sqref="F13" xr:uid="{00000000-0002-0000-0200-000004000000}">
      <formula1>$I$11:$I$16</formula1>
    </dataValidation>
    <dataValidation type="list" allowBlank="1" showInputMessage="1" showErrorMessage="1" sqref="F12" xr:uid="{00000000-0002-0000-0200-000005000000}">
      <formula1>$I$11:$I$18</formula1>
    </dataValidation>
    <dataValidation type="list" allowBlank="1" showInputMessage="1" showErrorMessage="1" sqref="E39" xr:uid="{00000000-0002-0000-0200-000006000000}">
      <formula1>$I$37:$I$39</formula1>
    </dataValidation>
  </dataValidations>
  <hyperlinks>
    <hyperlink ref="C78" location="Result!A1" tooltip="[Result] sheet with rader chart" display="●Result" xr:uid="{00000000-0004-0000-0200-000000000000}"/>
    <hyperlink ref="C77" location="Score!A1" tooltip="[Score] sheet" display="●Score" xr:uid="{00000000-0004-0000-0200-000001000000}"/>
    <hyperlink ref="C79" location="Std.!A1" tooltip="[Std.] sheet" display="●Standard Calculation" xr:uid="{00000000-0004-0000-0200-000002000000}"/>
    <hyperlink ref="E79" location="Indiv.!A1" tooltip="[Indiv.] sheet" display="●Individual Calculation" xr:uid="{00000000-0004-0000-0200-000003000000}"/>
    <hyperlink ref="E78" location="WLC!A1" tooltip="[WLC] sheet" display="●WLC Calculation" xr:uid="{A73F9039-F48B-4440-87CF-8F17C39A7EAD}"/>
    <hyperlink ref="D78" location="'Result(2-3SDGs)'!A1" tooltip="[Result (2-1 SDGs)] sheet with Built Environment SDGs" display="●Result (2-1 SDGs)" xr:uid="{1952614C-94E2-4770-BB20-D2887B2EEAF0}"/>
  </hyperlinks>
  <printOptions horizontalCentered="1"/>
  <pageMargins left="0.59055118110236227" right="0.59055118110236227" top="0.78740157480314965" bottom="0.59055118110236227" header="0.51181102362204722" footer="0.51181102362204722"/>
  <pageSetup paperSize="9" scale="89" orientation="portrait" verticalDpi="4294967293" r:id="rId1"/>
  <headerFooter alignWithMargins="0">
    <oddHeader>&amp;L&amp;F&amp;R&amp;A</oddHeader>
    <oddFooter>&amp;C&amp;P/&amp;N</oddFooter>
  </headerFooter>
  <colBreaks count="1" manualBreakCount="1">
    <brk id="15" max="1048575" man="1"/>
  </colBreaks>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1">
    <pageSetUpPr fitToPage="1"/>
  </sheetPr>
  <dimension ref="A1:AY212"/>
  <sheetViews>
    <sheetView showGridLines="0" workbookViewId="0">
      <selection activeCell="Q2" sqref="Q2:Q5"/>
    </sheetView>
  </sheetViews>
  <sheetFormatPr defaultColWidth="0" defaultRowHeight="0" customHeight="1" zeroHeight="1"/>
  <cols>
    <col min="1" max="1" width="0.75" style="18" customWidth="1"/>
    <col min="2" max="2" width="2.125" style="33" customWidth="1"/>
    <col min="3" max="3" width="13.375" style="33" customWidth="1"/>
    <col min="4" max="4" width="5.375" style="34" customWidth="1"/>
    <col min="5" max="5" width="9.75" style="35" customWidth="1"/>
    <col min="6" max="6" width="6.25" style="36" customWidth="1"/>
    <col min="7" max="7" width="6.5" style="36" customWidth="1"/>
    <col min="8" max="8" width="13.125" style="36" customWidth="1"/>
    <col min="9" max="9" width="6.875" style="37" customWidth="1"/>
    <col min="10" max="10" width="12.125" style="37" customWidth="1"/>
    <col min="11" max="12" width="11.875" style="36" customWidth="1"/>
    <col min="13" max="13" width="11.75" style="53" customWidth="1"/>
    <col min="14" max="14" width="8.625" style="53" customWidth="1"/>
    <col min="15" max="15" width="11.5" style="53" customWidth="1"/>
    <col min="16" max="16" width="0.75" style="18" customWidth="1"/>
    <col min="17" max="17" width="3.875" style="18" bestFit="1" customWidth="1"/>
    <col min="18" max="18" width="9.875" style="27" hidden="1" customWidth="1"/>
    <col min="19" max="19" width="9.875" style="339" hidden="1" customWidth="1"/>
    <col min="20" max="20" width="9.875" style="27" hidden="1" customWidth="1"/>
    <col min="21" max="21" width="9.125" style="27" hidden="1" customWidth="1"/>
    <col min="22" max="22" width="14.5" style="27" hidden="1" customWidth="1"/>
    <col min="23" max="23" width="11.125" style="27" hidden="1" customWidth="1"/>
    <col min="24" max="24" width="20.5" style="27" hidden="1" customWidth="1"/>
    <col min="25" max="25" width="18.625" style="27" hidden="1" customWidth="1"/>
    <col min="26" max="26" width="23" style="27" hidden="1" customWidth="1"/>
    <col min="27" max="27" width="4.5" style="27" hidden="1" customWidth="1"/>
    <col min="28" max="29" width="6.375" style="27" hidden="1" customWidth="1"/>
    <col min="30" max="31" width="5" style="27" hidden="1" customWidth="1"/>
    <col min="32" max="32" width="5.125" style="27" hidden="1" customWidth="1"/>
    <col min="33" max="41" width="9" style="27" hidden="1" customWidth="1"/>
    <col min="42" max="42" width="11.875" style="27" hidden="1" customWidth="1"/>
    <col min="43" max="43" width="11.625" style="27" hidden="1" customWidth="1"/>
    <col min="44" max="44" width="8.625" style="27" hidden="1" customWidth="1"/>
    <col min="45" max="45" width="11.5" style="27" hidden="1" customWidth="1"/>
    <col min="46" max="46" width="9" style="27" hidden="1" customWidth="1"/>
    <col min="47" max="47" width="11.875" style="27" hidden="1" customWidth="1"/>
    <col min="48" max="48" width="9" style="27" hidden="1" customWidth="1"/>
    <col min="49" max="49" width="11.625" style="27" hidden="1" customWidth="1"/>
    <col min="50" max="50" width="8.625" style="27" hidden="1" customWidth="1"/>
    <col min="51" max="51" width="11.5" style="27" hidden="1" customWidth="1"/>
    <col min="52" max="16384" width="9" style="27" hidden="1"/>
  </cols>
  <sheetData>
    <row r="1" spans="1:27" s="16" customFormat="1" ht="6" customHeight="1" thickBot="1">
      <c r="A1" s="9"/>
      <c r="B1" s="10"/>
      <c r="C1" s="11"/>
      <c r="D1" s="12"/>
      <c r="E1" s="9"/>
      <c r="F1" s="13"/>
      <c r="G1" s="13"/>
      <c r="H1" s="13"/>
      <c r="I1" s="14"/>
      <c r="J1" s="14"/>
      <c r="K1" s="13"/>
      <c r="L1" s="15"/>
      <c r="M1" s="9"/>
      <c r="N1" s="9"/>
      <c r="O1" s="9"/>
      <c r="P1" s="9"/>
      <c r="Q1" s="9"/>
      <c r="S1" s="17"/>
    </row>
    <row r="2" spans="1:27" ht="18.75" customHeight="1" thickTop="1">
      <c r="B2" s="19"/>
      <c r="C2" s="20"/>
      <c r="D2" s="21"/>
      <c r="E2" s="22"/>
      <c r="F2" s="23"/>
      <c r="G2" s="23"/>
      <c r="H2" s="23"/>
      <c r="I2" s="24"/>
      <c r="J2" s="25"/>
      <c r="K2" s="25"/>
      <c r="L2" s="25"/>
      <c r="M2" s="25"/>
      <c r="N2" s="23"/>
      <c r="O2" s="26"/>
      <c r="Q2" s="3824" t="s">
        <v>5026</v>
      </c>
      <c r="S2" s="27"/>
    </row>
    <row r="3" spans="1:27" ht="18.75" customHeight="1">
      <c r="B3" s="19"/>
      <c r="C3" s="20"/>
      <c r="D3" s="21"/>
      <c r="E3" s="22"/>
      <c r="F3" s="23"/>
      <c r="G3" s="23"/>
      <c r="H3" s="23"/>
      <c r="I3" s="24"/>
      <c r="J3" s="25"/>
      <c r="K3" s="25"/>
      <c r="L3" s="25"/>
      <c r="M3" s="25"/>
      <c r="N3" s="23"/>
      <c r="O3" s="28"/>
      <c r="Q3" s="3825"/>
      <c r="S3" s="27"/>
    </row>
    <row r="4" spans="1:27" ht="18.75" customHeight="1">
      <c r="B4" s="19"/>
      <c r="C4" s="20"/>
      <c r="D4" s="21"/>
      <c r="E4" s="22"/>
      <c r="F4" s="23"/>
      <c r="G4" s="23"/>
      <c r="H4" s="23"/>
      <c r="I4" s="29"/>
      <c r="J4" s="25"/>
      <c r="K4" s="25"/>
      <c r="L4" s="25"/>
      <c r="M4" s="25"/>
      <c r="N4" s="23"/>
      <c r="O4" s="26"/>
      <c r="Q4" s="3825"/>
      <c r="S4" s="27"/>
    </row>
    <row r="5" spans="1:27" ht="13.5" customHeight="1" thickBot="1">
      <c r="B5" s="30"/>
      <c r="C5" s="31"/>
      <c r="D5" s="21"/>
      <c r="E5" s="22"/>
      <c r="F5" s="23"/>
      <c r="G5" s="23"/>
      <c r="H5" s="23"/>
      <c r="I5" s="1510" t="s">
        <v>1491</v>
      </c>
      <c r="L5" s="2881" t="str">
        <f>Main!C6</f>
        <v>CASBEE for Building Design (New Construction) 2024 Edition</v>
      </c>
      <c r="M5" s="1510" t="s">
        <v>1492</v>
      </c>
      <c r="N5" s="3827" t="str">
        <f>Main!C5</f>
        <v>CASBEE-BD_NCe_2024_v1.21</v>
      </c>
      <c r="O5" s="3828"/>
      <c r="Q5" s="3826"/>
      <c r="R5" s="47" t="s">
        <v>521</v>
      </c>
      <c r="S5" s="27"/>
      <c r="U5" s="47" t="s">
        <v>2366</v>
      </c>
    </row>
    <row r="6" spans="1:27" ht="6" customHeight="1" thickTop="1" thickBot="1">
      <c r="B6" s="32"/>
      <c r="J6" s="38"/>
      <c r="K6" s="38"/>
      <c r="L6" s="39"/>
      <c r="M6" s="35"/>
      <c r="N6" s="35"/>
      <c r="O6" s="35"/>
      <c r="S6" s="27"/>
    </row>
    <row r="7" spans="1:27" ht="19.5" customHeight="1" thickBot="1">
      <c r="B7" s="40" t="s">
        <v>1471</v>
      </c>
      <c r="C7" s="41"/>
      <c r="D7" s="42"/>
      <c r="E7" s="41"/>
      <c r="F7" s="41"/>
      <c r="G7" s="41"/>
      <c r="H7" s="43"/>
      <c r="I7" s="44"/>
      <c r="J7" s="44"/>
      <c r="K7" s="44"/>
      <c r="L7" s="45" t="s">
        <v>1490</v>
      </c>
      <c r="M7" s="41"/>
      <c r="N7" s="41"/>
      <c r="O7" s="46"/>
      <c r="R7" s="55" t="s">
        <v>553</v>
      </c>
      <c r="S7" s="55">
        <f>Score!AD8</f>
        <v>3.0000000000000004</v>
      </c>
      <c r="U7" s="56"/>
      <c r="V7" s="56" t="s">
        <v>522</v>
      </c>
      <c r="W7" s="57" t="s">
        <v>554</v>
      </c>
      <c r="X7" s="57">
        <v>4</v>
      </c>
      <c r="Y7" s="57">
        <v>2</v>
      </c>
      <c r="Z7" s="58" t="s">
        <v>555</v>
      </c>
      <c r="AA7" s="55" t="s">
        <v>556</v>
      </c>
    </row>
    <row r="8" spans="1:27" ht="19.5" customHeight="1">
      <c r="B8" s="1503" t="s">
        <v>1472</v>
      </c>
      <c r="C8" s="48"/>
      <c r="D8" s="2346" t="str">
        <f>Main!C11</f>
        <v>XXX Building</v>
      </c>
      <c r="E8" s="48"/>
      <c r="F8" s="48"/>
      <c r="G8" s="49"/>
      <c r="H8" s="1508" t="s">
        <v>1481</v>
      </c>
      <c r="I8" s="50"/>
      <c r="J8" s="2347" t="str">
        <f>Main!C22</f>
        <v>+ XX F</v>
      </c>
      <c r="K8" s="51"/>
      <c r="L8" s="52"/>
      <c r="O8" s="54"/>
      <c r="R8" s="55" t="s">
        <v>557</v>
      </c>
      <c r="S8" s="55" t="e">
        <f>Score!AD121</f>
        <v>#VALUE!</v>
      </c>
      <c r="U8" s="58" t="s">
        <v>558</v>
      </c>
      <c r="V8" s="56" t="s">
        <v>1498</v>
      </c>
      <c r="W8" s="57">
        <v>5</v>
      </c>
      <c r="X8" s="57">
        <v>4</v>
      </c>
      <c r="Y8" s="57">
        <v>2</v>
      </c>
      <c r="Z8" s="64">
        <f>V46</f>
        <v>3</v>
      </c>
      <c r="AA8" s="55">
        <v>3</v>
      </c>
    </row>
    <row r="9" spans="1:27" ht="19.5" customHeight="1">
      <c r="B9" s="198" t="s">
        <v>1473</v>
      </c>
      <c r="C9" s="59"/>
      <c r="D9" s="2348" t="str">
        <f>Main!C12</f>
        <v>XX City, XX Prefecture</v>
      </c>
      <c r="E9" s="59"/>
      <c r="F9" s="65"/>
      <c r="G9" s="27"/>
      <c r="H9" s="1509" t="s">
        <v>1482</v>
      </c>
      <c r="I9" s="60"/>
      <c r="J9" s="2349" t="str">
        <f>Main!C23</f>
        <v>RC</v>
      </c>
      <c r="K9" s="61"/>
      <c r="L9" s="62"/>
      <c r="M9" s="27"/>
      <c r="N9" s="27"/>
      <c r="O9" s="63"/>
      <c r="R9" s="58" t="s">
        <v>136</v>
      </c>
      <c r="S9" s="58">
        <f>25*(S7-1)</f>
        <v>50.000000000000014</v>
      </c>
      <c r="U9" s="58" t="s">
        <v>137</v>
      </c>
      <c r="V9" s="69" t="s">
        <v>3347</v>
      </c>
      <c r="W9" s="57">
        <v>5</v>
      </c>
      <c r="X9" s="57">
        <v>4</v>
      </c>
      <c r="Y9" s="57">
        <v>2</v>
      </c>
      <c r="Z9" s="64">
        <f>Y46</f>
        <v>3</v>
      </c>
      <c r="AA9" s="55">
        <v>3</v>
      </c>
    </row>
    <row r="10" spans="1:27" ht="18.75" customHeight="1">
      <c r="B10" s="198" t="s">
        <v>1474</v>
      </c>
      <c r="C10" s="65"/>
      <c r="D10" s="2348" t="str">
        <f>Main!C14</f>
        <v>Commercial zone</v>
      </c>
      <c r="E10" s="65"/>
      <c r="F10" s="65"/>
      <c r="G10" s="27"/>
      <c r="H10" s="1508" t="s">
        <v>1483</v>
      </c>
      <c r="I10" s="50"/>
      <c r="J10" s="2350" t="str">
        <f>Main!C32</f>
        <v>XX</v>
      </c>
      <c r="K10" s="65" t="s">
        <v>1958</v>
      </c>
      <c r="L10" s="66"/>
      <c r="M10" s="67"/>
      <c r="N10" s="67"/>
      <c r="O10" s="68"/>
      <c r="R10" s="58" t="s">
        <v>523</v>
      </c>
      <c r="S10" s="58" t="e">
        <f>25*(5-S8)</f>
        <v>#VALUE!</v>
      </c>
      <c r="U10" s="58" t="s">
        <v>408</v>
      </c>
      <c r="V10" s="72" t="s">
        <v>1500</v>
      </c>
      <c r="W10" s="57">
        <v>5</v>
      </c>
      <c r="X10" s="57">
        <v>4</v>
      </c>
      <c r="Y10" s="57">
        <v>2</v>
      </c>
      <c r="Z10" s="64" t="e">
        <f>Y57</f>
        <v>#VALUE!</v>
      </c>
      <c r="AA10" s="55">
        <v>3</v>
      </c>
    </row>
    <row r="11" spans="1:27" ht="18.75" customHeight="1">
      <c r="B11" s="1824" t="s">
        <v>1957</v>
      </c>
      <c r="C11" s="70"/>
      <c r="D11" s="2349" t="str">
        <f>IF(Main!F12="","",Main!F12)</f>
        <v>Zone 3</v>
      </c>
      <c r="E11" s="70"/>
      <c r="F11" s="2351"/>
      <c r="G11" s="71"/>
      <c r="H11" s="1509" t="s">
        <v>1484</v>
      </c>
      <c r="I11" s="60"/>
      <c r="J11" s="2352" t="str">
        <f>IF(Main!I3=3,Main!C34,Main!C33)</f>
        <v>XXX</v>
      </c>
      <c r="K11" s="2353" t="str">
        <f>IF(Main!I3=3,Main!D34,Main!D33)</f>
        <v>hrs./yr. (assumed)</v>
      </c>
      <c r="L11" s="66"/>
      <c r="M11" s="67"/>
      <c r="N11" s="67"/>
      <c r="O11" s="68"/>
      <c r="R11" s="58" t="s">
        <v>524</v>
      </c>
      <c r="S11" s="58" t="e">
        <f>S9/S10</f>
        <v>#VALUE!</v>
      </c>
      <c r="U11" s="58" t="s">
        <v>550</v>
      </c>
      <c r="V11" s="72" t="s">
        <v>1501</v>
      </c>
      <c r="W11" s="57">
        <v>5</v>
      </c>
      <c r="X11" s="57">
        <v>4</v>
      </c>
      <c r="Y11" s="57">
        <v>2</v>
      </c>
      <c r="Z11" s="64">
        <f>V57</f>
        <v>3</v>
      </c>
      <c r="AA11" s="55">
        <v>3</v>
      </c>
    </row>
    <row r="12" spans="1:27" ht="18.75" customHeight="1">
      <c r="B12" s="1504" t="s">
        <v>1475</v>
      </c>
      <c r="C12" s="73"/>
      <c r="D12" s="2354" t="str">
        <f>Main!C21</f>
        <v xml:space="preserve"> Offices,</v>
      </c>
      <c r="E12" s="73"/>
      <c r="F12" s="73"/>
      <c r="G12" s="74"/>
      <c r="H12" s="1509" t="s">
        <v>1485</v>
      </c>
      <c r="I12" s="75"/>
      <c r="J12" s="2349" t="str">
        <f>IF(Main!E39=0,"",Main!E39)</f>
        <v>Execution design stage</v>
      </c>
      <c r="K12" s="76"/>
      <c r="L12" s="66"/>
      <c r="M12" s="2355" t="s">
        <v>2336</v>
      </c>
      <c r="N12" s="67"/>
      <c r="O12" s="68"/>
      <c r="R12" s="58" t="s">
        <v>138</v>
      </c>
      <c r="S12" s="79" t="e">
        <f>ROUNDDOWN(S11,1)</f>
        <v>#VALUE!</v>
      </c>
      <c r="U12" s="58" t="s">
        <v>139</v>
      </c>
      <c r="V12" s="72" t="s">
        <v>1502</v>
      </c>
      <c r="W12" s="57">
        <v>5</v>
      </c>
      <c r="X12" s="57">
        <v>4</v>
      </c>
      <c r="Y12" s="57">
        <v>2</v>
      </c>
      <c r="Z12" s="64">
        <f>S57</f>
        <v>4</v>
      </c>
      <c r="AA12" s="55">
        <v>3</v>
      </c>
    </row>
    <row r="13" spans="1:27" ht="17.25" customHeight="1">
      <c r="B13" s="1505" t="s">
        <v>1476</v>
      </c>
      <c r="C13" s="637"/>
      <c r="D13" s="3834">
        <f>Main!C15</f>
        <v>46447</v>
      </c>
      <c r="E13" s="3835"/>
      <c r="F13" s="2356" t="str">
        <f>Main!F15</f>
        <v>Scheduled</v>
      </c>
      <c r="G13" s="638"/>
      <c r="H13" s="1508" t="s">
        <v>1486</v>
      </c>
      <c r="I13" s="77"/>
      <c r="J13" s="2357">
        <f>IF(Main!C39=0,"",Main!C39)</f>
        <v>45846</v>
      </c>
      <c r="K13" s="78"/>
      <c r="L13" s="66"/>
      <c r="M13" s="2358"/>
      <c r="N13" s="67"/>
      <c r="O13" s="68"/>
      <c r="R13" s="58" t="s">
        <v>93</v>
      </c>
      <c r="S13" s="82" t="e">
        <f>IF(AND($S$9&gt;=50,$S$11&gt;=3),1,IF(S12&lt;0.5,1,IF(S12&lt;1,2,IF(S12&lt;1.5,3,IF(S12&lt;3,4,4))))/5)</f>
        <v>#VALUE!</v>
      </c>
      <c r="U13" s="58" t="s">
        <v>140</v>
      </c>
      <c r="V13" s="69" t="s">
        <v>1503</v>
      </c>
      <c r="W13" s="57">
        <v>5</v>
      </c>
      <c r="X13" s="57">
        <v>4</v>
      </c>
      <c r="Y13" s="57">
        <v>2</v>
      </c>
      <c r="Z13" s="64">
        <f>IF(S46=0,1,S46)</f>
        <v>3</v>
      </c>
      <c r="AA13" s="55">
        <v>3</v>
      </c>
    </row>
    <row r="14" spans="1:27" ht="17.25" hidden="1" customHeight="1">
      <c r="B14" s="1506" t="s">
        <v>1477</v>
      </c>
      <c r="C14" s="51"/>
      <c r="D14" s="3851" t="str">
        <f>Main!C16</f>
        <v>2016年６月～８月</v>
      </c>
      <c r="E14" s="3852"/>
      <c r="F14" s="1105"/>
      <c r="G14" s="1105"/>
      <c r="H14" s="1508"/>
      <c r="I14" s="77"/>
      <c r="J14" s="2359"/>
      <c r="K14" s="78"/>
      <c r="L14" s="66"/>
      <c r="M14" s="2358"/>
      <c r="N14" s="67"/>
      <c r="O14" s="68"/>
      <c r="R14" s="58" t="s">
        <v>94</v>
      </c>
      <c r="S14" s="87" t="e">
        <f>1-S13</f>
        <v>#VALUE!</v>
      </c>
    </row>
    <row r="15" spans="1:27" ht="14.25">
      <c r="B15" s="1507" t="s">
        <v>1478</v>
      </c>
      <c r="C15" s="639"/>
      <c r="D15" s="640"/>
      <c r="E15" s="2360">
        <f>Main!C17</f>
        <v>5000</v>
      </c>
      <c r="F15" s="2356" t="s">
        <v>2337</v>
      </c>
      <c r="G15" s="638"/>
      <c r="H15" s="1508" t="s">
        <v>1487</v>
      </c>
      <c r="I15" s="77"/>
      <c r="J15" s="2361" t="str">
        <f>IF(Main!C40=0,"",Main!C40)</f>
        <v>XXXXX</v>
      </c>
      <c r="K15" s="78"/>
      <c r="L15" s="66"/>
      <c r="M15" s="2358" t="s">
        <v>1493</v>
      </c>
      <c r="N15" s="67"/>
      <c r="O15" s="68"/>
      <c r="S15" s="27"/>
    </row>
    <row r="16" spans="1:27" ht="18.75" customHeight="1">
      <c r="B16" s="1508" t="s">
        <v>1479</v>
      </c>
      <c r="C16" s="80"/>
      <c r="D16" s="81"/>
      <c r="E16" s="2362">
        <f>Main!C18</f>
        <v>4000</v>
      </c>
      <c r="F16" s="2363" t="s">
        <v>2337</v>
      </c>
      <c r="G16" s="27"/>
      <c r="H16" s="1508" t="s">
        <v>1488</v>
      </c>
      <c r="I16" s="77"/>
      <c r="J16" s="2357">
        <f>IF(Main!C41=0,"",Main!C41)</f>
        <v>45848</v>
      </c>
      <c r="K16" s="78"/>
      <c r="L16" s="66"/>
      <c r="M16" s="67"/>
      <c r="N16" s="67"/>
      <c r="O16" s="68"/>
      <c r="S16" s="27"/>
      <c r="V16" s="18"/>
      <c r="Z16" s="18"/>
    </row>
    <row r="17" spans="2:50" ht="18" customHeight="1" thickBot="1">
      <c r="B17" s="1508" t="s">
        <v>1480</v>
      </c>
      <c r="C17" s="80"/>
      <c r="D17" s="81"/>
      <c r="E17" s="2364">
        <f>Main!J69</f>
        <v>7000</v>
      </c>
      <c r="F17" s="50" t="s">
        <v>2337</v>
      </c>
      <c r="G17" s="27"/>
      <c r="H17" s="1508" t="s">
        <v>1489</v>
      </c>
      <c r="I17" s="77"/>
      <c r="J17" s="2361" t="str">
        <f>IF(Main!C42=0,"",Main!C42)</f>
        <v>XXXXX</v>
      </c>
      <c r="K17" s="78"/>
      <c r="L17" s="84"/>
      <c r="M17" s="85"/>
      <c r="N17" s="85"/>
      <c r="O17" s="86"/>
      <c r="S17" s="27"/>
      <c r="T17" s="18"/>
      <c r="U17" s="88"/>
      <c r="V17" s="18"/>
      <c r="W17" s="18"/>
      <c r="X17" s="18"/>
      <c r="Y17" s="18"/>
      <c r="Z17" s="18"/>
      <c r="AA17" s="18"/>
      <c r="AB17" s="18"/>
    </row>
    <row r="18" spans="2:50" ht="15" hidden="1" thickBot="1">
      <c r="B18" s="591" t="s">
        <v>95</v>
      </c>
      <c r="C18" s="27"/>
      <c r="D18" s="592" t="s">
        <v>715</v>
      </c>
      <c r="E18"/>
      <c r="F18"/>
      <c r="G18"/>
      <c r="H18" s="1105"/>
      <c r="I18"/>
      <c r="J18"/>
      <c r="K18"/>
      <c r="L18" s="89" t="s">
        <v>96</v>
      </c>
      <c r="M18" s="90" t="s">
        <v>97</v>
      </c>
      <c r="N18" s="592" t="s">
        <v>715</v>
      </c>
      <c r="O18" s="63"/>
      <c r="R18" s="18"/>
      <c r="S18" s="18"/>
      <c r="T18" s="18"/>
      <c r="U18" s="18"/>
      <c r="V18" s="18"/>
      <c r="W18" s="18"/>
      <c r="X18" s="18"/>
      <c r="Y18" s="18"/>
      <c r="Z18" s="18"/>
      <c r="AA18" s="18"/>
      <c r="AB18" s="18"/>
    </row>
    <row r="19" spans="2:50" ht="15" hidden="1" thickBot="1">
      <c r="B19" s="591" t="s">
        <v>98</v>
      </c>
      <c r="C19" s="91"/>
      <c r="D19" s="592" t="s">
        <v>715</v>
      </c>
      <c r="E19"/>
      <c r="F19"/>
      <c r="G19"/>
      <c r="H19"/>
      <c r="I19"/>
      <c r="J19"/>
      <c r="K19"/>
      <c r="L19" s="92"/>
      <c r="M19" s="90" t="s">
        <v>99</v>
      </c>
      <c r="N19" s="592" t="s">
        <v>715</v>
      </c>
      <c r="O19" s="93"/>
      <c r="R19" s="83"/>
      <c r="S19" s="50"/>
      <c r="T19" s="18"/>
      <c r="U19" s="18"/>
      <c r="V19" s="50"/>
      <c r="W19" s="53"/>
      <c r="X19" s="18"/>
      <c r="Y19" s="18"/>
      <c r="Z19" s="18"/>
      <c r="AA19" s="18"/>
      <c r="AB19" s="18"/>
    </row>
    <row r="20" spans="2:50" ht="15" hidden="1" thickBot="1">
      <c r="B20" s="591" t="s">
        <v>100</v>
      </c>
      <c r="C20" s="50"/>
      <c r="D20" s="592" t="s">
        <v>715</v>
      </c>
      <c r="E20"/>
      <c r="F20"/>
      <c r="G20"/>
      <c r="H20"/>
      <c r="I20"/>
      <c r="J20"/>
      <c r="K20"/>
      <c r="L20" s="92"/>
      <c r="M20" s="90" t="s">
        <v>101</v>
      </c>
      <c r="N20" s="592" t="s">
        <v>715</v>
      </c>
      <c r="O20" s="93"/>
      <c r="R20" s="83"/>
      <c r="S20" s="50"/>
      <c r="T20" s="18"/>
      <c r="U20" s="18"/>
      <c r="V20" s="50"/>
      <c r="W20" s="53"/>
      <c r="X20" s="18"/>
      <c r="Y20" s="18"/>
      <c r="Z20" s="18"/>
      <c r="AA20" s="18"/>
      <c r="AB20" s="18"/>
    </row>
    <row r="21" spans="2:50" ht="15" hidden="1" thickBot="1">
      <c r="B21" s="591" t="s">
        <v>102</v>
      </c>
      <c r="C21" s="65"/>
      <c r="D21" s="592" t="s">
        <v>715</v>
      </c>
      <c r="E21"/>
      <c r="F21"/>
      <c r="G21"/>
      <c r="H21"/>
      <c r="I21"/>
      <c r="J21"/>
      <c r="K21"/>
      <c r="L21" s="96"/>
      <c r="M21" s="97" t="s">
        <v>103</v>
      </c>
      <c r="N21" s="592" t="s">
        <v>715</v>
      </c>
      <c r="O21" s="98"/>
      <c r="R21" s="83"/>
      <c r="S21" s="50"/>
      <c r="T21" s="18"/>
      <c r="U21" s="18"/>
      <c r="V21" s="50"/>
      <c r="W21" s="53"/>
      <c r="X21" s="18"/>
      <c r="Y21" s="18"/>
      <c r="Z21" s="18"/>
      <c r="AA21" s="18"/>
      <c r="AB21" s="18"/>
    </row>
    <row r="22" spans="2:50" ht="6.75" customHeight="1" thickBot="1">
      <c r="B22" s="99"/>
      <c r="C22" s="100"/>
      <c r="D22" s="99"/>
      <c r="E22" s="101"/>
      <c r="F22" s="101"/>
      <c r="G22" s="101"/>
      <c r="H22" s="101"/>
      <c r="I22" s="102"/>
      <c r="J22" s="103"/>
      <c r="K22" s="104"/>
      <c r="L22" s="101"/>
      <c r="M22" s="101"/>
      <c r="N22" s="101"/>
      <c r="O22" s="101"/>
      <c r="R22" s="83"/>
      <c r="S22" s="50"/>
      <c r="T22" s="18"/>
      <c r="U22" s="18"/>
      <c r="V22" s="50"/>
      <c r="W22" s="53"/>
      <c r="X22" s="18"/>
      <c r="Y22" s="18"/>
      <c r="Z22" s="18"/>
      <c r="AA22" s="18"/>
      <c r="AB22" s="18"/>
    </row>
    <row r="23" spans="2:50" ht="18.75" thickBot="1">
      <c r="B23" s="2391" t="s">
        <v>3394</v>
      </c>
      <c r="C23" s="106"/>
      <c r="D23" s="107"/>
      <c r="E23" s="108"/>
      <c r="F23" s="108"/>
      <c r="G23" s="108"/>
      <c r="H23" s="2392" t="s">
        <v>1392</v>
      </c>
      <c r="I23" s="109"/>
      <c r="J23" s="110"/>
      <c r="K23" s="110"/>
      <c r="L23" s="2393" t="s">
        <v>3303</v>
      </c>
      <c r="M23" s="106"/>
      <c r="N23" s="107"/>
      <c r="O23" s="108"/>
      <c r="R23" s="58" t="s">
        <v>141</v>
      </c>
      <c r="S23" s="56" t="s">
        <v>104</v>
      </c>
      <c r="T23" s="56" t="s">
        <v>105</v>
      </c>
      <c r="U23" s="56" t="s">
        <v>106</v>
      </c>
      <c r="AB23" s="18"/>
    </row>
    <row r="24" spans="2:50" ht="15" customHeight="1">
      <c r="B24" s="62"/>
      <c r="C24" s="27"/>
      <c r="D24" s="27"/>
      <c r="E24" s="27"/>
      <c r="F24" s="27"/>
      <c r="G24" s="27"/>
      <c r="H24" s="111"/>
      <c r="I24" s="112"/>
      <c r="J24" s="101"/>
      <c r="K24" s="113"/>
      <c r="L24" s="114"/>
      <c r="M24" s="27"/>
      <c r="N24" s="27"/>
      <c r="O24" s="63"/>
      <c r="P24" s="27"/>
      <c r="Q24" s="27"/>
      <c r="R24" s="58" t="s">
        <v>107</v>
      </c>
      <c r="S24" s="64"/>
      <c r="T24" s="115" t="e">
        <f>S10</f>
        <v>#VALUE!</v>
      </c>
      <c r="U24" s="64">
        <v>0</v>
      </c>
      <c r="V24" s="18"/>
      <c r="W24" s="56" t="s">
        <v>108</v>
      </c>
      <c r="X24" s="56"/>
      <c r="Y24" s="18"/>
      <c r="Z24" s="56" t="s">
        <v>109</v>
      </c>
      <c r="AA24" s="56"/>
      <c r="AB24" s="18"/>
      <c r="AL24" s="27" t="str">
        <f>IF(SDGs!E3="実施する","表示","非表示")</f>
        <v>非表示</v>
      </c>
      <c r="AP24" s="3823"/>
      <c r="AQ24" s="3823"/>
      <c r="AR24" s="3823"/>
      <c r="AS24" s="3823"/>
      <c r="AU24" s="3823"/>
      <c r="AV24" s="3823"/>
      <c r="AW24" s="3823"/>
      <c r="AX24" s="3823"/>
    </row>
    <row r="25" spans="2:50" ht="15" customHeight="1">
      <c r="B25" s="116"/>
      <c r="C25" s="117" t="e">
        <f>S12</f>
        <v>#VALUE!</v>
      </c>
      <c r="D25" s="27"/>
      <c r="E25" s="27"/>
      <c r="F25" s="27"/>
      <c r="G25" s="27"/>
      <c r="H25" s="118"/>
      <c r="I25" s="119"/>
      <c r="J25" s="120"/>
      <c r="K25" s="121"/>
      <c r="L25" s="122"/>
      <c r="M25" s="27"/>
      <c r="N25" s="27"/>
      <c r="O25" s="63"/>
      <c r="P25" s="27"/>
      <c r="Q25" s="27"/>
      <c r="R25" s="58" t="s">
        <v>110</v>
      </c>
      <c r="S25" s="64"/>
      <c r="T25" s="115">
        <f>S9</f>
        <v>50.000000000000014</v>
      </c>
      <c r="U25" s="64">
        <v>0</v>
      </c>
      <c r="V25" s="18"/>
      <c r="W25" s="64">
        <v>50</v>
      </c>
      <c r="X25" s="64">
        <v>50</v>
      </c>
      <c r="Y25" s="18"/>
      <c r="Z25" s="64">
        <v>0</v>
      </c>
      <c r="AA25" s="64">
        <v>100</v>
      </c>
      <c r="AB25" s="18"/>
      <c r="AP25" s="3823"/>
      <c r="AQ25" s="3823"/>
      <c r="AR25" s="3823"/>
      <c r="AS25" s="3823"/>
      <c r="AU25" s="3823"/>
      <c r="AV25" s="3823"/>
      <c r="AW25" s="3823"/>
      <c r="AX25" s="3823"/>
    </row>
    <row r="26" spans="2:50" ht="15" customHeight="1">
      <c r="B26" s="62"/>
      <c r="C26" s="27"/>
      <c r="D26" s="27"/>
      <c r="E26" s="27"/>
      <c r="F26" s="27"/>
      <c r="G26" s="27"/>
      <c r="H26" s="118"/>
      <c r="I26" s="27"/>
      <c r="J26" s="120"/>
      <c r="K26" s="121"/>
      <c r="L26" s="122"/>
      <c r="M26" s="27"/>
      <c r="N26" s="27"/>
      <c r="O26" s="63"/>
      <c r="P26" s="27"/>
      <c r="Q26" s="27"/>
      <c r="R26" s="64">
        <v>0</v>
      </c>
      <c r="S26" s="56" t="e">
        <f>T24</f>
        <v>#VALUE!</v>
      </c>
      <c r="T26" s="123" t="e">
        <f>T24</f>
        <v>#VALUE!</v>
      </c>
      <c r="U26" s="56">
        <v>0.1</v>
      </c>
      <c r="V26" s="18"/>
      <c r="W26" s="64">
        <v>0</v>
      </c>
      <c r="X26" s="64">
        <v>100</v>
      </c>
      <c r="Y26" s="18"/>
      <c r="Z26" s="64">
        <v>50</v>
      </c>
      <c r="AA26" s="64">
        <v>50</v>
      </c>
      <c r="AB26" s="18"/>
      <c r="AP26" s="3823"/>
      <c r="AQ26" s="3823"/>
      <c r="AR26" s="3823"/>
      <c r="AS26" s="3823"/>
      <c r="AU26" s="3823"/>
      <c r="AV26" s="3823"/>
      <c r="AW26" s="3823"/>
      <c r="AX26" s="3823"/>
    </row>
    <row r="27" spans="2:50" ht="15" customHeight="1">
      <c r="B27" s="124"/>
      <c r="C27" s="125"/>
      <c r="D27" s="125"/>
      <c r="E27" s="125"/>
      <c r="F27" s="125"/>
      <c r="G27" s="125"/>
      <c r="H27" s="126"/>
      <c r="I27" s="127"/>
      <c r="J27" s="128"/>
      <c r="K27" s="129"/>
      <c r="L27" s="62"/>
      <c r="M27" s="27"/>
      <c r="O27" s="63"/>
      <c r="P27" s="27"/>
      <c r="Q27" s="27"/>
      <c r="R27" s="64">
        <v>0</v>
      </c>
      <c r="S27" s="56">
        <v>0</v>
      </c>
      <c r="T27" s="56">
        <f>T25</f>
        <v>50.000000000000014</v>
      </c>
      <c r="U27" s="130">
        <f>T25</f>
        <v>50.000000000000014</v>
      </c>
      <c r="V27" s="18"/>
      <c r="W27" s="18"/>
      <c r="X27" s="18"/>
      <c r="Y27" s="18"/>
      <c r="Z27" s="18"/>
      <c r="AA27" s="18"/>
      <c r="AB27" s="18"/>
      <c r="AP27" s="3823"/>
      <c r="AQ27" s="3823"/>
      <c r="AR27" s="3823"/>
      <c r="AS27" s="3823"/>
      <c r="AU27" s="3823"/>
      <c r="AV27" s="3823"/>
      <c r="AW27" s="3823"/>
      <c r="AX27" s="3823"/>
    </row>
    <row r="28" spans="2:50" ht="15" customHeight="1">
      <c r="B28" s="62"/>
      <c r="C28" s="27"/>
      <c r="D28" s="27"/>
      <c r="E28" s="27"/>
      <c r="F28" s="27"/>
      <c r="G28" s="27"/>
      <c r="H28" s="1511" t="str">
        <f>U36</f>
        <v>Std. Calc</v>
      </c>
      <c r="I28" s="27"/>
      <c r="J28" s="120"/>
      <c r="K28" s="120"/>
      <c r="L28" s="62"/>
      <c r="M28" s="27"/>
      <c r="N28" s="27"/>
      <c r="O28" s="63"/>
      <c r="P28" s="27"/>
      <c r="Q28" s="27"/>
      <c r="S28" s="27"/>
      <c r="V28" s="18"/>
      <c r="W28" s="18"/>
      <c r="X28" s="18"/>
      <c r="Y28" s="18"/>
      <c r="Z28" s="18"/>
      <c r="AA28" s="18"/>
      <c r="AB28" s="18"/>
      <c r="AP28" s="3823"/>
      <c r="AQ28" s="3823"/>
      <c r="AR28" s="3823"/>
      <c r="AS28" s="3823"/>
      <c r="AU28" s="3823"/>
      <c r="AV28" s="3823"/>
      <c r="AW28" s="3823"/>
      <c r="AX28" s="3823"/>
    </row>
    <row r="29" spans="2:50" ht="15" customHeight="1">
      <c r="B29" s="62"/>
      <c r="C29" s="27"/>
      <c r="D29" s="27"/>
      <c r="E29" s="27"/>
      <c r="F29" s="27"/>
      <c r="G29" s="27"/>
      <c r="H29" s="62"/>
      <c r="I29" s="27"/>
      <c r="J29" s="120"/>
      <c r="K29" s="121"/>
      <c r="L29" s="131"/>
      <c r="M29" s="132"/>
      <c r="N29" s="133"/>
      <c r="O29" s="134"/>
      <c r="P29" s="27"/>
      <c r="Q29" s="27"/>
      <c r="R29" s="135" t="s">
        <v>142</v>
      </c>
      <c r="S29" s="56" t="s">
        <v>143</v>
      </c>
      <c r="T29" s="136">
        <v>0</v>
      </c>
      <c r="U29" s="136">
        <f>100/6</f>
        <v>16.666666666666668</v>
      </c>
      <c r="V29" s="137">
        <f>U29*2</f>
        <v>33.333333333333336</v>
      </c>
      <c r="W29" s="136">
        <f>U29*3</f>
        <v>50</v>
      </c>
      <c r="X29" s="136">
        <f>U29*4</f>
        <v>66.666666666666671</v>
      </c>
      <c r="Y29" s="136">
        <f>U29*5</f>
        <v>83.333333333333343</v>
      </c>
      <c r="Z29" s="136">
        <v>100</v>
      </c>
      <c r="AA29" s="18"/>
      <c r="AB29" s="18"/>
      <c r="AP29" s="3823"/>
      <c r="AQ29" s="3823"/>
      <c r="AR29" s="3823"/>
      <c r="AS29" s="3823"/>
      <c r="AU29" s="3823"/>
      <c r="AV29" s="3823"/>
      <c r="AW29" s="3823"/>
      <c r="AX29" s="3823"/>
    </row>
    <row r="30" spans="2:50" ht="15" customHeight="1">
      <c r="B30" s="62"/>
      <c r="C30" s="27"/>
      <c r="D30" s="27"/>
      <c r="E30" s="27"/>
      <c r="F30" s="27"/>
      <c r="G30" s="27"/>
      <c r="H30" s="62"/>
      <c r="I30" s="27"/>
      <c r="J30" s="120"/>
      <c r="K30" s="121"/>
      <c r="L30" s="131"/>
      <c r="M30" s="132"/>
      <c r="N30" s="133"/>
      <c r="O30" s="134"/>
      <c r="P30" s="27"/>
      <c r="Q30" s="27"/>
      <c r="R30" s="135"/>
      <c r="S30" s="56" t="s">
        <v>144</v>
      </c>
      <c r="T30" s="136">
        <v>100</v>
      </c>
      <c r="U30" s="136">
        <v>100</v>
      </c>
      <c r="V30" s="136">
        <v>100</v>
      </c>
      <c r="W30" s="136">
        <v>100</v>
      </c>
      <c r="X30" s="136">
        <v>100</v>
      </c>
      <c r="Y30" s="136">
        <v>100</v>
      </c>
      <c r="Z30" s="136">
        <v>100</v>
      </c>
      <c r="AA30" s="18"/>
      <c r="AB30" s="18"/>
      <c r="AP30" s="3823"/>
      <c r="AQ30" s="3823"/>
      <c r="AR30" s="3823"/>
      <c r="AS30" s="3823"/>
      <c r="AU30" s="3823"/>
      <c r="AV30" s="3823"/>
      <c r="AW30" s="3823"/>
      <c r="AX30" s="3823"/>
    </row>
    <row r="31" spans="2:50" ht="15" customHeight="1">
      <c r="B31" s="62"/>
      <c r="C31" s="27"/>
      <c r="D31" s="27"/>
      <c r="E31" s="27"/>
      <c r="F31" s="27"/>
      <c r="G31" s="27"/>
      <c r="H31" s="62"/>
      <c r="I31" s="27"/>
      <c r="J31" s="120"/>
      <c r="K31" s="121"/>
      <c r="L31" s="138"/>
      <c r="M31" s="139"/>
      <c r="N31" s="140"/>
      <c r="O31" s="141"/>
      <c r="P31" s="27"/>
      <c r="Q31" s="27"/>
      <c r="R31" s="135">
        <v>3</v>
      </c>
      <c r="S31" s="56" t="s">
        <v>145</v>
      </c>
      <c r="T31" s="136">
        <v>50</v>
      </c>
      <c r="U31" s="136">
        <f t="shared" ref="U31:V34" si="0">U$29*$R31</f>
        <v>50</v>
      </c>
      <c r="V31" s="136">
        <f t="shared" si="0"/>
        <v>100</v>
      </c>
      <c r="W31" s="136">
        <v>100</v>
      </c>
      <c r="X31" s="136">
        <v>100</v>
      </c>
      <c r="Y31" s="136">
        <v>100</v>
      </c>
      <c r="Z31" s="136">
        <v>100</v>
      </c>
      <c r="AA31" s="18"/>
      <c r="AB31" s="18"/>
      <c r="AP31" s="3823"/>
      <c r="AQ31" s="3823"/>
      <c r="AR31" s="3823"/>
      <c r="AS31" s="3823"/>
      <c r="AU31" s="3823"/>
      <c r="AV31" s="3823"/>
      <c r="AW31" s="3823"/>
      <c r="AX31" s="3823"/>
    </row>
    <row r="32" spans="2:50" ht="15" customHeight="1">
      <c r="B32" s="62"/>
      <c r="C32" s="27"/>
      <c r="D32" s="27"/>
      <c r="E32" s="27"/>
      <c r="F32" s="27"/>
      <c r="G32" s="27"/>
      <c r="H32" s="62"/>
      <c r="I32" s="27"/>
      <c r="J32" s="120"/>
      <c r="K32" s="121"/>
      <c r="L32" s="131"/>
      <c r="M32" s="132"/>
      <c r="N32" s="133"/>
      <c r="O32" s="134"/>
      <c r="P32" s="27"/>
      <c r="Q32" s="27"/>
      <c r="R32" s="135">
        <v>1.5</v>
      </c>
      <c r="S32" s="56" t="s">
        <v>146</v>
      </c>
      <c r="T32" s="136">
        <v>0</v>
      </c>
      <c r="U32" s="136">
        <f t="shared" si="0"/>
        <v>25</v>
      </c>
      <c r="V32" s="136">
        <f t="shared" si="0"/>
        <v>50</v>
      </c>
      <c r="W32" s="136">
        <f t="shared" ref="W32:X34" si="1">W$29*$R32</f>
        <v>75</v>
      </c>
      <c r="X32" s="136">
        <f t="shared" si="1"/>
        <v>100</v>
      </c>
      <c r="Y32" s="136">
        <v>100</v>
      </c>
      <c r="Z32" s="136">
        <v>100</v>
      </c>
      <c r="AA32" s="18"/>
      <c r="AB32" s="18"/>
      <c r="AP32" s="3823"/>
      <c r="AQ32" s="3823"/>
      <c r="AR32" s="3823"/>
      <c r="AS32" s="3823"/>
      <c r="AU32" s="3823"/>
      <c r="AV32" s="3823"/>
      <c r="AW32" s="3823"/>
      <c r="AX32" s="3823"/>
    </row>
    <row r="33" spans="2:50" ht="15" customHeight="1">
      <c r="B33" s="62"/>
      <c r="C33" s="27"/>
      <c r="D33" s="27"/>
      <c r="E33" s="27"/>
      <c r="F33" s="27"/>
      <c r="G33" s="27"/>
      <c r="H33" s="62"/>
      <c r="I33" s="27"/>
      <c r="J33" s="120"/>
      <c r="K33" s="121"/>
      <c r="L33" s="131"/>
      <c r="M33" s="132"/>
      <c r="N33" s="133"/>
      <c r="O33" s="134"/>
      <c r="P33" s="27"/>
      <c r="Q33" s="27"/>
      <c r="R33" s="135">
        <v>1</v>
      </c>
      <c r="S33" s="56" t="s">
        <v>147</v>
      </c>
      <c r="T33" s="136">
        <v>0</v>
      </c>
      <c r="U33" s="136">
        <f t="shared" si="0"/>
        <v>16.666666666666668</v>
      </c>
      <c r="V33" s="136">
        <f t="shared" si="0"/>
        <v>33.333333333333336</v>
      </c>
      <c r="W33" s="136">
        <f t="shared" si="1"/>
        <v>50</v>
      </c>
      <c r="X33" s="136">
        <f t="shared" si="1"/>
        <v>66.666666666666671</v>
      </c>
      <c r="Y33" s="136">
        <f>Y$29*$R33</f>
        <v>83.333333333333343</v>
      </c>
      <c r="Z33" s="136">
        <f>Z$29*$R33</f>
        <v>100</v>
      </c>
      <c r="AA33" s="18"/>
      <c r="AB33" s="18"/>
      <c r="AP33" s="3823"/>
      <c r="AQ33" s="3823"/>
      <c r="AR33" s="3823"/>
      <c r="AS33" s="3823"/>
      <c r="AU33" s="3823"/>
      <c r="AV33" s="3823"/>
      <c r="AW33" s="3823"/>
      <c r="AX33" s="3823"/>
    </row>
    <row r="34" spans="2:50" ht="15" customHeight="1">
      <c r="B34" s="62"/>
      <c r="C34" s="27"/>
      <c r="D34" s="27"/>
      <c r="E34" s="27"/>
      <c r="F34" s="27"/>
      <c r="G34" s="27"/>
      <c r="H34" s="62"/>
      <c r="I34" s="27"/>
      <c r="J34" s="120"/>
      <c r="K34" s="121"/>
      <c r="L34" s="131"/>
      <c r="M34" s="132"/>
      <c r="N34" s="133"/>
      <c r="O34" s="134"/>
      <c r="P34" s="27"/>
      <c r="Q34" s="27"/>
      <c r="R34" s="135">
        <v>0.5</v>
      </c>
      <c r="S34" s="56" t="s">
        <v>148</v>
      </c>
      <c r="T34" s="136">
        <v>0</v>
      </c>
      <c r="U34" s="136">
        <f t="shared" si="0"/>
        <v>8.3333333333333339</v>
      </c>
      <c r="V34" s="136">
        <f t="shared" si="0"/>
        <v>16.666666666666668</v>
      </c>
      <c r="W34" s="136">
        <f t="shared" si="1"/>
        <v>25</v>
      </c>
      <c r="X34" s="136">
        <f t="shared" si="1"/>
        <v>33.333333333333336</v>
      </c>
      <c r="Y34" s="136">
        <f>Y$29*$R34</f>
        <v>41.666666666666671</v>
      </c>
      <c r="Z34" s="136">
        <f>Z$29*$R34</f>
        <v>50</v>
      </c>
      <c r="AA34" s="18"/>
      <c r="AB34" s="18"/>
      <c r="AP34" s="3823"/>
      <c r="AQ34" s="3823"/>
      <c r="AR34" s="3823"/>
      <c r="AS34" s="3823"/>
      <c r="AU34" s="3823"/>
      <c r="AV34" s="3823"/>
      <c r="AW34" s="3823"/>
      <c r="AX34" s="3823"/>
    </row>
    <row r="35" spans="2:50" ht="15" customHeight="1">
      <c r="B35" s="62"/>
      <c r="C35" s="27"/>
      <c r="D35" s="27"/>
      <c r="E35" s="27"/>
      <c r="F35" s="27"/>
      <c r="G35" s="27"/>
      <c r="H35" s="118"/>
      <c r="I35" s="119"/>
      <c r="J35" s="120"/>
      <c r="K35" s="121"/>
      <c r="L35" s="131"/>
      <c r="M35" s="27"/>
      <c r="N35" s="27"/>
      <c r="O35" s="63"/>
      <c r="P35" s="27"/>
      <c r="Q35" s="27"/>
      <c r="R35" s="142"/>
      <c r="S35" s="88"/>
      <c r="T35" s="143"/>
      <c r="U35" s="143"/>
      <c r="V35" s="143"/>
      <c r="W35" s="143"/>
      <c r="X35" s="143"/>
      <c r="Y35" s="143"/>
      <c r="Z35" s="143"/>
      <c r="AA35" s="18"/>
      <c r="AB35" s="18"/>
      <c r="AP35" s="3823"/>
      <c r="AQ35" s="3823"/>
      <c r="AR35" s="3823"/>
      <c r="AS35" s="3823"/>
      <c r="AU35" s="3823"/>
      <c r="AV35" s="3823"/>
      <c r="AW35" s="3823"/>
      <c r="AX35" s="3823"/>
    </row>
    <row r="36" spans="2:50" ht="15" customHeight="1">
      <c r="B36" s="62"/>
      <c r="C36" s="27"/>
      <c r="D36" s="27"/>
      <c r="E36" s="27"/>
      <c r="F36" s="27"/>
      <c r="G36" s="27"/>
      <c r="H36" s="144"/>
      <c r="I36" s="145"/>
      <c r="J36" s="145"/>
      <c r="K36" s="146"/>
      <c r="L36" s="131"/>
      <c r="M36" s="27"/>
      <c r="N36" s="147"/>
      <c r="O36" s="63"/>
      <c r="P36" s="27"/>
      <c r="Q36" s="27"/>
      <c r="R36" s="58" t="s">
        <v>149</v>
      </c>
      <c r="S36" s="82" t="e">
        <f>IF(T36&lt;=0.3,1,IF(T36&lt;=0.6,0.8,IF(T36&lt;=0.8,0.6,IF(T36&lt;=1,0.4,0.2))))</f>
        <v>#VALUE!</v>
      </c>
      <c r="T36" s="143" t="e">
        <f>IF(U36=W36,Y42,Y43)</f>
        <v>#VALUE!</v>
      </c>
      <c r="U36" s="148" t="str">
        <f>Main!C43</f>
        <v>Std. Calc</v>
      </c>
      <c r="V36" s="149"/>
      <c r="W36" t="s">
        <v>1511</v>
      </c>
      <c r="X36" s="1481" t="s">
        <v>3395</v>
      </c>
      <c r="Y36" s="143"/>
      <c r="Z36" s="143"/>
      <c r="AA36" s="18"/>
      <c r="AB36" s="18"/>
      <c r="AP36" s="3823"/>
      <c r="AQ36" s="3823"/>
      <c r="AR36" s="3823"/>
      <c r="AS36" s="3823"/>
      <c r="AU36" s="3823"/>
      <c r="AV36" s="3823"/>
      <c r="AW36" s="3823"/>
      <c r="AX36" s="3823"/>
    </row>
    <row r="37" spans="2:50" ht="15" customHeight="1">
      <c r="B37" s="62"/>
      <c r="C37" s="27"/>
      <c r="D37" s="27"/>
      <c r="E37" s="27"/>
      <c r="F37" s="27"/>
      <c r="G37" s="27"/>
      <c r="H37" s="3844" t="str">
        <f>IF(U36=W36,X36,X37)</f>
        <v>This chart indicates rough estimate of WLC of evaluated building in LR3.1 "Consideration of Global Warming" compared with that of reference building.</v>
      </c>
      <c r="I37" s="3845"/>
      <c r="J37" s="3845"/>
      <c r="K37" s="3846"/>
      <c r="L37" s="131"/>
      <c r="M37" s="27"/>
      <c r="N37" s="150"/>
      <c r="O37" s="63"/>
      <c r="P37" s="27"/>
      <c r="Q37" s="27"/>
      <c r="R37" s="58" t="s">
        <v>351</v>
      </c>
      <c r="S37" s="87" t="e">
        <f>1-S36</f>
        <v>#VALUE!</v>
      </c>
      <c r="T37" s="143"/>
      <c r="U37" s="148"/>
      <c r="V37" s="143"/>
      <c r="W37" t="s">
        <v>1510</v>
      </c>
      <c r="X37" s="1481" t="s">
        <v>1513</v>
      </c>
      <c r="Y37" s="143"/>
      <c r="Z37" s="143"/>
      <c r="AA37" s="18"/>
      <c r="AB37" s="18"/>
      <c r="AP37" s="3823"/>
      <c r="AQ37" s="3823"/>
      <c r="AR37" s="3823"/>
      <c r="AS37" s="3823"/>
      <c r="AU37" s="3823"/>
      <c r="AV37" s="3823"/>
      <c r="AW37" s="3823"/>
      <c r="AX37" s="3823"/>
    </row>
    <row r="38" spans="2:50" ht="15" customHeight="1">
      <c r="B38" s="62"/>
      <c r="C38" s="13"/>
      <c r="D38" s="27"/>
      <c r="E38" s="27"/>
      <c r="F38" s="27"/>
      <c r="G38" s="27"/>
      <c r="H38" s="3844"/>
      <c r="I38" s="3845"/>
      <c r="J38" s="3845"/>
      <c r="K38" s="3846"/>
      <c r="L38" s="62"/>
      <c r="M38" s="151"/>
      <c r="N38" s="27"/>
      <c r="O38" s="63"/>
      <c r="P38" s="27"/>
      <c r="Q38" s="27"/>
      <c r="S38" s="27" t="s">
        <v>1379</v>
      </c>
      <c r="T38" s="27" t="s">
        <v>1380</v>
      </c>
      <c r="U38" s="27" t="s">
        <v>1381</v>
      </c>
      <c r="V38" s="27" t="s">
        <v>1382</v>
      </c>
      <c r="W38" s="27" t="s">
        <v>1383</v>
      </c>
      <c r="AA38" s="18"/>
      <c r="AB38" s="18"/>
      <c r="AP38" s="3823"/>
      <c r="AQ38" s="3823"/>
      <c r="AR38" s="3823"/>
      <c r="AS38" s="3823"/>
      <c r="AU38" s="3823"/>
      <c r="AV38" s="3823"/>
      <c r="AW38" s="3823"/>
      <c r="AX38" s="3823"/>
    </row>
    <row r="39" spans="2:50" ht="15" customHeight="1" thickBot="1">
      <c r="B39" s="152"/>
      <c r="C39" s="94"/>
      <c r="D39" s="94"/>
      <c r="E39" s="94"/>
      <c r="F39" s="94"/>
      <c r="G39" s="94"/>
      <c r="H39" s="3847"/>
      <c r="I39" s="3848"/>
      <c r="J39" s="3848"/>
      <c r="K39" s="3849"/>
      <c r="L39" s="152"/>
      <c r="M39" s="153"/>
      <c r="N39" s="94"/>
      <c r="O39" s="154"/>
      <c r="P39" s="27"/>
      <c r="Q39" s="27"/>
      <c r="R39" s="155" t="s">
        <v>1504</v>
      </c>
      <c r="S39" s="156" t="s">
        <v>1505</v>
      </c>
      <c r="T39" s="156" t="s">
        <v>1506</v>
      </c>
      <c r="U39" s="156" t="s">
        <v>1507</v>
      </c>
      <c r="V39" s="156" t="s">
        <v>1508</v>
      </c>
      <c r="W39" s="156" t="s">
        <v>1509</v>
      </c>
      <c r="X39" s="1480"/>
      <c r="Y39" s="156" t="s">
        <v>352</v>
      </c>
      <c r="Z39" s="55" t="s">
        <v>353</v>
      </c>
      <c r="AP39" s="3823"/>
      <c r="AQ39" s="3823"/>
      <c r="AR39" s="3823"/>
      <c r="AS39" s="3823"/>
      <c r="AU39" s="3823"/>
      <c r="AV39" s="3823"/>
      <c r="AW39" s="3823"/>
      <c r="AX39" s="3823"/>
    </row>
    <row r="40" spans="2:50" ht="18" customHeight="1" thickBot="1">
      <c r="B40" s="157" t="s">
        <v>1393</v>
      </c>
      <c r="C40" s="158"/>
      <c r="D40" s="159"/>
      <c r="E40" s="158"/>
      <c r="F40" s="158"/>
      <c r="G40" s="158"/>
      <c r="H40" s="2365"/>
      <c r="I40" s="160"/>
      <c r="J40" s="158"/>
      <c r="K40" s="158"/>
      <c r="L40" s="158"/>
      <c r="M40" s="161"/>
      <c r="N40" s="161"/>
      <c r="O40" s="2366"/>
      <c r="R40" s="55" t="s">
        <v>121</v>
      </c>
      <c r="S40" s="1484">
        <f>IF($U$36=$W$36,Std.!$D9,Indiv.!$D9)</f>
        <v>18.22</v>
      </c>
      <c r="T40" s="1484">
        <f>IF($U$36=$W$36,Std.!$D35,Indiv.!$D35)</f>
        <v>20.11</v>
      </c>
      <c r="U40" s="1484" t="e">
        <f>IF($U$36=$W$36,Std.!$D48,Indiv.!$D48)</f>
        <v>#VALUE!</v>
      </c>
      <c r="V40" s="1485"/>
      <c r="W40" s="1485"/>
      <c r="X40" s="1486"/>
      <c r="Y40" s="162">
        <v>1</v>
      </c>
      <c r="Z40" s="55" t="e">
        <f>IF(COUNTIF(S40:W40,AA41)&gt;0,AA41,SUM(S40:W40))</f>
        <v>#VALUE!</v>
      </c>
    </row>
    <row r="41" spans="2:50" ht="18.75">
      <c r="B41" s="163" t="s">
        <v>1394</v>
      </c>
      <c r="C41" s="164"/>
      <c r="D41" s="164"/>
      <c r="E41" s="165"/>
      <c r="F41" s="164"/>
      <c r="G41" s="164"/>
      <c r="H41" s="164"/>
      <c r="I41" s="164"/>
      <c r="J41" s="164"/>
      <c r="K41" s="2367"/>
      <c r="L41" s="2368"/>
      <c r="M41" s="166" t="s">
        <v>1397</v>
      </c>
      <c r="N41" s="167">
        <f>Score!U8</f>
        <v>3</v>
      </c>
      <c r="O41" s="2369"/>
      <c r="R41" s="55" t="s">
        <v>122</v>
      </c>
      <c r="S41" s="1484">
        <f>IF($U$36=$W$36,Std.!$E9-Std.!$E10,Indiv.!$E9-Indiv.!$E10)</f>
        <v>18.22</v>
      </c>
      <c r="T41" s="1484">
        <f>IF($U$36=$W$36,Std.!$E35-Std.!$E36,Indiv.!$E35-Indiv.!$E36)</f>
        <v>20.11</v>
      </c>
      <c r="U41" s="1484" t="e">
        <f>IF($U$36=$W$36,Std.!$E48,Indiv.!$E48)</f>
        <v>#VALUE!</v>
      </c>
      <c r="V41" s="1485"/>
      <c r="W41" s="1485"/>
      <c r="X41" s="1486"/>
      <c r="Y41" s="162" t="e">
        <f>IF(OR(Z40=AA41,Z41=AA41),AA41,Z41/Z40)</f>
        <v>#VALUE!</v>
      </c>
      <c r="Z41" s="55" t="e">
        <f>IF(COUNTIF(S41:W41,AA41)&gt;0,AA41,SUM(S41:W41))</f>
        <v>#VALUE!</v>
      </c>
      <c r="AA41" s="27" t="str">
        <f>WLC!R129</f>
        <v>N.A.</v>
      </c>
    </row>
    <row r="42" spans="2:50" ht="15">
      <c r="B42" s="62"/>
      <c r="C42" s="47" t="str">
        <f>Score!B9&amp;" "&amp;Score!C9</f>
        <v xml:space="preserve">Q1 Indoor Environment </v>
      </c>
      <c r="D42" s="168"/>
      <c r="E42" s="168"/>
      <c r="F42" s="168"/>
      <c r="G42" s="168"/>
      <c r="H42" s="168" t="str">
        <f>"     "&amp;Score!B62&amp;" "&amp;Score!C62</f>
        <v xml:space="preserve">     Q2 Quality of Service </v>
      </c>
      <c r="I42" s="168"/>
      <c r="J42" s="18"/>
      <c r="K42" s="18"/>
      <c r="L42" s="169" t="str">
        <f>Score!B112&amp;" "&amp;Score!C112</f>
        <v xml:space="preserve">Q3 Outdoor Environment on Site </v>
      </c>
      <c r="M42" s="169"/>
      <c r="N42" s="18"/>
      <c r="O42" s="93"/>
      <c r="R42" s="55" t="s">
        <v>123</v>
      </c>
      <c r="S42" s="1484"/>
      <c r="T42" s="1484"/>
      <c r="U42" s="1484"/>
      <c r="V42" s="1487" t="e">
        <f>IF($U$36=$W$36,Std.!$E60,Indiv.!$E60)</f>
        <v>#VALUE!</v>
      </c>
      <c r="W42" s="1485"/>
      <c r="X42" s="1486"/>
      <c r="Y42" s="162" t="e">
        <f>IF(OR(Z40=AA42,Z42=AA42),AA42,Z42/Z40)</f>
        <v>#VALUE!</v>
      </c>
      <c r="Z42" s="55" t="e">
        <f>IF(COUNTIF(S42:W42,AA42)&gt;0,AA42,SUM(S42:W42))</f>
        <v>#VALUE!</v>
      </c>
      <c r="AA42" s="27" t="str">
        <f>WLC!R129</f>
        <v>N.A.</v>
      </c>
    </row>
    <row r="43" spans="2:50" ht="15" customHeight="1">
      <c r="B43" s="62"/>
      <c r="C43" s="32"/>
      <c r="D43" s="170"/>
      <c r="E43" s="2370"/>
      <c r="F43" s="27"/>
      <c r="G43" s="168">
        <f>S46</f>
        <v>3</v>
      </c>
      <c r="H43" s="27"/>
      <c r="I43" s="2370"/>
      <c r="J43" s="27"/>
      <c r="K43" s="168">
        <f>V46</f>
        <v>3</v>
      </c>
      <c r="L43" s="27"/>
      <c r="M43" s="171"/>
      <c r="N43" s="2370"/>
      <c r="O43" s="172">
        <f>Y46</f>
        <v>3</v>
      </c>
      <c r="R43" s="55" t="s">
        <v>124</v>
      </c>
      <c r="S43" s="1484"/>
      <c r="T43" s="1484"/>
      <c r="U43" s="1484"/>
      <c r="V43" s="1487"/>
      <c r="W43" s="1485" t="e">
        <f>IF($U$36=$W$36,Std.!$E61,Indiv.!$E61)</f>
        <v>#VALUE!</v>
      </c>
      <c r="X43" s="1486" t="e">
        <f>IF($U$36=$W$36,V42-W43,0)</f>
        <v>#VALUE!</v>
      </c>
      <c r="Y43" s="162" t="e">
        <f>IF(OR(Z40=AA43,Z43=AA43),AA43,Z43/Z40)</f>
        <v>#VALUE!</v>
      </c>
      <c r="Z43" s="55" t="e">
        <f>IF(COUNTIF(S43:W43,AA43)&gt;0,AA43,SUM(S43:W43))</f>
        <v>#VALUE!</v>
      </c>
      <c r="AA43" s="27" t="str">
        <f>WLC!R129</f>
        <v>N.A.</v>
      </c>
    </row>
    <row r="44" spans="2:50" ht="15" customHeight="1">
      <c r="B44" s="62"/>
      <c r="C44" s="27"/>
      <c r="D44" s="27"/>
      <c r="E44" s="27"/>
      <c r="F44" s="27"/>
      <c r="L44" s="18"/>
      <c r="M44" s="18"/>
      <c r="N44" s="18"/>
      <c r="O44" s="93"/>
      <c r="S44" s="27"/>
      <c r="AA44" s="18"/>
      <c r="AB44" s="18"/>
      <c r="AC44" s="173"/>
      <c r="AF44" s="173"/>
      <c r="AG44" s="173"/>
      <c r="AI44" s="173"/>
    </row>
    <row r="45" spans="2:50" ht="15" customHeight="1">
      <c r="B45" s="62"/>
      <c r="C45" s="27"/>
      <c r="D45" s="27"/>
      <c r="E45" s="27"/>
      <c r="F45" s="27"/>
      <c r="L45" s="18"/>
      <c r="M45" s="18"/>
      <c r="N45" s="18"/>
      <c r="O45" s="93"/>
      <c r="R45" s="58"/>
      <c r="S45" s="58" t="s">
        <v>3396</v>
      </c>
      <c r="T45" s="58" t="s">
        <v>125</v>
      </c>
      <c r="U45" s="58"/>
      <c r="V45" s="58" t="s">
        <v>3396</v>
      </c>
      <c r="W45" s="58" t="s">
        <v>125</v>
      </c>
      <c r="X45" s="58"/>
      <c r="Y45" s="58" t="s">
        <v>3396</v>
      </c>
      <c r="Z45" s="58" t="s">
        <v>125</v>
      </c>
      <c r="AA45" s="18"/>
      <c r="AB45" s="18"/>
    </row>
    <row r="46" spans="2:50" ht="15" customHeight="1">
      <c r="B46" s="62"/>
      <c r="C46" s="27"/>
      <c r="D46" s="27"/>
      <c r="E46" s="27"/>
      <c r="F46" s="27"/>
      <c r="L46" s="18"/>
      <c r="M46" s="18"/>
      <c r="N46" s="18"/>
      <c r="O46" s="93"/>
      <c r="R46" s="174" t="str">
        <f>V13</f>
        <v>Q1 Indoor 
Environment</v>
      </c>
      <c r="S46" s="175">
        <f>Score!U9</f>
        <v>3</v>
      </c>
      <c r="T46" s="58">
        <f>Score!AD9</f>
        <v>3</v>
      </c>
      <c r="U46" s="56" t="str">
        <f>V8</f>
        <v>Q2 Quality of Service</v>
      </c>
      <c r="V46" s="176">
        <f>Score!U62</f>
        <v>3</v>
      </c>
      <c r="W46" s="58">
        <f>Score!AD62</f>
        <v>3.0000000000000004</v>
      </c>
      <c r="X46" s="174" t="str">
        <f>V9</f>
        <v>Q3 Outdoor 
Environment 
on Site</v>
      </c>
      <c r="Y46" s="176">
        <f>Score!U112</f>
        <v>3</v>
      </c>
      <c r="Z46" s="58">
        <f>Score!AD112</f>
        <v>3</v>
      </c>
      <c r="AA46" s="18"/>
      <c r="AB46" s="18"/>
    </row>
    <row r="47" spans="2:50" ht="15" customHeight="1">
      <c r="B47" s="62"/>
      <c r="C47" s="27"/>
      <c r="D47" s="27"/>
      <c r="E47" s="27"/>
      <c r="F47" s="27"/>
      <c r="L47" s="18"/>
      <c r="M47" s="18"/>
      <c r="N47" s="18"/>
      <c r="O47" s="93"/>
      <c r="S47" s="27"/>
      <c r="AA47" s="18"/>
      <c r="AB47" s="18"/>
    </row>
    <row r="48" spans="2:50" ht="15" customHeight="1">
      <c r="B48" s="62"/>
      <c r="C48" s="27"/>
      <c r="D48" s="27"/>
      <c r="E48" s="27"/>
      <c r="F48" s="27"/>
      <c r="L48" s="18"/>
      <c r="M48" s="18"/>
      <c r="N48" s="18"/>
      <c r="O48" s="93"/>
      <c r="R48" s="58"/>
      <c r="S48" s="58" t="s">
        <v>3396</v>
      </c>
      <c r="T48" s="58" t="s">
        <v>354</v>
      </c>
      <c r="U48" s="58"/>
      <c r="V48" s="58" t="s">
        <v>3396</v>
      </c>
      <c r="W48" s="58" t="s">
        <v>354</v>
      </c>
      <c r="X48" s="58"/>
      <c r="Y48" s="177" t="s">
        <v>3396</v>
      </c>
      <c r="Z48" s="58" t="s">
        <v>354</v>
      </c>
      <c r="AA48" s="18"/>
      <c r="AB48" s="18"/>
    </row>
    <row r="49" spans="2:28" ht="15" customHeight="1">
      <c r="B49" s="62"/>
      <c r="C49" s="27"/>
      <c r="D49" s="27"/>
      <c r="E49" s="27"/>
      <c r="F49" s="27"/>
      <c r="G49" s="178"/>
      <c r="H49" s="178"/>
      <c r="L49" s="18"/>
      <c r="M49" s="18"/>
      <c r="N49" s="18"/>
      <c r="O49" s="93"/>
      <c r="R49" s="179" t="s">
        <v>169</v>
      </c>
      <c r="S49" s="175">
        <f>Score!U10</f>
        <v>3</v>
      </c>
      <c r="T49" s="58" t="str">
        <f>IF(S49=0,"N.A.","")</f>
        <v/>
      </c>
      <c r="U49" s="56" t="s">
        <v>170</v>
      </c>
      <c r="V49" s="176">
        <f>Score!U63</f>
        <v>3</v>
      </c>
      <c r="W49" s="58" t="str">
        <f>IF(V49=0,"N.A.","")</f>
        <v/>
      </c>
      <c r="X49" s="179" t="s">
        <v>171</v>
      </c>
      <c r="Y49" s="176">
        <f>Score!U113</f>
        <v>3</v>
      </c>
      <c r="Z49" s="58" t="str">
        <f>IF(Y49=0,"N.A.","")</f>
        <v/>
      </c>
      <c r="AA49" s="18"/>
      <c r="AB49" s="18"/>
    </row>
    <row r="50" spans="2:28" ht="15" customHeight="1">
      <c r="B50" s="62"/>
      <c r="C50" s="27"/>
      <c r="D50" s="27"/>
      <c r="E50" s="27"/>
      <c r="F50" s="27"/>
      <c r="G50" s="178"/>
      <c r="H50" s="178"/>
      <c r="L50" s="18"/>
      <c r="M50" s="18"/>
      <c r="N50" s="18"/>
      <c r="O50" s="93"/>
      <c r="R50" s="179" t="s">
        <v>172</v>
      </c>
      <c r="S50" s="175">
        <f>Score!U20</f>
        <v>3</v>
      </c>
      <c r="T50" s="58" t="str">
        <f>IF(S50=0,"N.A.","")</f>
        <v/>
      </c>
      <c r="U50" s="56" t="s">
        <v>173</v>
      </c>
      <c r="V50" s="176">
        <f>Score!U78</f>
        <v>3</v>
      </c>
      <c r="W50" s="58" t="str">
        <f>IF(V50=0,"N.A.","")</f>
        <v/>
      </c>
      <c r="X50" s="179" t="s">
        <v>355</v>
      </c>
      <c r="Y50" s="176">
        <f>Score!U116</f>
        <v>3</v>
      </c>
      <c r="Z50" s="58" t="str">
        <f>IF(Y50=0,"N.A.","")</f>
        <v/>
      </c>
      <c r="AA50" s="18"/>
      <c r="AB50" s="18"/>
    </row>
    <row r="51" spans="2:28" ht="15" customHeight="1">
      <c r="B51" s="62"/>
      <c r="C51" s="27"/>
      <c r="D51" s="27"/>
      <c r="E51" s="27"/>
      <c r="F51" s="27"/>
      <c r="G51" s="78"/>
      <c r="H51" s="75"/>
      <c r="I51" s="180"/>
      <c r="J51" s="180"/>
      <c r="K51" s="181"/>
      <c r="L51" s="182"/>
      <c r="M51" s="182"/>
      <c r="N51" s="182"/>
      <c r="O51" s="183"/>
      <c r="R51" s="179" t="s">
        <v>174</v>
      </c>
      <c r="S51" s="175">
        <f>Score!U35</f>
        <v>3</v>
      </c>
      <c r="T51" s="58" t="str">
        <f>IF(S51=0,"N.A.","")</f>
        <v/>
      </c>
      <c r="U51" s="56" t="s">
        <v>175</v>
      </c>
      <c r="V51" s="176">
        <f>Score!U100</f>
        <v>3</v>
      </c>
      <c r="W51" s="58" t="str">
        <f>IF(V51=0,"N.A.","")</f>
        <v/>
      </c>
      <c r="X51" s="179" t="s">
        <v>14</v>
      </c>
      <c r="Y51" s="176">
        <f>Score!U117</f>
        <v>3</v>
      </c>
      <c r="Z51" s="58" t="str">
        <f>IF(Y51=0,"N.A.","")</f>
        <v/>
      </c>
      <c r="AA51" s="18"/>
      <c r="AB51" s="18"/>
    </row>
    <row r="52" spans="2:28" ht="18" customHeight="1">
      <c r="B52" s="184" t="s">
        <v>1395</v>
      </c>
      <c r="C52" s="185"/>
      <c r="D52" s="186"/>
      <c r="E52" s="185"/>
      <c r="F52" s="185"/>
      <c r="G52" s="185"/>
      <c r="H52" s="164"/>
      <c r="I52" s="164"/>
      <c r="J52" s="164"/>
      <c r="K52" s="2367"/>
      <c r="L52" s="2368"/>
      <c r="M52" s="166" t="s">
        <v>1396</v>
      </c>
      <c r="N52" s="187" t="e">
        <f>Score!U121</f>
        <v>#VALUE!</v>
      </c>
      <c r="O52" s="2369"/>
      <c r="R52" s="179" t="s">
        <v>15</v>
      </c>
      <c r="S52" s="175">
        <f>Score!U48</f>
        <v>3</v>
      </c>
      <c r="T52" s="58" t="str">
        <f>IF(S52=0,"N.A.","")</f>
        <v/>
      </c>
      <c r="U52" s="18"/>
      <c r="V52" s="18"/>
      <c r="W52" s="18"/>
      <c r="X52" s="18"/>
      <c r="Y52" s="18"/>
      <c r="Z52" s="18"/>
      <c r="AA52" s="18"/>
      <c r="AB52" s="18"/>
    </row>
    <row r="53" spans="2:28" ht="15">
      <c r="B53" s="188"/>
      <c r="C53" s="169" t="str">
        <f>Score!B122&amp;" "&amp;Score!C122</f>
        <v>LR1 Energy Energy</v>
      </c>
      <c r="D53" s="169"/>
      <c r="E53" s="189"/>
      <c r="F53" s="169"/>
      <c r="G53" s="169"/>
      <c r="H53" s="169" t="str">
        <f>"     "&amp;Score!B147&amp;" "&amp;Score!C147</f>
        <v xml:space="preserve">     LR2 Resources &amp; Materials </v>
      </c>
      <c r="I53" s="169"/>
      <c r="J53" s="169"/>
      <c r="K53" s="169"/>
      <c r="L53" s="47" t="str">
        <f>Score!B174&amp;" "&amp;Score!C174</f>
        <v xml:space="preserve">LR3 Off-site Environment </v>
      </c>
      <c r="M53" s="169"/>
      <c r="N53" s="169"/>
      <c r="O53" s="190"/>
      <c r="R53" s="18"/>
      <c r="S53" s="18"/>
      <c r="T53" s="18"/>
      <c r="U53" s="18"/>
      <c r="V53" s="18"/>
      <c r="W53" s="18"/>
      <c r="X53" s="18"/>
      <c r="Y53" s="18"/>
      <c r="Z53" s="18"/>
      <c r="AA53" s="18"/>
      <c r="AB53" s="18"/>
    </row>
    <row r="54" spans="2:28" ht="15">
      <c r="B54" s="191"/>
      <c r="C54" s="32"/>
      <c r="D54" s="170"/>
      <c r="E54" s="2370"/>
      <c r="F54" s="27"/>
      <c r="G54" s="168">
        <f>S57</f>
        <v>4</v>
      </c>
      <c r="H54" s="27"/>
      <c r="I54" s="2370"/>
      <c r="J54" s="27"/>
      <c r="K54" s="168">
        <f>V57</f>
        <v>3</v>
      </c>
      <c r="L54" s="2370"/>
      <c r="M54" s="27"/>
      <c r="N54" s="192"/>
      <c r="O54" s="172" t="e">
        <f>Y57</f>
        <v>#VALUE!</v>
      </c>
      <c r="R54" s="18" t="str">
        <f>IF(S49=0,"N.A.","")</f>
        <v/>
      </c>
      <c r="S54" s="18"/>
      <c r="T54" s="18"/>
      <c r="U54" s="18"/>
      <c r="V54" s="18"/>
      <c r="W54" s="18"/>
      <c r="X54" s="18"/>
      <c r="Y54" s="18"/>
      <c r="Z54" s="18"/>
      <c r="AA54" s="18"/>
      <c r="AB54" s="18"/>
    </row>
    <row r="55" spans="2:28" ht="14.25">
      <c r="B55" s="191"/>
      <c r="C55" s="193"/>
      <c r="D55" s="193"/>
      <c r="E55" s="194"/>
      <c r="F55" s="78"/>
      <c r="G55" s="78"/>
      <c r="H55" s="78"/>
      <c r="O55" s="54"/>
      <c r="S55" s="27"/>
      <c r="AA55" s="18"/>
      <c r="AB55" s="18"/>
    </row>
    <row r="56" spans="2:28" ht="15.75" customHeight="1">
      <c r="B56" s="191"/>
      <c r="C56" s="53"/>
      <c r="D56" s="195"/>
      <c r="I56" s="196"/>
      <c r="O56" s="54"/>
      <c r="R56" s="58"/>
      <c r="S56" s="58" t="s">
        <v>3396</v>
      </c>
      <c r="T56" s="58" t="s">
        <v>356</v>
      </c>
      <c r="U56" s="58"/>
      <c r="V56" s="58" t="s">
        <v>3396</v>
      </c>
      <c r="W56" s="58" t="s">
        <v>356</v>
      </c>
      <c r="X56" s="58"/>
      <c r="Y56" s="58" t="s">
        <v>3396</v>
      </c>
      <c r="Z56" s="58" t="s">
        <v>356</v>
      </c>
      <c r="AA56" s="18"/>
      <c r="AB56" s="18"/>
    </row>
    <row r="57" spans="2:28" ht="15.75" customHeight="1">
      <c r="B57" s="191"/>
      <c r="I57" s="196"/>
      <c r="O57" s="54"/>
      <c r="R57" s="56" t="str">
        <f>V12</f>
        <v>LR1 Energy</v>
      </c>
      <c r="S57" s="176">
        <f>Score!U122</f>
        <v>4</v>
      </c>
      <c r="T57" s="58">
        <f>Score!AD122</f>
        <v>4</v>
      </c>
      <c r="U57" s="56" t="str">
        <f>V11</f>
        <v>LR2 Resources &amp; Materials</v>
      </c>
      <c r="V57" s="197">
        <f>Score!U147</f>
        <v>3</v>
      </c>
      <c r="W57" s="58">
        <f>Score!AD147</f>
        <v>3.0000000000000004</v>
      </c>
      <c r="X57" s="56" t="str">
        <f>V10</f>
        <v>LR3 Off-site 
Environment</v>
      </c>
      <c r="Y57" s="176" t="e">
        <f>Score!U174</f>
        <v>#VALUE!</v>
      </c>
      <c r="Z57" s="58" t="e">
        <f>Score!AD174</f>
        <v>#VALUE!</v>
      </c>
      <c r="AA57" s="18"/>
      <c r="AB57" s="18"/>
    </row>
    <row r="58" spans="2:28" ht="15.75" customHeight="1">
      <c r="B58" s="198"/>
      <c r="I58" s="196"/>
      <c r="O58" s="54"/>
      <c r="S58" s="27"/>
      <c r="Y58" s="199"/>
      <c r="AA58" s="18"/>
      <c r="AB58" s="18"/>
    </row>
    <row r="59" spans="2:28" ht="15.75" customHeight="1">
      <c r="B59" s="198"/>
      <c r="I59" s="196"/>
      <c r="O59" s="54"/>
      <c r="R59" s="58"/>
      <c r="S59" s="58" t="s">
        <v>3396</v>
      </c>
      <c r="T59" s="58" t="s">
        <v>357</v>
      </c>
      <c r="U59" s="58"/>
      <c r="V59" s="58" t="s">
        <v>3396</v>
      </c>
      <c r="W59" s="58" t="s">
        <v>357</v>
      </c>
      <c r="X59" s="58"/>
      <c r="Y59" s="177" t="s">
        <v>3396</v>
      </c>
      <c r="Z59" s="58" t="s">
        <v>357</v>
      </c>
      <c r="AA59" s="18"/>
      <c r="AB59" s="18"/>
    </row>
    <row r="60" spans="2:28" ht="15.75" customHeight="1">
      <c r="B60" s="198"/>
      <c r="I60" s="196"/>
      <c r="O60" s="54"/>
      <c r="R60" s="56" t="s">
        <v>548</v>
      </c>
      <c r="S60" s="200">
        <f>Score!U123</f>
        <v>3</v>
      </c>
      <c r="T60" s="58" t="str">
        <f>IF(S60=0,"N.A.","")</f>
        <v/>
      </c>
      <c r="U60" s="201" t="s">
        <v>549</v>
      </c>
      <c r="V60" s="176">
        <f>Score!U148</f>
        <v>3</v>
      </c>
      <c r="W60" s="58" t="str">
        <f>IF(V60=0,"N.A.","")</f>
        <v/>
      </c>
      <c r="X60" s="56" t="s">
        <v>625</v>
      </c>
      <c r="Y60" s="176" t="e">
        <f>Score!U175</f>
        <v>#VALUE!</v>
      </c>
      <c r="Z60" s="58" t="e">
        <f>IF(Y60=0,"N.A.","")</f>
        <v>#VALUE!</v>
      </c>
      <c r="AA60" s="18"/>
      <c r="AB60" s="18"/>
    </row>
    <row r="61" spans="2:28" ht="15.75" customHeight="1">
      <c r="B61" s="198"/>
      <c r="I61" s="196"/>
      <c r="O61" s="54"/>
      <c r="R61" s="56" t="s">
        <v>626</v>
      </c>
      <c r="S61" s="200">
        <f>Score!U124</f>
        <v>3</v>
      </c>
      <c r="T61" s="58" t="str">
        <f>IF(S61=0,"N.A.","")</f>
        <v/>
      </c>
      <c r="U61" s="201" t="s">
        <v>627</v>
      </c>
      <c r="V61" s="176">
        <f>Score!U153</f>
        <v>3</v>
      </c>
      <c r="W61" s="58" t="str">
        <f>IF(V61=0,"N.A.","")</f>
        <v/>
      </c>
      <c r="X61" s="56" t="s">
        <v>628</v>
      </c>
      <c r="Y61" s="176">
        <f>Score!U176</f>
        <v>3</v>
      </c>
      <c r="Z61" s="58" t="str">
        <f>IF(Y61=0,"N.A.","")</f>
        <v/>
      </c>
      <c r="AA61" s="18"/>
      <c r="AB61" s="18"/>
    </row>
    <row r="62" spans="2:28" ht="15.75" customHeight="1" thickBot="1">
      <c r="B62" s="202"/>
      <c r="C62" s="203"/>
      <c r="D62" s="204"/>
      <c r="E62" s="203"/>
      <c r="F62" s="205"/>
      <c r="G62" s="205"/>
      <c r="H62" s="205"/>
      <c r="I62" s="206"/>
      <c r="J62" s="95"/>
      <c r="K62" s="95"/>
      <c r="L62" s="95"/>
      <c r="M62" s="207"/>
      <c r="N62" s="207"/>
      <c r="O62" s="208"/>
      <c r="R62" s="56" t="s">
        <v>629</v>
      </c>
      <c r="S62" s="200">
        <f>Score!U129</f>
        <v>5</v>
      </c>
      <c r="T62" s="58" t="str">
        <f>IF(S62=0,"N.A.","")</f>
        <v/>
      </c>
      <c r="U62" s="209" t="s">
        <v>630</v>
      </c>
      <c r="V62" s="210">
        <f>Score!U168</f>
        <v>3</v>
      </c>
      <c r="W62" s="58" t="str">
        <f>IF(V62=0,"N.A.","")</f>
        <v/>
      </c>
      <c r="X62" s="56" t="s">
        <v>631</v>
      </c>
      <c r="Y62" s="176">
        <f>Score!U185</f>
        <v>3</v>
      </c>
      <c r="Z62" s="58" t="str">
        <f>IF(Y62=0,"N.A.","")</f>
        <v/>
      </c>
      <c r="AA62" s="18"/>
      <c r="AB62" s="18"/>
    </row>
    <row r="63" spans="2:28" ht="6" customHeight="1" thickBot="1">
      <c r="B63" s="211"/>
      <c r="C63" s="196"/>
      <c r="D63" s="212"/>
      <c r="R63" s="56" t="s">
        <v>632</v>
      </c>
      <c r="S63" s="200">
        <f>Score!U138</f>
        <v>3</v>
      </c>
      <c r="T63" s="58" t="str">
        <f>IF(S63=0,"N.A.","")</f>
        <v/>
      </c>
      <c r="U63" s="18"/>
      <c r="V63" s="213"/>
      <c r="W63" s="213"/>
      <c r="X63" s="213"/>
      <c r="Y63" s="213"/>
      <c r="Z63" s="213"/>
      <c r="AA63" s="18"/>
      <c r="AB63" s="18"/>
    </row>
    <row r="64" spans="2:28" ht="15.75">
      <c r="B64" s="105" t="s">
        <v>1938</v>
      </c>
      <c r="C64" s="214"/>
      <c r="D64" s="215"/>
      <c r="E64" s="214"/>
      <c r="F64" s="214"/>
      <c r="G64" s="214"/>
      <c r="H64" s="216"/>
      <c r="I64" s="217"/>
      <c r="J64" s="214"/>
      <c r="K64" s="214"/>
      <c r="L64" s="214"/>
      <c r="M64" s="218"/>
      <c r="N64" s="218"/>
      <c r="O64" s="219"/>
      <c r="R64" s="18"/>
      <c r="S64" s="18"/>
      <c r="T64" s="18"/>
      <c r="U64" s="18"/>
      <c r="V64" s="213"/>
      <c r="W64" s="213"/>
      <c r="X64" s="213"/>
      <c r="Y64" s="213"/>
      <c r="Z64" s="213"/>
      <c r="AA64" s="18"/>
      <c r="AB64" s="18"/>
    </row>
    <row r="65" spans="1:28" ht="15">
      <c r="B65" s="226" t="str">
        <f>Consider!B4</f>
        <v>General</v>
      </c>
      <c r="C65" s="220"/>
      <c r="D65" s="221"/>
      <c r="E65" s="220"/>
      <c r="F65" s="220"/>
      <c r="G65" s="220"/>
      <c r="H65" s="220"/>
      <c r="I65" s="220"/>
      <c r="J65" s="220"/>
      <c r="K65" s="222"/>
      <c r="L65" s="2371" t="str">
        <f>Consider!B11</f>
        <v>Other</v>
      </c>
      <c r="M65" s="223"/>
      <c r="N65" s="223"/>
      <c r="O65" s="224"/>
      <c r="R65" s="225"/>
      <c r="S65" s="18"/>
      <c r="T65" s="18"/>
      <c r="U65" s="18"/>
      <c r="V65" s="213"/>
      <c r="W65" s="213"/>
      <c r="X65" s="213"/>
      <c r="Y65" s="213"/>
      <c r="Z65" s="213"/>
      <c r="AA65" s="18"/>
      <c r="AB65" s="18"/>
    </row>
    <row r="66" spans="1:28" ht="52.5" customHeight="1">
      <c r="B66" s="3836" t="str">
        <f>IF(Consider!D4=Consider!C4,"",Consider!D4)</f>
        <v/>
      </c>
      <c r="C66" s="3837"/>
      <c r="D66" s="3837"/>
      <c r="E66" s="3837"/>
      <c r="F66" s="3837"/>
      <c r="G66" s="3837"/>
      <c r="H66" s="3837"/>
      <c r="I66" s="3837"/>
      <c r="J66" s="3837"/>
      <c r="K66" s="3838"/>
      <c r="L66" s="3839" t="str">
        <f>IF(Consider!D11=Consider!C11,"",Consider!D11)</f>
        <v/>
      </c>
      <c r="M66" s="3840"/>
      <c r="N66" s="3840"/>
      <c r="O66" s="3841"/>
      <c r="R66" s="18"/>
      <c r="S66" s="18"/>
      <c r="T66" s="18"/>
      <c r="U66" s="18"/>
      <c r="V66" s="213"/>
      <c r="W66" s="213"/>
      <c r="X66" s="213"/>
      <c r="Y66" s="213"/>
      <c r="Z66" s="213"/>
      <c r="AA66" s="18"/>
      <c r="AB66" s="18"/>
    </row>
    <row r="67" spans="1:28" ht="15">
      <c r="B67" s="226" t="str">
        <f>Consider!B5</f>
        <v>Q1 
Indoor Environment</v>
      </c>
      <c r="C67" s="223"/>
      <c r="D67" s="223"/>
      <c r="E67" s="223"/>
      <c r="F67" s="223"/>
      <c r="G67" s="227"/>
      <c r="H67" s="228" t="str">
        <f>Consider!B6</f>
        <v>Q2 
Quality of Service</v>
      </c>
      <c r="I67" s="229"/>
      <c r="J67" s="229"/>
      <c r="K67" s="230"/>
      <c r="L67" s="231" t="str">
        <f>Consider!B7</f>
        <v>Q3 
Outdoor Environment 
on Site</v>
      </c>
      <c r="M67" s="232"/>
      <c r="N67" s="233"/>
      <c r="O67" s="234"/>
      <c r="R67" s="18"/>
      <c r="S67" s="18"/>
      <c r="T67" s="18"/>
      <c r="U67" s="18"/>
      <c r="V67" s="18"/>
      <c r="W67" s="18"/>
      <c r="X67" s="18"/>
      <c r="Y67" s="18"/>
      <c r="Z67" s="18"/>
      <c r="AA67" s="18"/>
      <c r="AB67" s="18"/>
    </row>
    <row r="68" spans="1:28" ht="50.25" customHeight="1">
      <c r="B68" s="3842" t="str">
        <f>IF(Consider!D5=Consider!C5,"",Consider!D5)</f>
        <v/>
      </c>
      <c r="C68" s="3840"/>
      <c r="D68" s="3840"/>
      <c r="E68" s="3840"/>
      <c r="F68" s="3840"/>
      <c r="G68" s="3843"/>
      <c r="H68" s="3850" t="str">
        <f>IF(Consider!D6=Consider!C6,"",Consider!D6)</f>
        <v/>
      </c>
      <c r="I68" s="3840"/>
      <c r="J68" s="3840"/>
      <c r="K68" s="3843"/>
      <c r="L68" s="3850" t="str">
        <f>IF(Consider!D7=Consider!C7,"",Consider!D7)</f>
        <v/>
      </c>
      <c r="M68" s="3840"/>
      <c r="N68" s="3840"/>
      <c r="O68" s="3841"/>
      <c r="R68" s="18"/>
      <c r="S68" s="18"/>
      <c r="T68" s="18"/>
      <c r="U68" s="18"/>
      <c r="V68" s="18"/>
      <c r="W68" s="18"/>
      <c r="X68" s="18"/>
      <c r="Y68" s="18"/>
      <c r="Z68" s="18"/>
      <c r="AA68" s="18"/>
      <c r="AB68" s="18"/>
    </row>
    <row r="69" spans="1:28" ht="15">
      <c r="B69" s="235" t="str">
        <f>Consider!B8</f>
        <v>LR1 
Energy</v>
      </c>
      <c r="C69" s="236"/>
      <c r="D69" s="221"/>
      <c r="E69" s="221"/>
      <c r="F69" s="221"/>
      <c r="G69" s="237"/>
      <c r="H69" s="238" t="str">
        <f>Consider!B9</f>
        <v>LR2 
Resources &amp; Materials</v>
      </c>
      <c r="I69" s="223"/>
      <c r="J69" s="223"/>
      <c r="K69" s="227"/>
      <c r="L69" s="239" t="str">
        <f>Consider!B10</f>
        <v>LR3 
Off-site Environment</v>
      </c>
      <c r="M69" s="236"/>
      <c r="N69" s="221"/>
      <c r="O69" s="240"/>
      <c r="R69" s="18"/>
      <c r="S69" s="18"/>
      <c r="T69" s="18"/>
      <c r="U69" s="18"/>
      <c r="V69" s="18"/>
      <c r="W69" s="18"/>
      <c r="X69" s="18"/>
      <c r="Y69" s="18"/>
      <c r="Z69" s="18"/>
      <c r="AA69" s="18"/>
      <c r="AB69" s="18"/>
    </row>
    <row r="70" spans="1:28" ht="61.5" customHeight="1" thickBot="1">
      <c r="B70" s="3829" t="str">
        <f>IF(Consider!D8=Consider!C8,"",Consider!D8)</f>
        <v/>
      </c>
      <c r="C70" s="3830"/>
      <c r="D70" s="3830"/>
      <c r="E70" s="3830"/>
      <c r="F70" s="3830"/>
      <c r="G70" s="3831"/>
      <c r="H70" s="3832" t="str">
        <f>IF(Consider!C9=Consider!D9,"",Consider!D9)</f>
        <v/>
      </c>
      <c r="I70" s="3830"/>
      <c r="J70" s="3830"/>
      <c r="K70" s="3831"/>
      <c r="L70" s="3832" t="str">
        <f>IF(Consider!D10=Consider!C10,"",Consider!D10)</f>
        <v/>
      </c>
      <c r="M70" s="3830"/>
      <c r="N70" s="3830"/>
      <c r="O70" s="3833"/>
      <c r="R70" s="18"/>
      <c r="S70" s="18"/>
      <c r="T70" s="18"/>
      <c r="U70" s="18"/>
      <c r="V70" s="18"/>
      <c r="W70" s="18"/>
      <c r="X70" s="18"/>
      <c r="Y70" s="18"/>
      <c r="Z70" s="18"/>
      <c r="AA70" s="18"/>
      <c r="AB70" s="18"/>
    </row>
    <row r="71" spans="1:28" ht="8.25" customHeight="1">
      <c r="B71" s="18"/>
      <c r="C71" s="18"/>
      <c r="D71" s="18"/>
      <c r="E71" s="18"/>
      <c r="F71" s="18"/>
      <c r="G71" s="18"/>
      <c r="H71" s="18"/>
      <c r="I71" s="18"/>
      <c r="J71" s="18"/>
      <c r="K71" s="18"/>
      <c r="L71" s="18"/>
      <c r="M71" s="18"/>
      <c r="N71" s="18"/>
      <c r="O71" s="18"/>
      <c r="R71" s="18"/>
      <c r="S71" s="18"/>
      <c r="T71" s="18"/>
      <c r="U71" s="18"/>
      <c r="V71" s="18"/>
      <c r="W71" s="18"/>
      <c r="X71" s="18"/>
      <c r="Y71" s="18"/>
      <c r="Z71" s="18"/>
      <c r="AA71" s="18"/>
      <c r="AB71" s="18"/>
    </row>
    <row r="72" spans="1:28" ht="16.5" hidden="1" thickBot="1">
      <c r="B72" s="241" t="s">
        <v>633</v>
      </c>
      <c r="C72" s="242"/>
      <c r="D72" s="243"/>
      <c r="E72" s="242"/>
      <c r="F72" s="242"/>
      <c r="G72" s="242"/>
      <c r="H72" s="242"/>
      <c r="I72" s="242"/>
      <c r="J72" s="244"/>
      <c r="K72" s="245"/>
      <c r="L72" s="245"/>
      <c r="M72" s="245"/>
      <c r="N72" s="246"/>
      <c r="O72" s="247" t="s">
        <v>634</v>
      </c>
      <c r="R72" s="18"/>
      <c r="S72" s="18"/>
      <c r="T72" s="18"/>
      <c r="U72" s="18"/>
      <c r="V72" s="18"/>
      <c r="W72" s="18"/>
      <c r="X72" s="18"/>
      <c r="Y72" s="18"/>
      <c r="Z72" s="18"/>
      <c r="AA72" s="18"/>
      <c r="AB72" s="18"/>
    </row>
    <row r="73" spans="1:28" ht="15.75" hidden="1">
      <c r="B73" s="248" t="s">
        <v>311</v>
      </c>
      <c r="C73" s="249"/>
      <c r="D73" s="250"/>
      <c r="E73" s="249"/>
      <c r="F73" s="249"/>
      <c r="G73" s="249"/>
      <c r="H73" s="249"/>
      <c r="I73" s="249"/>
      <c r="J73" s="251"/>
      <c r="K73" s="252"/>
      <c r="L73" s="253"/>
      <c r="M73" s="253"/>
      <c r="N73" s="251"/>
      <c r="O73" s="254" t="s">
        <v>421</v>
      </c>
      <c r="R73" s="18"/>
      <c r="S73" s="18"/>
      <c r="T73" s="18"/>
      <c r="U73" s="18"/>
      <c r="V73" s="18"/>
      <c r="W73" s="18"/>
      <c r="X73" s="18"/>
      <c r="Y73" s="18"/>
      <c r="Z73" s="18"/>
      <c r="AA73" s="18"/>
      <c r="AB73" s="18"/>
    </row>
    <row r="74" spans="1:28" ht="14.25" hidden="1">
      <c r="B74" s="255"/>
      <c r="C74" s="256"/>
      <c r="D74" s="257"/>
      <c r="E74" s="258" t="s">
        <v>312</v>
      </c>
      <c r="F74" s="259"/>
      <c r="G74" s="259"/>
      <c r="H74" s="258" t="s">
        <v>91</v>
      </c>
      <c r="I74" s="259"/>
      <c r="J74" s="258" t="s">
        <v>188</v>
      </c>
      <c r="K74" s="260"/>
      <c r="L74" s="258" t="s">
        <v>189</v>
      </c>
      <c r="M74" s="259"/>
      <c r="N74" s="259"/>
      <c r="O74" s="261" t="s">
        <v>190</v>
      </c>
      <c r="R74" s="18"/>
      <c r="S74" s="18"/>
      <c r="T74" s="18"/>
      <c r="U74" s="18"/>
      <c r="V74" s="18"/>
      <c r="W74" s="18"/>
      <c r="X74" s="18"/>
      <c r="Y74" s="18"/>
      <c r="Z74" s="18"/>
      <c r="AA74" s="18"/>
      <c r="AB74" s="18"/>
    </row>
    <row r="75" spans="1:28" ht="14.25" hidden="1">
      <c r="B75" s="262"/>
      <c r="C75" s="263" t="s">
        <v>191</v>
      </c>
      <c r="D75" s="264"/>
      <c r="E75" s="265"/>
      <c r="F75" s="266" t="s">
        <v>192</v>
      </c>
      <c r="G75" s="267"/>
      <c r="H75" s="265"/>
      <c r="I75" s="266" t="s">
        <v>193</v>
      </c>
      <c r="J75" s="268"/>
      <c r="K75" s="266" t="s">
        <v>192</v>
      </c>
      <c r="L75" s="269"/>
      <c r="M75" s="270"/>
      <c r="N75" s="271"/>
      <c r="O75" s="272"/>
      <c r="R75" s="18"/>
      <c r="S75" s="18"/>
      <c r="T75" s="18"/>
      <c r="U75" s="18"/>
      <c r="V75" s="18"/>
      <c r="W75" s="18"/>
      <c r="X75" s="18"/>
      <c r="Y75" s="18"/>
      <c r="Z75" s="18"/>
      <c r="AA75" s="18"/>
      <c r="AB75" s="18"/>
    </row>
    <row r="76" spans="1:28" ht="15.75" hidden="1">
      <c r="B76" s="262"/>
      <c r="C76" s="273" t="s">
        <v>194</v>
      </c>
      <c r="D76" s="274"/>
      <c r="E76" s="275"/>
      <c r="F76" s="78" t="s">
        <v>195</v>
      </c>
      <c r="G76" s="78"/>
      <c r="H76" s="275"/>
      <c r="I76" s="78" t="s">
        <v>196</v>
      </c>
      <c r="J76" s="276"/>
      <c r="K76" s="78" t="s">
        <v>195</v>
      </c>
      <c r="L76" s="269"/>
      <c r="M76" s="27"/>
      <c r="N76" s="270"/>
      <c r="O76" s="277"/>
      <c r="S76" s="27"/>
      <c r="W76" s="18"/>
      <c r="X76" s="18"/>
      <c r="Y76" s="18"/>
      <c r="Z76" s="18"/>
      <c r="AA76" s="18"/>
      <c r="AB76" s="18"/>
    </row>
    <row r="77" spans="1:28" ht="14.25" hidden="1">
      <c r="A77" s="278"/>
      <c r="B77" s="279"/>
      <c r="C77" s="280" t="s">
        <v>197</v>
      </c>
      <c r="D77" s="274"/>
      <c r="E77" s="275"/>
      <c r="F77" s="267" t="s">
        <v>198</v>
      </c>
      <c r="G77" s="267"/>
      <c r="H77" s="275"/>
      <c r="I77" s="267" t="s">
        <v>199</v>
      </c>
      <c r="J77" s="276"/>
      <c r="K77" s="267" t="s">
        <v>198</v>
      </c>
      <c r="L77" s="269"/>
      <c r="M77" s="27"/>
      <c r="N77" s="281"/>
      <c r="O77" s="277"/>
      <c r="P77" s="278"/>
      <c r="S77" s="27"/>
      <c r="W77" s="18"/>
      <c r="X77" s="18"/>
      <c r="Y77" s="18"/>
      <c r="Z77" s="18"/>
      <c r="AA77" s="18"/>
      <c r="AB77" s="18"/>
    </row>
    <row r="78" spans="1:28" ht="15.75" hidden="1">
      <c r="B78" s="262"/>
      <c r="C78" s="282" t="s">
        <v>200</v>
      </c>
      <c r="D78" s="274"/>
      <c r="E78" s="275"/>
      <c r="F78" s="78" t="s">
        <v>195</v>
      </c>
      <c r="G78" s="78"/>
      <c r="H78" s="275"/>
      <c r="I78" s="78" t="s">
        <v>196</v>
      </c>
      <c r="J78" s="276"/>
      <c r="K78" s="78" t="s">
        <v>195</v>
      </c>
      <c r="L78" s="269"/>
      <c r="M78" s="27"/>
      <c r="N78" s="270"/>
      <c r="O78" s="283"/>
      <c r="S78" s="27"/>
      <c r="W78" s="18"/>
      <c r="X78" s="18"/>
      <c r="Y78" s="18"/>
      <c r="Z78" s="18"/>
      <c r="AA78" s="18"/>
      <c r="AB78" s="18"/>
    </row>
    <row r="79" spans="1:28" ht="14.25" hidden="1">
      <c r="B79" s="262"/>
      <c r="C79" s="282" t="s">
        <v>201</v>
      </c>
      <c r="D79" s="274"/>
      <c r="E79" s="275"/>
      <c r="F79" s="284" t="s">
        <v>202</v>
      </c>
      <c r="G79" s="78"/>
      <c r="H79" s="275"/>
      <c r="I79" s="284" t="s">
        <v>203</v>
      </c>
      <c r="J79" s="276"/>
      <c r="K79" s="284" t="s">
        <v>202</v>
      </c>
      <c r="L79" s="269"/>
      <c r="M79" s="27"/>
      <c r="N79" s="270"/>
      <c r="O79" s="54"/>
      <c r="S79" s="27"/>
      <c r="W79" s="18"/>
      <c r="X79" s="18"/>
      <c r="Y79" s="18"/>
      <c r="Z79" s="18"/>
      <c r="AA79" s="18"/>
      <c r="AB79" s="18"/>
    </row>
    <row r="80" spans="1:28" ht="14.25" hidden="1">
      <c r="B80" s="262"/>
      <c r="C80" s="282" t="s">
        <v>204</v>
      </c>
      <c r="D80" s="274"/>
      <c r="E80" s="275"/>
      <c r="F80" s="284" t="s">
        <v>202</v>
      </c>
      <c r="G80" s="78"/>
      <c r="H80" s="275"/>
      <c r="I80" s="284" t="s">
        <v>203</v>
      </c>
      <c r="J80" s="276"/>
      <c r="K80" s="284" t="s">
        <v>202</v>
      </c>
      <c r="L80" s="269"/>
      <c r="M80" s="27"/>
      <c r="N80" s="270"/>
      <c r="O80" s="277"/>
      <c r="S80" s="27"/>
      <c r="W80" s="18"/>
      <c r="X80" s="18"/>
      <c r="Y80" s="18"/>
      <c r="Z80" s="18"/>
      <c r="AA80" s="18"/>
      <c r="AB80" s="18"/>
    </row>
    <row r="81" spans="2:28" ht="15" hidden="1" thickBot="1">
      <c r="B81" s="285"/>
      <c r="C81" s="286"/>
      <c r="D81" s="287"/>
      <c r="E81" s="288"/>
      <c r="F81" s="289"/>
      <c r="G81" s="203"/>
      <c r="H81" s="288"/>
      <c r="I81" s="289"/>
      <c r="J81" s="290"/>
      <c r="K81" s="289"/>
      <c r="L81" s="269"/>
      <c r="M81" s="27"/>
      <c r="N81" s="291"/>
      <c r="O81" s="292"/>
      <c r="S81" s="27"/>
      <c r="W81" s="18"/>
      <c r="X81" s="18"/>
      <c r="Y81" s="18"/>
      <c r="Z81" s="18"/>
      <c r="AA81" s="18"/>
      <c r="AB81" s="18"/>
    </row>
    <row r="82" spans="2:28" ht="16.5" hidden="1" thickBot="1">
      <c r="B82" s="293" t="s">
        <v>205</v>
      </c>
      <c r="C82" s="294"/>
      <c r="D82" s="295"/>
      <c r="E82" s="296"/>
      <c r="F82" s="297"/>
      <c r="G82" s="297"/>
      <c r="H82" s="297"/>
      <c r="I82" s="297"/>
      <c r="J82" s="297"/>
      <c r="K82" s="297"/>
      <c r="L82" s="297"/>
      <c r="M82" s="297"/>
      <c r="N82" s="297"/>
      <c r="O82" s="298"/>
      <c r="S82" s="27"/>
      <c r="W82" s="18"/>
      <c r="X82" s="18"/>
      <c r="Y82" s="18"/>
      <c r="Z82" s="18"/>
      <c r="AA82" s="18"/>
      <c r="AB82" s="18"/>
    </row>
    <row r="83" spans="2:28" ht="15.75" hidden="1">
      <c r="B83" s="299" t="s">
        <v>206</v>
      </c>
      <c r="C83" s="300"/>
      <c r="D83" s="301"/>
      <c r="E83" s="302"/>
      <c r="F83" s="303"/>
      <c r="G83" s="303"/>
      <c r="H83" s="303"/>
      <c r="I83" s="301"/>
      <c r="J83" s="304" t="s">
        <v>207</v>
      </c>
      <c r="K83" s="305"/>
      <c r="L83" s="306"/>
      <c r="M83" s="300"/>
      <c r="N83" s="300"/>
      <c r="O83" s="307"/>
      <c r="S83" s="27"/>
      <c r="W83" s="18"/>
      <c r="X83" s="18"/>
      <c r="Y83" s="18"/>
      <c r="Z83" s="18"/>
      <c r="AA83" s="18"/>
      <c r="AB83" s="18"/>
    </row>
    <row r="84" spans="2:28" ht="15" hidden="1">
      <c r="B84" s="308"/>
      <c r="C84" s="309" t="s">
        <v>208</v>
      </c>
      <c r="D84" s="310"/>
      <c r="E84" s="310"/>
      <c r="F84" s="310"/>
      <c r="G84" s="310"/>
      <c r="H84" s="310"/>
      <c r="I84" s="310"/>
      <c r="J84" s="311" t="s">
        <v>209</v>
      </c>
      <c r="K84" s="27"/>
      <c r="L84" s="312"/>
      <c r="M84" s="27"/>
      <c r="N84" s="27"/>
      <c r="O84" s="63"/>
      <c r="S84" s="27"/>
      <c r="W84" s="18"/>
      <c r="X84" s="18"/>
      <c r="Y84" s="18"/>
      <c r="Z84" s="18"/>
      <c r="AA84" s="18"/>
      <c r="AB84" s="18"/>
    </row>
    <row r="85" spans="2:28" ht="15" hidden="1">
      <c r="B85" s="308"/>
      <c r="C85" s="309"/>
      <c r="D85" s="310"/>
      <c r="E85" s="310"/>
      <c r="F85" s="310"/>
      <c r="G85" s="310"/>
      <c r="H85" s="310"/>
      <c r="I85" s="310"/>
      <c r="J85" s="311"/>
      <c r="K85" s="27"/>
      <c r="L85" s="312"/>
      <c r="M85" s="27"/>
      <c r="N85" s="27"/>
      <c r="O85" s="63"/>
      <c r="S85" s="27"/>
      <c r="W85" s="18"/>
      <c r="X85" s="18"/>
      <c r="Y85" s="18"/>
      <c r="Z85" s="18"/>
      <c r="AA85" s="18"/>
      <c r="AB85" s="18"/>
    </row>
    <row r="86" spans="2:28" ht="15" hidden="1" thickBot="1">
      <c r="B86" s="313"/>
      <c r="C86" s="314"/>
      <c r="D86" s="315"/>
      <c r="E86" s="315"/>
      <c r="F86" s="315"/>
      <c r="G86" s="315"/>
      <c r="H86" s="315"/>
      <c r="I86" s="315"/>
      <c r="J86" s="316"/>
      <c r="K86" s="94"/>
      <c r="L86" s="317"/>
      <c r="M86" s="317"/>
      <c r="N86" s="317"/>
      <c r="O86" s="318"/>
      <c r="S86" s="27"/>
    </row>
    <row r="87" spans="2:28" ht="14.25" hidden="1">
      <c r="B87" s="78"/>
      <c r="C87" s="78"/>
      <c r="D87" s="193"/>
      <c r="E87" s="78"/>
      <c r="S87" s="27"/>
    </row>
    <row r="88" spans="2:28" ht="14.25" hidden="1">
      <c r="B88" s="319"/>
      <c r="C88" s="320"/>
      <c r="D88" s="321"/>
      <c r="E88" s="322"/>
      <c r="F88" s="322"/>
      <c r="G88" s="322"/>
      <c r="H88" s="322"/>
      <c r="I88" s="323"/>
      <c r="J88" s="324"/>
      <c r="K88" s="323"/>
      <c r="L88" s="325"/>
      <c r="M88" s="323"/>
      <c r="N88" s="326"/>
      <c r="O88" s="327"/>
      <c r="S88" s="27"/>
    </row>
    <row r="89" spans="2:28" ht="14.25" hidden="1">
      <c r="B89" s="328"/>
      <c r="C89" s="329" t="s">
        <v>210</v>
      </c>
      <c r="D89" s="330" t="s">
        <v>422</v>
      </c>
      <c r="E89" s="331" t="s">
        <v>423</v>
      </c>
      <c r="G89" s="27"/>
      <c r="H89" s="331" t="s">
        <v>424</v>
      </c>
      <c r="J89" s="331" t="s">
        <v>425</v>
      </c>
      <c r="L89" s="331" t="s">
        <v>426</v>
      </c>
      <c r="N89" s="330" t="s">
        <v>427</v>
      </c>
      <c r="O89" s="332"/>
      <c r="S89" s="27"/>
    </row>
    <row r="90" spans="2:28" ht="14.25" hidden="1">
      <c r="B90" s="328"/>
      <c r="C90" s="329" t="s">
        <v>681</v>
      </c>
      <c r="D90" s="333" t="s">
        <v>615</v>
      </c>
      <c r="E90" s="334"/>
      <c r="F90" s="335"/>
      <c r="G90" s="335"/>
      <c r="H90" s="335"/>
      <c r="I90" s="336"/>
      <c r="J90" s="336"/>
      <c r="K90" s="337"/>
      <c r="L90" s="337"/>
      <c r="O90" s="338"/>
    </row>
    <row r="91" spans="2:28" ht="14.25" hidden="1">
      <c r="B91" s="340"/>
      <c r="C91" s="329" t="s">
        <v>616</v>
      </c>
      <c r="D91" s="333" t="s">
        <v>617</v>
      </c>
      <c r="E91" s="333"/>
      <c r="G91" s="341"/>
      <c r="O91" s="338"/>
    </row>
    <row r="92" spans="2:28" ht="14.25" hidden="1">
      <c r="B92" s="340"/>
      <c r="C92" s="329"/>
      <c r="D92" s="333" t="s">
        <v>618</v>
      </c>
      <c r="E92" s="333"/>
      <c r="G92" s="341"/>
      <c r="O92" s="338"/>
    </row>
    <row r="93" spans="2:28" ht="14.25" hidden="1">
      <c r="B93" s="342"/>
      <c r="C93" s="343" t="s">
        <v>619</v>
      </c>
      <c r="D93" s="344" t="s">
        <v>428</v>
      </c>
      <c r="E93" s="345"/>
      <c r="F93" s="181"/>
      <c r="G93" s="346"/>
      <c r="H93" s="181"/>
      <c r="I93" s="180"/>
      <c r="J93" s="180"/>
      <c r="K93" s="181"/>
      <c r="L93" s="181"/>
      <c r="M93" s="347"/>
      <c r="N93" s="347"/>
      <c r="O93" s="348"/>
    </row>
    <row r="94" spans="2:28" ht="14.25">
      <c r="G94" s="341"/>
    </row>
    <row r="95" spans="2:28" ht="14.25">
      <c r="G95" s="341"/>
      <c r="L95" s="341"/>
    </row>
    <row r="96" spans="2:28" ht="14.25">
      <c r="E96" s="53"/>
      <c r="F96" s="341"/>
      <c r="G96" s="341"/>
      <c r="H96" s="341"/>
      <c r="I96" s="337"/>
      <c r="L96" s="341"/>
    </row>
    <row r="97" spans="2:12" ht="26.45" customHeight="1">
      <c r="C97" s="349"/>
      <c r="D97" s="195"/>
      <c r="E97" s="53"/>
      <c r="F97" s="341"/>
      <c r="G97" s="341"/>
      <c r="H97" s="341"/>
      <c r="I97" s="337"/>
      <c r="J97" s="337"/>
      <c r="K97" s="341"/>
      <c r="L97" s="341"/>
    </row>
    <row r="98" spans="2:12" ht="14.25">
      <c r="B98" s="350"/>
      <c r="C98" s="351"/>
      <c r="D98" s="352"/>
      <c r="E98" s="53"/>
      <c r="F98" s="341"/>
      <c r="G98" s="335"/>
      <c r="H98" s="335"/>
      <c r="I98" s="336"/>
      <c r="J98" s="336"/>
      <c r="K98" s="337"/>
      <c r="L98" s="337"/>
    </row>
    <row r="99" spans="2:12" ht="14.25" hidden="1">
      <c r="B99" s="350"/>
      <c r="C99" s="350"/>
      <c r="D99" s="353"/>
      <c r="G99" s="335"/>
      <c r="H99" s="335"/>
      <c r="I99" s="336"/>
      <c r="J99" s="336"/>
      <c r="K99" s="337"/>
      <c r="L99" s="337"/>
    </row>
    <row r="100" spans="2:12" ht="14.25" hidden="1"/>
    <row r="101" spans="2:12" ht="14.25" hidden="1"/>
    <row r="102" spans="2:12" ht="14.25" hidden="1"/>
    <row r="103" spans="2:12" ht="14.25" hidden="1"/>
    <row r="104" spans="2:12" ht="14.25" hidden="1"/>
    <row r="105" spans="2:12" ht="14.25" hidden="1"/>
    <row r="106" spans="2:12" ht="14.25" hidden="1"/>
    <row r="107" spans="2:12" ht="14.25" hidden="1"/>
    <row r="108" spans="2:12" ht="14.25" hidden="1"/>
    <row r="109" spans="2:12" ht="14.25" hidden="1"/>
    <row r="110" spans="2:12" ht="14.25" hidden="1"/>
    <row r="111" spans="2:12" ht="14.25" hidden="1"/>
    <row r="112" spans="2:12" ht="14.25" hidden="1"/>
    <row r="113" ht="14.25" hidden="1"/>
    <row r="114" ht="14.25" hidden="1"/>
    <row r="115" ht="14.25" hidden="1"/>
    <row r="116" ht="14.25" hidden="1"/>
    <row r="117" ht="14.25" hidden="1"/>
    <row r="118" ht="14.25" hidden="1"/>
    <row r="119" ht="14.25" hidden="1"/>
    <row r="120" ht="14.25" hidden="1"/>
    <row r="121" ht="14.25" hidden="1"/>
    <row r="122" ht="14.25" hidden="1"/>
    <row r="123" ht="14.25" hidden="1"/>
    <row r="124" ht="14.25" hidden="1"/>
    <row r="125" ht="14.25" hidden="1"/>
    <row r="126" ht="14.25" hidden="1"/>
    <row r="127" ht="14.25" hidden="1"/>
    <row r="128" ht="14.25" hidden="1"/>
    <row r="129" ht="14.25" hidden="1"/>
    <row r="130" ht="14.25" hidden="1"/>
    <row r="131" ht="14.25" hidden="1"/>
    <row r="132" ht="14.25" hidden="1"/>
    <row r="133" ht="14.25" hidden="1"/>
    <row r="134" ht="14.25" hidden="1"/>
    <row r="135" ht="14.25" hidden="1"/>
    <row r="136" ht="14.25" hidden="1"/>
    <row r="137" ht="14.25" hidden="1"/>
    <row r="138" ht="14.25" hidden="1"/>
    <row r="139" ht="14.25" hidden="1"/>
    <row r="140" ht="14.25" hidden="1"/>
    <row r="141" ht="14.25" hidden="1"/>
    <row r="142" ht="14.25" hidden="1"/>
    <row r="143" ht="14.25" hidden="1"/>
    <row r="144" ht="14.25" hidden="1"/>
    <row r="145" ht="14.25" hidden="1"/>
    <row r="146" ht="14.25" hidden="1"/>
    <row r="147" ht="14.25" hidden="1"/>
    <row r="148" ht="14.25" hidden="1"/>
    <row r="149" ht="14.25" hidden="1"/>
    <row r="150" ht="14.25" hidden="1"/>
    <row r="151" ht="14.25" hidden="1"/>
    <row r="152" ht="14.25" hidden="1"/>
    <row r="153" ht="14.25" hidden="1"/>
    <row r="154" ht="14.25" hidden="1"/>
    <row r="155" ht="14.25" hidden="1"/>
    <row r="156" ht="14.25" hidden="1"/>
    <row r="157" ht="14.25" hidden="1"/>
    <row r="158" ht="14.25" hidden="1"/>
    <row r="159" ht="14.25" hidden="1"/>
    <row r="160" ht="14.25" hidden="1"/>
    <row r="161" ht="14.25" hidden="1"/>
    <row r="162" ht="14.25" hidden="1"/>
    <row r="163" ht="14.25" hidden="1"/>
    <row r="164" ht="14.25" hidden="1"/>
    <row r="165" ht="14.25" hidden="1"/>
    <row r="166" ht="14.25" hidden="1"/>
    <row r="167" ht="14.25" hidden="1"/>
    <row r="168" ht="14.25" hidden="1"/>
    <row r="169" ht="14.25" hidden="1"/>
    <row r="170" ht="14.25" hidden="1"/>
    <row r="171" ht="14.25" hidden="1"/>
    <row r="172" ht="14.25" hidden="1"/>
    <row r="173" ht="14.25" hidden="1"/>
    <row r="174" ht="14.25" hidden="1"/>
    <row r="175" ht="14.25" hidden="1"/>
    <row r="176" ht="14.25" hidden="1"/>
    <row r="177" ht="14.25" hidden="1"/>
    <row r="178" ht="14.25" hidden="1"/>
    <row r="179" ht="14.25" hidden="1"/>
    <row r="180" ht="14.25" hidden="1"/>
    <row r="181" ht="14.25" hidden="1"/>
    <row r="182" ht="14.25" hidden="1"/>
    <row r="183" ht="14.25" hidden="1"/>
    <row r="184" ht="14.25" hidden="1"/>
    <row r="185" ht="14.25" hidden="1"/>
    <row r="186" ht="14.25" hidden="1"/>
    <row r="187" ht="14.25" hidden="1"/>
    <row r="188" ht="14.25" hidden="1"/>
    <row r="189" ht="14.25" hidden="1"/>
    <row r="190" ht="14.25" hidden="1"/>
    <row r="191" ht="14.25" hidden="1"/>
    <row r="192" ht="14.25" hidden="1"/>
    <row r="193" ht="14.25" hidden="1"/>
    <row r="194" ht="14.25" hidden="1"/>
    <row r="195" ht="14.25" hidden="1"/>
    <row r="196" ht="14.25" hidden="1"/>
    <row r="197" ht="14.25" hidden="1"/>
    <row r="198" ht="14.25" hidden="1"/>
    <row r="199" ht="14.25" hidden="1"/>
    <row r="200" ht="14.25" hidden="1"/>
    <row r="201" ht="14.25" hidden="1"/>
    <row r="202" ht="14.25" hidden="1" customHeight="1"/>
    <row r="203" ht="14.25" hidden="1" customHeight="1"/>
    <row r="204" ht="14.25" hidden="1" customHeight="1"/>
    <row r="205" ht="14.25" hidden="1" customHeight="1"/>
    <row r="206" ht="14.25" hidden="1" customHeight="1"/>
    <row r="207" ht="14.25" hidden="1" customHeight="1"/>
    <row r="208" ht="14.25" hidden="1" customHeight="1"/>
    <row r="209" ht="14.25" hidden="1" customHeight="1"/>
    <row r="210" ht="14.25" hidden="1" customHeight="1"/>
    <row r="211" ht="14.25" hidden="1" customHeight="1"/>
    <row r="212" ht="14.25" hidden="1" customHeight="1"/>
  </sheetData>
  <sheetProtection sheet="1" objects="1" scenarios="1"/>
  <mergeCells count="15">
    <mergeCell ref="AP24:AS39"/>
    <mergeCell ref="AU24:AX39"/>
    <mergeCell ref="Q2:Q5"/>
    <mergeCell ref="N5:O5"/>
    <mergeCell ref="B70:G70"/>
    <mergeCell ref="H70:K70"/>
    <mergeCell ref="L70:O70"/>
    <mergeCell ref="D13:E13"/>
    <mergeCell ref="B66:K66"/>
    <mergeCell ref="L66:O66"/>
    <mergeCell ref="B68:G68"/>
    <mergeCell ref="H37:K39"/>
    <mergeCell ref="H68:K68"/>
    <mergeCell ref="L68:O68"/>
    <mergeCell ref="D14:E14"/>
  </mergeCells>
  <phoneticPr fontId="26"/>
  <conditionalFormatting sqref="H28">
    <cfRule type="expression" dxfId="121" priority="1" stopIfTrue="1">
      <formula>$U$36=$W$37</formula>
    </cfRule>
  </conditionalFormatting>
  <conditionalFormatting sqref="H36:K36">
    <cfRule type="expression" dxfId="120" priority="3" stopIfTrue="1">
      <formula>$U$36=$W$37</formula>
    </cfRule>
  </conditionalFormatting>
  <conditionalFormatting sqref="I28:K35 H29:H35">
    <cfRule type="expression" dxfId="119" priority="2" stopIfTrue="1">
      <formula>$U$36=$W$37</formula>
    </cfRule>
  </conditionalFormatting>
  <hyperlinks>
    <hyperlink ref="Q2" location="メイン!A1" display="戻る" xr:uid="{00000000-0004-0000-0300-000000000000}"/>
    <hyperlink ref="Q2:Q5" location="Main!A1" display="←" xr:uid="{3D2B3CD6-4B1A-470C-B2D6-5A79AF7AF1E1}"/>
  </hyperlinks>
  <printOptions horizontalCentered="1"/>
  <pageMargins left="0.59055118110236227" right="0.59055118110236227" top="0.78740157480314965" bottom="0.59055118110236227" header="0.51181102362204722" footer="0.51181102362204722"/>
  <pageSetup paperSize="9" scale="67" orientation="portrait" verticalDpi="4294967293" r:id="rId1"/>
  <headerFooter alignWithMargins="0">
    <oddHeader>&amp;L&amp;F&amp;R&amp;A</oddHeader>
    <oddFooter>&amp;C&amp;P/&amp;N</oddFooter>
  </headerFooter>
  <colBreaks count="1" manualBreakCount="1">
    <brk id="16" max="71"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pageSetUpPr fitToPage="1"/>
  </sheetPr>
  <dimension ref="A1:AK212"/>
  <sheetViews>
    <sheetView showGridLines="0" workbookViewId="0">
      <selection activeCell="Q2" sqref="Q2:Q5"/>
    </sheetView>
  </sheetViews>
  <sheetFormatPr defaultColWidth="0" defaultRowHeight="0" customHeight="1" zeroHeight="1"/>
  <cols>
    <col min="1" max="1" width="0.75" style="18" customWidth="1"/>
    <col min="2" max="2" width="2.125" style="33" customWidth="1"/>
    <col min="3" max="3" width="13.375" style="33" customWidth="1"/>
    <col min="4" max="4" width="5.375" style="34" customWidth="1"/>
    <col min="5" max="5" width="9.75" style="35" customWidth="1"/>
    <col min="6" max="6" width="6.25" style="36" customWidth="1"/>
    <col min="7" max="7" width="6.5" style="36" customWidth="1"/>
    <col min="8" max="8" width="13.125" style="36" customWidth="1"/>
    <col min="9" max="9" width="6.875" style="37" customWidth="1"/>
    <col min="10" max="10" width="12.125" style="37" customWidth="1"/>
    <col min="11" max="12" width="11.875" style="36" customWidth="1"/>
    <col min="13" max="13" width="11.75" style="53" customWidth="1"/>
    <col min="14" max="14" width="8.625" style="53" customWidth="1"/>
    <col min="15" max="15" width="11.5" style="53" customWidth="1"/>
    <col min="16" max="16" width="0.75" style="18" customWidth="1"/>
    <col min="17" max="17" width="3.875" style="18" customWidth="1"/>
    <col min="18" max="18" width="9.875" style="27" hidden="1" customWidth="1"/>
    <col min="19" max="19" width="9.875" style="339" hidden="1" customWidth="1"/>
    <col min="20" max="20" width="9.875" style="27" hidden="1" customWidth="1"/>
    <col min="21" max="21" width="9.125" style="27" hidden="1" customWidth="1"/>
    <col min="22" max="22" width="14.5" style="27" hidden="1" customWidth="1"/>
    <col min="23" max="23" width="11.125" style="27" hidden="1" customWidth="1"/>
    <col min="24" max="24" width="20.5" style="27" hidden="1" customWidth="1"/>
    <col min="25" max="25" width="18.625" style="27" hidden="1" customWidth="1"/>
    <col min="26" max="26" width="23" style="27" hidden="1" customWidth="1"/>
    <col min="27" max="27" width="4.5" style="27" hidden="1" customWidth="1"/>
    <col min="28" max="28" width="6.125" style="27" hidden="1" customWidth="1"/>
    <col min="29" max="29" width="8.875" style="27" hidden="1" customWidth="1"/>
    <col min="30" max="31" width="5" style="27" hidden="1" customWidth="1"/>
    <col min="32" max="32" width="5.125" style="27" hidden="1" customWidth="1"/>
    <col min="33" max="37" width="0" style="27" hidden="1" customWidth="1"/>
    <col min="38" max="16384" width="9" style="27" hidden="1"/>
  </cols>
  <sheetData>
    <row r="1" spans="1:27" s="16" customFormat="1" ht="6" customHeight="1" thickBot="1">
      <c r="A1" s="9"/>
      <c r="B1" s="10"/>
      <c r="C1" s="11"/>
      <c r="D1" s="12"/>
      <c r="E1" s="9"/>
      <c r="F1" s="13"/>
      <c r="G1" s="13"/>
      <c r="H1" s="13"/>
      <c r="I1" s="14"/>
      <c r="J1" s="14"/>
      <c r="K1" s="13"/>
      <c r="L1" s="15"/>
      <c r="M1" s="9"/>
      <c r="N1" s="9"/>
      <c r="O1" s="9"/>
      <c r="P1" s="9"/>
      <c r="Q1" s="9"/>
      <c r="S1" s="17"/>
    </row>
    <row r="2" spans="1:27" ht="18.75" customHeight="1" thickTop="1">
      <c r="B2" s="19"/>
      <c r="C2" s="20"/>
      <c r="D2" s="21"/>
      <c r="E2" s="22"/>
      <c r="F2" s="23"/>
      <c r="G2" s="23"/>
      <c r="H2" s="23"/>
      <c r="I2" s="24"/>
      <c r="J2" s="25"/>
      <c r="K2" s="25"/>
      <c r="L2" s="25"/>
      <c r="M2" s="25"/>
      <c r="N2" s="23"/>
      <c r="O2" s="26"/>
      <c r="Q2" s="3824" t="s">
        <v>5026</v>
      </c>
      <c r="S2" s="27"/>
    </row>
    <row r="3" spans="1:27" ht="18.75" customHeight="1">
      <c r="B3" s="19"/>
      <c r="C3" s="20"/>
      <c r="D3" s="21"/>
      <c r="E3" s="22"/>
      <c r="F3" s="23"/>
      <c r="G3" s="23"/>
      <c r="H3" s="23"/>
      <c r="I3" s="24"/>
      <c r="J3" s="25"/>
      <c r="K3" s="25"/>
      <c r="L3" s="25"/>
      <c r="M3" s="25"/>
      <c r="N3" s="23"/>
      <c r="O3" s="28"/>
      <c r="Q3" s="3825"/>
      <c r="S3" s="27"/>
    </row>
    <row r="4" spans="1:27" ht="18.75" customHeight="1">
      <c r="B4" s="19"/>
      <c r="C4" s="20"/>
      <c r="D4" s="21"/>
      <c r="E4" s="22"/>
      <c r="F4" s="23"/>
      <c r="G4" s="23"/>
      <c r="H4" s="23"/>
      <c r="I4" s="29"/>
      <c r="J4" s="25"/>
      <c r="K4" s="25"/>
      <c r="L4" s="25"/>
      <c r="M4" s="25"/>
      <c r="N4" s="23"/>
      <c r="O4" s="26"/>
      <c r="Q4" s="3825"/>
      <c r="S4" s="27"/>
    </row>
    <row r="5" spans="1:27" ht="13.5" customHeight="1" thickBot="1">
      <c r="B5" s="30"/>
      <c r="C5" s="31"/>
      <c r="D5" s="21"/>
      <c r="E5" s="22"/>
      <c r="F5" s="23"/>
      <c r="I5" s="1510" t="s">
        <v>1491</v>
      </c>
      <c r="L5" s="2881" t="str">
        <f>Main!C6</f>
        <v>CASBEE for Building Design (New Construction) 2024 Edition</v>
      </c>
      <c r="M5" s="1510" t="s">
        <v>1492</v>
      </c>
      <c r="N5" s="3827" t="str">
        <f>Main!C5</f>
        <v>CASBEE-BD_NCe_2024_v1.21</v>
      </c>
      <c r="O5" s="3828"/>
      <c r="Q5" s="3826"/>
      <c r="R5" s="47" t="s">
        <v>521</v>
      </c>
      <c r="S5" s="27"/>
      <c r="U5" s="47" t="s">
        <v>2366</v>
      </c>
    </row>
    <row r="6" spans="1:27" ht="6" customHeight="1" thickTop="1" thickBot="1">
      <c r="B6" s="32"/>
      <c r="J6" s="38"/>
      <c r="K6" s="38"/>
      <c r="L6" s="39"/>
      <c r="M6" s="35"/>
      <c r="N6" s="35"/>
      <c r="O6" s="35"/>
      <c r="S6" s="27"/>
    </row>
    <row r="7" spans="1:27" ht="19.5" customHeight="1" thickBot="1">
      <c r="B7" s="40" t="s">
        <v>1471</v>
      </c>
      <c r="C7" s="41"/>
      <c r="D7" s="42"/>
      <c r="E7" s="41"/>
      <c r="F7" s="41"/>
      <c r="G7" s="41"/>
      <c r="H7" s="43"/>
      <c r="I7" s="44"/>
      <c r="J7" s="44"/>
      <c r="K7" s="44"/>
      <c r="L7" s="45" t="s">
        <v>1490</v>
      </c>
      <c r="M7" s="41"/>
      <c r="N7" s="41"/>
      <c r="O7" s="46"/>
      <c r="R7" s="55" t="s">
        <v>553</v>
      </c>
      <c r="S7" s="55">
        <f>Score!AD8</f>
        <v>3.0000000000000004</v>
      </c>
      <c r="U7" s="56"/>
      <c r="V7" s="56" t="s">
        <v>522</v>
      </c>
      <c r="W7" s="57" t="s">
        <v>554</v>
      </c>
      <c r="X7" s="57">
        <v>4</v>
      </c>
      <c r="Y7" s="57">
        <v>2</v>
      </c>
      <c r="Z7" s="58" t="s">
        <v>3396</v>
      </c>
      <c r="AA7" s="55" t="s">
        <v>556</v>
      </c>
    </row>
    <row r="8" spans="1:27" ht="19.5" customHeight="1">
      <c r="B8" s="1503" t="s">
        <v>1472</v>
      </c>
      <c r="C8" s="48"/>
      <c r="D8" s="2346" t="str">
        <f>Main!C11</f>
        <v>XXX Building</v>
      </c>
      <c r="E8" s="48"/>
      <c r="F8" s="48"/>
      <c r="G8" s="49"/>
      <c r="H8" s="1508" t="s">
        <v>1481</v>
      </c>
      <c r="I8" s="50"/>
      <c r="J8" s="2347" t="str">
        <f>Main!C22</f>
        <v>+ XX F</v>
      </c>
      <c r="K8" s="51"/>
      <c r="L8" s="52"/>
      <c r="O8" s="54"/>
      <c r="R8" s="55" t="s">
        <v>557</v>
      </c>
      <c r="S8" s="55" t="e">
        <f>Score!AD121</f>
        <v>#VALUE!</v>
      </c>
      <c r="U8" s="58" t="s">
        <v>558</v>
      </c>
      <c r="V8" s="56" t="s">
        <v>1498</v>
      </c>
      <c r="W8" s="57">
        <v>5</v>
      </c>
      <c r="X8" s="57">
        <v>4</v>
      </c>
      <c r="Y8" s="57">
        <v>2</v>
      </c>
      <c r="Z8" s="64">
        <f>V46</f>
        <v>3</v>
      </c>
      <c r="AA8" s="55">
        <v>3</v>
      </c>
    </row>
    <row r="9" spans="1:27" ht="19.5" customHeight="1">
      <c r="B9" s="198" t="s">
        <v>1473</v>
      </c>
      <c r="C9" s="59"/>
      <c r="D9" s="2348" t="str">
        <f>Main!C12</f>
        <v>XX City, XX Prefecture</v>
      </c>
      <c r="E9" s="59"/>
      <c r="F9" s="65"/>
      <c r="G9" s="27"/>
      <c r="H9" s="1509" t="s">
        <v>1482</v>
      </c>
      <c r="I9" s="60"/>
      <c r="J9" s="2349" t="str">
        <f>Main!C23</f>
        <v>RC</v>
      </c>
      <c r="K9" s="61"/>
      <c r="L9" s="62"/>
      <c r="M9" s="27"/>
      <c r="N9" s="27"/>
      <c r="O9" s="63"/>
      <c r="R9" s="58" t="s">
        <v>50</v>
      </c>
      <c r="S9" s="58">
        <f>25*(S7-1)</f>
        <v>50.000000000000014</v>
      </c>
      <c r="U9" s="58" t="s">
        <v>137</v>
      </c>
      <c r="V9" s="69" t="s">
        <v>1499</v>
      </c>
      <c r="W9" s="57">
        <v>5</v>
      </c>
      <c r="X9" s="57">
        <v>4</v>
      </c>
      <c r="Y9" s="57">
        <v>2</v>
      </c>
      <c r="Z9" s="64">
        <f>Y46</f>
        <v>3</v>
      </c>
      <c r="AA9" s="55">
        <v>3</v>
      </c>
    </row>
    <row r="10" spans="1:27" ht="18.75" customHeight="1">
      <c r="B10" s="198" t="s">
        <v>1474</v>
      </c>
      <c r="C10" s="65"/>
      <c r="D10" s="2348" t="str">
        <f>Main!C14</f>
        <v>Commercial zone</v>
      </c>
      <c r="E10" s="65"/>
      <c r="F10" s="65"/>
      <c r="G10" s="27"/>
      <c r="H10" s="1508" t="s">
        <v>1483</v>
      </c>
      <c r="I10" s="50"/>
      <c r="J10" s="2350" t="str">
        <f>Main!C32</f>
        <v>XX</v>
      </c>
      <c r="K10" s="65" t="s">
        <v>1958</v>
      </c>
      <c r="L10" s="66"/>
      <c r="M10" s="67"/>
      <c r="N10" s="67"/>
      <c r="O10" s="68"/>
      <c r="R10" s="58" t="s">
        <v>523</v>
      </c>
      <c r="S10" s="58" t="e">
        <f>25*(5-S8)</f>
        <v>#VALUE!</v>
      </c>
      <c r="U10" s="58" t="s">
        <v>408</v>
      </c>
      <c r="V10" s="72" t="s">
        <v>1500</v>
      </c>
      <c r="W10" s="57">
        <v>5</v>
      </c>
      <c r="X10" s="57">
        <v>4</v>
      </c>
      <c r="Y10" s="57">
        <v>2</v>
      </c>
      <c r="Z10" s="64" t="e">
        <f>Y57</f>
        <v>#VALUE!</v>
      </c>
      <c r="AA10" s="55">
        <v>3</v>
      </c>
    </row>
    <row r="11" spans="1:27" ht="18.75" customHeight="1">
      <c r="B11" s="1824" t="s">
        <v>1957</v>
      </c>
      <c r="C11" s="70"/>
      <c r="D11" s="2349" t="str">
        <f>IF(Main!F12="","",Main!F12)</f>
        <v>Zone 3</v>
      </c>
      <c r="E11" s="70"/>
      <c r="F11" s="2351"/>
      <c r="G11" s="71"/>
      <c r="H11" s="1509" t="s">
        <v>1484</v>
      </c>
      <c r="I11" s="60"/>
      <c r="J11" s="2352" t="str">
        <f>IF(Main!I3=3,Main!C34,Main!C33)</f>
        <v>XXX</v>
      </c>
      <c r="K11" s="2353" t="str">
        <f>IF(Main!I3=3,Main!D34,Main!D33)</f>
        <v>hrs./yr. (assumed)</v>
      </c>
      <c r="L11" s="66"/>
      <c r="M11" s="67"/>
      <c r="N11" s="67"/>
      <c r="O11" s="68"/>
      <c r="R11" s="58" t="s">
        <v>142</v>
      </c>
      <c r="S11" s="58" t="e">
        <f>S9/S10</f>
        <v>#VALUE!</v>
      </c>
      <c r="U11" s="58" t="s">
        <v>550</v>
      </c>
      <c r="V11" s="72" t="s">
        <v>1501</v>
      </c>
      <c r="W11" s="57">
        <v>5</v>
      </c>
      <c r="X11" s="57">
        <v>4</v>
      </c>
      <c r="Y11" s="57">
        <v>2</v>
      </c>
      <c r="Z11" s="64">
        <f>V57</f>
        <v>3</v>
      </c>
      <c r="AA11" s="55">
        <v>3</v>
      </c>
    </row>
    <row r="12" spans="1:27" ht="18.75" customHeight="1">
      <c r="B12" s="1504" t="s">
        <v>1475</v>
      </c>
      <c r="C12" s="73"/>
      <c r="D12" s="2354" t="str">
        <f>Main!C21</f>
        <v xml:space="preserve"> Offices,</v>
      </c>
      <c r="E12" s="73"/>
      <c r="F12" s="73"/>
      <c r="G12" s="74"/>
      <c r="H12" s="1509" t="s">
        <v>1485</v>
      </c>
      <c r="I12" s="75"/>
      <c r="J12" s="2349" t="str">
        <f>IF(Main!E39=0,"",Main!E39)</f>
        <v>Execution design stage</v>
      </c>
      <c r="K12" s="76"/>
      <c r="L12" s="66"/>
      <c r="M12" s="2355" t="s">
        <v>2336</v>
      </c>
      <c r="N12" s="67"/>
      <c r="O12" s="68"/>
      <c r="R12" s="58" t="s">
        <v>138</v>
      </c>
      <c r="S12" s="79" t="e">
        <f>ROUNDDOWN(S11,1)</f>
        <v>#VALUE!</v>
      </c>
      <c r="U12" s="58" t="s">
        <v>139</v>
      </c>
      <c r="V12" s="72" t="s">
        <v>1502</v>
      </c>
      <c r="W12" s="57">
        <v>5</v>
      </c>
      <c r="X12" s="57">
        <v>4</v>
      </c>
      <c r="Y12" s="57">
        <v>2</v>
      </c>
      <c r="Z12" s="64">
        <f>S57</f>
        <v>4</v>
      </c>
      <c r="AA12" s="55">
        <v>3</v>
      </c>
    </row>
    <row r="13" spans="1:27" ht="17.25" customHeight="1">
      <c r="B13" s="1505" t="s">
        <v>1476</v>
      </c>
      <c r="C13" s="637"/>
      <c r="D13" s="3834">
        <f>Main!C15</f>
        <v>46447</v>
      </c>
      <c r="E13" s="3835"/>
      <c r="F13" s="2356" t="str">
        <f>Main!F15</f>
        <v>Scheduled</v>
      </c>
      <c r="G13" s="638"/>
      <c r="H13" s="1508" t="s">
        <v>1486</v>
      </c>
      <c r="I13" s="77"/>
      <c r="J13" s="2357">
        <f>IF(Main!C39=0,"",Main!C39)</f>
        <v>45846</v>
      </c>
      <c r="K13" s="78"/>
      <c r="L13" s="66"/>
      <c r="M13" s="2358"/>
      <c r="N13" s="67"/>
      <c r="O13" s="68"/>
      <c r="R13" s="58" t="s">
        <v>93</v>
      </c>
      <c r="S13" s="82" t="e">
        <f>IF(AND($S$9&gt;=50,$S$11&gt;=3),1,IF(S12&lt;0.5,1,IF(S12&lt;1,2,IF(S12&lt;1.5,3,IF(S12&lt;3,4,4))))/5)</f>
        <v>#VALUE!</v>
      </c>
      <c r="U13" s="58" t="s">
        <v>140</v>
      </c>
      <c r="V13" s="69" t="s">
        <v>1503</v>
      </c>
      <c r="W13" s="57">
        <v>5</v>
      </c>
      <c r="X13" s="57">
        <v>4</v>
      </c>
      <c r="Y13" s="57">
        <v>2</v>
      </c>
      <c r="Z13" s="64">
        <f>IF(S46=0,1,S46)</f>
        <v>3</v>
      </c>
      <c r="AA13" s="55">
        <v>3</v>
      </c>
    </row>
    <row r="14" spans="1:27" ht="17.25" hidden="1" customHeight="1">
      <c r="B14" s="1506" t="s">
        <v>1477</v>
      </c>
      <c r="C14" s="51"/>
      <c r="D14" s="3851" t="str">
        <f>Main!C16</f>
        <v>2016年６月～８月</v>
      </c>
      <c r="E14" s="3852"/>
      <c r="F14" s="1105"/>
      <c r="G14" s="1105"/>
      <c r="H14" s="1508"/>
      <c r="I14" s="77"/>
      <c r="J14" s="2359"/>
      <c r="K14" s="78"/>
      <c r="L14" s="66"/>
      <c r="M14" s="2358"/>
      <c r="N14" s="67"/>
      <c r="O14" s="68"/>
      <c r="R14" s="58" t="s">
        <v>94</v>
      </c>
      <c r="S14" s="87" t="e">
        <f>1-S13</f>
        <v>#VALUE!</v>
      </c>
    </row>
    <row r="15" spans="1:27" ht="14.25">
      <c r="B15" s="1507" t="s">
        <v>1478</v>
      </c>
      <c r="C15" s="639"/>
      <c r="D15" s="640"/>
      <c r="E15" s="2360">
        <f>Main!C17</f>
        <v>5000</v>
      </c>
      <c r="F15" s="2356" t="s">
        <v>2337</v>
      </c>
      <c r="G15" s="638"/>
      <c r="H15" s="1508" t="s">
        <v>1487</v>
      </c>
      <c r="I15" s="77"/>
      <c r="J15" s="2361" t="str">
        <f>IF(Main!C40=0,"",Main!C40)</f>
        <v>XXXXX</v>
      </c>
      <c r="K15" s="78"/>
      <c r="L15" s="66"/>
      <c r="M15" s="2358" t="s">
        <v>1493</v>
      </c>
      <c r="N15" s="67"/>
      <c r="O15" s="68"/>
      <c r="S15" s="27"/>
    </row>
    <row r="16" spans="1:27" ht="18.75" customHeight="1">
      <c r="B16" s="1508" t="s">
        <v>1479</v>
      </c>
      <c r="C16" s="80"/>
      <c r="D16" s="81"/>
      <c r="E16" s="2362">
        <f>Main!C18</f>
        <v>4000</v>
      </c>
      <c r="F16" s="2363" t="s">
        <v>2337</v>
      </c>
      <c r="G16" s="27"/>
      <c r="H16" s="1508" t="s">
        <v>1488</v>
      </c>
      <c r="I16" s="77"/>
      <c r="J16" s="2357">
        <f>IF(Main!C41=0,"",Main!C41)</f>
        <v>45848</v>
      </c>
      <c r="K16" s="78"/>
      <c r="L16" s="66"/>
      <c r="M16" s="67"/>
      <c r="N16" s="67"/>
      <c r="O16" s="68"/>
      <c r="S16" s="27"/>
      <c r="V16" s="18"/>
      <c r="Z16" s="18"/>
    </row>
    <row r="17" spans="2:28" ht="18" customHeight="1" thickBot="1">
      <c r="B17" s="1508" t="s">
        <v>1480</v>
      </c>
      <c r="C17" s="80"/>
      <c r="D17" s="81"/>
      <c r="E17" s="2364">
        <f>Main!J69</f>
        <v>7000</v>
      </c>
      <c r="F17" s="50" t="s">
        <v>2337</v>
      </c>
      <c r="G17" s="27"/>
      <c r="H17" s="1508" t="s">
        <v>1489</v>
      </c>
      <c r="I17" s="77"/>
      <c r="J17" s="2361" t="str">
        <f>IF(Main!C42=0,"",Main!C42)</f>
        <v>XXXXX</v>
      </c>
      <c r="K17" s="78"/>
      <c r="L17" s="84"/>
      <c r="M17" s="85"/>
      <c r="N17" s="85"/>
      <c r="O17" s="86"/>
      <c r="S17" s="27"/>
      <c r="T17" s="18"/>
      <c r="U17" s="88"/>
      <c r="V17" s="18"/>
      <c r="W17" s="18"/>
      <c r="X17" s="18"/>
      <c r="Y17" s="18"/>
      <c r="Z17" s="18"/>
      <c r="AA17" s="18"/>
      <c r="AB17" s="18"/>
    </row>
    <row r="18" spans="2:28" ht="15" hidden="1" thickBot="1">
      <c r="B18" s="591" t="s">
        <v>95</v>
      </c>
      <c r="C18" s="27"/>
      <c r="D18" s="592" t="s">
        <v>715</v>
      </c>
      <c r="E18"/>
      <c r="F18"/>
      <c r="G18"/>
      <c r="H18" s="1105"/>
      <c r="I18"/>
      <c r="J18"/>
      <c r="K18"/>
      <c r="L18" s="89" t="s">
        <v>96</v>
      </c>
      <c r="M18" s="90" t="s">
        <v>97</v>
      </c>
      <c r="N18" s="592" t="s">
        <v>715</v>
      </c>
      <c r="O18" s="63"/>
      <c r="R18" s="18"/>
      <c r="S18" s="18"/>
      <c r="T18" s="18"/>
      <c r="U18" s="18"/>
      <c r="V18" s="18"/>
      <c r="W18" s="18"/>
      <c r="X18" s="18"/>
      <c r="Y18" s="18"/>
      <c r="Z18" s="18"/>
      <c r="AA18" s="18"/>
      <c r="AB18" s="18"/>
    </row>
    <row r="19" spans="2:28" ht="15" hidden="1" thickBot="1">
      <c r="B19" s="591" t="s">
        <v>98</v>
      </c>
      <c r="C19" s="91"/>
      <c r="D19" s="592" t="s">
        <v>715</v>
      </c>
      <c r="E19"/>
      <c r="F19"/>
      <c r="G19"/>
      <c r="H19"/>
      <c r="I19"/>
      <c r="J19"/>
      <c r="K19"/>
      <c r="L19" s="92"/>
      <c r="M19" s="90" t="s">
        <v>99</v>
      </c>
      <c r="N19" s="592" t="s">
        <v>715</v>
      </c>
      <c r="O19" s="93"/>
      <c r="R19" s="83"/>
      <c r="S19" s="50"/>
      <c r="T19" s="18"/>
      <c r="U19" s="18"/>
      <c r="V19" s="50"/>
      <c r="W19" s="53"/>
      <c r="X19" s="18"/>
      <c r="Y19" s="18"/>
      <c r="Z19" s="18"/>
      <c r="AA19" s="18"/>
      <c r="AB19" s="18"/>
    </row>
    <row r="20" spans="2:28" ht="15" hidden="1" thickBot="1">
      <c r="B20" s="591" t="s">
        <v>100</v>
      </c>
      <c r="C20" s="50"/>
      <c r="D20" s="592" t="s">
        <v>715</v>
      </c>
      <c r="E20"/>
      <c r="F20"/>
      <c r="G20"/>
      <c r="H20"/>
      <c r="I20"/>
      <c r="J20"/>
      <c r="K20"/>
      <c r="L20" s="92"/>
      <c r="M20" s="90" t="s">
        <v>101</v>
      </c>
      <c r="N20" s="592" t="s">
        <v>715</v>
      </c>
      <c r="O20" s="93"/>
      <c r="R20" s="83"/>
      <c r="S20" s="50"/>
      <c r="T20" s="18"/>
      <c r="U20" s="18"/>
      <c r="V20" s="50"/>
      <c r="W20" s="53"/>
      <c r="X20" s="18"/>
      <c r="Y20" s="18"/>
      <c r="Z20" s="18"/>
      <c r="AA20" s="18"/>
      <c r="AB20" s="18"/>
    </row>
    <row r="21" spans="2:28" ht="15" hidden="1" thickBot="1">
      <c r="B21" s="591" t="s">
        <v>102</v>
      </c>
      <c r="C21" s="65"/>
      <c r="D21" s="592" t="s">
        <v>715</v>
      </c>
      <c r="E21"/>
      <c r="F21"/>
      <c r="G21"/>
      <c r="H21"/>
      <c r="I21"/>
      <c r="J21"/>
      <c r="K21"/>
      <c r="L21" s="96"/>
      <c r="M21" s="97" t="s">
        <v>103</v>
      </c>
      <c r="N21" s="592" t="s">
        <v>715</v>
      </c>
      <c r="O21" s="98"/>
      <c r="R21" s="83"/>
      <c r="S21" s="50"/>
      <c r="T21" s="18"/>
      <c r="U21" s="18"/>
      <c r="V21" s="50"/>
      <c r="W21" s="53"/>
      <c r="X21" s="18"/>
      <c r="Y21" s="18"/>
      <c r="Z21" s="18"/>
      <c r="AA21" s="18"/>
      <c r="AB21" s="18"/>
    </row>
    <row r="22" spans="2:28" ht="6.75" customHeight="1" thickBot="1">
      <c r="B22" s="99"/>
      <c r="C22" s="100"/>
      <c r="D22" s="99"/>
      <c r="E22" s="101"/>
      <c r="F22" s="101"/>
      <c r="G22" s="101"/>
      <c r="H22" s="101"/>
      <c r="I22" s="102"/>
      <c r="J22" s="103"/>
      <c r="K22" s="104"/>
      <c r="L22" s="101"/>
      <c r="M22" s="101"/>
      <c r="N22" s="101"/>
      <c r="O22" s="101"/>
      <c r="R22" s="83"/>
      <c r="S22" s="50"/>
      <c r="T22" s="18"/>
      <c r="U22" s="18"/>
      <c r="V22" s="50"/>
      <c r="W22" s="53"/>
      <c r="X22" s="18"/>
      <c r="Y22" s="18"/>
      <c r="Z22" s="18"/>
      <c r="AA22" s="18"/>
      <c r="AB22" s="18"/>
    </row>
    <row r="23" spans="2:28" ht="18.75" thickBot="1">
      <c r="B23" s="2391" t="s">
        <v>3394</v>
      </c>
      <c r="C23" s="106"/>
      <c r="D23" s="107"/>
      <c r="E23" s="108"/>
      <c r="F23" s="108"/>
      <c r="G23" s="108"/>
      <c r="H23" s="2392" t="s">
        <v>1392</v>
      </c>
      <c r="I23" s="109"/>
      <c r="J23" s="110"/>
      <c r="K23" s="110"/>
      <c r="L23" s="3855" t="str">
        <f>IF(SDGs!E3=AH40,AH39,U5)</f>
        <v>2-3 Built Environment SDGs Checklist</v>
      </c>
      <c r="M23" s="3856"/>
      <c r="N23" s="3856"/>
      <c r="O23" s="3857"/>
      <c r="R23" s="58" t="s">
        <v>141</v>
      </c>
      <c r="S23" s="56" t="s">
        <v>104</v>
      </c>
      <c r="T23" s="56" t="s">
        <v>105</v>
      </c>
      <c r="U23" s="56" t="s">
        <v>106</v>
      </c>
      <c r="AB23" s="18"/>
    </row>
    <row r="24" spans="2:28" ht="15" customHeight="1">
      <c r="B24" s="62"/>
      <c r="C24" s="27"/>
      <c r="D24" s="27"/>
      <c r="E24" s="27"/>
      <c r="F24" s="27"/>
      <c r="G24" s="27"/>
      <c r="H24" s="111"/>
      <c r="I24" s="112"/>
      <c r="J24" s="101"/>
      <c r="K24" s="113"/>
      <c r="L24" s="62"/>
      <c r="M24" s="27"/>
      <c r="N24" s="27"/>
      <c r="O24" s="63"/>
      <c r="P24" s="27"/>
      <c r="Q24" s="27"/>
      <c r="R24" s="58" t="s">
        <v>107</v>
      </c>
      <c r="S24" s="64"/>
      <c r="T24" s="115" t="e">
        <f>S10</f>
        <v>#VALUE!</v>
      </c>
      <c r="U24" s="64">
        <v>0</v>
      </c>
      <c r="V24" s="18"/>
      <c r="W24" s="56" t="s">
        <v>108</v>
      </c>
      <c r="X24" s="56"/>
      <c r="Y24" s="18"/>
      <c r="Z24" s="56" t="s">
        <v>109</v>
      </c>
      <c r="AA24" s="56"/>
      <c r="AB24" s="18"/>
    </row>
    <row r="25" spans="2:28" ht="15" customHeight="1">
      <c r="B25" s="116"/>
      <c r="C25" s="117" t="e">
        <f>S12</f>
        <v>#VALUE!</v>
      </c>
      <c r="D25" s="27"/>
      <c r="E25" s="27"/>
      <c r="F25" s="27"/>
      <c r="G25" s="27"/>
      <c r="H25" s="118"/>
      <c r="I25" s="119"/>
      <c r="J25" s="120"/>
      <c r="K25" s="121"/>
      <c r="L25" s="122"/>
      <c r="M25" s="27"/>
      <c r="N25" s="27"/>
      <c r="O25" s="63"/>
      <c r="P25" s="27"/>
      <c r="Q25" s="27"/>
      <c r="R25" s="58" t="s">
        <v>110</v>
      </c>
      <c r="S25" s="64"/>
      <c r="T25" s="115">
        <f>S9</f>
        <v>50.000000000000014</v>
      </c>
      <c r="U25" s="64">
        <v>0</v>
      </c>
      <c r="V25" s="18"/>
      <c r="W25" s="64">
        <v>50</v>
      </c>
      <c r="X25" s="64">
        <v>50</v>
      </c>
      <c r="Y25" s="18"/>
      <c r="Z25" s="64">
        <v>0</v>
      </c>
      <c r="AA25" s="64">
        <v>100</v>
      </c>
      <c r="AB25" s="18"/>
    </row>
    <row r="26" spans="2:28" ht="15" customHeight="1">
      <c r="B26" s="62"/>
      <c r="C26" s="27"/>
      <c r="D26" s="27"/>
      <c r="E26" s="27"/>
      <c r="F26" s="27"/>
      <c r="G26" s="27"/>
      <c r="H26" s="118"/>
      <c r="I26" s="27"/>
      <c r="J26" s="120"/>
      <c r="K26" s="121"/>
      <c r="L26" s="122"/>
      <c r="M26" s="27"/>
      <c r="N26" s="27"/>
      <c r="O26" s="63"/>
      <c r="P26" s="27"/>
      <c r="Q26" s="27"/>
      <c r="R26" s="64">
        <v>0</v>
      </c>
      <c r="S26" s="56" t="e">
        <f>T24</f>
        <v>#VALUE!</v>
      </c>
      <c r="T26" s="123" t="e">
        <f>T24</f>
        <v>#VALUE!</v>
      </c>
      <c r="U26" s="56">
        <v>0.1</v>
      </c>
      <c r="V26" s="18"/>
      <c r="W26" s="64">
        <v>0</v>
      </c>
      <c r="X26" s="64">
        <v>100</v>
      </c>
      <c r="Y26" s="18"/>
      <c r="Z26" s="64">
        <v>50</v>
      </c>
      <c r="AA26" s="64">
        <v>50</v>
      </c>
      <c r="AB26" s="18"/>
    </row>
    <row r="27" spans="2:28" ht="15" customHeight="1">
      <c r="B27" s="124"/>
      <c r="C27" s="125"/>
      <c r="D27" s="125"/>
      <c r="E27" s="125"/>
      <c r="F27" s="125"/>
      <c r="G27" s="125"/>
      <c r="H27" s="126"/>
      <c r="I27" s="127"/>
      <c r="J27" s="128"/>
      <c r="K27" s="129"/>
      <c r="L27" s="1444"/>
      <c r="M27" s="1445"/>
      <c r="N27" s="1446"/>
      <c r="O27" s="1447"/>
      <c r="P27" s="27"/>
      <c r="Q27" s="27"/>
      <c r="R27" s="64">
        <v>0</v>
      </c>
      <c r="S27" s="56">
        <v>0</v>
      </c>
      <c r="T27" s="56">
        <f>T25</f>
        <v>50.000000000000014</v>
      </c>
      <c r="U27" s="130">
        <f>T25</f>
        <v>50.000000000000014</v>
      </c>
      <c r="V27" s="18"/>
      <c r="W27" s="18"/>
      <c r="X27" s="18"/>
      <c r="Y27" s="18"/>
      <c r="Z27" s="18"/>
      <c r="AA27" s="18"/>
      <c r="AB27" s="18"/>
    </row>
    <row r="28" spans="2:28" ht="15" customHeight="1">
      <c r="B28" s="62"/>
      <c r="C28" s="27"/>
      <c r="D28" s="27"/>
      <c r="E28" s="27"/>
      <c r="F28" s="27"/>
      <c r="G28" s="27"/>
      <c r="H28" s="1511" t="str">
        <f>U36</f>
        <v>Std. Calc</v>
      </c>
      <c r="I28" s="27"/>
      <c r="J28" s="120"/>
      <c r="K28" s="120"/>
      <c r="L28" s="62"/>
      <c r="M28" s="27"/>
      <c r="N28" s="27"/>
      <c r="O28" s="63"/>
      <c r="P28" s="27"/>
      <c r="Q28" s="27"/>
      <c r="S28" s="27"/>
      <c r="V28" s="18"/>
      <c r="W28" s="18"/>
      <c r="X28" s="18"/>
      <c r="Y28" s="18"/>
      <c r="Z28" s="18"/>
      <c r="AA28" s="18"/>
      <c r="AB28" s="18"/>
    </row>
    <row r="29" spans="2:28" ht="15" customHeight="1">
      <c r="B29" s="62"/>
      <c r="C29" s="27"/>
      <c r="D29" s="27"/>
      <c r="E29" s="27"/>
      <c r="F29" s="27"/>
      <c r="G29" s="27"/>
      <c r="H29" s="62"/>
      <c r="I29" s="27"/>
      <c r="J29" s="120"/>
      <c r="K29" s="121"/>
      <c r="L29" s="131"/>
      <c r="M29" s="132"/>
      <c r="N29" s="133"/>
      <c r="O29" s="134"/>
      <c r="P29" s="27"/>
      <c r="Q29" s="27"/>
      <c r="R29" s="135" t="s">
        <v>142</v>
      </c>
      <c r="S29" s="56" t="s">
        <v>143</v>
      </c>
      <c r="T29" s="136">
        <v>0</v>
      </c>
      <c r="U29" s="136">
        <f>100/6</f>
        <v>16.666666666666668</v>
      </c>
      <c r="V29" s="137">
        <f>U29*2</f>
        <v>33.333333333333336</v>
      </c>
      <c r="W29" s="136">
        <f>U29*3</f>
        <v>50</v>
      </c>
      <c r="X29" s="136">
        <f>U29*4</f>
        <v>66.666666666666671</v>
      </c>
      <c r="Y29" s="136">
        <f>U29*5</f>
        <v>83.333333333333343</v>
      </c>
      <c r="Z29" s="136">
        <v>100</v>
      </c>
      <c r="AA29" s="18"/>
      <c r="AB29" s="18"/>
    </row>
    <row r="30" spans="2:28" ht="15" customHeight="1">
      <c r="B30" s="62"/>
      <c r="C30" s="27"/>
      <c r="D30" s="27"/>
      <c r="E30" s="27"/>
      <c r="F30" s="27"/>
      <c r="G30" s="27"/>
      <c r="H30" s="62"/>
      <c r="I30" s="27"/>
      <c r="J30" s="120"/>
      <c r="K30" s="121"/>
      <c r="L30" s="131"/>
      <c r="M30" s="132"/>
      <c r="N30" s="133"/>
      <c r="O30" s="134"/>
      <c r="P30" s="27"/>
      <c r="Q30" s="27"/>
      <c r="R30" s="135"/>
      <c r="S30" s="56" t="s">
        <v>144</v>
      </c>
      <c r="T30" s="136">
        <v>100</v>
      </c>
      <c r="U30" s="136">
        <v>100</v>
      </c>
      <c r="V30" s="136">
        <v>100</v>
      </c>
      <c r="W30" s="136">
        <v>100</v>
      </c>
      <c r="X30" s="136">
        <v>100</v>
      </c>
      <c r="Y30" s="136">
        <v>100</v>
      </c>
      <c r="Z30" s="136">
        <v>100</v>
      </c>
      <c r="AA30" s="18"/>
      <c r="AB30" s="18"/>
    </row>
    <row r="31" spans="2:28" ht="15" customHeight="1">
      <c r="B31" s="62"/>
      <c r="C31" s="27"/>
      <c r="D31" s="27"/>
      <c r="E31" s="27"/>
      <c r="F31" s="27"/>
      <c r="G31" s="27"/>
      <c r="H31" s="62"/>
      <c r="I31" s="27"/>
      <c r="J31" s="120"/>
      <c r="K31" s="121"/>
      <c r="L31" s="131"/>
      <c r="M31" s="132"/>
      <c r="N31" s="133"/>
      <c r="O31" s="134"/>
      <c r="P31" s="27"/>
      <c r="Q31" s="27"/>
      <c r="R31" s="135">
        <v>3</v>
      </c>
      <c r="S31" s="56" t="s">
        <v>145</v>
      </c>
      <c r="T31" s="136">
        <v>50</v>
      </c>
      <c r="U31" s="136">
        <f t="shared" ref="U31:X34" si="0">U$29*$R31</f>
        <v>50</v>
      </c>
      <c r="V31" s="136">
        <f t="shared" si="0"/>
        <v>100</v>
      </c>
      <c r="W31" s="136">
        <v>100</v>
      </c>
      <c r="X31" s="136">
        <v>100</v>
      </c>
      <c r="Y31" s="136">
        <v>100</v>
      </c>
      <c r="Z31" s="136">
        <v>100</v>
      </c>
      <c r="AA31" s="18"/>
      <c r="AB31" s="18"/>
    </row>
    <row r="32" spans="2:28" ht="15" customHeight="1">
      <c r="B32" s="62"/>
      <c r="C32" s="27"/>
      <c r="D32" s="27"/>
      <c r="E32" s="27"/>
      <c r="F32" s="27"/>
      <c r="G32" s="27"/>
      <c r="H32" s="62"/>
      <c r="I32" s="27"/>
      <c r="J32" s="120"/>
      <c r="K32" s="121"/>
      <c r="L32" s="131"/>
      <c r="M32" s="132"/>
      <c r="N32" s="133"/>
      <c r="O32" s="134"/>
      <c r="P32" s="27"/>
      <c r="Q32" s="27"/>
      <c r="R32" s="135">
        <v>1.5</v>
      </c>
      <c r="S32" s="56" t="s">
        <v>146</v>
      </c>
      <c r="T32" s="136">
        <v>0</v>
      </c>
      <c r="U32" s="136">
        <f t="shared" si="0"/>
        <v>25</v>
      </c>
      <c r="V32" s="136">
        <f t="shared" si="0"/>
        <v>50</v>
      </c>
      <c r="W32" s="136">
        <f t="shared" si="0"/>
        <v>75</v>
      </c>
      <c r="X32" s="136">
        <f t="shared" si="0"/>
        <v>100</v>
      </c>
      <c r="Y32" s="136">
        <v>100</v>
      </c>
      <c r="Z32" s="136">
        <v>100</v>
      </c>
      <c r="AA32" s="18"/>
      <c r="AB32" s="18"/>
    </row>
    <row r="33" spans="2:37" ht="15" customHeight="1">
      <c r="B33" s="62"/>
      <c r="C33" s="27"/>
      <c r="D33" s="27"/>
      <c r="E33" s="27"/>
      <c r="F33" s="27"/>
      <c r="G33" s="27"/>
      <c r="H33" s="62"/>
      <c r="I33" s="27"/>
      <c r="J33" s="120"/>
      <c r="K33" s="121"/>
      <c r="L33" s="131"/>
      <c r="M33" s="132"/>
      <c r="N33" s="133"/>
      <c r="O33" s="134"/>
      <c r="P33" s="27"/>
      <c r="Q33" s="27"/>
      <c r="R33" s="135">
        <v>1</v>
      </c>
      <c r="S33" s="56" t="s">
        <v>147</v>
      </c>
      <c r="T33" s="136">
        <v>0</v>
      </c>
      <c r="U33" s="136">
        <f t="shared" si="0"/>
        <v>16.666666666666668</v>
      </c>
      <c r="V33" s="136">
        <f t="shared" si="0"/>
        <v>33.333333333333336</v>
      </c>
      <c r="W33" s="136">
        <f t="shared" si="0"/>
        <v>50</v>
      </c>
      <c r="X33" s="136">
        <f t="shared" si="0"/>
        <v>66.666666666666671</v>
      </c>
      <c r="Y33" s="136">
        <f>Y$29*$R33</f>
        <v>83.333333333333343</v>
      </c>
      <c r="Z33" s="136">
        <f>Z$29*$R33</f>
        <v>100</v>
      </c>
      <c r="AA33" s="18"/>
      <c r="AB33" s="18"/>
    </row>
    <row r="34" spans="2:37" ht="15" customHeight="1">
      <c r="B34" s="62"/>
      <c r="C34" s="27"/>
      <c r="D34" s="27"/>
      <c r="E34" s="27"/>
      <c r="F34" s="27"/>
      <c r="G34" s="27"/>
      <c r="H34" s="62"/>
      <c r="I34" s="27"/>
      <c r="J34" s="120"/>
      <c r="K34" s="121"/>
      <c r="L34" s="131"/>
      <c r="M34" s="132"/>
      <c r="N34" s="133"/>
      <c r="O34" s="134"/>
      <c r="P34" s="27"/>
      <c r="Q34" s="27"/>
      <c r="R34" s="135">
        <v>0.5</v>
      </c>
      <c r="S34" s="56" t="s">
        <v>148</v>
      </c>
      <c r="T34" s="136">
        <v>0</v>
      </c>
      <c r="U34" s="136">
        <f t="shared" si="0"/>
        <v>8.3333333333333339</v>
      </c>
      <c r="V34" s="136">
        <f t="shared" si="0"/>
        <v>16.666666666666668</v>
      </c>
      <c r="W34" s="136">
        <f t="shared" si="0"/>
        <v>25</v>
      </c>
      <c r="X34" s="136">
        <f t="shared" si="0"/>
        <v>33.333333333333336</v>
      </c>
      <c r="Y34" s="136">
        <f>Y$29*$R34</f>
        <v>41.666666666666671</v>
      </c>
      <c r="Z34" s="136">
        <f>Z$29*$R34</f>
        <v>50</v>
      </c>
      <c r="AA34" s="18"/>
      <c r="AB34" s="18"/>
    </row>
    <row r="35" spans="2:37" ht="15" customHeight="1">
      <c r="B35" s="62"/>
      <c r="C35" s="27"/>
      <c r="D35" s="27"/>
      <c r="E35" s="27"/>
      <c r="F35" s="27"/>
      <c r="G35" s="27"/>
      <c r="H35" s="118"/>
      <c r="I35" s="119"/>
      <c r="J35" s="120"/>
      <c r="K35" s="121"/>
      <c r="L35" s="131"/>
      <c r="M35" s="27"/>
      <c r="N35" s="27"/>
      <c r="O35" s="63"/>
      <c r="P35" s="27"/>
      <c r="Q35" s="27"/>
      <c r="R35" s="142"/>
      <c r="S35" s="88"/>
      <c r="T35" s="143"/>
      <c r="U35" s="143"/>
      <c r="V35" s="143"/>
      <c r="W35" s="143"/>
      <c r="X35" s="143"/>
      <c r="Y35" s="143"/>
      <c r="Z35" s="143"/>
      <c r="AA35" s="18"/>
      <c r="AB35" s="18"/>
    </row>
    <row r="36" spans="2:37" ht="15" customHeight="1">
      <c r="B36" s="62"/>
      <c r="C36" s="27"/>
      <c r="D36" s="27"/>
      <c r="E36" s="27"/>
      <c r="F36" s="27"/>
      <c r="G36" s="27"/>
      <c r="H36" s="144"/>
      <c r="I36" s="145"/>
      <c r="J36" s="145"/>
      <c r="K36" s="146"/>
      <c r="L36" s="131"/>
      <c r="M36" s="27"/>
      <c r="N36" s="147"/>
      <c r="O36" s="63"/>
      <c r="P36" s="27"/>
      <c r="Q36" s="27"/>
      <c r="R36" s="58" t="s">
        <v>149</v>
      </c>
      <c r="S36" s="82" t="e">
        <f>IF(T36&lt;=0.3,1,IF(T36&lt;=0.6,0.8,IF(T36&lt;=0.8,0.6,IF(T36&lt;=1,0.4,0.2))))</f>
        <v>#VALUE!</v>
      </c>
      <c r="T36" s="143" t="e">
        <f>IF(U36=W36,Y42,Y43)</f>
        <v>#VALUE!</v>
      </c>
      <c r="U36" s="148" t="str">
        <f>Main!C43</f>
        <v>Std. Calc</v>
      </c>
      <c r="V36" s="149"/>
      <c r="W36" t="s">
        <v>1511</v>
      </c>
      <c r="X36" s="1481" t="str">
        <f>Result!X36</f>
        <v>This chart indicates rough estimate of WLC of evaluated building in LR3.1 "Consideration of Global Warming" compared with that of reference building.</v>
      </c>
      <c r="Y36" s="143"/>
      <c r="Z36" s="143"/>
      <c r="AA36" s="18"/>
      <c r="AB36" s="18"/>
    </row>
    <row r="37" spans="2:37" ht="15" customHeight="1">
      <c r="B37" s="62"/>
      <c r="C37" s="27"/>
      <c r="D37" s="27"/>
      <c r="E37" s="27"/>
      <c r="F37" s="27"/>
      <c r="G37" s="27"/>
      <c r="H37" s="3844" t="str">
        <f>IF(U36=W36,X36,X37)</f>
        <v>This chart indicates rough estimate of WLC of evaluated building in LR3.1 "Consideration of Global Warming" compared with that of reference building.</v>
      </c>
      <c r="I37" s="3845"/>
      <c r="J37" s="3845"/>
      <c r="K37" s="3846"/>
      <c r="L37" s="131"/>
      <c r="M37" s="27"/>
      <c r="N37" s="150"/>
      <c r="O37" s="63"/>
      <c r="P37" s="27"/>
      <c r="Q37" s="27"/>
      <c r="R37" s="58" t="s">
        <v>94</v>
      </c>
      <c r="S37" s="87" t="e">
        <f>1-S36</f>
        <v>#VALUE!</v>
      </c>
      <c r="T37" s="143"/>
      <c r="U37" s="148"/>
      <c r="V37" s="143"/>
      <c r="W37" t="s">
        <v>1510</v>
      </c>
      <c r="X37" s="1481" t="str">
        <f>Result!X37</f>
        <v>This chart indicates rough estimate of WLC calculated by the assessor (individual calculation)of evaluated building compared with that of reference building. Refer "WLC calculation conditions sheet (Indiv. calc)" to see the assumptions for the conditions.</v>
      </c>
      <c r="Y37" s="143"/>
      <c r="Z37" s="143"/>
      <c r="AA37" s="18"/>
      <c r="AB37" s="18"/>
    </row>
    <row r="38" spans="2:37" ht="15" customHeight="1">
      <c r="B38" s="62"/>
      <c r="C38" s="13"/>
      <c r="D38" s="27"/>
      <c r="E38" s="27"/>
      <c r="F38" s="27"/>
      <c r="G38" s="27"/>
      <c r="H38" s="3844"/>
      <c r="I38" s="3845"/>
      <c r="J38" s="3845"/>
      <c r="K38" s="3846"/>
      <c r="L38" s="62"/>
      <c r="M38" s="151"/>
      <c r="N38" s="27"/>
      <c r="O38" s="63"/>
      <c r="P38" s="27"/>
      <c r="Q38" s="27"/>
      <c r="S38" s="27"/>
      <c r="AA38" s="18"/>
      <c r="AB38" s="18"/>
    </row>
    <row r="39" spans="2:37" ht="15" customHeight="1" thickBot="1">
      <c r="B39" s="152"/>
      <c r="C39" s="94"/>
      <c r="D39" s="94"/>
      <c r="E39" s="94"/>
      <c r="F39" s="94"/>
      <c r="G39" s="94"/>
      <c r="H39" s="3847"/>
      <c r="I39" s="3848"/>
      <c r="J39" s="3848"/>
      <c r="K39" s="3849"/>
      <c r="L39" s="1448" t="s">
        <v>1391</v>
      </c>
      <c r="M39" s="153"/>
      <c r="N39" s="94"/>
      <c r="O39" s="154"/>
      <c r="P39" s="27"/>
      <c r="Q39" s="27"/>
      <c r="R39" s="155" t="s">
        <v>1504</v>
      </c>
      <c r="S39" s="156" t="s">
        <v>1505</v>
      </c>
      <c r="T39" s="156" t="s">
        <v>1512</v>
      </c>
      <c r="U39" s="156" t="s">
        <v>1507</v>
      </c>
      <c r="V39" s="156" t="s">
        <v>1508</v>
      </c>
      <c r="W39" s="156" t="s">
        <v>1509</v>
      </c>
      <c r="X39" s="156"/>
      <c r="Y39" s="156" t="str">
        <f>Result!Y39</f>
        <v>％</v>
      </c>
      <c r="Z39" s="156" t="str">
        <f>Result!Z39</f>
        <v>Sum</v>
      </c>
      <c r="AC39" s="1441"/>
      <c r="AD39" s="1442" t="s">
        <v>1246</v>
      </c>
      <c r="AH39" s="27" t="s">
        <v>1494</v>
      </c>
    </row>
    <row r="40" spans="2:37" ht="18" customHeight="1" thickBot="1">
      <c r="B40" s="157" t="s">
        <v>1393</v>
      </c>
      <c r="C40" s="158"/>
      <c r="D40" s="159"/>
      <c r="E40" s="158"/>
      <c r="F40" s="158"/>
      <c r="G40" s="158"/>
      <c r="H40" s="2365"/>
      <c r="I40" s="160"/>
      <c r="J40" s="158"/>
      <c r="K40" s="158"/>
      <c r="L40" s="158"/>
      <c r="M40" s="161"/>
      <c r="N40" s="161"/>
      <c r="O40" s="2366"/>
      <c r="R40" s="55" t="s">
        <v>121</v>
      </c>
      <c r="S40" s="156">
        <f>Result!S40</f>
        <v>18.22</v>
      </c>
      <c r="T40" s="156">
        <f>Result!T40</f>
        <v>20.11</v>
      </c>
      <c r="U40" s="156" t="e">
        <f>Result!U40</f>
        <v>#VALUE!</v>
      </c>
      <c r="V40" s="156">
        <f>Result!V40</f>
        <v>0</v>
      </c>
      <c r="W40" s="156">
        <f>Result!W40</f>
        <v>0</v>
      </c>
      <c r="X40" s="156">
        <f>Result!X40</f>
        <v>0</v>
      </c>
      <c r="Y40" s="1483">
        <f>Result!Y40</f>
        <v>1</v>
      </c>
      <c r="Z40" s="156" t="e">
        <f>Result!Z40</f>
        <v>#VALUE!</v>
      </c>
      <c r="AC40" s="1442" t="s">
        <v>1247</v>
      </c>
      <c r="AD40" s="1443">
        <f>SDGs!AL203</f>
        <v>2.1428571428571428</v>
      </c>
      <c r="AH40" s="27" t="str">
        <f>SDGs!Q2</f>
        <v>implemented</v>
      </c>
    </row>
    <row r="41" spans="2:37" ht="18.75">
      <c r="B41" s="163" t="s">
        <v>1394</v>
      </c>
      <c r="C41" s="164"/>
      <c r="D41" s="164"/>
      <c r="E41" s="165"/>
      <c r="F41" s="164"/>
      <c r="G41" s="164"/>
      <c r="H41" s="164"/>
      <c r="I41" s="164"/>
      <c r="J41" s="164"/>
      <c r="K41" s="2367"/>
      <c r="L41" s="2368"/>
      <c r="M41" s="166" t="s">
        <v>1397</v>
      </c>
      <c r="N41" s="167">
        <f>Score!U8</f>
        <v>3</v>
      </c>
      <c r="O41" s="2369"/>
      <c r="R41" s="55" t="s">
        <v>122</v>
      </c>
      <c r="S41" s="156">
        <f>Result!S41</f>
        <v>18.22</v>
      </c>
      <c r="T41" s="156">
        <f>Result!T41</f>
        <v>20.11</v>
      </c>
      <c r="U41" s="156" t="e">
        <f>Result!U41</f>
        <v>#VALUE!</v>
      </c>
      <c r="V41" s="156">
        <f>Result!V41</f>
        <v>0</v>
      </c>
      <c r="W41" s="156">
        <f>Result!W41</f>
        <v>0</v>
      </c>
      <c r="X41" s="156">
        <f>Result!X41</f>
        <v>0</v>
      </c>
      <c r="Y41" s="1483" t="e">
        <f>Result!Y41</f>
        <v>#VALUE!</v>
      </c>
      <c r="Z41" s="156" t="e">
        <f>Result!Z41</f>
        <v>#VALUE!</v>
      </c>
      <c r="AA41" s="27" t="str">
        <f>WLC!R129</f>
        <v>N.A.</v>
      </c>
      <c r="AC41" s="1442" t="s">
        <v>1234</v>
      </c>
      <c r="AD41" s="1443">
        <f>SDGs!AL204</f>
        <v>2</v>
      </c>
    </row>
    <row r="42" spans="2:37" ht="15">
      <c r="B42" s="62"/>
      <c r="C42" s="47" t="str">
        <f>Score!B9&amp;" "&amp;Score!C9</f>
        <v xml:space="preserve">Q1 Indoor Environment </v>
      </c>
      <c r="D42" s="168"/>
      <c r="E42" s="168"/>
      <c r="F42" s="168"/>
      <c r="G42" s="168"/>
      <c r="H42" s="168" t="str">
        <f>"     "&amp;Score!B62&amp;" "&amp;Score!C62</f>
        <v xml:space="preserve">     Q2 Quality of Service </v>
      </c>
      <c r="I42" s="168"/>
      <c r="J42" s="18"/>
      <c r="K42" s="18"/>
      <c r="L42" s="169" t="str">
        <f>Score!B112&amp;" "&amp;Score!C112</f>
        <v xml:space="preserve">Q3 Outdoor Environment on Site </v>
      </c>
      <c r="M42" s="169"/>
      <c r="N42" s="18"/>
      <c r="O42" s="93"/>
      <c r="R42" s="55" t="s">
        <v>123</v>
      </c>
      <c r="S42" s="156">
        <f>Result!S42</f>
        <v>0</v>
      </c>
      <c r="T42" s="156">
        <f>Result!T42</f>
        <v>0</v>
      </c>
      <c r="U42" s="156">
        <f>Result!U42</f>
        <v>0</v>
      </c>
      <c r="V42" s="156" t="e">
        <f>Result!V42</f>
        <v>#VALUE!</v>
      </c>
      <c r="W42" s="156">
        <f>Result!W42</f>
        <v>0</v>
      </c>
      <c r="X42" s="156">
        <f>Result!X42</f>
        <v>0</v>
      </c>
      <c r="Y42" s="1483" t="e">
        <f>Result!Y42</f>
        <v>#VALUE!</v>
      </c>
      <c r="Z42" s="156" t="e">
        <f>Result!Z42</f>
        <v>#VALUE!</v>
      </c>
      <c r="AA42" s="27" t="str">
        <f>WLC!R129</f>
        <v>N.A.</v>
      </c>
      <c r="AC42" s="1442" t="s">
        <v>1235</v>
      </c>
      <c r="AD42" s="1443">
        <f>SDGs!AL205</f>
        <v>2</v>
      </c>
    </row>
    <row r="43" spans="2:37" ht="15" customHeight="1">
      <c r="B43" s="62"/>
      <c r="C43" s="32"/>
      <c r="D43" s="170"/>
      <c r="E43" s="2370"/>
      <c r="F43" s="27"/>
      <c r="G43" s="168">
        <f>S46</f>
        <v>3</v>
      </c>
      <c r="H43" s="27"/>
      <c r="I43" s="2370"/>
      <c r="J43" s="27"/>
      <c r="K43" s="168">
        <f>V46</f>
        <v>3</v>
      </c>
      <c r="L43" s="27"/>
      <c r="M43" s="171"/>
      <c r="N43" s="2370"/>
      <c r="O43" s="172">
        <f>Y46</f>
        <v>3</v>
      </c>
      <c r="R43" s="55" t="s">
        <v>124</v>
      </c>
      <c r="S43" s="156">
        <f>Result!S43</f>
        <v>0</v>
      </c>
      <c r="T43" s="156">
        <f>Result!T43</f>
        <v>0</v>
      </c>
      <c r="U43" s="156">
        <f>Result!U43</f>
        <v>0</v>
      </c>
      <c r="V43" s="156">
        <f>Result!V43</f>
        <v>0</v>
      </c>
      <c r="W43" s="156" t="e">
        <f>Result!W43</f>
        <v>#VALUE!</v>
      </c>
      <c r="X43" s="156" t="e">
        <f>Result!X43</f>
        <v>#VALUE!</v>
      </c>
      <c r="Y43" s="1483" t="e">
        <f>Result!Y43</f>
        <v>#VALUE!</v>
      </c>
      <c r="Z43" s="156" t="e">
        <f>Result!Z43</f>
        <v>#VALUE!</v>
      </c>
      <c r="AA43" s="27" t="str">
        <f>WLC!R129</f>
        <v>N.A.</v>
      </c>
      <c r="AC43" s="1442" t="s">
        <v>1236</v>
      </c>
      <c r="AD43" s="1443">
        <f>SDGs!AL206</f>
        <v>1.7857142857142858</v>
      </c>
      <c r="AH43" s="3853" t="s">
        <v>3397</v>
      </c>
      <c r="AI43" s="3853"/>
      <c r="AJ43" s="3853"/>
      <c r="AK43" s="1449" t="e">
        <f>SDGs!AN201</f>
        <v>#VALUE!</v>
      </c>
    </row>
    <row r="44" spans="2:37" ht="15" customHeight="1">
      <c r="B44" s="62"/>
      <c r="C44" s="27"/>
      <c r="D44" s="27"/>
      <c r="E44" s="27"/>
      <c r="F44" s="27"/>
      <c r="L44" s="18"/>
      <c r="M44" s="18"/>
      <c r="N44" s="18"/>
      <c r="O44" s="93"/>
      <c r="S44" s="27"/>
      <c r="AA44" s="18"/>
      <c r="AB44" s="18"/>
      <c r="AC44" s="1442" t="s">
        <v>1237</v>
      </c>
      <c r="AD44" s="1443" t="e">
        <f>SDGs!AL207</f>
        <v>#VALUE!</v>
      </c>
      <c r="AF44" s="173"/>
      <c r="AG44" s="173"/>
      <c r="AH44" s="3853" t="s">
        <v>3398</v>
      </c>
      <c r="AI44" s="3853"/>
      <c r="AJ44" s="3853"/>
      <c r="AK44" s="1450" t="e">
        <f>IF(AK43="N/A",0,IF(AK43=1,1,IF(AK43&lt;1.5,1,IF(AK43&lt;2.5,2,IF(AK43&lt;3.5,3,IF(AK43&lt;4.5,4,5)))))/5)</f>
        <v>#VALUE!</v>
      </c>
    </row>
    <row r="45" spans="2:37" ht="15" customHeight="1">
      <c r="B45" s="62"/>
      <c r="C45" s="27"/>
      <c r="D45" s="27"/>
      <c r="E45" s="27"/>
      <c r="F45" s="27"/>
      <c r="L45" s="18"/>
      <c r="M45" s="18"/>
      <c r="N45" s="18"/>
      <c r="O45" s="93"/>
      <c r="R45" s="58"/>
      <c r="S45" s="58" t="s">
        <v>3396</v>
      </c>
      <c r="T45" s="58" t="s">
        <v>125</v>
      </c>
      <c r="U45" s="58"/>
      <c r="V45" s="58" t="s">
        <v>3396</v>
      </c>
      <c r="W45" s="58" t="s">
        <v>125</v>
      </c>
      <c r="X45" s="58"/>
      <c r="Y45" s="58" t="s">
        <v>3396</v>
      </c>
      <c r="Z45" s="58" t="s">
        <v>125</v>
      </c>
      <c r="AA45" s="18"/>
      <c r="AB45" s="18"/>
      <c r="AC45" s="1442" t="s">
        <v>1238</v>
      </c>
      <c r="AD45" s="1443">
        <f>SDGs!AL208</f>
        <v>2</v>
      </c>
      <c r="AH45" s="3854" t="s">
        <v>3399</v>
      </c>
      <c r="AI45" s="3854"/>
      <c r="AJ45" s="3854"/>
      <c r="AK45" s="1450" t="e">
        <f>1-AK44</f>
        <v>#VALUE!</v>
      </c>
    </row>
    <row r="46" spans="2:37" ht="15" customHeight="1">
      <c r="B46" s="62"/>
      <c r="C46" s="27"/>
      <c r="D46" s="27"/>
      <c r="E46" s="27"/>
      <c r="F46" s="27"/>
      <c r="L46" s="18"/>
      <c r="M46" s="18"/>
      <c r="N46" s="18"/>
      <c r="O46" s="93"/>
      <c r="R46" s="174" t="str">
        <f>V13</f>
        <v>Q1 Indoor 
Environment</v>
      </c>
      <c r="S46" s="175">
        <f>Score!U9</f>
        <v>3</v>
      </c>
      <c r="T46" s="58">
        <f>Score!AD9</f>
        <v>3</v>
      </c>
      <c r="U46" s="56" t="str">
        <f>V8</f>
        <v>Q2 Quality of Service</v>
      </c>
      <c r="V46" s="176">
        <f>Score!U62</f>
        <v>3</v>
      </c>
      <c r="W46" s="58">
        <f>Score!AD62</f>
        <v>3.0000000000000004</v>
      </c>
      <c r="X46" s="174" t="str">
        <f>V9</f>
        <v>Q3 Outdoor 
Environment 
on Site</v>
      </c>
      <c r="Y46" s="176">
        <f>Score!U112</f>
        <v>3</v>
      </c>
      <c r="Z46" s="58">
        <f>Score!AD112</f>
        <v>3</v>
      </c>
      <c r="AA46" s="18"/>
      <c r="AB46" s="18"/>
      <c r="AC46" s="1442" t="s">
        <v>1239</v>
      </c>
      <c r="AD46" s="1443">
        <f>SDGs!AL209</f>
        <v>1.75</v>
      </c>
    </row>
    <row r="47" spans="2:37" ht="15" customHeight="1">
      <c r="B47" s="62"/>
      <c r="C47" s="27"/>
      <c r="D47" s="27"/>
      <c r="E47" s="27"/>
      <c r="F47" s="27"/>
      <c r="L47" s="18"/>
      <c r="M47" s="18"/>
      <c r="N47" s="18"/>
      <c r="O47" s="93"/>
      <c r="S47" s="27"/>
      <c r="AA47" s="18"/>
      <c r="AB47" s="18"/>
      <c r="AC47" s="1442" t="s">
        <v>1248</v>
      </c>
      <c r="AD47" s="1443">
        <f>SDGs!AL210</f>
        <v>1.8833333333333333</v>
      </c>
    </row>
    <row r="48" spans="2:37" ht="15" customHeight="1">
      <c r="B48" s="62"/>
      <c r="C48" s="27"/>
      <c r="D48" s="27"/>
      <c r="E48" s="27"/>
      <c r="F48" s="27"/>
      <c r="L48" s="18"/>
      <c r="M48" s="18"/>
      <c r="N48" s="18"/>
      <c r="O48" s="93"/>
      <c r="R48" s="58"/>
      <c r="S48" s="58" t="s">
        <v>3396</v>
      </c>
      <c r="T48" s="58" t="s">
        <v>354</v>
      </c>
      <c r="U48" s="58"/>
      <c r="V48" s="58" t="s">
        <v>3396</v>
      </c>
      <c r="W48" s="58" t="s">
        <v>354</v>
      </c>
      <c r="X48" s="58"/>
      <c r="Y48" s="177" t="s">
        <v>3396</v>
      </c>
      <c r="Z48" s="58" t="s">
        <v>354</v>
      </c>
      <c r="AA48" s="18"/>
      <c r="AB48" s="18"/>
      <c r="AC48" s="1442" t="s">
        <v>1241</v>
      </c>
      <c r="AD48" s="1443" t="e">
        <f>SDGs!AL211</f>
        <v>#VALUE!</v>
      </c>
    </row>
    <row r="49" spans="2:30" ht="15" customHeight="1">
      <c r="B49" s="62"/>
      <c r="C49" s="27"/>
      <c r="D49" s="27"/>
      <c r="E49" s="27"/>
      <c r="F49" s="27"/>
      <c r="G49" s="178"/>
      <c r="H49" s="178"/>
      <c r="L49" s="18"/>
      <c r="M49" s="18"/>
      <c r="N49" s="18"/>
      <c r="O49" s="93"/>
      <c r="R49" s="179" t="s">
        <v>169</v>
      </c>
      <c r="S49" s="175">
        <f>Score!U10</f>
        <v>3</v>
      </c>
      <c r="T49" s="58" t="str">
        <f>IF(S49=0,"N.A.","")</f>
        <v/>
      </c>
      <c r="U49" s="56" t="s">
        <v>170</v>
      </c>
      <c r="V49" s="176">
        <f>Score!U63</f>
        <v>3</v>
      </c>
      <c r="W49" s="58" t="str">
        <f>IF(V49=0,"N.A.","")</f>
        <v/>
      </c>
      <c r="X49" s="179" t="s">
        <v>171</v>
      </c>
      <c r="Y49" s="176">
        <f>Score!U113</f>
        <v>3</v>
      </c>
      <c r="Z49" s="58" t="str">
        <f>IF(Y49=0,"N.A.","")</f>
        <v/>
      </c>
      <c r="AA49" s="18"/>
      <c r="AB49" s="18"/>
      <c r="AC49" s="1442" t="s">
        <v>1242</v>
      </c>
      <c r="AD49" s="1443" t="e">
        <f>SDGs!AL212</f>
        <v>#VALUE!</v>
      </c>
    </row>
    <row r="50" spans="2:30" ht="15" customHeight="1">
      <c r="B50" s="62"/>
      <c r="C50" s="27"/>
      <c r="D50" s="27"/>
      <c r="E50" s="27"/>
      <c r="F50" s="27"/>
      <c r="G50" s="178"/>
      <c r="H50" s="178"/>
      <c r="L50" s="18"/>
      <c r="M50" s="18"/>
      <c r="N50" s="18"/>
      <c r="O50" s="93"/>
      <c r="R50" s="179" t="s">
        <v>172</v>
      </c>
      <c r="S50" s="175">
        <f>Score!U20</f>
        <v>3</v>
      </c>
      <c r="T50" s="58" t="str">
        <f>IF(S50=0,"N.A.","")</f>
        <v/>
      </c>
      <c r="U50" s="56" t="s">
        <v>173</v>
      </c>
      <c r="V50" s="176">
        <f>Score!U78</f>
        <v>3</v>
      </c>
      <c r="W50" s="58" t="str">
        <f>IF(V50=0,"N.A.","")</f>
        <v/>
      </c>
      <c r="X50" s="179" t="s">
        <v>355</v>
      </c>
      <c r="Y50" s="176">
        <f>Score!U116</f>
        <v>3</v>
      </c>
      <c r="Z50" s="58" t="str">
        <f>IF(Y50=0,"N.A.","")</f>
        <v/>
      </c>
      <c r="AA50" s="18"/>
      <c r="AB50" s="18"/>
      <c r="AC50" s="1442" t="s">
        <v>1243</v>
      </c>
      <c r="AD50" s="1443">
        <f>SDGs!AL213</f>
        <v>1.375</v>
      </c>
    </row>
    <row r="51" spans="2:30" ht="15" customHeight="1">
      <c r="B51" s="62"/>
      <c r="C51" s="27"/>
      <c r="D51" s="27"/>
      <c r="E51" s="27"/>
      <c r="F51" s="27"/>
      <c r="G51" s="78"/>
      <c r="H51" s="75"/>
      <c r="I51" s="180"/>
      <c r="J51" s="180"/>
      <c r="K51" s="181"/>
      <c r="L51" s="182"/>
      <c r="M51" s="182"/>
      <c r="N51" s="182"/>
      <c r="O51" s="183"/>
      <c r="R51" s="179" t="s">
        <v>174</v>
      </c>
      <c r="S51" s="175">
        <f>Score!U35</f>
        <v>3</v>
      </c>
      <c r="T51" s="58" t="str">
        <f>IF(S51=0,"N.A.","")</f>
        <v/>
      </c>
      <c r="U51" s="56" t="s">
        <v>175</v>
      </c>
      <c r="V51" s="176">
        <f>Score!U100</f>
        <v>3</v>
      </c>
      <c r="W51" s="58" t="str">
        <f>IF(V51=0,"N.A.","")</f>
        <v/>
      </c>
      <c r="X51" s="179" t="s">
        <v>14</v>
      </c>
      <c r="Y51" s="176">
        <f>Score!U117</f>
        <v>3</v>
      </c>
      <c r="Z51" s="58" t="str">
        <f>IF(Y51=0,"N.A.","")</f>
        <v/>
      </c>
      <c r="AA51" s="18"/>
      <c r="AB51" s="18"/>
      <c r="AC51" s="1442" t="s">
        <v>1249</v>
      </c>
      <c r="AD51" s="1443">
        <f>SDGs!AL214</f>
        <v>2.1666666666666665</v>
      </c>
    </row>
    <row r="52" spans="2:30" ht="18" customHeight="1">
      <c r="B52" s="184" t="s">
        <v>1395</v>
      </c>
      <c r="C52" s="185"/>
      <c r="D52" s="186"/>
      <c r="E52" s="185"/>
      <c r="F52" s="185"/>
      <c r="G52" s="185"/>
      <c r="H52" s="164"/>
      <c r="I52" s="164"/>
      <c r="J52" s="164"/>
      <c r="K52" s="2367"/>
      <c r="L52" s="2368"/>
      <c r="M52" s="166" t="s">
        <v>1396</v>
      </c>
      <c r="N52" s="187" t="e">
        <f>Score!U121</f>
        <v>#VALUE!</v>
      </c>
      <c r="O52" s="2369"/>
      <c r="R52" s="179" t="s">
        <v>15</v>
      </c>
      <c r="S52" s="175">
        <f>Score!U48</f>
        <v>3</v>
      </c>
      <c r="T52" s="58" t="str">
        <f>IF(S52=0,"N.A.","")</f>
        <v/>
      </c>
      <c r="U52" s="18"/>
      <c r="V52" s="18"/>
      <c r="W52" s="18"/>
      <c r="X52" s="18"/>
      <c r="Y52" s="18"/>
      <c r="Z52" s="18"/>
      <c r="AA52" s="18"/>
      <c r="AB52" s="18"/>
    </row>
    <row r="53" spans="2:30" ht="15">
      <c r="B53" s="188"/>
      <c r="C53" s="169" t="str">
        <f>Score!B122&amp;" "&amp;Score!C122</f>
        <v>LR1 Energy Energy</v>
      </c>
      <c r="D53" s="169"/>
      <c r="E53" s="189"/>
      <c r="F53" s="169"/>
      <c r="G53" s="169"/>
      <c r="H53" s="169" t="str">
        <f>"     "&amp;Score!B147&amp;" "&amp;Score!C147</f>
        <v xml:space="preserve">     LR2 Resources &amp; Materials </v>
      </c>
      <c r="I53" s="169"/>
      <c r="J53" s="169"/>
      <c r="K53" s="169"/>
      <c r="L53" s="47" t="str">
        <f>Score!B174&amp;" "&amp;Score!C174</f>
        <v xml:space="preserve">LR3 Off-site Environment </v>
      </c>
      <c r="M53" s="169"/>
      <c r="N53" s="169"/>
      <c r="O53" s="190"/>
      <c r="R53" s="18"/>
      <c r="S53" s="18"/>
      <c r="T53" s="58"/>
      <c r="U53" s="18"/>
      <c r="V53" s="18"/>
      <c r="W53" s="18"/>
      <c r="X53" s="18"/>
      <c r="Y53" s="18"/>
      <c r="Z53" s="18"/>
      <c r="AA53" s="18"/>
      <c r="AB53" s="18"/>
    </row>
    <row r="54" spans="2:30" ht="15">
      <c r="B54" s="191"/>
      <c r="C54" s="32"/>
      <c r="D54" s="170"/>
      <c r="E54" s="2370"/>
      <c r="F54" s="27"/>
      <c r="G54" s="168">
        <f>S57</f>
        <v>4</v>
      </c>
      <c r="H54" s="27"/>
      <c r="I54" s="2370"/>
      <c r="J54" s="27"/>
      <c r="K54" s="168">
        <f>V57</f>
        <v>3</v>
      </c>
      <c r="L54" s="2370"/>
      <c r="M54" s="27"/>
      <c r="N54" s="192"/>
      <c r="O54" s="172" t="e">
        <f>Y57</f>
        <v>#VALUE!</v>
      </c>
      <c r="R54" s="18" t="str">
        <f>IF(S49=0,"N.A.","")</f>
        <v/>
      </c>
      <c r="S54" s="18"/>
      <c r="T54" s="18"/>
      <c r="U54" s="18"/>
      <c r="V54" s="18"/>
      <c r="W54" s="18"/>
      <c r="X54" s="18"/>
      <c r="Y54" s="18"/>
      <c r="Z54" s="18"/>
      <c r="AA54" s="18"/>
      <c r="AB54" s="18"/>
    </row>
    <row r="55" spans="2:30" ht="14.25">
      <c r="B55" s="191"/>
      <c r="C55" s="193"/>
      <c r="D55" s="193"/>
      <c r="E55" s="194"/>
      <c r="F55" s="78"/>
      <c r="G55" s="78"/>
      <c r="H55" s="78"/>
      <c r="O55" s="54"/>
      <c r="S55" s="27"/>
      <c r="AA55" s="18"/>
      <c r="AB55" s="18"/>
    </row>
    <row r="56" spans="2:30" ht="15.75" customHeight="1">
      <c r="B56" s="191"/>
      <c r="C56" s="53"/>
      <c r="D56" s="195"/>
      <c r="I56" s="196"/>
      <c r="O56" s="54"/>
      <c r="R56" s="58"/>
      <c r="S56" s="58" t="s">
        <v>3396</v>
      </c>
      <c r="T56" s="58" t="s">
        <v>125</v>
      </c>
      <c r="U56" s="58"/>
      <c r="V56" s="58" t="s">
        <v>3396</v>
      </c>
      <c r="W56" s="58" t="s">
        <v>125</v>
      </c>
      <c r="X56" s="58"/>
      <c r="Y56" s="58" t="s">
        <v>3396</v>
      </c>
      <c r="Z56" s="58" t="s">
        <v>125</v>
      </c>
      <c r="AA56" s="18"/>
      <c r="AB56" s="18"/>
    </row>
    <row r="57" spans="2:30" ht="15.75" customHeight="1">
      <c r="B57" s="191"/>
      <c r="I57" s="196"/>
      <c r="O57" s="54"/>
      <c r="R57" s="56" t="str">
        <f>V12</f>
        <v>LR1 Energy</v>
      </c>
      <c r="S57" s="176">
        <f>Score!U122</f>
        <v>4</v>
      </c>
      <c r="T57" s="58">
        <f>Score!AD122</f>
        <v>4</v>
      </c>
      <c r="U57" s="56" t="str">
        <f>V11</f>
        <v>LR2 Resources &amp; Materials</v>
      </c>
      <c r="V57" s="197">
        <f>Score!U147</f>
        <v>3</v>
      </c>
      <c r="W57" s="58">
        <f>Score!AD147</f>
        <v>3.0000000000000004</v>
      </c>
      <c r="X57" s="56" t="str">
        <f>V10</f>
        <v>LR3 Off-site 
Environment</v>
      </c>
      <c r="Y57" s="176" t="e">
        <f>Score!U174</f>
        <v>#VALUE!</v>
      </c>
      <c r="Z57" s="58" t="e">
        <f>Score!AD174</f>
        <v>#VALUE!</v>
      </c>
      <c r="AA57" s="18"/>
      <c r="AB57" s="18"/>
    </row>
    <row r="58" spans="2:30" ht="15.75" customHeight="1">
      <c r="B58" s="198"/>
      <c r="I58" s="196"/>
      <c r="O58" s="54"/>
      <c r="S58" s="27"/>
      <c r="Y58" s="199"/>
      <c r="AA58" s="18"/>
      <c r="AB58" s="18"/>
    </row>
    <row r="59" spans="2:30" ht="15.75" customHeight="1">
      <c r="B59" s="198"/>
      <c r="I59" s="196"/>
      <c r="O59" s="54"/>
      <c r="R59" s="58"/>
      <c r="S59" s="58" t="s">
        <v>3396</v>
      </c>
      <c r="T59" s="58" t="s">
        <v>354</v>
      </c>
      <c r="U59" s="58"/>
      <c r="V59" s="58" t="s">
        <v>3396</v>
      </c>
      <c r="W59" s="58" t="s">
        <v>354</v>
      </c>
      <c r="X59" s="58"/>
      <c r="Y59" s="177" t="s">
        <v>3396</v>
      </c>
      <c r="Z59" s="58" t="s">
        <v>354</v>
      </c>
      <c r="AA59" s="18"/>
      <c r="AB59" s="18"/>
    </row>
    <row r="60" spans="2:30" ht="15.75" customHeight="1">
      <c r="B60" s="198"/>
      <c r="I60" s="196"/>
      <c r="O60" s="54"/>
      <c r="R60" s="56" t="s">
        <v>548</v>
      </c>
      <c r="S60" s="200">
        <f>Score!U123</f>
        <v>3</v>
      </c>
      <c r="T60" s="58" t="str">
        <f>IF(S60=0,"N.A.","")</f>
        <v/>
      </c>
      <c r="U60" s="201" t="s">
        <v>549</v>
      </c>
      <c r="V60" s="176">
        <f>Score!U148</f>
        <v>3</v>
      </c>
      <c r="W60" s="58" t="str">
        <f>IF(V60=0,"N.A.","")</f>
        <v/>
      </c>
      <c r="X60" s="56" t="s">
        <v>625</v>
      </c>
      <c r="Y60" s="176" t="e">
        <f>Score!U175</f>
        <v>#VALUE!</v>
      </c>
      <c r="Z60" s="58" t="e">
        <f>IF(Y60=0,"N.A.","")</f>
        <v>#VALUE!</v>
      </c>
      <c r="AA60" s="18"/>
      <c r="AB60" s="18"/>
    </row>
    <row r="61" spans="2:30" ht="15.75" customHeight="1">
      <c r="B61" s="198"/>
      <c r="I61" s="196"/>
      <c r="O61" s="54"/>
      <c r="R61" s="56" t="s">
        <v>626</v>
      </c>
      <c r="S61" s="200">
        <f>Score!U124</f>
        <v>3</v>
      </c>
      <c r="T61" s="58" t="str">
        <f>IF(S61=0,"N.A.","")</f>
        <v/>
      </c>
      <c r="U61" s="201" t="s">
        <v>627</v>
      </c>
      <c r="V61" s="176">
        <f>Score!U153</f>
        <v>3</v>
      </c>
      <c r="W61" s="58" t="str">
        <f>IF(V61=0,"N.A.","")</f>
        <v/>
      </c>
      <c r="X61" s="56" t="s">
        <v>628</v>
      </c>
      <c r="Y61" s="176">
        <f>Score!U176</f>
        <v>3</v>
      </c>
      <c r="Z61" s="58" t="str">
        <f>IF(Y61=0,"N.A.","")</f>
        <v/>
      </c>
      <c r="AA61" s="18"/>
      <c r="AB61" s="18"/>
    </row>
    <row r="62" spans="2:30" ht="15.75" customHeight="1" thickBot="1">
      <c r="B62" s="202"/>
      <c r="C62" s="203"/>
      <c r="D62" s="204"/>
      <c r="E62" s="203"/>
      <c r="F62" s="205"/>
      <c r="G62" s="205"/>
      <c r="H62" s="205"/>
      <c r="I62" s="206"/>
      <c r="J62" s="95"/>
      <c r="K62" s="95"/>
      <c r="L62" s="95"/>
      <c r="M62" s="207"/>
      <c r="N62" s="207"/>
      <c r="O62" s="208"/>
      <c r="R62" s="56" t="s">
        <v>629</v>
      </c>
      <c r="S62" s="200">
        <f>Score!U129</f>
        <v>5</v>
      </c>
      <c r="T62" s="58" t="str">
        <f>IF(S62=0,"N.A.","")</f>
        <v/>
      </c>
      <c r="U62" s="209" t="s">
        <v>630</v>
      </c>
      <c r="V62" s="210">
        <f>Score!U168</f>
        <v>3</v>
      </c>
      <c r="W62" s="58" t="str">
        <f>IF(V62=0,"N.A.","")</f>
        <v/>
      </c>
      <c r="X62" s="56" t="s">
        <v>631</v>
      </c>
      <c r="Y62" s="176">
        <f>Score!U185</f>
        <v>3</v>
      </c>
      <c r="Z62" s="58" t="str">
        <f>IF(Y62=0,"N.A.","")</f>
        <v/>
      </c>
      <c r="AA62" s="18"/>
      <c r="AB62" s="18"/>
    </row>
    <row r="63" spans="2:30" ht="6" customHeight="1" thickBot="1">
      <c r="B63" s="211"/>
      <c r="C63" s="196"/>
      <c r="D63" s="212"/>
      <c r="R63" s="56" t="s">
        <v>632</v>
      </c>
      <c r="S63" s="200">
        <f>Score!U138</f>
        <v>3</v>
      </c>
      <c r="T63" s="58" t="str">
        <f>IF(S63=0,"N.A.","")</f>
        <v/>
      </c>
      <c r="U63" s="18"/>
      <c r="V63" s="213"/>
      <c r="W63" s="213"/>
      <c r="X63" s="213"/>
      <c r="Y63" s="213"/>
      <c r="Z63" s="213"/>
      <c r="AA63" s="18"/>
      <c r="AB63" s="18"/>
    </row>
    <row r="64" spans="2:30" ht="15.75">
      <c r="B64" s="105" t="s">
        <v>1938</v>
      </c>
      <c r="C64" s="214"/>
      <c r="D64" s="215"/>
      <c r="E64" s="214"/>
      <c r="F64" s="214"/>
      <c r="G64" s="214"/>
      <c r="H64" s="216"/>
      <c r="I64" s="217"/>
      <c r="J64" s="214"/>
      <c r="K64" s="214"/>
      <c r="L64" s="214"/>
      <c r="M64" s="218"/>
      <c r="N64" s="218"/>
      <c r="O64" s="219"/>
      <c r="R64" s="18"/>
      <c r="S64" s="18"/>
      <c r="T64" s="18"/>
      <c r="U64" s="18"/>
      <c r="V64" s="213"/>
      <c r="W64" s="213"/>
      <c r="X64" s="213"/>
      <c r="Y64" s="213"/>
      <c r="Z64" s="213"/>
      <c r="AA64" s="18"/>
      <c r="AB64" s="18"/>
    </row>
    <row r="65" spans="1:28" ht="15">
      <c r="B65" s="226" t="str">
        <f>Consider!B4</f>
        <v>General</v>
      </c>
      <c r="C65" s="220"/>
      <c r="D65" s="221"/>
      <c r="E65" s="220"/>
      <c r="F65" s="220"/>
      <c r="G65" s="220"/>
      <c r="H65" s="220"/>
      <c r="I65" s="220"/>
      <c r="J65" s="220"/>
      <c r="K65" s="222"/>
      <c r="L65" s="2371" t="str">
        <f>Consider!B11</f>
        <v>Other</v>
      </c>
      <c r="M65" s="223"/>
      <c r="N65" s="223"/>
      <c r="O65" s="224"/>
      <c r="R65" s="225"/>
      <c r="S65" s="18"/>
      <c r="T65" s="18"/>
      <c r="U65" s="18"/>
      <c r="V65" s="213"/>
      <c r="W65" s="213"/>
      <c r="X65" s="213"/>
      <c r="Y65" s="213"/>
      <c r="Z65" s="213"/>
      <c r="AA65" s="18"/>
      <c r="AB65" s="18"/>
    </row>
    <row r="66" spans="1:28" ht="52.5" customHeight="1">
      <c r="B66" s="3836" t="str">
        <f>IF(Consider!D4=Consider!C4,"",Consider!D4)</f>
        <v/>
      </c>
      <c r="C66" s="3837"/>
      <c r="D66" s="3837"/>
      <c r="E66" s="3837"/>
      <c r="F66" s="3837"/>
      <c r="G66" s="3837"/>
      <c r="H66" s="3837"/>
      <c r="I66" s="3837"/>
      <c r="J66" s="3837"/>
      <c r="K66" s="3838"/>
      <c r="L66" s="3839" t="str">
        <f>IF(Consider!D11=Consider!C11,"",Consider!D11)</f>
        <v/>
      </c>
      <c r="M66" s="3840"/>
      <c r="N66" s="3840"/>
      <c r="O66" s="3841"/>
      <c r="R66" s="18"/>
      <c r="S66" s="18"/>
      <c r="T66" s="18"/>
      <c r="U66" s="18"/>
      <c r="V66" s="213"/>
      <c r="W66" s="213"/>
      <c r="X66" s="213"/>
      <c r="Y66" s="213"/>
      <c r="Z66" s="213"/>
      <c r="AA66" s="18"/>
      <c r="AB66" s="18"/>
    </row>
    <row r="67" spans="1:28" ht="15">
      <c r="B67" s="226" t="str">
        <f>Consider!B5</f>
        <v>Q1 
Indoor Environment</v>
      </c>
      <c r="C67" s="223"/>
      <c r="D67" s="223"/>
      <c r="E67" s="223"/>
      <c r="F67" s="223"/>
      <c r="G67" s="227"/>
      <c r="H67" s="228" t="str">
        <f>Consider!B6</f>
        <v>Q2 
Quality of Service</v>
      </c>
      <c r="I67" s="229"/>
      <c r="J67" s="229"/>
      <c r="K67" s="230"/>
      <c r="L67" s="231" t="str">
        <f>Consider!B7</f>
        <v>Q3 
Outdoor Environment 
on Site</v>
      </c>
      <c r="M67" s="232"/>
      <c r="N67" s="233"/>
      <c r="O67" s="234"/>
      <c r="R67" s="18"/>
      <c r="S67" s="18"/>
      <c r="T67" s="18"/>
      <c r="U67" s="18"/>
      <c r="V67" s="18"/>
      <c r="W67" s="18"/>
      <c r="X67" s="18"/>
      <c r="Y67" s="18"/>
      <c r="Z67" s="18"/>
      <c r="AA67" s="18"/>
      <c r="AB67" s="18"/>
    </row>
    <row r="68" spans="1:28" ht="50.25" customHeight="1">
      <c r="B68" s="3842" t="str">
        <f>IF(Consider!D5=Consider!C5,"",Consider!D5)</f>
        <v/>
      </c>
      <c r="C68" s="3840"/>
      <c r="D68" s="3840"/>
      <c r="E68" s="3840"/>
      <c r="F68" s="3840"/>
      <c r="G68" s="3843"/>
      <c r="H68" s="3850" t="str">
        <f>IF(Consider!D6=Consider!C6,"",Consider!D6)</f>
        <v/>
      </c>
      <c r="I68" s="3840"/>
      <c r="J68" s="3840"/>
      <c r="K68" s="3843"/>
      <c r="L68" s="3850" t="str">
        <f>IF(Consider!D7=Consider!C7,"",Consider!D7)</f>
        <v/>
      </c>
      <c r="M68" s="3840"/>
      <c r="N68" s="3840"/>
      <c r="O68" s="3841"/>
      <c r="R68" s="18"/>
      <c r="S68" s="18"/>
      <c r="T68" s="18"/>
      <c r="U68" s="18"/>
      <c r="V68" s="18"/>
      <c r="W68" s="18"/>
      <c r="X68" s="18"/>
      <c r="Y68" s="18"/>
      <c r="Z68" s="18"/>
      <c r="AA68" s="18"/>
      <c r="AB68" s="18"/>
    </row>
    <row r="69" spans="1:28" ht="15">
      <c r="B69" s="235" t="str">
        <f>Consider!B8</f>
        <v>LR1 
Energy</v>
      </c>
      <c r="C69" s="236"/>
      <c r="D69" s="221"/>
      <c r="E69" s="221"/>
      <c r="F69" s="221"/>
      <c r="G69" s="237"/>
      <c r="H69" s="238" t="str">
        <f>Consider!B9</f>
        <v>LR2 
Resources &amp; Materials</v>
      </c>
      <c r="I69" s="223"/>
      <c r="J69" s="223"/>
      <c r="K69" s="227"/>
      <c r="L69" s="239" t="str">
        <f>Consider!B10</f>
        <v>LR3 
Off-site Environment</v>
      </c>
      <c r="M69" s="236"/>
      <c r="N69" s="221"/>
      <c r="O69" s="240"/>
      <c r="R69" s="18"/>
      <c r="S69" s="18"/>
      <c r="T69" s="18"/>
      <c r="U69" s="18"/>
      <c r="V69" s="18"/>
      <c r="W69" s="18"/>
      <c r="X69" s="18"/>
      <c r="Y69" s="18"/>
      <c r="Z69" s="18"/>
      <c r="AA69" s="18"/>
      <c r="AB69" s="18"/>
    </row>
    <row r="70" spans="1:28" ht="61.5" customHeight="1" thickBot="1">
      <c r="B70" s="3829" t="str">
        <f>IF(Consider!D8=Consider!C8,"",Consider!D8)</f>
        <v/>
      </c>
      <c r="C70" s="3830"/>
      <c r="D70" s="3830"/>
      <c r="E70" s="3830"/>
      <c r="F70" s="3830"/>
      <c r="G70" s="3831"/>
      <c r="H70" s="3832" t="str">
        <f>IF(Consider!C9=Consider!D9,"",Consider!D9)</f>
        <v/>
      </c>
      <c r="I70" s="3830"/>
      <c r="J70" s="3830"/>
      <c r="K70" s="3831"/>
      <c r="L70" s="3832" t="str">
        <f>IF(Consider!D10=Consider!C10,"",Consider!D10)</f>
        <v/>
      </c>
      <c r="M70" s="3830"/>
      <c r="N70" s="3830"/>
      <c r="O70" s="3833"/>
      <c r="R70" s="18"/>
      <c r="S70" s="18"/>
      <c r="T70" s="18"/>
      <c r="U70" s="18"/>
      <c r="V70" s="18"/>
      <c r="W70" s="18"/>
      <c r="X70" s="18"/>
      <c r="Y70" s="18"/>
      <c r="Z70" s="18"/>
      <c r="AA70" s="18"/>
      <c r="AB70" s="18"/>
    </row>
    <row r="71" spans="1:28" ht="8.25" customHeight="1">
      <c r="B71" s="18"/>
      <c r="C71" s="18"/>
      <c r="D71" s="18"/>
      <c r="E71" s="18"/>
      <c r="F71" s="18"/>
      <c r="G71" s="18"/>
      <c r="H71" s="18"/>
      <c r="I71" s="18"/>
      <c r="J71" s="18"/>
      <c r="K71" s="18"/>
      <c r="L71" s="18"/>
      <c r="M71" s="18"/>
      <c r="N71" s="18"/>
      <c r="O71" s="18"/>
      <c r="R71" s="18"/>
      <c r="S71" s="18"/>
      <c r="T71" s="18"/>
      <c r="U71" s="18"/>
      <c r="V71" s="18"/>
      <c r="W71" s="18"/>
      <c r="X71" s="18"/>
      <c r="Y71" s="18"/>
      <c r="Z71" s="18"/>
      <c r="AA71" s="18"/>
      <c r="AB71" s="18"/>
    </row>
    <row r="72" spans="1:28" ht="16.5" hidden="1" thickBot="1">
      <c r="B72" s="2372" t="s">
        <v>2351</v>
      </c>
      <c r="C72" s="242"/>
      <c r="D72" s="243"/>
      <c r="E72" s="242"/>
      <c r="F72" s="242"/>
      <c r="G72" s="242"/>
      <c r="H72" s="242"/>
      <c r="I72" s="242"/>
      <c r="J72" s="2373"/>
      <c r="K72" s="245"/>
      <c r="L72" s="245"/>
      <c r="M72" s="245"/>
      <c r="N72" s="246"/>
      <c r="O72" s="2374" t="s">
        <v>2352</v>
      </c>
      <c r="R72" s="18"/>
      <c r="S72" s="18"/>
      <c r="T72" s="18"/>
      <c r="U72" s="18"/>
      <c r="V72" s="18"/>
      <c r="W72" s="18"/>
      <c r="X72" s="18"/>
      <c r="Y72" s="18"/>
      <c r="Z72" s="18"/>
      <c r="AA72" s="18"/>
      <c r="AB72" s="18"/>
    </row>
    <row r="73" spans="1:28" ht="15.75" hidden="1">
      <c r="B73" s="2375" t="s">
        <v>2353</v>
      </c>
      <c r="C73" s="249"/>
      <c r="D73" s="250"/>
      <c r="E73" s="249"/>
      <c r="F73" s="249"/>
      <c r="G73" s="249"/>
      <c r="H73" s="249"/>
      <c r="I73" s="249"/>
      <c r="J73" s="251"/>
      <c r="K73" s="2376"/>
      <c r="L73" s="253"/>
      <c r="M73" s="253"/>
      <c r="N73" s="251"/>
      <c r="O73" s="2377" t="s">
        <v>2338</v>
      </c>
      <c r="R73" s="18"/>
      <c r="S73" s="18"/>
      <c r="T73" s="18"/>
      <c r="U73" s="18"/>
      <c r="V73" s="18"/>
      <c r="W73" s="18"/>
      <c r="X73" s="18"/>
      <c r="Y73" s="18"/>
      <c r="Z73" s="18"/>
      <c r="AA73" s="18"/>
      <c r="AB73" s="18"/>
    </row>
    <row r="74" spans="1:28" ht="14.25" hidden="1">
      <c r="B74" s="255"/>
      <c r="C74" s="256"/>
      <c r="D74" s="257"/>
      <c r="E74" s="260" t="s">
        <v>2339</v>
      </c>
      <c r="F74" s="259"/>
      <c r="G74" s="259"/>
      <c r="H74" s="260" t="s">
        <v>2340</v>
      </c>
      <c r="I74" s="259"/>
      <c r="J74" s="260" t="s">
        <v>2341</v>
      </c>
      <c r="K74" s="260"/>
      <c r="L74" s="260" t="s">
        <v>2342</v>
      </c>
      <c r="M74" s="259"/>
      <c r="N74" s="259"/>
      <c r="O74" s="261" t="s">
        <v>190</v>
      </c>
      <c r="R74" s="18"/>
      <c r="S74" s="18"/>
      <c r="T74" s="18"/>
      <c r="U74" s="18"/>
      <c r="V74" s="18"/>
      <c r="W74" s="18"/>
      <c r="X74" s="18"/>
      <c r="Y74" s="18"/>
      <c r="Z74" s="18"/>
      <c r="AA74" s="18"/>
      <c r="AB74" s="18"/>
    </row>
    <row r="75" spans="1:28" ht="14.25" hidden="1">
      <c r="B75" s="262"/>
      <c r="C75" s="2378" t="s">
        <v>2343</v>
      </c>
      <c r="D75" s="264"/>
      <c r="E75" s="265"/>
      <c r="F75" s="267" t="s">
        <v>2354</v>
      </c>
      <c r="G75" s="267"/>
      <c r="H75" s="265"/>
      <c r="I75" s="267" t="s">
        <v>2355</v>
      </c>
      <c r="J75" s="268"/>
      <c r="K75" s="267" t="s">
        <v>2354</v>
      </c>
      <c r="L75" s="269"/>
      <c r="M75" s="270"/>
      <c r="N75" s="271"/>
      <c r="O75" s="272"/>
      <c r="R75" s="18"/>
      <c r="S75" s="18"/>
      <c r="T75" s="18"/>
      <c r="U75" s="18"/>
      <c r="V75" s="18"/>
      <c r="W75" s="18"/>
      <c r="X75" s="18"/>
      <c r="Y75" s="18"/>
      <c r="Z75" s="18"/>
      <c r="AA75" s="18"/>
      <c r="AB75" s="18"/>
    </row>
    <row r="76" spans="1:28" ht="15.75" hidden="1">
      <c r="B76" s="262"/>
      <c r="C76" s="2379" t="s">
        <v>2356</v>
      </c>
      <c r="D76" s="274"/>
      <c r="E76" s="275"/>
      <c r="F76" s="78" t="s">
        <v>195</v>
      </c>
      <c r="G76" s="78"/>
      <c r="H76" s="275"/>
      <c r="I76" s="78" t="s">
        <v>196</v>
      </c>
      <c r="J76" s="276"/>
      <c r="K76" s="78" t="s">
        <v>195</v>
      </c>
      <c r="L76" s="269"/>
      <c r="M76" s="27"/>
      <c r="N76" s="270"/>
      <c r="O76" s="277"/>
      <c r="S76" s="27"/>
      <c r="W76" s="18"/>
      <c r="X76" s="18"/>
      <c r="Y76" s="18"/>
      <c r="Z76" s="18"/>
      <c r="AA76" s="18"/>
      <c r="AB76" s="18"/>
    </row>
    <row r="77" spans="1:28" ht="14.25" hidden="1">
      <c r="A77" s="278"/>
      <c r="B77" s="279"/>
      <c r="C77" s="282" t="s">
        <v>2344</v>
      </c>
      <c r="D77" s="274"/>
      <c r="E77" s="275"/>
      <c r="F77" s="267" t="s">
        <v>198</v>
      </c>
      <c r="G77" s="267"/>
      <c r="H77" s="275"/>
      <c r="I77" s="267" t="s">
        <v>199</v>
      </c>
      <c r="J77" s="276"/>
      <c r="K77" s="267" t="s">
        <v>198</v>
      </c>
      <c r="L77" s="269"/>
      <c r="M77" s="27"/>
      <c r="N77" s="281"/>
      <c r="O77" s="277"/>
      <c r="P77" s="278"/>
      <c r="S77" s="27"/>
      <c r="W77" s="18"/>
      <c r="X77" s="18"/>
      <c r="Y77" s="18"/>
      <c r="Z77" s="18"/>
      <c r="AA77" s="18"/>
      <c r="AB77" s="18"/>
    </row>
    <row r="78" spans="1:28" ht="15.75" hidden="1">
      <c r="B78" s="262"/>
      <c r="C78" s="282" t="s">
        <v>200</v>
      </c>
      <c r="D78" s="274"/>
      <c r="E78" s="275"/>
      <c r="F78" s="78" t="s">
        <v>195</v>
      </c>
      <c r="G78" s="78"/>
      <c r="H78" s="275"/>
      <c r="I78" s="78" t="s">
        <v>196</v>
      </c>
      <c r="J78" s="276"/>
      <c r="K78" s="78" t="s">
        <v>195</v>
      </c>
      <c r="L78" s="269"/>
      <c r="M78" s="27"/>
      <c r="N78" s="270"/>
      <c r="O78" s="283"/>
      <c r="S78" s="27"/>
      <c r="W78" s="18"/>
      <c r="X78" s="18"/>
      <c r="Y78" s="18"/>
      <c r="Z78" s="18"/>
      <c r="AA78" s="18"/>
      <c r="AB78" s="18"/>
    </row>
    <row r="79" spans="1:28" ht="14.25" hidden="1">
      <c r="B79" s="262"/>
      <c r="C79" s="282" t="s">
        <v>201</v>
      </c>
      <c r="D79" s="274"/>
      <c r="E79" s="275"/>
      <c r="F79" s="78" t="s">
        <v>2357</v>
      </c>
      <c r="G79" s="78"/>
      <c r="H79" s="275"/>
      <c r="I79" s="78" t="s">
        <v>2358</v>
      </c>
      <c r="J79" s="276"/>
      <c r="K79" s="78" t="s">
        <v>2357</v>
      </c>
      <c r="L79" s="269"/>
      <c r="M79" s="27"/>
      <c r="N79" s="270"/>
      <c r="O79" s="54"/>
      <c r="S79" s="27"/>
      <c r="W79" s="18"/>
      <c r="X79" s="18"/>
      <c r="Y79" s="18"/>
      <c r="Z79" s="18"/>
      <c r="AA79" s="18"/>
      <c r="AB79" s="18"/>
    </row>
    <row r="80" spans="1:28" ht="14.25" hidden="1">
      <c r="B80" s="262"/>
      <c r="C80" s="282" t="s">
        <v>204</v>
      </c>
      <c r="D80" s="274"/>
      <c r="E80" s="275"/>
      <c r="F80" s="78" t="s">
        <v>2357</v>
      </c>
      <c r="G80" s="78"/>
      <c r="H80" s="275"/>
      <c r="I80" s="78" t="s">
        <v>2358</v>
      </c>
      <c r="J80" s="276"/>
      <c r="K80" s="78" t="s">
        <v>2357</v>
      </c>
      <c r="L80" s="269"/>
      <c r="M80" s="27"/>
      <c r="N80" s="270"/>
      <c r="O80" s="277"/>
      <c r="S80" s="27"/>
      <c r="W80" s="18"/>
      <c r="X80" s="18"/>
      <c r="Y80" s="18"/>
      <c r="Z80" s="18"/>
      <c r="AA80" s="18"/>
      <c r="AB80" s="18"/>
    </row>
    <row r="81" spans="2:28" ht="15" hidden="1" thickBot="1">
      <c r="B81" s="285"/>
      <c r="C81" s="286"/>
      <c r="D81" s="287"/>
      <c r="E81" s="288"/>
      <c r="F81" s="203"/>
      <c r="G81" s="203"/>
      <c r="H81" s="288"/>
      <c r="I81" s="203"/>
      <c r="J81" s="290"/>
      <c r="K81" s="203"/>
      <c r="L81" s="269"/>
      <c r="M81" s="27"/>
      <c r="N81" s="291"/>
      <c r="O81" s="292"/>
      <c r="S81" s="27"/>
      <c r="W81" s="18"/>
      <c r="X81" s="18"/>
      <c r="Y81" s="18"/>
      <c r="Z81" s="18"/>
      <c r="AA81" s="18"/>
      <c r="AB81" s="18"/>
    </row>
    <row r="82" spans="2:28" ht="16.5" hidden="1" thickBot="1">
      <c r="B82" s="2380" t="s">
        <v>2359</v>
      </c>
      <c r="C82" s="294"/>
      <c r="D82" s="295"/>
      <c r="E82" s="296"/>
      <c r="F82" s="297"/>
      <c r="G82" s="297"/>
      <c r="H82" s="297"/>
      <c r="I82" s="297"/>
      <c r="J82" s="297"/>
      <c r="K82" s="297"/>
      <c r="L82" s="297"/>
      <c r="M82" s="297"/>
      <c r="N82" s="297"/>
      <c r="O82" s="298"/>
      <c r="S82" s="27"/>
      <c r="W82" s="18"/>
      <c r="X82" s="18"/>
      <c r="Y82" s="18"/>
      <c r="Z82" s="18"/>
      <c r="AA82" s="18"/>
      <c r="AB82" s="18"/>
    </row>
    <row r="83" spans="2:28" ht="15.75" hidden="1">
      <c r="B83" s="2381" t="s">
        <v>2345</v>
      </c>
      <c r="C83" s="300"/>
      <c r="D83" s="301"/>
      <c r="E83" s="302"/>
      <c r="F83" s="303"/>
      <c r="G83" s="303"/>
      <c r="H83" s="303"/>
      <c r="I83" s="301"/>
      <c r="J83" s="2382" t="s">
        <v>2346</v>
      </c>
      <c r="K83" s="305"/>
      <c r="L83" s="306"/>
      <c r="M83" s="300"/>
      <c r="N83" s="300"/>
      <c r="O83" s="307"/>
      <c r="S83" s="27"/>
      <c r="W83" s="18"/>
      <c r="X83" s="18"/>
      <c r="Y83" s="18"/>
      <c r="Z83" s="18"/>
      <c r="AA83" s="18"/>
      <c r="AB83" s="18"/>
    </row>
    <row r="84" spans="2:28" ht="15" hidden="1">
      <c r="B84" s="308"/>
      <c r="C84" s="2383" t="s">
        <v>2347</v>
      </c>
      <c r="D84" s="310"/>
      <c r="E84" s="310"/>
      <c r="F84" s="310"/>
      <c r="G84" s="310"/>
      <c r="H84" s="310"/>
      <c r="I84" s="310"/>
      <c r="J84" s="2384" t="s">
        <v>2348</v>
      </c>
      <c r="K84" s="27"/>
      <c r="L84" s="312"/>
      <c r="M84" s="27"/>
      <c r="N84" s="27"/>
      <c r="O84" s="63"/>
      <c r="S84" s="27"/>
      <c r="W84" s="18"/>
      <c r="X84" s="18"/>
      <c r="Y84" s="18"/>
      <c r="Z84" s="18"/>
      <c r="AA84" s="18"/>
      <c r="AB84" s="18"/>
    </row>
    <row r="85" spans="2:28" ht="15" hidden="1">
      <c r="B85" s="308"/>
      <c r="C85" s="2383"/>
      <c r="D85" s="310"/>
      <c r="E85" s="310"/>
      <c r="F85" s="310"/>
      <c r="G85" s="310"/>
      <c r="H85" s="310"/>
      <c r="I85" s="310"/>
      <c r="J85" s="2384"/>
      <c r="K85" s="27"/>
      <c r="L85" s="312"/>
      <c r="M85" s="27"/>
      <c r="N85" s="27"/>
      <c r="O85" s="63"/>
      <c r="S85" s="27"/>
      <c r="W85" s="18"/>
      <c r="X85" s="18"/>
      <c r="Y85" s="18"/>
      <c r="Z85" s="18"/>
      <c r="AA85" s="18"/>
      <c r="AB85" s="18"/>
    </row>
    <row r="86" spans="2:28" ht="15" hidden="1" thickBot="1">
      <c r="B86" s="313"/>
      <c r="C86" s="314"/>
      <c r="D86" s="315"/>
      <c r="E86" s="315"/>
      <c r="F86" s="315"/>
      <c r="G86" s="315"/>
      <c r="H86" s="315"/>
      <c r="I86" s="315"/>
      <c r="J86" s="316"/>
      <c r="K86" s="94"/>
      <c r="L86" s="2385"/>
      <c r="M86" s="2385"/>
      <c r="N86" s="2385"/>
      <c r="O86" s="2386"/>
      <c r="S86" s="27"/>
    </row>
    <row r="87" spans="2:28" ht="14.25" hidden="1">
      <c r="B87" s="78"/>
      <c r="C87" s="78"/>
      <c r="D87" s="193"/>
      <c r="E87" s="78"/>
      <c r="S87" s="27"/>
    </row>
    <row r="88" spans="2:28" ht="14.25" hidden="1">
      <c r="B88" s="319"/>
      <c r="C88" s="320"/>
      <c r="D88" s="321"/>
      <c r="E88" s="322"/>
      <c r="F88" s="322"/>
      <c r="G88" s="322"/>
      <c r="H88" s="322"/>
      <c r="I88" s="323"/>
      <c r="J88" s="324"/>
      <c r="K88" s="323"/>
      <c r="L88" s="325"/>
      <c r="M88" s="323"/>
      <c r="N88" s="326"/>
      <c r="O88" s="327"/>
      <c r="S88" s="27"/>
    </row>
    <row r="89" spans="2:28" ht="14.25" hidden="1">
      <c r="B89" s="328"/>
      <c r="C89" s="331" t="s">
        <v>2360</v>
      </c>
      <c r="D89" s="330" t="s">
        <v>422</v>
      </c>
      <c r="E89" s="331" t="s">
        <v>3400</v>
      </c>
      <c r="G89" s="27"/>
      <c r="H89" s="331" t="s">
        <v>3401</v>
      </c>
      <c r="J89" s="331" t="s">
        <v>3402</v>
      </c>
      <c r="L89" s="331" t="s">
        <v>3403</v>
      </c>
      <c r="N89" s="330" t="s">
        <v>3404</v>
      </c>
      <c r="O89" s="332"/>
      <c r="S89" s="27"/>
    </row>
    <row r="90" spans="2:28" ht="14.25" hidden="1">
      <c r="B90" s="328"/>
      <c r="C90" s="331" t="s">
        <v>2361</v>
      </c>
      <c r="D90" s="2387" t="s">
        <v>2349</v>
      </c>
      <c r="E90" s="2388"/>
      <c r="F90" s="335"/>
      <c r="G90" s="335"/>
      <c r="H90" s="335"/>
      <c r="I90" s="336"/>
      <c r="J90" s="336"/>
      <c r="K90" s="337"/>
      <c r="L90" s="337"/>
      <c r="O90" s="338"/>
    </row>
    <row r="91" spans="2:28" ht="14.25" hidden="1">
      <c r="B91" s="340"/>
      <c r="C91" s="331" t="s">
        <v>2362</v>
      </c>
      <c r="D91" s="2387" t="s">
        <v>2363</v>
      </c>
      <c r="E91" s="2387"/>
      <c r="G91" s="341"/>
      <c r="O91" s="338"/>
    </row>
    <row r="92" spans="2:28" ht="14.25" hidden="1">
      <c r="B92" s="340"/>
      <c r="C92" s="331"/>
      <c r="D92" s="2387" t="s">
        <v>2364</v>
      </c>
      <c r="E92" s="2387"/>
      <c r="G92" s="341"/>
      <c r="O92" s="338"/>
    </row>
    <row r="93" spans="2:28" ht="14.25" hidden="1">
      <c r="B93" s="342"/>
      <c r="C93" s="2389" t="s">
        <v>2365</v>
      </c>
      <c r="D93" s="2390" t="s">
        <v>2350</v>
      </c>
      <c r="E93" s="345"/>
      <c r="F93" s="181"/>
      <c r="G93" s="346"/>
      <c r="H93" s="181"/>
      <c r="I93" s="180"/>
      <c r="J93" s="180"/>
      <c r="K93" s="181"/>
      <c r="L93" s="181"/>
      <c r="M93" s="347"/>
      <c r="N93" s="347"/>
      <c r="O93" s="348"/>
    </row>
    <row r="94" spans="2:28" ht="14.25">
      <c r="G94" s="341"/>
    </row>
    <row r="95" spans="2:28" ht="14.25">
      <c r="G95" s="341"/>
      <c r="L95" s="341"/>
    </row>
    <row r="96" spans="2:28" ht="14.25">
      <c r="E96" s="53"/>
      <c r="F96" s="341"/>
      <c r="G96" s="341"/>
      <c r="H96" s="341"/>
      <c r="I96" s="337"/>
      <c r="L96" s="341"/>
    </row>
    <row r="97" spans="2:28" s="18" customFormat="1" ht="26.45" customHeight="1">
      <c r="B97" s="33"/>
      <c r="C97" s="349"/>
      <c r="D97" s="195"/>
      <c r="E97" s="53"/>
      <c r="F97" s="341"/>
      <c r="G97" s="341"/>
      <c r="H97" s="341"/>
      <c r="I97" s="337"/>
      <c r="J97" s="337"/>
      <c r="K97" s="341"/>
      <c r="L97" s="341"/>
      <c r="M97" s="53"/>
      <c r="N97" s="53"/>
      <c r="O97" s="53"/>
      <c r="R97" s="27"/>
      <c r="S97" s="339"/>
      <c r="T97" s="27"/>
      <c r="U97" s="27"/>
      <c r="V97" s="27"/>
      <c r="W97" s="27"/>
      <c r="X97" s="27"/>
      <c r="Y97" s="27"/>
      <c r="Z97" s="27"/>
      <c r="AA97" s="27"/>
      <c r="AB97" s="27"/>
    </row>
    <row r="98" spans="2:28" s="18" customFormat="1" ht="14.25">
      <c r="B98" s="350"/>
      <c r="C98" s="351"/>
      <c r="D98" s="352"/>
      <c r="E98" s="53"/>
      <c r="F98" s="341"/>
      <c r="G98" s="335"/>
      <c r="H98" s="335"/>
      <c r="I98" s="336"/>
      <c r="J98" s="336"/>
      <c r="K98" s="337"/>
      <c r="L98" s="337"/>
      <c r="M98" s="53"/>
      <c r="N98" s="53"/>
      <c r="O98" s="53"/>
      <c r="R98" s="27"/>
      <c r="S98" s="339"/>
      <c r="T98" s="27"/>
      <c r="U98" s="27"/>
      <c r="V98" s="27"/>
      <c r="W98" s="27"/>
      <c r="X98" s="27"/>
      <c r="Y98" s="27"/>
      <c r="Z98" s="27"/>
      <c r="AA98" s="27"/>
      <c r="AB98" s="27"/>
    </row>
    <row r="99" spans="2:28" s="18" customFormat="1" ht="14.25" hidden="1">
      <c r="B99" s="350"/>
      <c r="C99" s="350"/>
      <c r="D99" s="353"/>
      <c r="E99" s="35"/>
      <c r="F99" s="36"/>
      <c r="G99" s="335"/>
      <c r="H99" s="335"/>
      <c r="I99" s="336"/>
      <c r="J99" s="336"/>
      <c r="K99" s="337"/>
      <c r="L99" s="337"/>
      <c r="M99" s="53"/>
      <c r="N99" s="53"/>
      <c r="O99" s="53"/>
      <c r="R99" s="27"/>
      <c r="S99" s="339"/>
      <c r="T99" s="27"/>
      <c r="U99" s="27"/>
      <c r="V99" s="27"/>
      <c r="W99" s="27"/>
      <c r="X99" s="27"/>
      <c r="Y99" s="27"/>
      <c r="Z99" s="27"/>
      <c r="AA99" s="27"/>
      <c r="AB99" s="27"/>
    </row>
    <row r="100" spans="2:28" s="18" customFormat="1" ht="14.25" hidden="1">
      <c r="B100" s="33"/>
      <c r="C100" s="33"/>
      <c r="D100" s="34"/>
      <c r="E100" s="35"/>
      <c r="F100" s="36"/>
      <c r="G100" s="36"/>
      <c r="H100" s="36"/>
      <c r="I100" s="37"/>
      <c r="J100" s="37"/>
      <c r="K100" s="36"/>
      <c r="L100" s="36"/>
      <c r="M100" s="53"/>
      <c r="N100" s="53"/>
      <c r="O100" s="53"/>
      <c r="R100" s="27"/>
      <c r="S100" s="339"/>
      <c r="T100" s="27"/>
      <c r="U100" s="27"/>
      <c r="V100" s="27"/>
      <c r="W100" s="27"/>
      <c r="X100" s="27"/>
      <c r="Y100" s="27"/>
      <c r="Z100" s="27"/>
      <c r="AA100" s="27"/>
      <c r="AB100" s="27"/>
    </row>
    <row r="101" spans="2:28" s="18" customFormat="1" ht="14.25" hidden="1">
      <c r="B101" s="33"/>
      <c r="C101" s="33"/>
      <c r="D101" s="34"/>
      <c r="E101" s="35"/>
      <c r="F101" s="36"/>
      <c r="G101" s="36"/>
      <c r="H101" s="36"/>
      <c r="I101" s="37"/>
      <c r="J101" s="37"/>
      <c r="K101" s="36"/>
      <c r="L101" s="36"/>
      <c r="M101" s="53"/>
      <c r="N101" s="53"/>
      <c r="O101" s="53"/>
      <c r="R101" s="27"/>
      <c r="S101" s="339"/>
      <c r="T101" s="27"/>
      <c r="U101" s="27"/>
      <c r="V101" s="27"/>
      <c r="W101" s="27"/>
      <c r="X101" s="27"/>
      <c r="Y101" s="27"/>
      <c r="Z101" s="27"/>
      <c r="AA101" s="27"/>
      <c r="AB101" s="27"/>
    </row>
    <row r="102" spans="2:28" s="18" customFormat="1" ht="14.25" hidden="1">
      <c r="B102" s="33"/>
      <c r="C102" s="33"/>
      <c r="D102" s="34"/>
      <c r="E102" s="35"/>
      <c r="F102" s="36"/>
      <c r="G102" s="36"/>
      <c r="H102" s="36"/>
      <c r="I102" s="37"/>
      <c r="J102" s="37"/>
      <c r="K102" s="36"/>
      <c r="L102" s="36"/>
      <c r="M102" s="53"/>
      <c r="N102" s="53"/>
      <c r="O102" s="53"/>
      <c r="R102" s="27"/>
      <c r="S102" s="339"/>
      <c r="T102" s="27"/>
      <c r="U102" s="27"/>
      <c r="V102" s="27"/>
      <c r="W102" s="27"/>
      <c r="X102" s="27"/>
      <c r="Y102" s="27"/>
      <c r="Z102" s="27"/>
      <c r="AA102" s="27"/>
      <c r="AB102" s="27"/>
    </row>
    <row r="103" spans="2:28" s="18" customFormat="1" ht="14.25" hidden="1">
      <c r="B103" s="33"/>
      <c r="C103" s="33"/>
      <c r="D103" s="34"/>
      <c r="E103" s="35"/>
      <c r="F103" s="36"/>
      <c r="G103" s="36"/>
      <c r="H103" s="36"/>
      <c r="I103" s="37"/>
      <c r="J103" s="37"/>
      <c r="K103" s="36"/>
      <c r="L103" s="36"/>
      <c r="M103" s="53"/>
      <c r="N103" s="53"/>
      <c r="O103" s="53"/>
      <c r="R103" s="27"/>
      <c r="S103" s="339"/>
      <c r="T103" s="27"/>
      <c r="U103" s="27"/>
      <c r="V103" s="27"/>
      <c r="W103" s="27"/>
      <c r="X103" s="27"/>
      <c r="Y103" s="27"/>
      <c r="Z103" s="27"/>
      <c r="AA103" s="27"/>
      <c r="AB103" s="27"/>
    </row>
    <row r="104" spans="2:28" s="18" customFormat="1" ht="14.25" hidden="1">
      <c r="B104" s="33"/>
      <c r="C104" s="33"/>
      <c r="D104" s="34"/>
      <c r="E104" s="35"/>
      <c r="F104" s="36"/>
      <c r="G104" s="36"/>
      <c r="H104" s="36"/>
      <c r="I104" s="37"/>
      <c r="J104" s="37"/>
      <c r="K104" s="36"/>
      <c r="L104" s="36"/>
      <c r="M104" s="53"/>
      <c r="N104" s="53"/>
      <c r="O104" s="53"/>
      <c r="R104" s="27"/>
      <c r="S104" s="339"/>
      <c r="T104" s="27"/>
      <c r="U104" s="27"/>
      <c r="V104" s="27"/>
      <c r="W104" s="27"/>
      <c r="X104" s="27"/>
      <c r="Y104" s="27"/>
      <c r="Z104" s="27"/>
      <c r="AA104" s="27"/>
      <c r="AB104" s="27"/>
    </row>
    <row r="105" spans="2:28" s="18" customFormat="1" ht="14.25" hidden="1">
      <c r="B105" s="33"/>
      <c r="C105" s="33"/>
      <c r="D105" s="34"/>
      <c r="E105" s="35"/>
      <c r="F105" s="36"/>
      <c r="G105" s="36"/>
      <c r="H105" s="36"/>
      <c r="I105" s="37"/>
      <c r="J105" s="37"/>
      <c r="K105" s="36"/>
      <c r="L105" s="36"/>
      <c r="M105" s="53"/>
      <c r="N105" s="53"/>
      <c r="O105" s="53"/>
      <c r="R105" s="27"/>
      <c r="S105" s="339"/>
      <c r="T105" s="27"/>
      <c r="U105" s="27"/>
      <c r="V105" s="27"/>
      <c r="W105" s="27"/>
      <c r="X105" s="27"/>
      <c r="Y105" s="27"/>
      <c r="Z105" s="27"/>
      <c r="AA105" s="27"/>
      <c r="AB105" s="27"/>
    </row>
    <row r="106" spans="2:28" s="18" customFormat="1" ht="14.25" hidden="1">
      <c r="B106" s="33"/>
      <c r="C106" s="33"/>
      <c r="D106" s="34"/>
      <c r="E106" s="35"/>
      <c r="F106" s="36"/>
      <c r="G106" s="36"/>
      <c r="H106" s="36"/>
      <c r="I106" s="37"/>
      <c r="J106" s="37"/>
      <c r="K106" s="36"/>
      <c r="L106" s="36"/>
      <c r="M106" s="53"/>
      <c r="N106" s="53"/>
      <c r="O106" s="53"/>
      <c r="R106" s="27"/>
      <c r="S106" s="339"/>
      <c r="T106" s="27"/>
      <c r="U106" s="27"/>
      <c r="V106" s="27"/>
      <c r="W106" s="27"/>
      <c r="X106" s="27"/>
      <c r="Y106" s="27"/>
      <c r="Z106" s="27"/>
      <c r="AA106" s="27"/>
      <c r="AB106" s="27"/>
    </row>
    <row r="107" spans="2:28" s="18" customFormat="1" ht="14.25" hidden="1">
      <c r="B107" s="33"/>
      <c r="C107" s="33"/>
      <c r="D107" s="34"/>
      <c r="E107" s="35"/>
      <c r="F107" s="36"/>
      <c r="G107" s="36"/>
      <c r="H107" s="36"/>
      <c r="I107" s="37"/>
      <c r="J107" s="37"/>
      <c r="K107" s="36"/>
      <c r="L107" s="36"/>
      <c r="M107" s="53"/>
      <c r="N107" s="53"/>
      <c r="O107" s="53"/>
      <c r="R107" s="27"/>
      <c r="S107" s="339"/>
      <c r="T107" s="27"/>
      <c r="U107" s="27"/>
      <c r="V107" s="27"/>
      <c r="W107" s="27"/>
      <c r="X107" s="27"/>
      <c r="Y107" s="27"/>
      <c r="Z107" s="27"/>
      <c r="AA107" s="27"/>
      <c r="AB107" s="27"/>
    </row>
    <row r="108" spans="2:28" s="18" customFormat="1" ht="14.25" hidden="1">
      <c r="B108" s="33"/>
      <c r="C108" s="33"/>
      <c r="D108" s="34"/>
      <c r="E108" s="35"/>
      <c r="F108" s="36"/>
      <c r="G108" s="36"/>
      <c r="H108" s="36"/>
      <c r="I108" s="37"/>
      <c r="J108" s="37"/>
      <c r="K108" s="36"/>
      <c r="L108" s="36"/>
      <c r="M108" s="53"/>
      <c r="N108" s="53"/>
      <c r="O108" s="53"/>
      <c r="R108" s="27"/>
      <c r="S108" s="339"/>
      <c r="T108" s="27"/>
      <c r="U108" s="27"/>
      <c r="V108" s="27"/>
      <c r="W108" s="27"/>
      <c r="X108" s="27"/>
      <c r="Y108" s="27"/>
      <c r="Z108" s="27"/>
      <c r="AA108" s="27"/>
      <c r="AB108" s="27"/>
    </row>
    <row r="109" spans="2:28" s="18" customFormat="1" ht="14.25" hidden="1">
      <c r="B109" s="33"/>
      <c r="C109" s="33"/>
      <c r="D109" s="34"/>
      <c r="E109" s="35"/>
      <c r="F109" s="36"/>
      <c r="G109" s="36"/>
      <c r="H109" s="36"/>
      <c r="I109" s="37"/>
      <c r="J109" s="37"/>
      <c r="K109" s="36"/>
      <c r="L109" s="36"/>
      <c r="M109" s="53"/>
      <c r="N109" s="53"/>
      <c r="O109" s="53"/>
      <c r="R109" s="27"/>
      <c r="S109" s="339"/>
      <c r="T109" s="27"/>
      <c r="U109" s="27"/>
      <c r="V109" s="27"/>
      <c r="W109" s="27"/>
      <c r="X109" s="27"/>
      <c r="Y109" s="27"/>
      <c r="Z109" s="27"/>
      <c r="AA109" s="27"/>
      <c r="AB109" s="27"/>
    </row>
    <row r="110" spans="2:28" s="18" customFormat="1" ht="14.25" hidden="1">
      <c r="B110" s="33"/>
      <c r="C110" s="33"/>
      <c r="D110" s="34"/>
      <c r="E110" s="35"/>
      <c r="F110" s="36"/>
      <c r="G110" s="36"/>
      <c r="H110" s="36"/>
      <c r="I110" s="37"/>
      <c r="J110" s="37"/>
      <c r="K110" s="36"/>
      <c r="L110" s="36"/>
      <c r="M110" s="53"/>
      <c r="N110" s="53"/>
      <c r="O110" s="53"/>
      <c r="R110" s="27"/>
      <c r="S110" s="339"/>
      <c r="T110" s="27"/>
      <c r="U110" s="27"/>
      <c r="V110" s="27"/>
      <c r="W110" s="27"/>
      <c r="X110" s="27"/>
      <c r="Y110" s="27"/>
      <c r="Z110" s="27"/>
      <c r="AA110" s="27"/>
      <c r="AB110" s="27"/>
    </row>
    <row r="111" spans="2:28" s="18" customFormat="1" ht="14.25" hidden="1">
      <c r="B111" s="33"/>
      <c r="C111" s="33"/>
      <c r="D111" s="34"/>
      <c r="E111" s="35"/>
      <c r="F111" s="36"/>
      <c r="G111" s="36"/>
      <c r="H111" s="36"/>
      <c r="I111" s="37"/>
      <c r="J111" s="37"/>
      <c r="K111" s="36"/>
      <c r="L111" s="36"/>
      <c r="M111" s="53"/>
      <c r="N111" s="53"/>
      <c r="O111" s="53"/>
      <c r="R111" s="27"/>
      <c r="S111" s="339"/>
      <c r="T111" s="27"/>
      <c r="U111" s="27"/>
      <c r="V111" s="27"/>
      <c r="W111" s="27"/>
      <c r="X111" s="27"/>
      <c r="Y111" s="27"/>
      <c r="Z111" s="27"/>
      <c r="AA111" s="27"/>
      <c r="AB111" s="27"/>
    </row>
    <row r="112" spans="2:28" s="18" customFormat="1" ht="14.25" hidden="1">
      <c r="B112" s="33"/>
      <c r="C112" s="33"/>
      <c r="D112" s="34"/>
      <c r="E112" s="35"/>
      <c r="F112" s="36"/>
      <c r="G112" s="36"/>
      <c r="H112" s="36"/>
      <c r="I112" s="37"/>
      <c r="J112" s="37"/>
      <c r="K112" s="36"/>
      <c r="L112" s="36"/>
      <c r="M112" s="53"/>
      <c r="N112" s="53"/>
      <c r="O112" s="53"/>
      <c r="R112" s="27"/>
      <c r="S112" s="339"/>
      <c r="T112" s="27"/>
      <c r="U112" s="27"/>
      <c r="V112" s="27"/>
      <c r="W112" s="27"/>
      <c r="X112" s="27"/>
      <c r="Y112" s="27"/>
      <c r="Z112" s="27"/>
      <c r="AA112" s="27"/>
      <c r="AB112" s="27"/>
    </row>
    <row r="113" spans="2:28" s="18" customFormat="1" ht="14.25" hidden="1">
      <c r="B113" s="33"/>
      <c r="C113" s="33"/>
      <c r="D113" s="34"/>
      <c r="E113" s="35"/>
      <c r="F113" s="36"/>
      <c r="G113" s="36"/>
      <c r="H113" s="36"/>
      <c r="I113" s="37"/>
      <c r="J113" s="37"/>
      <c r="K113" s="36"/>
      <c r="L113" s="36"/>
      <c r="M113" s="53"/>
      <c r="N113" s="53"/>
      <c r="O113" s="53"/>
      <c r="R113" s="27"/>
      <c r="S113" s="339"/>
      <c r="T113" s="27"/>
      <c r="U113" s="27"/>
      <c r="V113" s="27"/>
      <c r="W113" s="27"/>
      <c r="X113" s="27"/>
      <c r="Y113" s="27"/>
      <c r="Z113" s="27"/>
      <c r="AA113" s="27"/>
      <c r="AB113" s="27"/>
    </row>
    <row r="114" spans="2:28" s="18" customFormat="1" ht="14.25" hidden="1">
      <c r="B114" s="33"/>
      <c r="C114" s="33"/>
      <c r="D114" s="34"/>
      <c r="E114" s="35"/>
      <c r="F114" s="36"/>
      <c r="G114" s="36"/>
      <c r="H114" s="36"/>
      <c r="I114" s="37"/>
      <c r="J114" s="37"/>
      <c r="K114" s="36"/>
      <c r="L114" s="36"/>
      <c r="M114" s="53"/>
      <c r="N114" s="53"/>
      <c r="O114" s="53"/>
      <c r="R114" s="27"/>
      <c r="S114" s="339"/>
      <c r="T114" s="27"/>
      <c r="U114" s="27"/>
      <c r="V114" s="27"/>
      <c r="W114" s="27"/>
      <c r="X114" s="27"/>
      <c r="Y114" s="27"/>
      <c r="Z114" s="27"/>
      <c r="AA114" s="27"/>
      <c r="AB114" s="27"/>
    </row>
    <row r="115" spans="2:28" s="18" customFormat="1" ht="14.25" hidden="1">
      <c r="B115" s="33"/>
      <c r="C115" s="33"/>
      <c r="D115" s="34"/>
      <c r="E115" s="35"/>
      <c r="F115" s="36"/>
      <c r="G115" s="36"/>
      <c r="H115" s="36"/>
      <c r="I115" s="37"/>
      <c r="J115" s="37"/>
      <c r="K115" s="36"/>
      <c r="L115" s="36"/>
      <c r="M115" s="53"/>
      <c r="N115" s="53"/>
      <c r="O115" s="53"/>
      <c r="R115" s="27"/>
      <c r="S115" s="339"/>
      <c r="T115" s="27"/>
      <c r="U115" s="27"/>
      <c r="V115" s="27"/>
      <c r="W115" s="27"/>
      <c r="X115" s="27"/>
      <c r="Y115" s="27"/>
      <c r="Z115" s="27"/>
      <c r="AA115" s="27"/>
      <c r="AB115" s="27"/>
    </row>
    <row r="116" spans="2:28" s="18" customFormat="1" ht="14.25" hidden="1">
      <c r="B116" s="33"/>
      <c r="C116" s="33"/>
      <c r="D116" s="34"/>
      <c r="E116" s="35"/>
      <c r="F116" s="36"/>
      <c r="G116" s="36"/>
      <c r="H116" s="36"/>
      <c r="I116" s="37"/>
      <c r="J116" s="37"/>
      <c r="K116" s="36"/>
      <c r="L116" s="36"/>
      <c r="M116" s="53"/>
      <c r="N116" s="53"/>
      <c r="O116" s="53"/>
      <c r="R116" s="27"/>
      <c r="S116" s="339"/>
      <c r="T116" s="27"/>
      <c r="U116" s="27"/>
      <c r="V116" s="27"/>
      <c r="W116" s="27"/>
      <c r="X116" s="27"/>
      <c r="Y116" s="27"/>
      <c r="Z116" s="27"/>
      <c r="AA116" s="27"/>
      <c r="AB116" s="27"/>
    </row>
    <row r="117" spans="2:28" s="18" customFormat="1" ht="14.25" hidden="1">
      <c r="B117" s="33"/>
      <c r="C117" s="33"/>
      <c r="D117" s="34"/>
      <c r="E117" s="35"/>
      <c r="F117" s="36"/>
      <c r="G117" s="36"/>
      <c r="H117" s="36"/>
      <c r="I117" s="37"/>
      <c r="J117" s="37"/>
      <c r="K117" s="36"/>
      <c r="L117" s="36"/>
      <c r="M117" s="53"/>
      <c r="N117" s="53"/>
      <c r="O117" s="53"/>
      <c r="R117" s="27"/>
      <c r="S117" s="339"/>
      <c r="T117" s="27"/>
      <c r="U117" s="27"/>
      <c r="V117" s="27"/>
      <c r="W117" s="27"/>
      <c r="X117" s="27"/>
      <c r="Y117" s="27"/>
      <c r="Z117" s="27"/>
      <c r="AA117" s="27"/>
      <c r="AB117" s="27"/>
    </row>
    <row r="118" spans="2:28" s="18" customFormat="1" ht="14.25" hidden="1">
      <c r="B118" s="33"/>
      <c r="C118" s="33"/>
      <c r="D118" s="34"/>
      <c r="E118" s="35"/>
      <c r="F118" s="36"/>
      <c r="G118" s="36"/>
      <c r="H118" s="36"/>
      <c r="I118" s="37"/>
      <c r="J118" s="37"/>
      <c r="K118" s="36"/>
      <c r="L118" s="36"/>
      <c r="M118" s="53"/>
      <c r="N118" s="53"/>
      <c r="O118" s="53"/>
      <c r="R118" s="27"/>
      <c r="S118" s="339"/>
      <c r="T118" s="27"/>
      <c r="U118" s="27"/>
      <c r="V118" s="27"/>
      <c r="W118" s="27"/>
      <c r="X118" s="27"/>
      <c r="Y118" s="27"/>
      <c r="Z118" s="27"/>
      <c r="AA118" s="27"/>
      <c r="AB118" s="27"/>
    </row>
    <row r="119" spans="2:28" s="18" customFormat="1" ht="14.25" hidden="1">
      <c r="B119" s="33"/>
      <c r="C119" s="33"/>
      <c r="D119" s="34"/>
      <c r="E119" s="35"/>
      <c r="F119" s="36"/>
      <c r="G119" s="36"/>
      <c r="H119" s="36"/>
      <c r="I119" s="37"/>
      <c r="J119" s="37"/>
      <c r="K119" s="36"/>
      <c r="L119" s="36"/>
      <c r="M119" s="53"/>
      <c r="N119" s="53"/>
      <c r="O119" s="53"/>
      <c r="R119" s="27"/>
      <c r="S119" s="339"/>
      <c r="T119" s="27"/>
      <c r="U119" s="27"/>
      <c r="V119" s="27"/>
      <c r="W119" s="27"/>
      <c r="X119" s="27"/>
      <c r="Y119" s="27"/>
      <c r="Z119" s="27"/>
      <c r="AA119" s="27"/>
      <c r="AB119" s="27"/>
    </row>
    <row r="120" spans="2:28" s="18" customFormat="1" ht="14.25" hidden="1">
      <c r="B120" s="33"/>
      <c r="C120" s="33"/>
      <c r="D120" s="34"/>
      <c r="E120" s="35"/>
      <c r="F120" s="36"/>
      <c r="G120" s="36"/>
      <c r="H120" s="36"/>
      <c r="I120" s="37"/>
      <c r="J120" s="37"/>
      <c r="K120" s="36"/>
      <c r="L120" s="36"/>
      <c r="M120" s="53"/>
      <c r="N120" s="53"/>
      <c r="O120" s="53"/>
      <c r="R120" s="27"/>
      <c r="S120" s="339"/>
      <c r="T120" s="27"/>
      <c r="U120" s="27"/>
      <c r="V120" s="27"/>
      <c r="W120" s="27"/>
      <c r="X120" s="27"/>
      <c r="Y120" s="27"/>
      <c r="Z120" s="27"/>
      <c r="AA120" s="27"/>
      <c r="AB120" s="27"/>
    </row>
    <row r="121" spans="2:28" s="18" customFormat="1" ht="14.25" hidden="1">
      <c r="B121" s="33"/>
      <c r="C121" s="33"/>
      <c r="D121" s="34"/>
      <c r="E121" s="35"/>
      <c r="F121" s="36"/>
      <c r="G121" s="36"/>
      <c r="H121" s="36"/>
      <c r="I121" s="37"/>
      <c r="J121" s="37"/>
      <c r="K121" s="36"/>
      <c r="L121" s="36"/>
      <c r="M121" s="53"/>
      <c r="N121" s="53"/>
      <c r="O121" s="53"/>
      <c r="R121" s="27"/>
      <c r="S121" s="339"/>
      <c r="T121" s="27"/>
      <c r="U121" s="27"/>
      <c r="V121" s="27"/>
      <c r="W121" s="27"/>
      <c r="X121" s="27"/>
      <c r="Y121" s="27"/>
      <c r="Z121" s="27"/>
      <c r="AA121" s="27"/>
      <c r="AB121" s="27"/>
    </row>
    <row r="122" spans="2:28" s="18" customFormat="1" ht="14.25" hidden="1">
      <c r="B122" s="33"/>
      <c r="C122" s="33"/>
      <c r="D122" s="34"/>
      <c r="E122" s="35"/>
      <c r="F122" s="36"/>
      <c r="G122" s="36"/>
      <c r="H122" s="36"/>
      <c r="I122" s="37"/>
      <c r="J122" s="37"/>
      <c r="K122" s="36"/>
      <c r="L122" s="36"/>
      <c r="M122" s="53"/>
      <c r="N122" s="53"/>
      <c r="O122" s="53"/>
      <c r="R122" s="27"/>
      <c r="S122" s="339"/>
      <c r="T122" s="27"/>
      <c r="U122" s="27"/>
      <c r="V122" s="27"/>
      <c r="W122" s="27"/>
      <c r="X122" s="27"/>
      <c r="Y122" s="27"/>
      <c r="Z122" s="27"/>
      <c r="AA122" s="27"/>
      <c r="AB122" s="27"/>
    </row>
    <row r="123" spans="2:28" s="18" customFormat="1" ht="14.25" hidden="1">
      <c r="B123" s="33"/>
      <c r="C123" s="33"/>
      <c r="D123" s="34"/>
      <c r="E123" s="35"/>
      <c r="F123" s="36"/>
      <c r="G123" s="36"/>
      <c r="H123" s="36"/>
      <c r="I123" s="37"/>
      <c r="J123" s="37"/>
      <c r="K123" s="36"/>
      <c r="L123" s="36"/>
      <c r="M123" s="53"/>
      <c r="N123" s="53"/>
      <c r="O123" s="53"/>
      <c r="R123" s="27"/>
      <c r="S123" s="339"/>
      <c r="T123" s="27"/>
      <c r="U123" s="27"/>
      <c r="V123" s="27"/>
      <c r="W123" s="27"/>
      <c r="X123" s="27"/>
      <c r="Y123" s="27"/>
      <c r="Z123" s="27"/>
      <c r="AA123" s="27"/>
      <c r="AB123" s="27"/>
    </row>
    <row r="124" spans="2:28" s="18" customFormat="1" ht="14.25" hidden="1">
      <c r="B124" s="33"/>
      <c r="C124" s="33"/>
      <c r="D124" s="34"/>
      <c r="E124" s="35"/>
      <c r="F124" s="36"/>
      <c r="G124" s="36"/>
      <c r="H124" s="36"/>
      <c r="I124" s="37"/>
      <c r="J124" s="37"/>
      <c r="K124" s="36"/>
      <c r="L124" s="36"/>
      <c r="M124" s="53"/>
      <c r="N124" s="53"/>
      <c r="O124" s="53"/>
      <c r="R124" s="27"/>
      <c r="S124" s="339"/>
      <c r="T124" s="27"/>
      <c r="U124" s="27"/>
      <c r="V124" s="27"/>
      <c r="W124" s="27"/>
      <c r="X124" s="27"/>
      <c r="Y124" s="27"/>
      <c r="Z124" s="27"/>
      <c r="AA124" s="27"/>
      <c r="AB124" s="27"/>
    </row>
    <row r="125" spans="2:28" s="18" customFormat="1" ht="14.25" hidden="1">
      <c r="B125" s="33"/>
      <c r="C125" s="33"/>
      <c r="D125" s="34"/>
      <c r="E125" s="35"/>
      <c r="F125" s="36"/>
      <c r="G125" s="36"/>
      <c r="H125" s="36"/>
      <c r="I125" s="37"/>
      <c r="J125" s="37"/>
      <c r="K125" s="36"/>
      <c r="L125" s="36"/>
      <c r="M125" s="53"/>
      <c r="N125" s="53"/>
      <c r="O125" s="53"/>
      <c r="R125" s="27"/>
      <c r="S125" s="339"/>
      <c r="T125" s="27"/>
      <c r="U125" s="27"/>
      <c r="V125" s="27"/>
      <c r="W125" s="27"/>
      <c r="X125" s="27"/>
      <c r="Y125" s="27"/>
      <c r="Z125" s="27"/>
      <c r="AA125" s="27"/>
      <c r="AB125" s="27"/>
    </row>
    <row r="126" spans="2:28" s="18" customFormat="1" ht="14.25" hidden="1">
      <c r="B126" s="33"/>
      <c r="C126" s="33"/>
      <c r="D126" s="34"/>
      <c r="E126" s="35"/>
      <c r="F126" s="36"/>
      <c r="G126" s="36"/>
      <c r="H126" s="36"/>
      <c r="I126" s="37"/>
      <c r="J126" s="37"/>
      <c r="K126" s="36"/>
      <c r="L126" s="36"/>
      <c r="M126" s="53"/>
      <c r="N126" s="53"/>
      <c r="O126" s="53"/>
      <c r="R126" s="27"/>
      <c r="S126" s="339"/>
      <c r="T126" s="27"/>
      <c r="U126" s="27"/>
      <c r="V126" s="27"/>
      <c r="W126" s="27"/>
      <c r="X126" s="27"/>
      <c r="Y126" s="27"/>
      <c r="Z126" s="27"/>
      <c r="AA126" s="27"/>
      <c r="AB126" s="27"/>
    </row>
    <row r="127" spans="2:28" s="18" customFormat="1" ht="14.25" hidden="1">
      <c r="B127" s="33"/>
      <c r="C127" s="33"/>
      <c r="D127" s="34"/>
      <c r="E127" s="35"/>
      <c r="F127" s="36"/>
      <c r="G127" s="36"/>
      <c r="H127" s="36"/>
      <c r="I127" s="37"/>
      <c r="J127" s="37"/>
      <c r="K127" s="36"/>
      <c r="L127" s="36"/>
      <c r="M127" s="53"/>
      <c r="N127" s="53"/>
      <c r="O127" s="53"/>
      <c r="R127" s="27"/>
      <c r="S127" s="339"/>
      <c r="T127" s="27"/>
      <c r="U127" s="27"/>
      <c r="V127" s="27"/>
      <c r="W127" s="27"/>
      <c r="X127" s="27"/>
      <c r="Y127" s="27"/>
      <c r="Z127" s="27"/>
      <c r="AA127" s="27"/>
      <c r="AB127" s="27"/>
    </row>
    <row r="128" spans="2:28" s="18" customFormat="1" ht="14.25" hidden="1">
      <c r="B128" s="33"/>
      <c r="C128" s="33"/>
      <c r="D128" s="34"/>
      <c r="E128" s="35"/>
      <c r="F128" s="36"/>
      <c r="G128" s="36"/>
      <c r="H128" s="36"/>
      <c r="I128" s="37"/>
      <c r="J128" s="37"/>
      <c r="K128" s="36"/>
      <c r="L128" s="36"/>
      <c r="M128" s="53"/>
      <c r="N128" s="53"/>
      <c r="O128" s="53"/>
      <c r="R128" s="27"/>
      <c r="S128" s="339"/>
      <c r="T128" s="27"/>
      <c r="U128" s="27"/>
      <c r="V128" s="27"/>
      <c r="W128" s="27"/>
      <c r="X128" s="27"/>
      <c r="Y128" s="27"/>
      <c r="Z128" s="27"/>
      <c r="AA128" s="27"/>
      <c r="AB128" s="27"/>
    </row>
    <row r="129" spans="2:28" s="18" customFormat="1" ht="14.25" hidden="1">
      <c r="B129" s="33"/>
      <c r="C129" s="33"/>
      <c r="D129" s="34"/>
      <c r="E129" s="35"/>
      <c r="F129" s="36"/>
      <c r="G129" s="36"/>
      <c r="H129" s="36"/>
      <c r="I129" s="37"/>
      <c r="J129" s="37"/>
      <c r="K129" s="36"/>
      <c r="L129" s="36"/>
      <c r="M129" s="53"/>
      <c r="N129" s="53"/>
      <c r="O129" s="53"/>
      <c r="R129" s="27"/>
      <c r="S129" s="339"/>
      <c r="T129" s="27"/>
      <c r="U129" s="27"/>
      <c r="V129" s="27"/>
      <c r="W129" s="27"/>
      <c r="X129" s="27"/>
      <c r="Y129" s="27"/>
      <c r="Z129" s="27"/>
      <c r="AA129" s="27"/>
      <c r="AB129" s="27"/>
    </row>
    <row r="130" spans="2:28" s="18" customFormat="1" ht="14.25" hidden="1">
      <c r="B130" s="33"/>
      <c r="C130" s="33"/>
      <c r="D130" s="34"/>
      <c r="E130" s="35"/>
      <c r="F130" s="36"/>
      <c r="G130" s="36"/>
      <c r="H130" s="36"/>
      <c r="I130" s="37"/>
      <c r="J130" s="37"/>
      <c r="K130" s="36"/>
      <c r="L130" s="36"/>
      <c r="M130" s="53"/>
      <c r="N130" s="53"/>
      <c r="O130" s="53"/>
      <c r="R130" s="27"/>
      <c r="S130" s="339"/>
      <c r="T130" s="27"/>
      <c r="U130" s="27"/>
      <c r="V130" s="27"/>
      <c r="W130" s="27"/>
      <c r="X130" s="27"/>
      <c r="Y130" s="27"/>
      <c r="Z130" s="27"/>
      <c r="AA130" s="27"/>
      <c r="AB130" s="27"/>
    </row>
    <row r="131" spans="2:28" s="18" customFormat="1" ht="14.25" hidden="1">
      <c r="B131" s="33"/>
      <c r="C131" s="33"/>
      <c r="D131" s="34"/>
      <c r="E131" s="35"/>
      <c r="F131" s="36"/>
      <c r="G131" s="36"/>
      <c r="H131" s="36"/>
      <c r="I131" s="37"/>
      <c r="J131" s="37"/>
      <c r="K131" s="36"/>
      <c r="L131" s="36"/>
      <c r="M131" s="53"/>
      <c r="N131" s="53"/>
      <c r="O131" s="53"/>
      <c r="R131" s="27"/>
      <c r="S131" s="339"/>
      <c r="T131" s="27"/>
      <c r="U131" s="27"/>
      <c r="V131" s="27"/>
      <c r="W131" s="27"/>
      <c r="X131" s="27"/>
      <c r="Y131" s="27"/>
      <c r="Z131" s="27"/>
      <c r="AA131" s="27"/>
      <c r="AB131" s="27"/>
    </row>
    <row r="132" spans="2:28" s="18" customFormat="1" ht="14.25" hidden="1">
      <c r="B132" s="33"/>
      <c r="C132" s="33"/>
      <c r="D132" s="34"/>
      <c r="E132" s="35"/>
      <c r="F132" s="36"/>
      <c r="G132" s="36"/>
      <c r="H132" s="36"/>
      <c r="I132" s="37"/>
      <c r="J132" s="37"/>
      <c r="K132" s="36"/>
      <c r="L132" s="36"/>
      <c r="M132" s="53"/>
      <c r="N132" s="53"/>
      <c r="O132" s="53"/>
      <c r="R132" s="27"/>
      <c r="S132" s="339"/>
      <c r="T132" s="27"/>
      <c r="U132" s="27"/>
      <c r="V132" s="27"/>
      <c r="W132" s="27"/>
      <c r="X132" s="27"/>
      <c r="Y132" s="27"/>
      <c r="Z132" s="27"/>
      <c r="AA132" s="27"/>
      <c r="AB132" s="27"/>
    </row>
    <row r="133" spans="2:28" s="18" customFormat="1" ht="14.25" hidden="1">
      <c r="B133" s="33"/>
      <c r="C133" s="33"/>
      <c r="D133" s="34"/>
      <c r="E133" s="35"/>
      <c r="F133" s="36"/>
      <c r="G133" s="36"/>
      <c r="H133" s="36"/>
      <c r="I133" s="37"/>
      <c r="J133" s="37"/>
      <c r="K133" s="36"/>
      <c r="L133" s="36"/>
      <c r="M133" s="53"/>
      <c r="N133" s="53"/>
      <c r="O133" s="53"/>
      <c r="R133" s="27"/>
      <c r="S133" s="339"/>
      <c r="T133" s="27"/>
      <c r="U133" s="27"/>
      <c r="V133" s="27"/>
      <c r="W133" s="27"/>
      <c r="X133" s="27"/>
      <c r="Y133" s="27"/>
      <c r="Z133" s="27"/>
      <c r="AA133" s="27"/>
      <c r="AB133" s="27"/>
    </row>
    <row r="134" spans="2:28" s="18" customFormat="1" ht="14.25" hidden="1">
      <c r="B134" s="33"/>
      <c r="C134" s="33"/>
      <c r="D134" s="34"/>
      <c r="E134" s="35"/>
      <c r="F134" s="36"/>
      <c r="G134" s="36"/>
      <c r="H134" s="36"/>
      <c r="I134" s="37"/>
      <c r="J134" s="37"/>
      <c r="K134" s="36"/>
      <c r="L134" s="36"/>
      <c r="M134" s="53"/>
      <c r="N134" s="53"/>
      <c r="O134" s="53"/>
      <c r="R134" s="27"/>
      <c r="S134" s="339"/>
      <c r="T134" s="27"/>
      <c r="U134" s="27"/>
      <c r="V134" s="27"/>
      <c r="W134" s="27"/>
      <c r="X134" s="27"/>
      <c r="Y134" s="27"/>
      <c r="Z134" s="27"/>
      <c r="AA134" s="27"/>
      <c r="AB134" s="27"/>
    </row>
    <row r="135" spans="2:28" s="18" customFormat="1" ht="14.25" hidden="1">
      <c r="B135" s="33"/>
      <c r="C135" s="33"/>
      <c r="D135" s="34"/>
      <c r="E135" s="35"/>
      <c r="F135" s="36"/>
      <c r="G135" s="36"/>
      <c r="H135" s="36"/>
      <c r="I135" s="37"/>
      <c r="J135" s="37"/>
      <c r="K135" s="36"/>
      <c r="L135" s="36"/>
      <c r="M135" s="53"/>
      <c r="N135" s="53"/>
      <c r="O135" s="53"/>
      <c r="R135" s="27"/>
      <c r="S135" s="339"/>
      <c r="T135" s="27"/>
      <c r="U135" s="27"/>
      <c r="V135" s="27"/>
      <c r="W135" s="27"/>
      <c r="X135" s="27"/>
      <c r="Y135" s="27"/>
      <c r="Z135" s="27"/>
      <c r="AA135" s="27"/>
      <c r="AB135" s="27"/>
    </row>
    <row r="136" spans="2:28" s="18" customFormat="1" ht="14.25" hidden="1">
      <c r="B136" s="33"/>
      <c r="C136" s="33"/>
      <c r="D136" s="34"/>
      <c r="E136" s="35"/>
      <c r="F136" s="36"/>
      <c r="G136" s="36"/>
      <c r="H136" s="36"/>
      <c r="I136" s="37"/>
      <c r="J136" s="37"/>
      <c r="K136" s="36"/>
      <c r="L136" s="36"/>
      <c r="M136" s="53"/>
      <c r="N136" s="53"/>
      <c r="O136" s="53"/>
      <c r="R136" s="27"/>
      <c r="S136" s="339"/>
      <c r="T136" s="27"/>
      <c r="U136" s="27"/>
      <c r="V136" s="27"/>
      <c r="W136" s="27"/>
      <c r="X136" s="27"/>
      <c r="Y136" s="27"/>
      <c r="Z136" s="27"/>
      <c r="AA136" s="27"/>
      <c r="AB136" s="27"/>
    </row>
    <row r="137" spans="2:28" s="18" customFormat="1" ht="14.25" hidden="1">
      <c r="B137" s="33"/>
      <c r="C137" s="33"/>
      <c r="D137" s="34"/>
      <c r="E137" s="35"/>
      <c r="F137" s="36"/>
      <c r="G137" s="36"/>
      <c r="H137" s="36"/>
      <c r="I137" s="37"/>
      <c r="J137" s="37"/>
      <c r="K137" s="36"/>
      <c r="L137" s="36"/>
      <c r="M137" s="53"/>
      <c r="N137" s="53"/>
      <c r="O137" s="53"/>
      <c r="R137" s="27"/>
      <c r="S137" s="339"/>
      <c r="T137" s="27"/>
      <c r="U137" s="27"/>
      <c r="V137" s="27"/>
      <c r="W137" s="27"/>
      <c r="X137" s="27"/>
      <c r="Y137" s="27"/>
      <c r="Z137" s="27"/>
      <c r="AA137" s="27"/>
      <c r="AB137" s="27"/>
    </row>
    <row r="138" spans="2:28" s="18" customFormat="1" ht="14.25" hidden="1">
      <c r="B138" s="33"/>
      <c r="C138" s="33"/>
      <c r="D138" s="34"/>
      <c r="E138" s="35"/>
      <c r="F138" s="36"/>
      <c r="G138" s="36"/>
      <c r="H138" s="36"/>
      <c r="I138" s="37"/>
      <c r="J138" s="37"/>
      <c r="K138" s="36"/>
      <c r="L138" s="36"/>
      <c r="M138" s="53"/>
      <c r="N138" s="53"/>
      <c r="O138" s="53"/>
      <c r="R138" s="27"/>
      <c r="S138" s="339"/>
      <c r="T138" s="27"/>
      <c r="U138" s="27"/>
      <c r="V138" s="27"/>
      <c r="W138" s="27"/>
      <c r="X138" s="27"/>
      <c r="Y138" s="27"/>
      <c r="Z138" s="27"/>
      <c r="AA138" s="27"/>
      <c r="AB138" s="27"/>
    </row>
    <row r="139" spans="2:28" s="18" customFormat="1" ht="14.25" hidden="1">
      <c r="B139" s="33"/>
      <c r="C139" s="33"/>
      <c r="D139" s="34"/>
      <c r="E139" s="35"/>
      <c r="F139" s="36"/>
      <c r="G139" s="36"/>
      <c r="H139" s="36"/>
      <c r="I139" s="37"/>
      <c r="J139" s="37"/>
      <c r="K139" s="36"/>
      <c r="L139" s="36"/>
      <c r="M139" s="53"/>
      <c r="N139" s="53"/>
      <c r="O139" s="53"/>
      <c r="R139" s="27"/>
      <c r="S139" s="339"/>
      <c r="T139" s="27"/>
      <c r="U139" s="27"/>
      <c r="V139" s="27"/>
      <c r="W139" s="27"/>
      <c r="X139" s="27"/>
      <c r="Y139" s="27"/>
      <c r="Z139" s="27"/>
      <c r="AA139" s="27"/>
      <c r="AB139" s="27"/>
    </row>
    <row r="140" spans="2:28" s="18" customFormat="1" ht="14.25" hidden="1">
      <c r="B140" s="33"/>
      <c r="C140" s="33"/>
      <c r="D140" s="34"/>
      <c r="E140" s="35"/>
      <c r="F140" s="36"/>
      <c r="G140" s="36"/>
      <c r="H140" s="36"/>
      <c r="I140" s="37"/>
      <c r="J140" s="37"/>
      <c r="K140" s="36"/>
      <c r="L140" s="36"/>
      <c r="M140" s="53"/>
      <c r="N140" s="53"/>
      <c r="O140" s="53"/>
      <c r="R140" s="27"/>
      <c r="S140" s="339"/>
      <c r="T140" s="27"/>
      <c r="U140" s="27"/>
      <c r="V140" s="27"/>
      <c r="W140" s="27"/>
      <c r="X140" s="27"/>
      <c r="Y140" s="27"/>
      <c r="Z140" s="27"/>
      <c r="AA140" s="27"/>
      <c r="AB140" s="27"/>
    </row>
    <row r="141" spans="2:28" s="18" customFormat="1" ht="14.25" hidden="1">
      <c r="B141" s="33"/>
      <c r="C141" s="33"/>
      <c r="D141" s="34"/>
      <c r="E141" s="35"/>
      <c r="F141" s="36"/>
      <c r="G141" s="36"/>
      <c r="H141" s="36"/>
      <c r="I141" s="37"/>
      <c r="J141" s="37"/>
      <c r="K141" s="36"/>
      <c r="L141" s="36"/>
      <c r="M141" s="53"/>
      <c r="N141" s="53"/>
      <c r="O141" s="53"/>
      <c r="R141" s="27"/>
      <c r="S141" s="339"/>
      <c r="T141" s="27"/>
      <c r="U141" s="27"/>
      <c r="V141" s="27"/>
      <c r="W141" s="27"/>
      <c r="X141" s="27"/>
      <c r="Y141" s="27"/>
      <c r="Z141" s="27"/>
      <c r="AA141" s="27"/>
      <c r="AB141" s="27"/>
    </row>
    <row r="142" spans="2:28" s="18" customFormat="1" ht="14.25" hidden="1">
      <c r="B142" s="33"/>
      <c r="C142" s="33"/>
      <c r="D142" s="34"/>
      <c r="E142" s="35"/>
      <c r="F142" s="36"/>
      <c r="G142" s="36"/>
      <c r="H142" s="36"/>
      <c r="I142" s="37"/>
      <c r="J142" s="37"/>
      <c r="K142" s="36"/>
      <c r="L142" s="36"/>
      <c r="M142" s="53"/>
      <c r="N142" s="53"/>
      <c r="O142" s="53"/>
      <c r="R142" s="27"/>
      <c r="S142" s="339"/>
      <c r="T142" s="27"/>
      <c r="U142" s="27"/>
      <c r="V142" s="27"/>
      <c r="W142" s="27"/>
      <c r="X142" s="27"/>
      <c r="Y142" s="27"/>
      <c r="Z142" s="27"/>
      <c r="AA142" s="27"/>
      <c r="AB142" s="27"/>
    </row>
    <row r="143" spans="2:28" s="18" customFormat="1" ht="14.25" hidden="1">
      <c r="B143" s="33"/>
      <c r="C143" s="33"/>
      <c r="D143" s="34"/>
      <c r="E143" s="35"/>
      <c r="F143" s="36"/>
      <c r="G143" s="36"/>
      <c r="H143" s="36"/>
      <c r="I143" s="37"/>
      <c r="J143" s="37"/>
      <c r="K143" s="36"/>
      <c r="L143" s="36"/>
      <c r="M143" s="53"/>
      <c r="N143" s="53"/>
      <c r="O143" s="53"/>
      <c r="R143" s="27"/>
      <c r="S143" s="339"/>
      <c r="T143" s="27"/>
      <c r="U143" s="27"/>
      <c r="V143" s="27"/>
      <c r="W143" s="27"/>
      <c r="X143" s="27"/>
      <c r="Y143" s="27"/>
      <c r="Z143" s="27"/>
      <c r="AA143" s="27"/>
      <c r="AB143" s="27"/>
    </row>
    <row r="144" spans="2:28" s="18" customFormat="1" ht="14.25" hidden="1">
      <c r="B144" s="33"/>
      <c r="C144" s="33"/>
      <c r="D144" s="34"/>
      <c r="E144" s="35"/>
      <c r="F144" s="36"/>
      <c r="G144" s="36"/>
      <c r="H144" s="36"/>
      <c r="I144" s="37"/>
      <c r="J144" s="37"/>
      <c r="K144" s="36"/>
      <c r="L144" s="36"/>
      <c r="M144" s="53"/>
      <c r="N144" s="53"/>
      <c r="O144" s="53"/>
      <c r="R144" s="27"/>
      <c r="S144" s="339"/>
      <c r="T144" s="27"/>
      <c r="U144" s="27"/>
      <c r="V144" s="27"/>
      <c r="W144" s="27"/>
      <c r="X144" s="27"/>
      <c r="Y144" s="27"/>
      <c r="Z144" s="27"/>
      <c r="AA144" s="27"/>
      <c r="AB144" s="27"/>
    </row>
    <row r="145" spans="2:28" s="18" customFormat="1" ht="14.25" hidden="1">
      <c r="B145" s="33"/>
      <c r="C145" s="33"/>
      <c r="D145" s="34"/>
      <c r="E145" s="35"/>
      <c r="F145" s="36"/>
      <c r="G145" s="36"/>
      <c r="H145" s="36"/>
      <c r="I145" s="37"/>
      <c r="J145" s="37"/>
      <c r="K145" s="36"/>
      <c r="L145" s="36"/>
      <c r="M145" s="53"/>
      <c r="N145" s="53"/>
      <c r="O145" s="53"/>
      <c r="R145" s="27"/>
      <c r="S145" s="339"/>
      <c r="T145" s="27"/>
      <c r="U145" s="27"/>
      <c r="V145" s="27"/>
      <c r="W145" s="27"/>
      <c r="X145" s="27"/>
      <c r="Y145" s="27"/>
      <c r="Z145" s="27"/>
      <c r="AA145" s="27"/>
      <c r="AB145" s="27"/>
    </row>
    <row r="146" spans="2:28" s="18" customFormat="1" ht="14.25" hidden="1">
      <c r="B146" s="33"/>
      <c r="C146" s="33"/>
      <c r="D146" s="34"/>
      <c r="E146" s="35"/>
      <c r="F146" s="36"/>
      <c r="G146" s="36"/>
      <c r="H146" s="36"/>
      <c r="I146" s="37"/>
      <c r="J146" s="37"/>
      <c r="K146" s="36"/>
      <c r="L146" s="36"/>
      <c r="M146" s="53"/>
      <c r="N146" s="53"/>
      <c r="O146" s="53"/>
      <c r="R146" s="27"/>
      <c r="S146" s="339"/>
      <c r="T146" s="27"/>
      <c r="U146" s="27"/>
      <c r="V146" s="27"/>
      <c r="W146" s="27"/>
      <c r="X146" s="27"/>
      <c r="Y146" s="27"/>
      <c r="Z146" s="27"/>
      <c r="AA146" s="27"/>
      <c r="AB146" s="27"/>
    </row>
    <row r="147" spans="2:28" s="18" customFormat="1" ht="14.25" hidden="1">
      <c r="B147" s="33"/>
      <c r="C147" s="33"/>
      <c r="D147" s="34"/>
      <c r="E147" s="35"/>
      <c r="F147" s="36"/>
      <c r="G147" s="36"/>
      <c r="H147" s="36"/>
      <c r="I147" s="37"/>
      <c r="J147" s="37"/>
      <c r="K147" s="36"/>
      <c r="L147" s="36"/>
      <c r="M147" s="53"/>
      <c r="N147" s="53"/>
      <c r="O147" s="53"/>
      <c r="R147" s="27"/>
      <c r="S147" s="339"/>
      <c r="T147" s="27"/>
      <c r="U147" s="27"/>
      <c r="V147" s="27"/>
      <c r="W147" s="27"/>
      <c r="X147" s="27"/>
      <c r="Y147" s="27"/>
      <c r="Z147" s="27"/>
      <c r="AA147" s="27"/>
      <c r="AB147" s="27"/>
    </row>
    <row r="148" spans="2:28" s="18" customFormat="1" ht="14.25" hidden="1">
      <c r="B148" s="33"/>
      <c r="C148" s="33"/>
      <c r="D148" s="34"/>
      <c r="E148" s="35"/>
      <c r="F148" s="36"/>
      <c r="G148" s="36"/>
      <c r="H148" s="36"/>
      <c r="I148" s="37"/>
      <c r="J148" s="37"/>
      <c r="K148" s="36"/>
      <c r="L148" s="36"/>
      <c r="M148" s="53"/>
      <c r="N148" s="53"/>
      <c r="O148" s="53"/>
      <c r="R148" s="27"/>
      <c r="S148" s="339"/>
      <c r="T148" s="27"/>
      <c r="U148" s="27"/>
      <c r="V148" s="27"/>
      <c r="W148" s="27"/>
      <c r="X148" s="27"/>
      <c r="Y148" s="27"/>
      <c r="Z148" s="27"/>
      <c r="AA148" s="27"/>
      <c r="AB148" s="27"/>
    </row>
    <row r="149" spans="2:28" s="18" customFormat="1" ht="14.25" hidden="1">
      <c r="B149" s="33"/>
      <c r="C149" s="33"/>
      <c r="D149" s="34"/>
      <c r="E149" s="35"/>
      <c r="F149" s="36"/>
      <c r="G149" s="36"/>
      <c r="H149" s="36"/>
      <c r="I149" s="37"/>
      <c r="J149" s="37"/>
      <c r="K149" s="36"/>
      <c r="L149" s="36"/>
      <c r="M149" s="53"/>
      <c r="N149" s="53"/>
      <c r="O149" s="53"/>
      <c r="R149" s="27"/>
      <c r="S149" s="339"/>
      <c r="T149" s="27"/>
      <c r="U149" s="27"/>
      <c r="V149" s="27"/>
      <c r="W149" s="27"/>
      <c r="X149" s="27"/>
      <c r="Y149" s="27"/>
      <c r="Z149" s="27"/>
      <c r="AA149" s="27"/>
      <c r="AB149" s="27"/>
    </row>
    <row r="150" spans="2:28" s="18" customFormat="1" ht="14.25" hidden="1">
      <c r="B150" s="33"/>
      <c r="C150" s="33"/>
      <c r="D150" s="34"/>
      <c r="E150" s="35"/>
      <c r="F150" s="36"/>
      <c r="G150" s="36"/>
      <c r="H150" s="36"/>
      <c r="I150" s="37"/>
      <c r="J150" s="37"/>
      <c r="K150" s="36"/>
      <c r="L150" s="36"/>
      <c r="M150" s="53"/>
      <c r="N150" s="53"/>
      <c r="O150" s="53"/>
      <c r="R150" s="27"/>
      <c r="S150" s="339"/>
      <c r="T150" s="27"/>
      <c r="U150" s="27"/>
      <c r="V150" s="27"/>
      <c r="W150" s="27"/>
      <c r="X150" s="27"/>
      <c r="Y150" s="27"/>
      <c r="Z150" s="27"/>
      <c r="AA150" s="27"/>
      <c r="AB150" s="27"/>
    </row>
    <row r="151" spans="2:28" s="18" customFormat="1" ht="14.25" hidden="1">
      <c r="B151" s="33"/>
      <c r="C151" s="33"/>
      <c r="D151" s="34"/>
      <c r="E151" s="35"/>
      <c r="F151" s="36"/>
      <c r="G151" s="36"/>
      <c r="H151" s="36"/>
      <c r="I151" s="37"/>
      <c r="J151" s="37"/>
      <c r="K151" s="36"/>
      <c r="L151" s="36"/>
      <c r="M151" s="53"/>
      <c r="N151" s="53"/>
      <c r="O151" s="53"/>
      <c r="R151" s="27"/>
      <c r="S151" s="339"/>
      <c r="T151" s="27"/>
      <c r="U151" s="27"/>
      <c r="V151" s="27"/>
      <c r="W151" s="27"/>
      <c r="X151" s="27"/>
      <c r="Y151" s="27"/>
      <c r="Z151" s="27"/>
      <c r="AA151" s="27"/>
      <c r="AB151" s="27"/>
    </row>
    <row r="152" spans="2:28" s="18" customFormat="1" ht="14.25" hidden="1">
      <c r="B152" s="33"/>
      <c r="C152" s="33"/>
      <c r="D152" s="34"/>
      <c r="E152" s="35"/>
      <c r="F152" s="36"/>
      <c r="G152" s="36"/>
      <c r="H152" s="36"/>
      <c r="I152" s="37"/>
      <c r="J152" s="37"/>
      <c r="K152" s="36"/>
      <c r="L152" s="36"/>
      <c r="M152" s="53"/>
      <c r="N152" s="53"/>
      <c r="O152" s="53"/>
      <c r="R152" s="27"/>
      <c r="S152" s="339"/>
      <c r="T152" s="27"/>
      <c r="U152" s="27"/>
      <c r="V152" s="27"/>
      <c r="W152" s="27"/>
      <c r="X152" s="27"/>
      <c r="Y152" s="27"/>
      <c r="Z152" s="27"/>
      <c r="AA152" s="27"/>
      <c r="AB152" s="27"/>
    </row>
    <row r="153" spans="2:28" s="18" customFormat="1" ht="14.25" hidden="1">
      <c r="B153" s="33"/>
      <c r="C153" s="33"/>
      <c r="D153" s="34"/>
      <c r="E153" s="35"/>
      <c r="F153" s="36"/>
      <c r="G153" s="36"/>
      <c r="H153" s="36"/>
      <c r="I153" s="37"/>
      <c r="J153" s="37"/>
      <c r="K153" s="36"/>
      <c r="L153" s="36"/>
      <c r="M153" s="53"/>
      <c r="N153" s="53"/>
      <c r="O153" s="53"/>
      <c r="R153" s="27"/>
      <c r="S153" s="339"/>
      <c r="T153" s="27"/>
      <c r="U153" s="27"/>
      <c r="V153" s="27"/>
      <c r="W153" s="27"/>
      <c r="X153" s="27"/>
      <c r="Y153" s="27"/>
      <c r="Z153" s="27"/>
      <c r="AA153" s="27"/>
      <c r="AB153" s="27"/>
    </row>
    <row r="154" spans="2:28" s="18" customFormat="1" ht="14.25" hidden="1">
      <c r="B154" s="33"/>
      <c r="C154" s="33"/>
      <c r="D154" s="34"/>
      <c r="E154" s="35"/>
      <c r="F154" s="36"/>
      <c r="G154" s="36"/>
      <c r="H154" s="36"/>
      <c r="I154" s="37"/>
      <c r="J154" s="37"/>
      <c r="K154" s="36"/>
      <c r="L154" s="36"/>
      <c r="M154" s="53"/>
      <c r="N154" s="53"/>
      <c r="O154" s="53"/>
      <c r="R154" s="27"/>
      <c r="S154" s="339"/>
      <c r="T154" s="27"/>
      <c r="U154" s="27"/>
      <c r="V154" s="27"/>
      <c r="W154" s="27"/>
      <c r="X154" s="27"/>
      <c r="Y154" s="27"/>
      <c r="Z154" s="27"/>
      <c r="AA154" s="27"/>
      <c r="AB154" s="27"/>
    </row>
    <row r="155" spans="2:28" s="18" customFormat="1" ht="14.25" hidden="1">
      <c r="B155" s="33"/>
      <c r="C155" s="33"/>
      <c r="D155" s="34"/>
      <c r="E155" s="35"/>
      <c r="F155" s="36"/>
      <c r="G155" s="36"/>
      <c r="H155" s="36"/>
      <c r="I155" s="37"/>
      <c r="J155" s="37"/>
      <c r="K155" s="36"/>
      <c r="L155" s="36"/>
      <c r="M155" s="53"/>
      <c r="N155" s="53"/>
      <c r="O155" s="53"/>
      <c r="R155" s="27"/>
      <c r="S155" s="339"/>
      <c r="T155" s="27"/>
      <c r="U155" s="27"/>
      <c r="V155" s="27"/>
      <c r="W155" s="27"/>
      <c r="X155" s="27"/>
      <c r="Y155" s="27"/>
      <c r="Z155" s="27"/>
      <c r="AA155" s="27"/>
      <c r="AB155" s="27"/>
    </row>
    <row r="156" spans="2:28" s="18" customFormat="1" ht="14.25" hidden="1">
      <c r="B156" s="33"/>
      <c r="C156" s="33"/>
      <c r="D156" s="34"/>
      <c r="E156" s="35"/>
      <c r="F156" s="36"/>
      <c r="G156" s="36"/>
      <c r="H156" s="36"/>
      <c r="I156" s="37"/>
      <c r="J156" s="37"/>
      <c r="K156" s="36"/>
      <c r="L156" s="36"/>
      <c r="M156" s="53"/>
      <c r="N156" s="53"/>
      <c r="O156" s="53"/>
      <c r="R156" s="27"/>
      <c r="S156" s="339"/>
      <c r="T156" s="27"/>
      <c r="U156" s="27"/>
      <c r="V156" s="27"/>
      <c r="W156" s="27"/>
      <c r="X156" s="27"/>
      <c r="Y156" s="27"/>
      <c r="Z156" s="27"/>
      <c r="AA156" s="27"/>
      <c r="AB156" s="27"/>
    </row>
    <row r="157" spans="2:28" s="18" customFormat="1" ht="14.25" hidden="1">
      <c r="B157" s="33"/>
      <c r="C157" s="33"/>
      <c r="D157" s="34"/>
      <c r="E157" s="35"/>
      <c r="F157" s="36"/>
      <c r="G157" s="36"/>
      <c r="H157" s="36"/>
      <c r="I157" s="37"/>
      <c r="J157" s="37"/>
      <c r="K157" s="36"/>
      <c r="L157" s="36"/>
      <c r="M157" s="53"/>
      <c r="N157" s="53"/>
      <c r="O157" s="53"/>
      <c r="R157" s="27"/>
      <c r="S157" s="339"/>
      <c r="T157" s="27"/>
      <c r="U157" s="27"/>
      <c r="V157" s="27"/>
      <c r="W157" s="27"/>
      <c r="X157" s="27"/>
      <c r="Y157" s="27"/>
      <c r="Z157" s="27"/>
      <c r="AA157" s="27"/>
      <c r="AB157" s="27"/>
    </row>
    <row r="158" spans="2:28" s="18" customFormat="1" ht="14.25" hidden="1">
      <c r="B158" s="33"/>
      <c r="C158" s="33"/>
      <c r="D158" s="34"/>
      <c r="E158" s="35"/>
      <c r="F158" s="36"/>
      <c r="G158" s="36"/>
      <c r="H158" s="36"/>
      <c r="I158" s="37"/>
      <c r="J158" s="37"/>
      <c r="K158" s="36"/>
      <c r="L158" s="36"/>
      <c r="M158" s="53"/>
      <c r="N158" s="53"/>
      <c r="O158" s="53"/>
      <c r="R158" s="27"/>
      <c r="S158" s="339"/>
      <c r="T158" s="27"/>
      <c r="U158" s="27"/>
      <c r="V158" s="27"/>
      <c r="W158" s="27"/>
      <c r="X158" s="27"/>
      <c r="Y158" s="27"/>
      <c r="Z158" s="27"/>
      <c r="AA158" s="27"/>
      <c r="AB158" s="27"/>
    </row>
    <row r="159" spans="2:28" s="18" customFormat="1" ht="14.25" hidden="1">
      <c r="B159" s="33"/>
      <c r="C159" s="33"/>
      <c r="D159" s="34"/>
      <c r="E159" s="35"/>
      <c r="F159" s="36"/>
      <c r="G159" s="36"/>
      <c r="H159" s="36"/>
      <c r="I159" s="37"/>
      <c r="J159" s="37"/>
      <c r="K159" s="36"/>
      <c r="L159" s="36"/>
      <c r="M159" s="53"/>
      <c r="N159" s="53"/>
      <c r="O159" s="53"/>
      <c r="R159" s="27"/>
      <c r="S159" s="339"/>
      <c r="T159" s="27"/>
      <c r="U159" s="27"/>
      <c r="V159" s="27"/>
      <c r="W159" s="27"/>
      <c r="X159" s="27"/>
      <c r="Y159" s="27"/>
      <c r="Z159" s="27"/>
      <c r="AA159" s="27"/>
      <c r="AB159" s="27"/>
    </row>
    <row r="160" spans="2:28" s="18" customFormat="1" ht="14.25" hidden="1">
      <c r="B160" s="33"/>
      <c r="C160" s="33"/>
      <c r="D160" s="34"/>
      <c r="E160" s="35"/>
      <c r="F160" s="36"/>
      <c r="G160" s="36"/>
      <c r="H160" s="36"/>
      <c r="I160" s="37"/>
      <c r="J160" s="37"/>
      <c r="K160" s="36"/>
      <c r="L160" s="36"/>
      <c r="M160" s="53"/>
      <c r="N160" s="53"/>
      <c r="O160" s="53"/>
      <c r="R160" s="27"/>
      <c r="S160" s="339"/>
      <c r="T160" s="27"/>
      <c r="U160" s="27"/>
      <c r="V160" s="27"/>
      <c r="W160" s="27"/>
      <c r="X160" s="27"/>
      <c r="Y160" s="27"/>
      <c r="Z160" s="27"/>
      <c r="AA160" s="27"/>
      <c r="AB160" s="27"/>
    </row>
    <row r="161" spans="2:28" s="18" customFormat="1" ht="14.25" hidden="1">
      <c r="B161" s="33"/>
      <c r="C161" s="33"/>
      <c r="D161" s="34"/>
      <c r="E161" s="35"/>
      <c r="F161" s="36"/>
      <c r="G161" s="36"/>
      <c r="H161" s="36"/>
      <c r="I161" s="37"/>
      <c r="J161" s="37"/>
      <c r="K161" s="36"/>
      <c r="L161" s="36"/>
      <c r="M161" s="53"/>
      <c r="N161" s="53"/>
      <c r="O161" s="53"/>
      <c r="R161" s="27"/>
      <c r="S161" s="339"/>
      <c r="T161" s="27"/>
      <c r="U161" s="27"/>
      <c r="V161" s="27"/>
      <c r="W161" s="27"/>
      <c r="X161" s="27"/>
      <c r="Y161" s="27"/>
      <c r="Z161" s="27"/>
      <c r="AA161" s="27"/>
      <c r="AB161" s="27"/>
    </row>
    <row r="162" spans="2:28" s="18" customFormat="1" ht="14.25" hidden="1">
      <c r="B162" s="33"/>
      <c r="C162" s="33"/>
      <c r="D162" s="34"/>
      <c r="E162" s="35"/>
      <c r="F162" s="36"/>
      <c r="G162" s="36"/>
      <c r="H162" s="36"/>
      <c r="I162" s="37"/>
      <c r="J162" s="37"/>
      <c r="K162" s="36"/>
      <c r="L162" s="36"/>
      <c r="M162" s="53"/>
      <c r="N162" s="53"/>
      <c r="O162" s="53"/>
      <c r="R162" s="27"/>
      <c r="S162" s="339"/>
      <c r="T162" s="27"/>
      <c r="U162" s="27"/>
      <c r="V162" s="27"/>
      <c r="W162" s="27"/>
      <c r="X162" s="27"/>
      <c r="Y162" s="27"/>
      <c r="Z162" s="27"/>
      <c r="AA162" s="27"/>
      <c r="AB162" s="27"/>
    </row>
    <row r="163" spans="2:28" s="18" customFormat="1" ht="14.25" hidden="1">
      <c r="B163" s="33"/>
      <c r="C163" s="33"/>
      <c r="D163" s="34"/>
      <c r="E163" s="35"/>
      <c r="F163" s="36"/>
      <c r="G163" s="36"/>
      <c r="H163" s="36"/>
      <c r="I163" s="37"/>
      <c r="J163" s="37"/>
      <c r="K163" s="36"/>
      <c r="L163" s="36"/>
      <c r="M163" s="53"/>
      <c r="N163" s="53"/>
      <c r="O163" s="53"/>
      <c r="R163" s="27"/>
      <c r="S163" s="339"/>
      <c r="T163" s="27"/>
      <c r="U163" s="27"/>
      <c r="V163" s="27"/>
      <c r="W163" s="27"/>
      <c r="X163" s="27"/>
      <c r="Y163" s="27"/>
      <c r="Z163" s="27"/>
      <c r="AA163" s="27"/>
      <c r="AB163" s="27"/>
    </row>
    <row r="164" spans="2:28" s="18" customFormat="1" ht="14.25" hidden="1">
      <c r="B164" s="33"/>
      <c r="C164" s="33"/>
      <c r="D164" s="34"/>
      <c r="E164" s="35"/>
      <c r="F164" s="36"/>
      <c r="G164" s="36"/>
      <c r="H164" s="36"/>
      <c r="I164" s="37"/>
      <c r="J164" s="37"/>
      <c r="K164" s="36"/>
      <c r="L164" s="36"/>
      <c r="M164" s="53"/>
      <c r="N164" s="53"/>
      <c r="O164" s="53"/>
      <c r="R164" s="27"/>
      <c r="S164" s="339"/>
      <c r="T164" s="27"/>
      <c r="U164" s="27"/>
      <c r="V164" s="27"/>
      <c r="W164" s="27"/>
      <c r="X164" s="27"/>
      <c r="Y164" s="27"/>
      <c r="Z164" s="27"/>
      <c r="AA164" s="27"/>
      <c r="AB164" s="27"/>
    </row>
    <row r="165" spans="2:28" s="18" customFormat="1" ht="14.25" hidden="1">
      <c r="B165" s="33"/>
      <c r="C165" s="33"/>
      <c r="D165" s="34"/>
      <c r="E165" s="35"/>
      <c r="F165" s="36"/>
      <c r="G165" s="36"/>
      <c r="H165" s="36"/>
      <c r="I165" s="37"/>
      <c r="J165" s="37"/>
      <c r="K165" s="36"/>
      <c r="L165" s="36"/>
      <c r="M165" s="53"/>
      <c r="N165" s="53"/>
      <c r="O165" s="53"/>
      <c r="R165" s="27"/>
      <c r="S165" s="339"/>
      <c r="T165" s="27"/>
      <c r="U165" s="27"/>
      <c r="V165" s="27"/>
      <c r="W165" s="27"/>
      <c r="X165" s="27"/>
      <c r="Y165" s="27"/>
      <c r="Z165" s="27"/>
      <c r="AA165" s="27"/>
      <c r="AB165" s="27"/>
    </row>
    <row r="166" spans="2:28" s="18" customFormat="1" ht="14.25" hidden="1">
      <c r="B166" s="33"/>
      <c r="C166" s="33"/>
      <c r="D166" s="34"/>
      <c r="E166" s="35"/>
      <c r="F166" s="36"/>
      <c r="G166" s="36"/>
      <c r="H166" s="36"/>
      <c r="I166" s="37"/>
      <c r="J166" s="37"/>
      <c r="K166" s="36"/>
      <c r="L166" s="36"/>
      <c r="M166" s="53"/>
      <c r="N166" s="53"/>
      <c r="O166" s="53"/>
      <c r="R166" s="27"/>
      <c r="S166" s="339"/>
      <c r="T166" s="27"/>
      <c r="U166" s="27"/>
      <c r="V166" s="27"/>
      <c r="W166" s="27"/>
      <c r="X166" s="27"/>
      <c r="Y166" s="27"/>
      <c r="Z166" s="27"/>
      <c r="AA166" s="27"/>
      <c r="AB166" s="27"/>
    </row>
    <row r="167" spans="2:28" s="18" customFormat="1" ht="14.25" hidden="1">
      <c r="B167" s="33"/>
      <c r="C167" s="33"/>
      <c r="D167" s="34"/>
      <c r="E167" s="35"/>
      <c r="F167" s="36"/>
      <c r="G167" s="36"/>
      <c r="H167" s="36"/>
      <c r="I167" s="37"/>
      <c r="J167" s="37"/>
      <c r="K167" s="36"/>
      <c r="L167" s="36"/>
      <c r="M167" s="53"/>
      <c r="N167" s="53"/>
      <c r="O167" s="53"/>
      <c r="R167" s="27"/>
      <c r="S167" s="339"/>
      <c r="T167" s="27"/>
      <c r="U167" s="27"/>
      <c r="V167" s="27"/>
      <c r="W167" s="27"/>
      <c r="X167" s="27"/>
      <c r="Y167" s="27"/>
      <c r="Z167" s="27"/>
      <c r="AA167" s="27"/>
      <c r="AB167" s="27"/>
    </row>
    <row r="168" spans="2:28" s="18" customFormat="1" ht="14.25" hidden="1">
      <c r="B168" s="33"/>
      <c r="C168" s="33"/>
      <c r="D168" s="34"/>
      <c r="E168" s="35"/>
      <c r="F168" s="36"/>
      <c r="G168" s="36"/>
      <c r="H168" s="36"/>
      <c r="I168" s="37"/>
      <c r="J168" s="37"/>
      <c r="K168" s="36"/>
      <c r="L168" s="36"/>
      <c r="M168" s="53"/>
      <c r="N168" s="53"/>
      <c r="O168" s="53"/>
      <c r="R168" s="27"/>
      <c r="S168" s="339"/>
      <c r="T168" s="27"/>
      <c r="U168" s="27"/>
      <c r="V168" s="27"/>
      <c r="W168" s="27"/>
      <c r="X168" s="27"/>
      <c r="Y168" s="27"/>
      <c r="Z168" s="27"/>
      <c r="AA168" s="27"/>
      <c r="AB168" s="27"/>
    </row>
    <row r="169" spans="2:28" s="18" customFormat="1" ht="14.25" hidden="1">
      <c r="B169" s="33"/>
      <c r="C169" s="33"/>
      <c r="D169" s="34"/>
      <c r="E169" s="35"/>
      <c r="F169" s="36"/>
      <c r="G169" s="36"/>
      <c r="H169" s="36"/>
      <c r="I169" s="37"/>
      <c r="J169" s="37"/>
      <c r="K169" s="36"/>
      <c r="L169" s="36"/>
      <c r="M169" s="53"/>
      <c r="N169" s="53"/>
      <c r="O169" s="53"/>
      <c r="R169" s="27"/>
      <c r="S169" s="339"/>
      <c r="T169" s="27"/>
      <c r="U169" s="27"/>
      <c r="V169" s="27"/>
      <c r="W169" s="27"/>
      <c r="X169" s="27"/>
      <c r="Y169" s="27"/>
      <c r="Z169" s="27"/>
      <c r="AA169" s="27"/>
      <c r="AB169" s="27"/>
    </row>
    <row r="170" spans="2:28" s="18" customFormat="1" ht="14.25" hidden="1">
      <c r="B170" s="33"/>
      <c r="C170" s="33"/>
      <c r="D170" s="34"/>
      <c r="E170" s="35"/>
      <c r="F170" s="36"/>
      <c r="G170" s="36"/>
      <c r="H170" s="36"/>
      <c r="I170" s="37"/>
      <c r="J170" s="37"/>
      <c r="K170" s="36"/>
      <c r="L170" s="36"/>
      <c r="M170" s="53"/>
      <c r="N170" s="53"/>
      <c r="O170" s="53"/>
      <c r="R170" s="27"/>
      <c r="S170" s="339"/>
      <c r="T170" s="27"/>
      <c r="U170" s="27"/>
      <c r="V170" s="27"/>
      <c r="W170" s="27"/>
      <c r="X170" s="27"/>
      <c r="Y170" s="27"/>
      <c r="Z170" s="27"/>
      <c r="AA170" s="27"/>
      <c r="AB170" s="27"/>
    </row>
    <row r="171" spans="2:28" s="18" customFormat="1" ht="14.25" hidden="1">
      <c r="B171" s="33"/>
      <c r="C171" s="33"/>
      <c r="D171" s="34"/>
      <c r="E171" s="35"/>
      <c r="F171" s="36"/>
      <c r="G171" s="36"/>
      <c r="H171" s="36"/>
      <c r="I171" s="37"/>
      <c r="J171" s="37"/>
      <c r="K171" s="36"/>
      <c r="L171" s="36"/>
      <c r="M171" s="53"/>
      <c r="N171" s="53"/>
      <c r="O171" s="53"/>
      <c r="R171" s="27"/>
      <c r="S171" s="339"/>
      <c r="T171" s="27"/>
      <c r="U171" s="27"/>
      <c r="V171" s="27"/>
      <c r="W171" s="27"/>
      <c r="X171" s="27"/>
      <c r="Y171" s="27"/>
      <c r="Z171" s="27"/>
      <c r="AA171" s="27"/>
      <c r="AB171" s="27"/>
    </row>
    <row r="172" spans="2:28" s="18" customFormat="1" ht="14.25" hidden="1">
      <c r="B172" s="33"/>
      <c r="C172" s="33"/>
      <c r="D172" s="34"/>
      <c r="E172" s="35"/>
      <c r="F172" s="36"/>
      <c r="G172" s="36"/>
      <c r="H172" s="36"/>
      <c r="I172" s="37"/>
      <c r="J172" s="37"/>
      <c r="K172" s="36"/>
      <c r="L172" s="36"/>
      <c r="M172" s="53"/>
      <c r="N172" s="53"/>
      <c r="O172" s="53"/>
      <c r="R172" s="27"/>
      <c r="S172" s="339"/>
      <c r="T172" s="27"/>
      <c r="U172" s="27"/>
      <c r="V172" s="27"/>
      <c r="W172" s="27"/>
      <c r="X172" s="27"/>
      <c r="Y172" s="27"/>
      <c r="Z172" s="27"/>
      <c r="AA172" s="27"/>
      <c r="AB172" s="27"/>
    </row>
    <row r="173" spans="2:28" s="18" customFormat="1" ht="14.25" hidden="1">
      <c r="B173" s="33"/>
      <c r="C173" s="33"/>
      <c r="D173" s="34"/>
      <c r="E173" s="35"/>
      <c r="F173" s="36"/>
      <c r="G173" s="36"/>
      <c r="H173" s="36"/>
      <c r="I173" s="37"/>
      <c r="J173" s="37"/>
      <c r="K173" s="36"/>
      <c r="L173" s="36"/>
      <c r="M173" s="53"/>
      <c r="N173" s="53"/>
      <c r="O173" s="53"/>
      <c r="R173" s="27"/>
      <c r="S173" s="339"/>
      <c r="T173" s="27"/>
      <c r="U173" s="27"/>
      <c r="V173" s="27"/>
      <c r="W173" s="27"/>
      <c r="X173" s="27"/>
      <c r="Y173" s="27"/>
      <c r="Z173" s="27"/>
      <c r="AA173" s="27"/>
      <c r="AB173" s="27"/>
    </row>
    <row r="174" spans="2:28" s="18" customFormat="1" ht="14.25" hidden="1">
      <c r="B174" s="33"/>
      <c r="C174" s="33"/>
      <c r="D174" s="34"/>
      <c r="E174" s="35"/>
      <c r="F174" s="36"/>
      <c r="G174" s="36"/>
      <c r="H174" s="36"/>
      <c r="I174" s="37"/>
      <c r="J174" s="37"/>
      <c r="K174" s="36"/>
      <c r="L174" s="36"/>
      <c r="M174" s="53"/>
      <c r="N174" s="53"/>
      <c r="O174" s="53"/>
      <c r="R174" s="27"/>
      <c r="S174" s="339"/>
      <c r="T174" s="27"/>
      <c r="U174" s="27"/>
      <c r="V174" s="27"/>
      <c r="W174" s="27"/>
      <c r="X174" s="27"/>
      <c r="Y174" s="27"/>
      <c r="Z174" s="27"/>
      <c r="AA174" s="27"/>
      <c r="AB174" s="27"/>
    </row>
    <row r="175" spans="2:28" s="18" customFormat="1" ht="14.25" hidden="1">
      <c r="B175" s="33"/>
      <c r="C175" s="33"/>
      <c r="D175" s="34"/>
      <c r="E175" s="35"/>
      <c r="F175" s="36"/>
      <c r="G175" s="36"/>
      <c r="H175" s="36"/>
      <c r="I175" s="37"/>
      <c r="J175" s="37"/>
      <c r="K175" s="36"/>
      <c r="L175" s="36"/>
      <c r="M175" s="53"/>
      <c r="N175" s="53"/>
      <c r="O175" s="53"/>
      <c r="R175" s="27"/>
      <c r="S175" s="339"/>
      <c r="T175" s="27"/>
      <c r="U175" s="27"/>
      <c r="V175" s="27"/>
      <c r="W175" s="27"/>
      <c r="X175" s="27"/>
      <c r="Y175" s="27"/>
      <c r="Z175" s="27"/>
      <c r="AA175" s="27"/>
      <c r="AB175" s="27"/>
    </row>
    <row r="176" spans="2:28" s="18" customFormat="1" ht="14.25" hidden="1">
      <c r="B176" s="33"/>
      <c r="C176" s="33"/>
      <c r="D176" s="34"/>
      <c r="E176" s="35"/>
      <c r="F176" s="36"/>
      <c r="G176" s="36"/>
      <c r="H176" s="36"/>
      <c r="I176" s="37"/>
      <c r="J176" s="37"/>
      <c r="K176" s="36"/>
      <c r="L176" s="36"/>
      <c r="M176" s="53"/>
      <c r="N176" s="53"/>
      <c r="O176" s="53"/>
      <c r="R176" s="27"/>
      <c r="S176" s="339"/>
      <c r="T176" s="27"/>
      <c r="U176" s="27"/>
      <c r="V176" s="27"/>
      <c r="W176" s="27"/>
      <c r="X176" s="27"/>
      <c r="Y176" s="27"/>
      <c r="Z176" s="27"/>
      <c r="AA176" s="27"/>
      <c r="AB176" s="27"/>
    </row>
    <row r="177" spans="2:28" s="18" customFormat="1" ht="14.25" hidden="1">
      <c r="B177" s="33"/>
      <c r="C177" s="33"/>
      <c r="D177" s="34"/>
      <c r="E177" s="35"/>
      <c r="F177" s="36"/>
      <c r="G177" s="36"/>
      <c r="H177" s="36"/>
      <c r="I177" s="37"/>
      <c r="J177" s="37"/>
      <c r="K177" s="36"/>
      <c r="L177" s="36"/>
      <c r="M177" s="53"/>
      <c r="N177" s="53"/>
      <c r="O177" s="53"/>
      <c r="R177" s="27"/>
      <c r="S177" s="339"/>
      <c r="T177" s="27"/>
      <c r="U177" s="27"/>
      <c r="V177" s="27"/>
      <c r="W177" s="27"/>
      <c r="X177" s="27"/>
      <c r="Y177" s="27"/>
      <c r="Z177" s="27"/>
      <c r="AA177" s="27"/>
      <c r="AB177" s="27"/>
    </row>
    <row r="178" spans="2:28" s="18" customFormat="1" ht="14.25" hidden="1">
      <c r="B178" s="33"/>
      <c r="C178" s="33"/>
      <c r="D178" s="34"/>
      <c r="E178" s="35"/>
      <c r="F178" s="36"/>
      <c r="G178" s="36"/>
      <c r="H178" s="36"/>
      <c r="I178" s="37"/>
      <c r="J178" s="37"/>
      <c r="K178" s="36"/>
      <c r="L178" s="36"/>
      <c r="M178" s="53"/>
      <c r="N178" s="53"/>
      <c r="O178" s="53"/>
      <c r="R178" s="27"/>
      <c r="S178" s="339"/>
      <c r="T178" s="27"/>
      <c r="U178" s="27"/>
      <c r="V178" s="27"/>
      <c r="W178" s="27"/>
      <c r="X178" s="27"/>
      <c r="Y178" s="27"/>
      <c r="Z178" s="27"/>
      <c r="AA178" s="27"/>
      <c r="AB178" s="27"/>
    </row>
    <row r="179" spans="2:28" s="18" customFormat="1" ht="14.25" hidden="1">
      <c r="B179" s="33"/>
      <c r="C179" s="33"/>
      <c r="D179" s="34"/>
      <c r="E179" s="35"/>
      <c r="F179" s="36"/>
      <c r="G179" s="36"/>
      <c r="H179" s="36"/>
      <c r="I179" s="37"/>
      <c r="J179" s="37"/>
      <c r="K179" s="36"/>
      <c r="L179" s="36"/>
      <c r="M179" s="53"/>
      <c r="N179" s="53"/>
      <c r="O179" s="53"/>
      <c r="R179" s="27"/>
      <c r="S179" s="339"/>
      <c r="T179" s="27"/>
      <c r="U179" s="27"/>
      <c r="V179" s="27"/>
      <c r="W179" s="27"/>
      <c r="X179" s="27"/>
      <c r="Y179" s="27"/>
      <c r="Z179" s="27"/>
      <c r="AA179" s="27"/>
      <c r="AB179" s="27"/>
    </row>
    <row r="180" spans="2:28" s="18" customFormat="1" ht="14.25" hidden="1">
      <c r="B180" s="33"/>
      <c r="C180" s="33"/>
      <c r="D180" s="34"/>
      <c r="E180" s="35"/>
      <c r="F180" s="36"/>
      <c r="G180" s="36"/>
      <c r="H180" s="36"/>
      <c r="I180" s="37"/>
      <c r="J180" s="37"/>
      <c r="K180" s="36"/>
      <c r="L180" s="36"/>
      <c r="M180" s="53"/>
      <c r="N180" s="53"/>
      <c r="O180" s="53"/>
      <c r="R180" s="27"/>
      <c r="S180" s="339"/>
      <c r="T180" s="27"/>
      <c r="U180" s="27"/>
      <c r="V180" s="27"/>
      <c r="W180" s="27"/>
      <c r="X180" s="27"/>
      <c r="Y180" s="27"/>
      <c r="Z180" s="27"/>
      <c r="AA180" s="27"/>
      <c r="AB180" s="27"/>
    </row>
    <row r="181" spans="2:28" s="18" customFormat="1" ht="14.25" hidden="1">
      <c r="B181" s="33"/>
      <c r="C181" s="33"/>
      <c r="D181" s="34"/>
      <c r="E181" s="35"/>
      <c r="F181" s="36"/>
      <c r="G181" s="36"/>
      <c r="H181" s="36"/>
      <c r="I181" s="37"/>
      <c r="J181" s="37"/>
      <c r="K181" s="36"/>
      <c r="L181" s="36"/>
      <c r="M181" s="53"/>
      <c r="N181" s="53"/>
      <c r="O181" s="53"/>
      <c r="R181" s="27"/>
      <c r="S181" s="339"/>
      <c r="T181" s="27"/>
      <c r="U181" s="27"/>
      <c r="V181" s="27"/>
      <c r="W181" s="27"/>
      <c r="X181" s="27"/>
      <c r="Y181" s="27"/>
      <c r="Z181" s="27"/>
      <c r="AA181" s="27"/>
      <c r="AB181" s="27"/>
    </row>
    <row r="182" spans="2:28" s="18" customFormat="1" ht="14.25" hidden="1">
      <c r="B182" s="33"/>
      <c r="C182" s="33"/>
      <c r="D182" s="34"/>
      <c r="E182" s="35"/>
      <c r="F182" s="36"/>
      <c r="G182" s="36"/>
      <c r="H182" s="36"/>
      <c r="I182" s="37"/>
      <c r="J182" s="37"/>
      <c r="K182" s="36"/>
      <c r="L182" s="36"/>
      <c r="M182" s="53"/>
      <c r="N182" s="53"/>
      <c r="O182" s="53"/>
      <c r="R182" s="27"/>
      <c r="S182" s="339"/>
      <c r="T182" s="27"/>
      <c r="U182" s="27"/>
      <c r="V182" s="27"/>
      <c r="W182" s="27"/>
      <c r="X182" s="27"/>
      <c r="Y182" s="27"/>
      <c r="Z182" s="27"/>
      <c r="AA182" s="27"/>
      <c r="AB182" s="27"/>
    </row>
    <row r="183" spans="2:28" s="18" customFormat="1" ht="14.25" hidden="1">
      <c r="B183" s="33"/>
      <c r="C183" s="33"/>
      <c r="D183" s="34"/>
      <c r="E183" s="35"/>
      <c r="F183" s="36"/>
      <c r="G183" s="36"/>
      <c r="H183" s="36"/>
      <c r="I183" s="37"/>
      <c r="J183" s="37"/>
      <c r="K183" s="36"/>
      <c r="L183" s="36"/>
      <c r="M183" s="53"/>
      <c r="N183" s="53"/>
      <c r="O183" s="53"/>
      <c r="R183" s="27"/>
      <c r="S183" s="339"/>
      <c r="T183" s="27"/>
      <c r="U183" s="27"/>
      <c r="V183" s="27"/>
      <c r="W183" s="27"/>
      <c r="X183" s="27"/>
      <c r="Y183" s="27"/>
      <c r="Z183" s="27"/>
      <c r="AA183" s="27"/>
      <c r="AB183" s="27"/>
    </row>
    <row r="184" spans="2:28" s="18" customFormat="1" ht="14.25" hidden="1">
      <c r="B184" s="33"/>
      <c r="C184" s="33"/>
      <c r="D184" s="34"/>
      <c r="E184" s="35"/>
      <c r="F184" s="36"/>
      <c r="G184" s="36"/>
      <c r="H184" s="36"/>
      <c r="I184" s="37"/>
      <c r="J184" s="37"/>
      <c r="K184" s="36"/>
      <c r="L184" s="36"/>
      <c r="M184" s="53"/>
      <c r="N184" s="53"/>
      <c r="O184" s="53"/>
      <c r="R184" s="27"/>
      <c r="S184" s="339"/>
      <c r="T184" s="27"/>
      <c r="U184" s="27"/>
      <c r="V184" s="27"/>
      <c r="W184" s="27"/>
      <c r="X184" s="27"/>
      <c r="Y184" s="27"/>
      <c r="Z184" s="27"/>
      <c r="AA184" s="27"/>
      <c r="AB184" s="27"/>
    </row>
    <row r="185" spans="2:28" s="18" customFormat="1" ht="14.25" hidden="1">
      <c r="B185" s="33"/>
      <c r="C185" s="33"/>
      <c r="D185" s="34"/>
      <c r="E185" s="35"/>
      <c r="F185" s="36"/>
      <c r="G185" s="36"/>
      <c r="H185" s="36"/>
      <c r="I185" s="37"/>
      <c r="J185" s="37"/>
      <c r="K185" s="36"/>
      <c r="L185" s="36"/>
      <c r="M185" s="53"/>
      <c r="N185" s="53"/>
      <c r="O185" s="53"/>
      <c r="R185" s="27"/>
      <c r="S185" s="339"/>
      <c r="T185" s="27"/>
      <c r="U185" s="27"/>
      <c r="V185" s="27"/>
      <c r="W185" s="27"/>
      <c r="X185" s="27"/>
      <c r="Y185" s="27"/>
      <c r="Z185" s="27"/>
      <c r="AA185" s="27"/>
      <c r="AB185" s="27"/>
    </row>
    <row r="186" spans="2:28" s="18" customFormat="1" ht="14.25" hidden="1">
      <c r="B186" s="33"/>
      <c r="C186" s="33"/>
      <c r="D186" s="34"/>
      <c r="E186" s="35"/>
      <c r="F186" s="36"/>
      <c r="G186" s="36"/>
      <c r="H186" s="36"/>
      <c r="I186" s="37"/>
      <c r="J186" s="37"/>
      <c r="K186" s="36"/>
      <c r="L186" s="36"/>
      <c r="M186" s="53"/>
      <c r="N186" s="53"/>
      <c r="O186" s="53"/>
      <c r="R186" s="27"/>
      <c r="S186" s="339"/>
      <c r="T186" s="27"/>
      <c r="U186" s="27"/>
      <c r="V186" s="27"/>
      <c r="W186" s="27"/>
      <c r="X186" s="27"/>
      <c r="Y186" s="27"/>
      <c r="Z186" s="27"/>
      <c r="AA186" s="27"/>
      <c r="AB186" s="27"/>
    </row>
    <row r="187" spans="2:28" s="18" customFormat="1" ht="14.25" hidden="1">
      <c r="B187" s="33"/>
      <c r="C187" s="33"/>
      <c r="D187" s="34"/>
      <c r="E187" s="35"/>
      <c r="F187" s="36"/>
      <c r="G187" s="36"/>
      <c r="H187" s="36"/>
      <c r="I187" s="37"/>
      <c r="J187" s="37"/>
      <c r="K187" s="36"/>
      <c r="L187" s="36"/>
      <c r="M187" s="53"/>
      <c r="N187" s="53"/>
      <c r="O187" s="53"/>
      <c r="R187" s="27"/>
      <c r="S187" s="339"/>
      <c r="T187" s="27"/>
      <c r="U187" s="27"/>
      <c r="V187" s="27"/>
      <c r="W187" s="27"/>
      <c r="X187" s="27"/>
      <c r="Y187" s="27"/>
      <c r="Z187" s="27"/>
      <c r="AA187" s="27"/>
      <c r="AB187" s="27"/>
    </row>
    <row r="188" spans="2:28" s="18" customFormat="1" ht="14.25" hidden="1">
      <c r="B188" s="33"/>
      <c r="C188" s="33"/>
      <c r="D188" s="34"/>
      <c r="E188" s="35"/>
      <c r="F188" s="36"/>
      <c r="G188" s="36"/>
      <c r="H188" s="36"/>
      <c r="I188" s="37"/>
      <c r="J188" s="37"/>
      <c r="K188" s="36"/>
      <c r="L188" s="36"/>
      <c r="M188" s="53"/>
      <c r="N188" s="53"/>
      <c r="O188" s="53"/>
      <c r="R188" s="27"/>
      <c r="S188" s="339"/>
      <c r="T188" s="27"/>
      <c r="U188" s="27"/>
      <c r="V188" s="27"/>
      <c r="W188" s="27"/>
      <c r="X188" s="27"/>
      <c r="Y188" s="27"/>
      <c r="Z188" s="27"/>
      <c r="AA188" s="27"/>
      <c r="AB188" s="27"/>
    </row>
    <row r="189" spans="2:28" s="18" customFormat="1" ht="14.25" hidden="1">
      <c r="B189" s="33"/>
      <c r="C189" s="33"/>
      <c r="D189" s="34"/>
      <c r="E189" s="35"/>
      <c r="F189" s="36"/>
      <c r="G189" s="36"/>
      <c r="H189" s="36"/>
      <c r="I189" s="37"/>
      <c r="J189" s="37"/>
      <c r="K189" s="36"/>
      <c r="L189" s="36"/>
      <c r="M189" s="53"/>
      <c r="N189" s="53"/>
      <c r="O189" s="53"/>
      <c r="R189" s="27"/>
      <c r="S189" s="339"/>
      <c r="T189" s="27"/>
      <c r="U189" s="27"/>
      <c r="V189" s="27"/>
      <c r="W189" s="27"/>
      <c r="X189" s="27"/>
      <c r="Y189" s="27"/>
      <c r="Z189" s="27"/>
      <c r="AA189" s="27"/>
      <c r="AB189" s="27"/>
    </row>
    <row r="190" spans="2:28" s="18" customFormat="1" ht="14.25" hidden="1">
      <c r="B190" s="33"/>
      <c r="C190" s="33"/>
      <c r="D190" s="34"/>
      <c r="E190" s="35"/>
      <c r="F190" s="36"/>
      <c r="G190" s="36"/>
      <c r="H190" s="36"/>
      <c r="I190" s="37"/>
      <c r="J190" s="37"/>
      <c r="K190" s="36"/>
      <c r="L190" s="36"/>
      <c r="M190" s="53"/>
      <c r="N190" s="53"/>
      <c r="O190" s="53"/>
      <c r="R190" s="27"/>
      <c r="S190" s="339"/>
      <c r="T190" s="27"/>
      <c r="U190" s="27"/>
      <c r="V190" s="27"/>
      <c r="W190" s="27"/>
      <c r="X190" s="27"/>
      <c r="Y190" s="27"/>
      <c r="Z190" s="27"/>
      <c r="AA190" s="27"/>
      <c r="AB190" s="27"/>
    </row>
    <row r="191" spans="2:28" s="18" customFormat="1" ht="14.25" hidden="1">
      <c r="B191" s="33"/>
      <c r="C191" s="33"/>
      <c r="D191" s="34"/>
      <c r="E191" s="35"/>
      <c r="F191" s="36"/>
      <c r="G191" s="36"/>
      <c r="H191" s="36"/>
      <c r="I191" s="37"/>
      <c r="J191" s="37"/>
      <c r="K191" s="36"/>
      <c r="L191" s="36"/>
      <c r="M191" s="53"/>
      <c r="N191" s="53"/>
      <c r="O191" s="53"/>
      <c r="R191" s="27"/>
      <c r="S191" s="339"/>
      <c r="T191" s="27"/>
      <c r="U191" s="27"/>
      <c r="V191" s="27"/>
      <c r="W191" s="27"/>
      <c r="X191" s="27"/>
      <c r="Y191" s="27"/>
      <c r="Z191" s="27"/>
      <c r="AA191" s="27"/>
      <c r="AB191" s="27"/>
    </row>
    <row r="192" spans="2:28" s="18" customFormat="1" ht="14.25" hidden="1">
      <c r="B192" s="33"/>
      <c r="C192" s="33"/>
      <c r="D192" s="34"/>
      <c r="E192" s="35"/>
      <c r="F192" s="36"/>
      <c r="G192" s="36"/>
      <c r="H192" s="36"/>
      <c r="I192" s="37"/>
      <c r="J192" s="37"/>
      <c r="K192" s="36"/>
      <c r="L192" s="36"/>
      <c r="M192" s="53"/>
      <c r="N192" s="53"/>
      <c r="O192" s="53"/>
      <c r="R192" s="27"/>
      <c r="S192" s="339"/>
      <c r="T192" s="27"/>
      <c r="U192" s="27"/>
      <c r="V192" s="27"/>
      <c r="W192" s="27"/>
      <c r="X192" s="27"/>
      <c r="Y192" s="27"/>
      <c r="Z192" s="27"/>
      <c r="AA192" s="27"/>
      <c r="AB192" s="27"/>
    </row>
    <row r="193" spans="2:28" s="18" customFormat="1" ht="14.25" hidden="1">
      <c r="B193" s="33"/>
      <c r="C193" s="33"/>
      <c r="D193" s="34"/>
      <c r="E193" s="35"/>
      <c r="F193" s="36"/>
      <c r="G193" s="36"/>
      <c r="H193" s="36"/>
      <c r="I193" s="37"/>
      <c r="J193" s="37"/>
      <c r="K193" s="36"/>
      <c r="L193" s="36"/>
      <c r="M193" s="53"/>
      <c r="N193" s="53"/>
      <c r="O193" s="53"/>
      <c r="R193" s="27"/>
      <c r="S193" s="339"/>
      <c r="T193" s="27"/>
      <c r="U193" s="27"/>
      <c r="V193" s="27"/>
      <c r="W193" s="27"/>
      <c r="X193" s="27"/>
      <c r="Y193" s="27"/>
      <c r="Z193" s="27"/>
      <c r="AA193" s="27"/>
      <c r="AB193" s="27"/>
    </row>
    <row r="194" spans="2:28" s="18" customFormat="1" ht="14.25" hidden="1">
      <c r="B194" s="33"/>
      <c r="C194" s="33"/>
      <c r="D194" s="34"/>
      <c r="E194" s="35"/>
      <c r="F194" s="36"/>
      <c r="G194" s="36"/>
      <c r="H194" s="36"/>
      <c r="I194" s="37"/>
      <c r="J194" s="37"/>
      <c r="K194" s="36"/>
      <c r="L194" s="36"/>
      <c r="M194" s="53"/>
      <c r="N194" s="53"/>
      <c r="O194" s="53"/>
      <c r="R194" s="27"/>
      <c r="S194" s="339"/>
      <c r="T194" s="27"/>
      <c r="U194" s="27"/>
      <c r="V194" s="27"/>
      <c r="W194" s="27"/>
      <c r="X194" s="27"/>
      <c r="Y194" s="27"/>
      <c r="Z194" s="27"/>
      <c r="AA194" s="27"/>
      <c r="AB194" s="27"/>
    </row>
    <row r="195" spans="2:28" s="18" customFormat="1" ht="14.25" hidden="1">
      <c r="B195" s="33"/>
      <c r="C195" s="33"/>
      <c r="D195" s="34"/>
      <c r="E195" s="35"/>
      <c r="F195" s="36"/>
      <c r="G195" s="36"/>
      <c r="H195" s="36"/>
      <c r="I195" s="37"/>
      <c r="J195" s="37"/>
      <c r="K195" s="36"/>
      <c r="L195" s="36"/>
      <c r="M195" s="53"/>
      <c r="N195" s="53"/>
      <c r="O195" s="53"/>
      <c r="R195" s="27"/>
      <c r="S195" s="339"/>
      <c r="T195" s="27"/>
      <c r="U195" s="27"/>
      <c r="V195" s="27"/>
      <c r="W195" s="27"/>
      <c r="X195" s="27"/>
      <c r="Y195" s="27"/>
      <c r="Z195" s="27"/>
      <c r="AA195" s="27"/>
      <c r="AB195" s="27"/>
    </row>
    <row r="196" spans="2:28" s="18" customFormat="1" ht="14.25" hidden="1">
      <c r="B196" s="33"/>
      <c r="C196" s="33"/>
      <c r="D196" s="34"/>
      <c r="E196" s="35"/>
      <c r="F196" s="36"/>
      <c r="G196" s="36"/>
      <c r="H196" s="36"/>
      <c r="I196" s="37"/>
      <c r="J196" s="37"/>
      <c r="K196" s="36"/>
      <c r="L196" s="36"/>
      <c r="M196" s="53"/>
      <c r="N196" s="53"/>
      <c r="O196" s="53"/>
      <c r="R196" s="27"/>
      <c r="S196" s="339"/>
      <c r="T196" s="27"/>
      <c r="U196" s="27"/>
      <c r="V196" s="27"/>
      <c r="W196" s="27"/>
      <c r="X196" s="27"/>
      <c r="Y196" s="27"/>
      <c r="Z196" s="27"/>
      <c r="AA196" s="27"/>
      <c r="AB196" s="27"/>
    </row>
    <row r="197" spans="2:28" s="18" customFormat="1" ht="14.25" hidden="1">
      <c r="B197" s="33"/>
      <c r="C197" s="33"/>
      <c r="D197" s="34"/>
      <c r="E197" s="35"/>
      <c r="F197" s="36"/>
      <c r="G197" s="36"/>
      <c r="H197" s="36"/>
      <c r="I197" s="37"/>
      <c r="J197" s="37"/>
      <c r="K197" s="36"/>
      <c r="L197" s="36"/>
      <c r="M197" s="53"/>
      <c r="N197" s="53"/>
      <c r="O197" s="53"/>
      <c r="R197" s="27"/>
      <c r="S197" s="339"/>
      <c r="T197" s="27"/>
      <c r="U197" s="27"/>
      <c r="V197" s="27"/>
      <c r="W197" s="27"/>
      <c r="X197" s="27"/>
      <c r="Y197" s="27"/>
      <c r="Z197" s="27"/>
      <c r="AA197" s="27"/>
      <c r="AB197" s="27"/>
    </row>
    <row r="198" spans="2:28" s="18" customFormat="1" ht="14.25" hidden="1">
      <c r="B198" s="33"/>
      <c r="C198" s="33"/>
      <c r="D198" s="34"/>
      <c r="E198" s="35"/>
      <c r="F198" s="36"/>
      <c r="G198" s="36"/>
      <c r="H198" s="36"/>
      <c r="I198" s="37"/>
      <c r="J198" s="37"/>
      <c r="K198" s="36"/>
      <c r="L198" s="36"/>
      <c r="M198" s="53"/>
      <c r="N198" s="53"/>
      <c r="O198" s="53"/>
      <c r="R198" s="27"/>
      <c r="S198" s="339"/>
      <c r="T198" s="27"/>
      <c r="U198" s="27"/>
      <c r="V198" s="27"/>
      <c r="W198" s="27"/>
      <c r="X198" s="27"/>
      <c r="Y198" s="27"/>
      <c r="Z198" s="27"/>
      <c r="AA198" s="27"/>
      <c r="AB198" s="27"/>
    </row>
    <row r="199" spans="2:28" s="18" customFormat="1" ht="14.25" hidden="1">
      <c r="B199" s="33"/>
      <c r="C199" s="33"/>
      <c r="D199" s="34"/>
      <c r="E199" s="35"/>
      <c r="F199" s="36"/>
      <c r="G199" s="36"/>
      <c r="H199" s="36"/>
      <c r="I199" s="37"/>
      <c r="J199" s="37"/>
      <c r="K199" s="36"/>
      <c r="L199" s="36"/>
      <c r="M199" s="53"/>
      <c r="N199" s="53"/>
      <c r="O199" s="53"/>
      <c r="R199" s="27"/>
      <c r="S199" s="339"/>
      <c r="T199" s="27"/>
      <c r="U199" s="27"/>
      <c r="V199" s="27"/>
      <c r="W199" s="27"/>
      <c r="X199" s="27"/>
      <c r="Y199" s="27"/>
      <c r="Z199" s="27"/>
      <c r="AA199" s="27"/>
      <c r="AB199" s="27"/>
    </row>
    <row r="200" spans="2:28" s="18" customFormat="1" ht="14.25" hidden="1">
      <c r="B200" s="33"/>
      <c r="C200" s="33"/>
      <c r="D200" s="34"/>
      <c r="E200" s="35"/>
      <c r="F200" s="36"/>
      <c r="G200" s="36"/>
      <c r="H200" s="36"/>
      <c r="I200" s="37"/>
      <c r="J200" s="37"/>
      <c r="K200" s="36"/>
      <c r="L200" s="36"/>
      <c r="M200" s="53"/>
      <c r="N200" s="53"/>
      <c r="O200" s="53"/>
      <c r="R200" s="27"/>
      <c r="S200" s="339"/>
      <c r="T200" s="27"/>
      <c r="U200" s="27"/>
      <c r="V200" s="27"/>
      <c r="W200" s="27"/>
      <c r="X200" s="27"/>
      <c r="Y200" s="27"/>
      <c r="Z200" s="27"/>
      <c r="AA200" s="27"/>
      <c r="AB200" s="27"/>
    </row>
    <row r="201" spans="2:28" s="18" customFormat="1" ht="14.25" hidden="1">
      <c r="B201" s="33"/>
      <c r="C201" s="33"/>
      <c r="D201" s="34"/>
      <c r="E201" s="35"/>
      <c r="F201" s="36"/>
      <c r="G201" s="36"/>
      <c r="H201" s="36"/>
      <c r="I201" s="37"/>
      <c r="J201" s="37"/>
      <c r="K201" s="36"/>
      <c r="L201" s="36"/>
      <c r="M201" s="53"/>
      <c r="N201" s="53"/>
      <c r="O201" s="53"/>
      <c r="R201" s="27"/>
      <c r="S201" s="339"/>
      <c r="T201" s="27"/>
      <c r="U201" s="27"/>
      <c r="V201" s="27"/>
      <c r="W201" s="27"/>
      <c r="X201" s="27"/>
      <c r="Y201" s="27"/>
      <c r="Z201" s="27"/>
      <c r="AA201" s="27"/>
      <c r="AB201" s="27"/>
    </row>
    <row r="202" spans="2:28" s="18" customFormat="1" ht="14.25" hidden="1" customHeight="1">
      <c r="B202" s="33"/>
      <c r="C202" s="33"/>
      <c r="D202" s="34"/>
      <c r="E202" s="35"/>
      <c r="F202" s="36"/>
      <c r="G202" s="36"/>
      <c r="H202" s="36"/>
      <c r="I202" s="37"/>
      <c r="J202" s="37"/>
      <c r="K202" s="36"/>
      <c r="L202" s="36"/>
      <c r="M202" s="53"/>
      <c r="N202" s="53"/>
      <c r="O202" s="53"/>
      <c r="R202" s="27"/>
      <c r="S202" s="339"/>
      <c r="T202" s="27"/>
      <c r="U202" s="27"/>
      <c r="V202" s="27"/>
      <c r="W202" s="27"/>
      <c r="X202" s="27"/>
      <c r="Y202" s="27"/>
      <c r="Z202" s="27"/>
      <c r="AA202" s="27"/>
      <c r="AB202" s="27"/>
    </row>
    <row r="203" spans="2:28" s="18" customFormat="1" ht="14.25" hidden="1" customHeight="1">
      <c r="B203" s="33"/>
      <c r="C203" s="33"/>
      <c r="D203" s="34"/>
      <c r="E203" s="35"/>
      <c r="F203" s="36"/>
      <c r="G203" s="36"/>
      <c r="H203" s="36"/>
      <c r="I203" s="37"/>
      <c r="J203" s="37"/>
      <c r="K203" s="36"/>
      <c r="L203" s="36"/>
      <c r="M203" s="53"/>
      <c r="N203" s="53"/>
      <c r="O203" s="53"/>
      <c r="R203" s="27"/>
      <c r="S203" s="339"/>
      <c r="T203" s="27"/>
      <c r="U203" s="27"/>
      <c r="V203" s="27"/>
      <c r="W203" s="27"/>
      <c r="X203" s="27"/>
      <c r="Y203" s="27"/>
      <c r="Z203" s="27"/>
      <c r="AA203" s="27"/>
      <c r="AB203" s="27"/>
    </row>
    <row r="204" spans="2:28" s="18" customFormat="1" ht="14.25" hidden="1" customHeight="1">
      <c r="B204" s="33"/>
      <c r="C204" s="33"/>
      <c r="D204" s="34"/>
      <c r="E204" s="35"/>
      <c r="F204" s="36"/>
      <c r="G204" s="36"/>
      <c r="H204" s="36"/>
      <c r="I204" s="37"/>
      <c r="J204" s="37"/>
      <c r="K204" s="36"/>
      <c r="L204" s="36"/>
      <c r="M204" s="53"/>
      <c r="N204" s="53"/>
      <c r="O204" s="53"/>
      <c r="R204" s="27"/>
      <c r="S204" s="339"/>
      <c r="T204" s="27"/>
      <c r="U204" s="27"/>
      <c r="V204" s="27"/>
      <c r="W204" s="27"/>
      <c r="X204" s="27"/>
      <c r="Y204" s="27"/>
      <c r="Z204" s="27"/>
      <c r="AA204" s="27"/>
      <c r="AB204" s="27"/>
    </row>
    <row r="205" spans="2:28" s="18" customFormat="1" ht="14.25" hidden="1" customHeight="1">
      <c r="B205" s="33"/>
      <c r="C205" s="33"/>
      <c r="D205" s="34"/>
      <c r="E205" s="35"/>
      <c r="F205" s="36"/>
      <c r="G205" s="36"/>
      <c r="H205" s="36"/>
      <c r="I205" s="37"/>
      <c r="J205" s="37"/>
      <c r="K205" s="36"/>
      <c r="L205" s="36"/>
      <c r="M205" s="53"/>
      <c r="N205" s="53"/>
      <c r="O205" s="53"/>
      <c r="R205" s="27"/>
      <c r="S205" s="339"/>
      <c r="T205" s="27"/>
      <c r="U205" s="27"/>
      <c r="V205" s="27"/>
      <c r="W205" s="27"/>
      <c r="X205" s="27"/>
      <c r="Y205" s="27"/>
      <c r="Z205" s="27"/>
      <c r="AA205" s="27"/>
      <c r="AB205" s="27"/>
    </row>
    <row r="206" spans="2:28" s="18" customFormat="1" ht="14.25" hidden="1" customHeight="1">
      <c r="B206" s="33"/>
      <c r="C206" s="33"/>
      <c r="D206" s="34"/>
      <c r="E206" s="35"/>
      <c r="F206" s="36"/>
      <c r="G206" s="36"/>
      <c r="H206" s="36"/>
      <c r="I206" s="37"/>
      <c r="J206" s="37"/>
      <c r="K206" s="36"/>
      <c r="L206" s="36"/>
      <c r="M206" s="53"/>
      <c r="N206" s="53"/>
      <c r="O206" s="53"/>
      <c r="R206" s="27"/>
      <c r="S206" s="339"/>
      <c r="T206" s="27"/>
      <c r="U206" s="27"/>
      <c r="V206" s="27"/>
      <c r="W206" s="27"/>
      <c r="X206" s="27"/>
      <c r="Y206" s="27"/>
      <c r="Z206" s="27"/>
      <c r="AA206" s="27"/>
      <c r="AB206" s="27"/>
    </row>
    <row r="207" spans="2:28" s="18" customFormat="1" ht="14.25" hidden="1" customHeight="1">
      <c r="B207" s="33"/>
      <c r="C207" s="33"/>
      <c r="D207" s="34"/>
      <c r="E207" s="35"/>
      <c r="F207" s="36"/>
      <c r="G207" s="36"/>
      <c r="H207" s="36"/>
      <c r="I207" s="37"/>
      <c r="J207" s="37"/>
      <c r="K207" s="36"/>
      <c r="L207" s="36"/>
      <c r="M207" s="53"/>
      <c r="N207" s="53"/>
      <c r="O207" s="53"/>
      <c r="R207" s="27"/>
      <c r="S207" s="339"/>
      <c r="T207" s="27"/>
      <c r="U207" s="27"/>
      <c r="V207" s="27"/>
      <c r="W207" s="27"/>
      <c r="X207" s="27"/>
      <c r="Y207" s="27"/>
      <c r="Z207" s="27"/>
      <c r="AA207" s="27"/>
      <c r="AB207" s="27"/>
    </row>
    <row r="208" spans="2:28" s="18" customFormat="1" ht="14.25" hidden="1" customHeight="1">
      <c r="B208" s="33"/>
      <c r="C208" s="33"/>
      <c r="D208" s="34"/>
      <c r="E208" s="35"/>
      <c r="F208" s="36"/>
      <c r="G208" s="36"/>
      <c r="H208" s="36"/>
      <c r="I208" s="37"/>
      <c r="J208" s="37"/>
      <c r="K208" s="36"/>
      <c r="L208" s="36"/>
      <c r="M208" s="53"/>
      <c r="N208" s="53"/>
      <c r="O208" s="53"/>
      <c r="R208" s="27"/>
      <c r="S208" s="339"/>
      <c r="T208" s="27"/>
      <c r="U208" s="27"/>
      <c r="V208" s="27"/>
      <c r="W208" s="27"/>
      <c r="X208" s="27"/>
      <c r="Y208" s="27"/>
      <c r="Z208" s="27"/>
      <c r="AA208" s="27"/>
      <c r="AB208" s="27"/>
    </row>
    <row r="209" spans="2:28" s="18" customFormat="1" ht="14.25" hidden="1" customHeight="1">
      <c r="B209" s="33"/>
      <c r="C209" s="33"/>
      <c r="D209" s="34"/>
      <c r="E209" s="35"/>
      <c r="F209" s="36"/>
      <c r="G209" s="36"/>
      <c r="H209" s="36"/>
      <c r="I209" s="37"/>
      <c r="J209" s="37"/>
      <c r="K209" s="36"/>
      <c r="L209" s="36"/>
      <c r="M209" s="53"/>
      <c r="N209" s="53"/>
      <c r="O209" s="53"/>
      <c r="R209" s="27"/>
      <c r="S209" s="339"/>
      <c r="T209" s="27"/>
      <c r="U209" s="27"/>
      <c r="V209" s="27"/>
      <c r="W209" s="27"/>
      <c r="X209" s="27"/>
      <c r="Y209" s="27"/>
      <c r="Z209" s="27"/>
      <c r="AA209" s="27"/>
      <c r="AB209" s="27"/>
    </row>
    <row r="210" spans="2:28" s="18" customFormat="1" ht="14.25" hidden="1" customHeight="1">
      <c r="B210" s="33"/>
      <c r="C210" s="33"/>
      <c r="D210" s="34"/>
      <c r="E210" s="35"/>
      <c r="F210" s="36"/>
      <c r="G210" s="36"/>
      <c r="H210" s="36"/>
      <c r="I210" s="37"/>
      <c r="J210" s="37"/>
      <c r="K210" s="36"/>
      <c r="L210" s="36"/>
      <c r="M210" s="53"/>
      <c r="N210" s="53"/>
      <c r="O210" s="53"/>
      <c r="R210" s="27"/>
      <c r="S210" s="339"/>
      <c r="T210" s="27"/>
      <c r="U210" s="27"/>
      <c r="V210" s="27"/>
      <c r="W210" s="27"/>
      <c r="X210" s="27"/>
      <c r="Y210" s="27"/>
      <c r="Z210" s="27"/>
      <c r="AA210" s="27"/>
      <c r="AB210" s="27"/>
    </row>
    <row r="211" spans="2:28" s="18" customFormat="1" ht="14.25" hidden="1" customHeight="1">
      <c r="B211" s="33"/>
      <c r="C211" s="33"/>
      <c r="D211" s="34"/>
      <c r="E211" s="35"/>
      <c r="F211" s="36"/>
      <c r="G211" s="36"/>
      <c r="H211" s="36"/>
      <c r="I211" s="37"/>
      <c r="J211" s="37"/>
      <c r="K211" s="36"/>
      <c r="L211" s="36"/>
      <c r="M211" s="53"/>
      <c r="N211" s="53"/>
      <c r="O211" s="53"/>
      <c r="R211" s="27"/>
      <c r="S211" s="339"/>
      <c r="T211" s="27"/>
      <c r="U211" s="27"/>
      <c r="V211" s="27"/>
      <c r="W211" s="27"/>
      <c r="X211" s="27"/>
      <c r="Y211" s="27"/>
      <c r="Z211" s="27"/>
      <c r="AA211" s="27"/>
      <c r="AB211" s="27"/>
    </row>
    <row r="212" spans="2:28" s="18" customFormat="1" ht="14.25" hidden="1" customHeight="1">
      <c r="B212" s="33"/>
      <c r="C212" s="33"/>
      <c r="D212" s="34"/>
      <c r="E212" s="35"/>
      <c r="F212" s="36"/>
      <c r="G212" s="36"/>
      <c r="H212" s="36"/>
      <c r="I212" s="37"/>
      <c r="J212" s="37"/>
      <c r="K212" s="36"/>
      <c r="L212" s="36"/>
      <c r="M212" s="53"/>
      <c r="N212" s="53"/>
      <c r="O212" s="53"/>
      <c r="R212" s="27"/>
      <c r="S212" s="339"/>
      <c r="T212" s="27"/>
      <c r="U212" s="27"/>
      <c r="V212" s="27"/>
      <c r="W212" s="27"/>
      <c r="X212" s="27"/>
      <c r="Y212" s="27"/>
      <c r="Z212" s="27"/>
      <c r="AA212" s="27"/>
      <c r="AB212" s="27"/>
    </row>
  </sheetData>
  <sheetProtection sheet="1" objects="1" scenarios="1"/>
  <mergeCells count="17">
    <mergeCell ref="H37:K39"/>
    <mergeCell ref="Q2:Q5"/>
    <mergeCell ref="N5:O5"/>
    <mergeCell ref="D13:E13"/>
    <mergeCell ref="D14:E14"/>
    <mergeCell ref="L23:O23"/>
    <mergeCell ref="B68:G68"/>
    <mergeCell ref="H68:K68"/>
    <mergeCell ref="L68:O68"/>
    <mergeCell ref="B70:G70"/>
    <mergeCell ref="H70:K70"/>
    <mergeCell ref="L70:O70"/>
    <mergeCell ref="AH43:AJ43"/>
    <mergeCell ref="AH44:AJ44"/>
    <mergeCell ref="AH45:AJ45"/>
    <mergeCell ref="B66:K66"/>
    <mergeCell ref="L66:O66"/>
  </mergeCells>
  <phoneticPr fontId="26"/>
  <conditionalFormatting sqref="H28">
    <cfRule type="expression" dxfId="118" priority="1" stopIfTrue="1">
      <formula>$U$36=$W$37</formula>
    </cfRule>
  </conditionalFormatting>
  <conditionalFormatting sqref="H36:K36">
    <cfRule type="expression" dxfId="117" priority="3" stopIfTrue="1">
      <formula>$U$36=$W$37</formula>
    </cfRule>
  </conditionalFormatting>
  <conditionalFormatting sqref="I28:K35 H29:H35">
    <cfRule type="expression" dxfId="116" priority="2" stopIfTrue="1">
      <formula>$U$36=$W$37</formula>
    </cfRule>
  </conditionalFormatting>
  <hyperlinks>
    <hyperlink ref="Q2" location="メイン!A1" display="戻る" xr:uid="{00000000-0004-0000-0400-000000000000}"/>
    <hyperlink ref="Q2:Q5" location="Main!A1" display="←" xr:uid="{DA366426-FB01-4537-B3DD-C066A0D0976A}"/>
  </hyperlinks>
  <printOptions horizontalCentered="1"/>
  <pageMargins left="0.59055118110236227" right="0.59055118110236227" top="0.78740157480314965" bottom="0.59055118110236227" header="0.51181102362204722" footer="0.51181102362204722"/>
  <pageSetup paperSize="9" scale="67" orientation="portrait" verticalDpi="4294967293" r:id="rId1"/>
  <headerFooter alignWithMargins="0">
    <oddHeader>&amp;L&amp;F&amp;R&amp;A</oddHeader>
    <oddFooter>&amp;C&amp;P/&amp;N</oddFooter>
  </headerFooter>
  <colBreaks count="1" manualBreakCount="1">
    <brk id="16" max="71"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5">
    <pageSetUpPr fitToPage="1"/>
  </sheetPr>
  <dimension ref="B1:H12"/>
  <sheetViews>
    <sheetView showGridLines="0" workbookViewId="0">
      <selection activeCell="G385" sqref="G385"/>
    </sheetView>
  </sheetViews>
  <sheetFormatPr defaultColWidth="0" defaultRowHeight="13.5" zeroHeight="1"/>
  <cols>
    <col min="1" max="1" width="0.875" customWidth="1"/>
    <col min="2" max="2" width="17.375" customWidth="1"/>
    <col min="3" max="3" width="0.5" style="392" customWidth="1"/>
    <col min="4" max="4" width="32.375" customWidth="1"/>
    <col min="5" max="5" width="11.125" customWidth="1"/>
    <col min="6" max="6" width="21.25" customWidth="1"/>
    <col min="7" max="7" width="1.375" customWidth="1"/>
  </cols>
  <sheetData>
    <row r="1" spans="2:8" ht="21">
      <c r="B1" s="1515" t="s">
        <v>1516</v>
      </c>
      <c r="C1" s="385"/>
      <c r="E1" s="1516" t="s">
        <v>1517</v>
      </c>
      <c r="F1" s="1989" t="str">
        <f>Main!C11</f>
        <v>XXX Building</v>
      </c>
    </row>
    <row r="2" spans="2:8" s="382" customFormat="1" thickBot="1">
      <c r="B2" s="386"/>
      <c r="C2" s="387"/>
      <c r="D2" s="387"/>
      <c r="E2" s="387"/>
      <c r="F2" s="387"/>
      <c r="G2" s="388"/>
      <c r="H2" s="388"/>
    </row>
    <row r="3" spans="2:8" ht="21" customHeight="1" thickBot="1">
      <c r="B3" s="389"/>
      <c r="C3" s="390"/>
      <c r="D3" s="390" t="s">
        <v>1518</v>
      </c>
      <c r="E3" s="390"/>
      <c r="F3" s="391"/>
    </row>
    <row r="4" spans="2:8" ht="81" customHeight="1" thickTop="1">
      <c r="B4" s="1517" t="s">
        <v>1519</v>
      </c>
      <c r="C4" s="1478" t="s">
        <v>1527</v>
      </c>
      <c r="D4" s="3860" t="str">
        <f>C4</f>
        <v>Describe briefly comprehensive concept of environmental design of the building.</v>
      </c>
      <c r="E4" s="3860"/>
      <c r="F4" s="3861"/>
    </row>
    <row r="5" spans="2:8" ht="81" customHeight="1">
      <c r="B5" s="1518" t="s">
        <v>1520</v>
      </c>
      <c r="C5" s="710" t="s">
        <v>1528</v>
      </c>
      <c r="D5" s="3862" t="str">
        <f t="shared" ref="D5:D11" si="0">C5</f>
        <v>Describe briefly considerations for Q1 Indoor Environment of the building.</v>
      </c>
      <c r="E5" s="3862"/>
      <c r="F5" s="3863"/>
    </row>
    <row r="6" spans="2:8" ht="81" customHeight="1">
      <c r="B6" s="1518" t="s">
        <v>1521</v>
      </c>
      <c r="C6" s="710" t="s">
        <v>1529</v>
      </c>
      <c r="D6" s="3862" t="str">
        <f t="shared" si="0"/>
        <v>Describe briefly considerations for Q2 Quality of Service of the building.</v>
      </c>
      <c r="E6" s="3862"/>
      <c r="F6" s="3863"/>
    </row>
    <row r="7" spans="2:8" ht="81" customHeight="1">
      <c r="B7" s="1518" t="s">
        <v>1522</v>
      </c>
      <c r="C7" s="711" t="s">
        <v>1530</v>
      </c>
      <c r="D7" s="3862" t="str">
        <f t="shared" si="0"/>
        <v>Describe briefly considerations for Q3 Outdoor Environment on Site of the building.</v>
      </c>
      <c r="E7" s="3862"/>
      <c r="F7" s="3863"/>
    </row>
    <row r="8" spans="2:8" ht="81" customHeight="1">
      <c r="B8" s="1518" t="s">
        <v>1523</v>
      </c>
      <c r="C8" s="711" t="s">
        <v>1531</v>
      </c>
      <c r="D8" s="3862" t="str">
        <f t="shared" si="0"/>
        <v>Describe briefly considerations for LR1 Energy of the building.</v>
      </c>
      <c r="E8" s="3862"/>
      <c r="F8" s="3863"/>
    </row>
    <row r="9" spans="2:8" ht="81" customHeight="1">
      <c r="B9" s="1518" t="s">
        <v>1524</v>
      </c>
      <c r="C9" s="711" t="s">
        <v>1532</v>
      </c>
      <c r="D9" s="3862" t="str">
        <f t="shared" si="0"/>
        <v>Describe briefly considerations for LR2 Resources &amp; Materials of the building.</v>
      </c>
      <c r="E9" s="3862"/>
      <c r="F9" s="3863"/>
    </row>
    <row r="10" spans="2:8" ht="81" customHeight="1" thickBot="1">
      <c r="B10" s="1519" t="s">
        <v>1525</v>
      </c>
      <c r="C10" s="712" t="s">
        <v>1533</v>
      </c>
      <c r="D10" s="3864" t="str">
        <f t="shared" si="0"/>
        <v>Describe briefly considerations for LR3 Off-site Environment of the building.</v>
      </c>
      <c r="E10" s="3864"/>
      <c r="F10" s="3865"/>
    </row>
    <row r="11" spans="2:8" ht="108.75" customHeight="1" thickTop="1" thickBot="1">
      <c r="B11" s="1520" t="s">
        <v>1526</v>
      </c>
      <c r="C11" s="713" t="s">
        <v>1534</v>
      </c>
      <c r="D11" s="3858" t="str">
        <f t="shared" si="0"/>
        <v>Describe briefly considerations for other than 6 categories above that is not assessed in CASBEE-NC, such as recycling activities at constriction site and preservation of historic buildings.</v>
      </c>
      <c r="E11" s="3858"/>
      <c r="F11" s="3859"/>
    </row>
    <row r="12" spans="2:8"/>
  </sheetData>
  <sheetProtection algorithmName="SHA-512" hashValue="zX76SDoiXVA5tsUmMdEzxGjon3lqPnqRUchsvBG/q7/T72MVYmZCceQp8Z7sYi/4uZy1Jej3/XxO84rzyhf1wg==" saltValue="Qx9/h4BWHYoNXy/9mpkwlQ==" spinCount="100000" sheet="1" objects="1" scenarios="1"/>
  <mergeCells count="8">
    <mergeCell ref="D11:F11"/>
    <mergeCell ref="D4:F4"/>
    <mergeCell ref="D5:F5"/>
    <mergeCell ref="D6:F6"/>
    <mergeCell ref="D7:F7"/>
    <mergeCell ref="D8:F8"/>
    <mergeCell ref="D9:F9"/>
    <mergeCell ref="D10:F10"/>
  </mergeCells>
  <phoneticPr fontId="26"/>
  <printOptions horizontalCentered="1"/>
  <pageMargins left="0.59055118110236227" right="0.59055118110236227" top="0.78740157480314965" bottom="0.59055118110236227" header="0.51181102362204722" footer="0.51181102362204722"/>
  <pageSetup paperSize="9" orientation="portrait" verticalDpi="300" r:id="rId1"/>
  <headerFooter alignWithMargins="0">
    <oddHeader>&amp;L&amp;F&amp;R&amp;A</oddHeader>
    <oddFooter>&amp;C&amp;P/&amp;N</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pageSetUpPr autoPageBreaks="0"/>
  </sheetPr>
  <dimension ref="B1:FL234"/>
  <sheetViews>
    <sheetView workbookViewId="0"/>
  </sheetViews>
  <sheetFormatPr defaultColWidth="9" defaultRowHeight="13.5" zeroHeight="1"/>
  <cols>
    <col min="1" max="1" width="1.25" customWidth="1"/>
    <col min="2" max="2" width="7.25" style="415" hidden="1" customWidth="1"/>
    <col min="3" max="3" width="37" style="416" hidden="1" customWidth="1"/>
    <col min="4" max="4" width="8.875" style="417" hidden="1" customWidth="1"/>
    <col min="5" max="5" width="8.875" style="418" hidden="1" customWidth="1"/>
    <col min="6" max="6" width="1.625" hidden="1" customWidth="1"/>
    <col min="7" max="13" width="7.875" style="418" hidden="1" customWidth="1"/>
    <col min="14" max="14" width="8.875" style="418" hidden="1" customWidth="1"/>
    <col min="15" max="15" width="7.375" hidden="1" customWidth="1"/>
    <col min="16" max="18" width="7.375" customWidth="1"/>
    <col min="19" max="19" width="31" customWidth="1"/>
    <col min="20" max="20" width="20" hidden="1" customWidth="1"/>
    <col min="21" max="21" width="1.75" customWidth="1"/>
    <col min="22" max="22" width="10.375" customWidth="1"/>
    <col min="23" max="23" width="10.25" bestFit="1" customWidth="1"/>
    <col min="24" max="24" width="7.375" hidden="1" customWidth="1"/>
    <col min="25" max="25" width="7.25" hidden="1" customWidth="1"/>
    <col min="26" max="26" width="5.25" hidden="1" customWidth="1"/>
    <col min="27" max="29" width="7.25" hidden="1" customWidth="1"/>
    <col min="30" max="30" width="5.25" hidden="1" customWidth="1"/>
    <col min="31" max="31" width="7.25" hidden="1" customWidth="1"/>
    <col min="32" max="32" width="5.25" hidden="1" customWidth="1"/>
    <col min="33" max="33" width="6.875" hidden="1" customWidth="1"/>
    <col min="34" max="34" width="9.25" hidden="1" customWidth="1"/>
    <col min="35" max="35" width="6.25" hidden="1" customWidth="1"/>
    <col min="36" max="36" width="7.875" hidden="1" customWidth="1"/>
    <col min="37" max="37" width="10.25" hidden="1" customWidth="1"/>
    <col min="38" max="38" width="3.375" customWidth="1"/>
    <col min="39" max="51" width="8.375" customWidth="1"/>
    <col min="52" max="53" width="7.375" hidden="1" customWidth="1"/>
    <col min="54" max="54" width="8.875" hidden="1" customWidth="1"/>
    <col min="55" max="55" width="8.375" hidden="1" customWidth="1"/>
    <col min="56" max="56" width="14.125" style="421" hidden="1" customWidth="1"/>
    <col min="57" max="57" width="4.75" style="421" hidden="1" customWidth="1"/>
    <col min="58" max="60" width="6.375" style="421" hidden="1" customWidth="1"/>
    <col min="61" max="61" width="5" style="421" hidden="1" customWidth="1"/>
    <col min="62" max="62" width="6.375" style="421" hidden="1" customWidth="1"/>
    <col min="63" max="63" width="4.75" style="421" hidden="1" customWidth="1"/>
    <col min="64" max="64" width="6.125" style="421" hidden="1" customWidth="1"/>
    <col min="65" max="65" width="6" style="421" hidden="1" customWidth="1"/>
    <col min="66" max="66" width="2.5" customWidth="1"/>
    <col min="67" max="67" width="6" style="419" customWidth="1"/>
    <col min="68" max="68" width="7.875" style="419" hidden="1" customWidth="1"/>
    <col min="69" max="69" width="37.25" style="420" customWidth="1"/>
    <col min="70" max="81" width="6.625" style="421" customWidth="1"/>
    <col min="82" max="82" width="8.875" style="421" customWidth="1"/>
    <col min="83" max="83" width="4.125" customWidth="1"/>
    <col min="84" max="84" width="10.5" style="8" customWidth="1"/>
    <col min="85" max="85" width="6.875" style="8" customWidth="1"/>
    <col min="86" max="86" width="40.625" style="422" customWidth="1"/>
    <col min="87" max="87" width="6.375" style="8" customWidth="1"/>
    <col min="88" max="88" width="5.625" style="8" customWidth="1"/>
    <col min="89" max="91" width="6.375" style="8" customWidth="1"/>
    <col min="92" max="92" width="6" style="8" customWidth="1"/>
    <col min="93" max="93" width="6.375" style="8" customWidth="1"/>
    <col min="94" max="94" width="5.625" style="8" customWidth="1"/>
    <col min="95" max="95" width="6.125" style="8" customWidth="1"/>
    <col min="96" max="96" width="8" style="8" customWidth="1"/>
    <col min="97" max="97" width="5.625" style="8" customWidth="1"/>
    <col min="98" max="98" width="7" style="8" customWidth="1"/>
    <col min="99" max="99" width="8.875" style="8" customWidth="1"/>
    <col min="100" max="100" width="1.375" customWidth="1"/>
    <col min="101" max="101" width="15.75" style="8" customWidth="1"/>
    <col min="102" max="102" width="6.875" style="8" customWidth="1"/>
    <col min="103" max="103" width="40.625" style="422" customWidth="1"/>
    <col min="104" max="104" width="6.375" style="8" customWidth="1"/>
    <col min="105" max="105" width="5" style="8" customWidth="1"/>
    <col min="106" max="108" width="6.375" style="8" customWidth="1"/>
    <col min="109" max="109" width="6" style="8" customWidth="1"/>
    <col min="110" max="110" width="6.375" style="8" customWidth="1"/>
    <col min="111" max="111" width="5" style="8" customWidth="1"/>
    <col min="112" max="112" width="6.125" style="8" customWidth="1"/>
    <col min="113" max="113" width="8" style="8" customWidth="1"/>
    <col min="114" max="114" width="5.625" style="8" customWidth="1"/>
    <col min="115" max="115" width="7" style="8" customWidth="1"/>
    <col min="116" max="116" width="8.875" style="8" customWidth="1"/>
    <col min="117" max="117" width="1.375" customWidth="1"/>
    <col min="118" max="118" width="22.875" style="8" customWidth="1"/>
    <col min="119" max="119" width="6.875" style="8" customWidth="1"/>
    <col min="120" max="120" width="40.625" style="422" customWidth="1"/>
    <col min="121" max="121" width="6.375" style="8" customWidth="1"/>
    <col min="122" max="122" width="5.625" style="8" customWidth="1"/>
    <col min="123" max="125" width="6.375" style="8" customWidth="1"/>
    <col min="126" max="126" width="6" style="8" customWidth="1"/>
    <col min="127" max="127" width="6.375" style="8" customWidth="1"/>
    <col min="128" max="128" width="5.625" style="8" customWidth="1"/>
    <col min="129" max="129" width="6.125" style="8" customWidth="1"/>
    <col min="130" max="130" width="8" style="8" customWidth="1"/>
    <col min="131" max="131" width="5.625" style="8" customWidth="1"/>
    <col min="132" max="132" width="7" style="8" customWidth="1"/>
    <col min="133" max="133" width="8.875" style="8" customWidth="1"/>
    <col min="134" max="134" width="1.875" style="8" customWidth="1"/>
    <col min="135" max="135" width="4.5" customWidth="1"/>
    <col min="136" max="136" width="15.75" style="8" customWidth="1"/>
    <col min="137" max="137" width="6.875" style="8" customWidth="1"/>
    <col min="138" max="138" width="40.625" style="8" customWidth="1"/>
    <col min="139" max="139" width="6.375" style="8" customWidth="1"/>
    <col min="140" max="140" width="5" style="8" customWidth="1"/>
    <col min="141" max="143" width="6.375" style="8" customWidth="1"/>
    <col min="144" max="144" width="5" style="8" customWidth="1"/>
    <col min="145" max="145" width="6.375" style="8" customWidth="1"/>
    <col min="146" max="146" width="5" style="8" customWidth="1"/>
    <col min="147" max="147" width="6.125" style="8" customWidth="1"/>
    <col min="148" max="148" width="8" style="8" customWidth="1"/>
    <col min="149" max="149" width="5.625" style="8" customWidth="1"/>
    <col min="150" max="150" width="7" style="8" customWidth="1"/>
    <col min="151" max="151" width="8.875" style="8" customWidth="1"/>
    <col min="152" max="152" width="7.125" customWidth="1"/>
    <col min="153" max="153" width="20.625" customWidth="1"/>
    <col min="154" max="154" width="6.875" customWidth="1"/>
    <col min="155" max="155" width="32.875" customWidth="1"/>
    <col min="156" max="156" width="6.375" customWidth="1"/>
    <col min="157" max="157" width="4.75" customWidth="1"/>
    <col min="158" max="160" width="6.375" customWidth="1"/>
    <col min="161" max="161" width="4.75" customWidth="1"/>
    <col min="162" max="162" width="6.375" customWidth="1"/>
    <col min="163" max="163" width="4.75" customWidth="1"/>
    <col min="164" max="164" width="6.125" customWidth="1"/>
    <col min="165" max="165" width="8" customWidth="1"/>
    <col min="166" max="166" width="5.625" customWidth="1"/>
    <col min="167" max="167" width="7" customWidth="1"/>
    <col min="168" max="170" width="8.875" customWidth="1"/>
  </cols>
  <sheetData>
    <row r="1" spans="2:168" ht="14.25" thickBot="1">
      <c r="D1" s="716"/>
      <c r="E1" s="715"/>
      <c r="G1" s="715"/>
      <c r="H1" s="715"/>
      <c r="I1" s="715"/>
      <c r="J1" s="715"/>
      <c r="K1" s="715"/>
      <c r="L1" s="715"/>
      <c r="M1" s="715"/>
      <c r="N1" s="715"/>
      <c r="BO1" s="714"/>
      <c r="BP1" s="714"/>
    </row>
    <row r="2" spans="2:168" ht="18" thickBot="1">
      <c r="B2" s="1076" t="s">
        <v>252</v>
      </c>
      <c r="D2" s="1075"/>
      <c r="E2" s="1074"/>
      <c r="G2" s="1074"/>
      <c r="H2" s="1074"/>
      <c r="I2" s="715"/>
      <c r="J2" s="715"/>
      <c r="K2" s="1074"/>
      <c r="L2" s="1074"/>
      <c r="M2" s="1074"/>
      <c r="N2" s="1074"/>
      <c r="P2" s="1088" t="str">
        <f>Main!C6</f>
        <v>CASBEE for Building Design (New Construction) 2024 Edition</v>
      </c>
      <c r="Q2" s="379"/>
      <c r="R2" s="380"/>
      <c r="S2" s="1087"/>
      <c r="T2" s="381"/>
      <c r="U2" s="1082"/>
      <c r="AM2" s="1086" t="s">
        <v>1044</v>
      </c>
      <c r="BA2" s="1085" t="s">
        <v>1043</v>
      </c>
      <c r="BE2" s="1070"/>
      <c r="BF2" s="1070"/>
      <c r="BG2" s="1070"/>
      <c r="BH2" s="1070"/>
      <c r="BI2" s="1070"/>
      <c r="BJ2" s="1070"/>
      <c r="BK2" s="1070"/>
      <c r="BL2" s="1070"/>
      <c r="BM2" s="1070"/>
      <c r="BO2" s="1084" t="s">
        <v>253</v>
      </c>
      <c r="BP2" s="1083"/>
      <c r="BQ2" s="424"/>
      <c r="BR2" s="425"/>
      <c r="BS2" s="1070"/>
      <c r="BT2" s="1070"/>
      <c r="BU2" s="1070"/>
      <c r="BV2" s="1070"/>
      <c r="BW2" s="1070"/>
      <c r="BX2" s="1070"/>
      <c r="BY2" s="1070"/>
      <c r="BZ2" s="1070"/>
      <c r="CA2" s="1070"/>
      <c r="CB2" s="1070"/>
      <c r="CC2" s="1070"/>
      <c r="CD2" s="1070"/>
      <c r="CF2" s="425"/>
      <c r="CG2" s="425"/>
      <c r="CH2" s="427"/>
      <c r="CI2" s="425"/>
      <c r="CJ2" s="425"/>
      <c r="CK2" s="425"/>
      <c r="CL2" s="425"/>
      <c r="CM2" s="425"/>
      <c r="CN2" s="425"/>
      <c r="CO2" s="425"/>
      <c r="CP2" s="425"/>
      <c r="CQ2" s="425"/>
      <c r="CR2" s="425"/>
      <c r="CS2" s="425"/>
      <c r="CT2" s="425"/>
      <c r="CU2" s="425"/>
      <c r="CW2" s="425"/>
      <c r="CX2" s="425"/>
      <c r="CY2" s="427"/>
      <c r="CZ2" s="425"/>
      <c r="DA2" s="425"/>
      <c r="DB2" s="425"/>
      <c r="DC2" s="425"/>
      <c r="DD2" s="425"/>
      <c r="DE2" s="425"/>
      <c r="DF2" s="425"/>
      <c r="DG2" s="425"/>
      <c r="DH2" s="425"/>
      <c r="DI2" s="425"/>
      <c r="DJ2" s="425"/>
      <c r="DK2" s="425"/>
      <c r="DL2" s="425"/>
      <c r="DN2" s="425"/>
      <c r="DO2" s="425"/>
      <c r="DP2" s="427"/>
      <c r="DQ2" s="425"/>
      <c r="DR2" s="425"/>
      <c r="DS2" s="425"/>
      <c r="DT2" s="425"/>
      <c r="DU2" s="425"/>
      <c r="DV2" s="425"/>
      <c r="DW2" s="425"/>
      <c r="DX2" s="425"/>
      <c r="DY2" s="425"/>
      <c r="DZ2" s="425"/>
      <c r="EA2" s="425"/>
      <c r="EB2" s="425"/>
      <c r="EC2" s="425"/>
      <c r="ED2" s="425"/>
      <c r="EF2" s="425"/>
      <c r="EG2" s="425"/>
      <c r="EH2" s="425"/>
      <c r="EI2" s="425"/>
      <c r="EJ2" s="425"/>
      <c r="EK2" s="425"/>
      <c r="EL2" s="425"/>
      <c r="EM2" s="425"/>
      <c r="EN2" s="425"/>
      <c r="EO2" s="425"/>
      <c r="EP2" s="425"/>
      <c r="EQ2" s="425"/>
      <c r="ER2" s="425"/>
      <c r="ES2" s="425"/>
      <c r="ET2" s="425"/>
      <c r="EU2" s="425"/>
    </row>
    <row r="3" spans="2:168" ht="18" thickBot="1">
      <c r="B3" s="1076"/>
      <c r="D3" s="1075"/>
      <c r="E3" s="1074"/>
      <c r="G3" s="1074"/>
      <c r="H3" s="1074"/>
      <c r="I3" s="715"/>
      <c r="J3" s="715"/>
      <c r="K3" s="1074"/>
      <c r="L3" s="1074"/>
      <c r="M3" s="1074"/>
      <c r="N3" s="1074"/>
      <c r="P3" s="3871" t="str">
        <f>Main!C11</f>
        <v>XXX Building</v>
      </c>
      <c r="Q3" s="3872"/>
      <c r="R3" s="3872"/>
      <c r="S3" s="3872"/>
      <c r="T3" s="3873"/>
      <c r="U3" s="1082"/>
      <c r="X3" s="1081"/>
      <c r="Y3" s="1081"/>
      <c r="Z3" s="1081"/>
      <c r="AA3" s="1081"/>
      <c r="AB3" s="1081"/>
      <c r="AC3" s="1081"/>
      <c r="AD3" s="1081"/>
      <c r="AE3" s="1081"/>
      <c r="AF3" s="1081"/>
      <c r="AG3" s="1081"/>
      <c r="AH3" s="1081"/>
      <c r="AI3" s="1081"/>
      <c r="AJ3" s="1081"/>
      <c r="AK3" s="1081"/>
      <c r="AL3" s="1081"/>
      <c r="AM3" s="1080" t="s">
        <v>1042</v>
      </c>
      <c r="AN3" s="1079"/>
      <c r="AO3" s="1079"/>
      <c r="AP3" s="1079"/>
      <c r="AQ3" s="1079"/>
      <c r="AR3" s="1079"/>
      <c r="AS3" s="1079"/>
      <c r="AT3" s="1079"/>
      <c r="AU3" s="1079"/>
      <c r="AV3" s="1079"/>
      <c r="AW3" s="1079"/>
      <c r="AX3" s="1079"/>
      <c r="AY3" s="1078"/>
      <c r="BD3" s="1077"/>
      <c r="BE3" s="1070"/>
      <c r="BF3" s="1070"/>
      <c r="BG3" s="1070"/>
      <c r="BH3" s="1070"/>
      <c r="BI3" s="1070"/>
      <c r="BJ3" s="1070"/>
      <c r="BK3" s="1070"/>
      <c r="BL3" s="1070"/>
      <c r="BM3" s="1070"/>
      <c r="BO3" s="593">
        <f>Main!I3</f>
        <v>2</v>
      </c>
      <c r="BP3" s="593"/>
      <c r="BQ3" s="593" t="str">
        <f>Main!J3</f>
        <v>NC</v>
      </c>
      <c r="BR3" s="1077"/>
      <c r="BS3" s="1070"/>
      <c r="BT3" s="1070"/>
      <c r="BU3" s="1070"/>
      <c r="BV3" s="1070"/>
      <c r="BW3" s="1070"/>
      <c r="BX3" s="1070"/>
      <c r="BY3" s="1070"/>
      <c r="BZ3" s="1070"/>
      <c r="CA3" s="1070"/>
      <c r="CB3" s="1070"/>
      <c r="CC3" s="1070"/>
      <c r="CD3" s="1070"/>
      <c r="CF3" s="405" t="s">
        <v>254</v>
      </c>
      <c r="CG3" s="425"/>
      <c r="CH3" s="428"/>
      <c r="CI3" s="426"/>
      <c r="CJ3" s="426"/>
      <c r="CK3" s="426"/>
      <c r="CL3" s="426"/>
      <c r="CM3" s="426"/>
      <c r="CN3" s="426"/>
      <c r="CO3" s="426"/>
      <c r="CP3" s="426"/>
      <c r="CQ3" s="426"/>
      <c r="CR3" s="426"/>
      <c r="CS3" s="426"/>
      <c r="CT3" s="426"/>
      <c r="CU3" s="426"/>
      <c r="CW3" s="405" t="s">
        <v>255</v>
      </c>
      <c r="CX3" s="425"/>
      <c r="CY3" s="428"/>
      <c r="CZ3" s="426"/>
      <c r="DA3" s="426"/>
      <c r="DB3" s="426"/>
      <c r="DC3" s="426"/>
      <c r="DD3" s="426"/>
      <c r="DE3" s="426"/>
      <c r="DF3" s="426"/>
      <c r="DG3" s="426"/>
      <c r="DH3" s="426"/>
      <c r="DI3" s="426"/>
      <c r="DJ3" s="426"/>
      <c r="DK3" s="426"/>
      <c r="DL3" s="426"/>
      <c r="DN3" s="405" t="s">
        <v>256</v>
      </c>
      <c r="DO3" s="425"/>
      <c r="DP3" s="428"/>
      <c r="DQ3" s="426"/>
      <c r="DR3" s="426"/>
      <c r="DS3" s="426"/>
      <c r="DT3" s="426"/>
      <c r="DU3" s="426"/>
      <c r="DV3" s="426"/>
      <c r="DW3" s="426"/>
      <c r="DX3" s="426"/>
      <c r="DY3" s="426"/>
      <c r="DZ3" s="426"/>
      <c r="EA3" s="426"/>
      <c r="EB3" s="426"/>
      <c r="EC3" s="426"/>
      <c r="ED3" s="426"/>
      <c r="EF3" s="405" t="s">
        <v>748</v>
      </c>
      <c r="EG3" s="425"/>
      <c r="EH3" s="428"/>
      <c r="EI3" s="426"/>
      <c r="EJ3" s="426"/>
      <c r="EK3" s="426"/>
      <c r="EL3" s="426"/>
      <c r="EM3" s="426"/>
      <c r="EN3" s="426"/>
      <c r="EO3" s="426"/>
      <c r="EP3" s="426"/>
      <c r="EQ3" s="426"/>
      <c r="ER3" s="426"/>
      <c r="ES3" s="426"/>
      <c r="ET3" s="426"/>
      <c r="EU3" s="426"/>
      <c r="EW3" s="405" t="s">
        <v>1041</v>
      </c>
      <c r="EX3" s="425"/>
      <c r="EY3" s="428"/>
      <c r="EZ3" s="426"/>
      <c r="FA3" s="426"/>
      <c r="FB3" s="426"/>
      <c r="FC3" s="426"/>
      <c r="FD3" s="426"/>
      <c r="FE3" s="426"/>
      <c r="FF3" s="426"/>
      <c r="FG3" s="426"/>
      <c r="FH3" s="426"/>
      <c r="FI3" s="426"/>
      <c r="FJ3" s="426"/>
      <c r="FK3" s="426"/>
      <c r="FL3" s="426"/>
    </row>
    <row r="4" spans="2:168" ht="4.5" customHeight="1" thickBot="1">
      <c r="B4" s="1076"/>
      <c r="D4" s="1075"/>
      <c r="E4" s="1074"/>
      <c r="G4" s="1074"/>
      <c r="H4" s="1074"/>
      <c r="I4" s="715"/>
      <c r="J4" s="715"/>
      <c r="K4" s="1074"/>
      <c r="L4" s="1074"/>
      <c r="M4" s="1074"/>
      <c r="N4" s="1074"/>
      <c r="P4" s="1073"/>
      <c r="Q4" s="1072"/>
      <c r="R4" s="1071"/>
      <c r="S4" s="8"/>
      <c r="T4" s="8"/>
      <c r="BD4" s="1070"/>
      <c r="BE4" s="1070"/>
      <c r="BF4" s="1070"/>
      <c r="BG4" s="1070"/>
      <c r="BH4" s="1070"/>
      <c r="BI4" s="1070"/>
      <c r="BJ4" s="1070"/>
      <c r="BK4" s="1070"/>
      <c r="BL4" s="1070"/>
      <c r="BM4" s="1070"/>
      <c r="BO4" s="593"/>
      <c r="BP4" s="593"/>
      <c r="BQ4" s="593"/>
      <c r="BR4" s="1070"/>
      <c r="BS4" s="1070"/>
      <c r="BT4" s="1070"/>
      <c r="BU4" s="1070"/>
      <c r="BV4" s="1070"/>
      <c r="BW4" s="1070"/>
      <c r="BX4" s="1070"/>
      <c r="BY4" s="1070"/>
      <c r="BZ4" s="1070"/>
      <c r="CA4" s="1070"/>
      <c r="CB4" s="1070"/>
      <c r="CC4" s="1070"/>
      <c r="CD4" s="1070"/>
      <c r="CF4" s="405"/>
      <c r="CG4" s="423"/>
      <c r="CH4" s="428"/>
      <c r="CI4" s="426"/>
      <c r="CJ4" s="426"/>
      <c r="CK4" s="426"/>
      <c r="CL4" s="426"/>
      <c r="CM4" s="426"/>
      <c r="CN4" s="426"/>
      <c r="CO4" s="426"/>
      <c r="CP4" s="426"/>
      <c r="CQ4" s="426"/>
      <c r="CR4" s="426"/>
      <c r="CS4" s="426"/>
      <c r="CT4" s="426"/>
      <c r="CU4" s="426"/>
      <c r="CW4" s="405"/>
      <c r="CX4" s="423"/>
      <c r="CY4" s="428"/>
      <c r="CZ4" s="426"/>
      <c r="DA4" s="426"/>
      <c r="DB4" s="426"/>
      <c r="DC4" s="426"/>
      <c r="DD4" s="426"/>
      <c r="DE4" s="426"/>
      <c r="DF4" s="426"/>
      <c r="DG4" s="426"/>
      <c r="DH4" s="426"/>
      <c r="DI4" s="426"/>
      <c r="DJ4" s="426"/>
      <c r="DK4" s="426"/>
      <c r="DL4" s="426"/>
      <c r="DN4" s="405"/>
      <c r="DO4" s="423"/>
      <c r="DP4" s="428"/>
      <c r="DQ4" s="426"/>
      <c r="DR4" s="426"/>
      <c r="DS4" s="426"/>
      <c r="DT4" s="426"/>
      <c r="DU4" s="426"/>
      <c r="DV4" s="426"/>
      <c r="DW4" s="426"/>
      <c r="DX4" s="426"/>
      <c r="DY4" s="426"/>
      <c r="DZ4" s="426"/>
      <c r="EA4" s="426"/>
      <c r="EB4" s="426"/>
      <c r="EC4" s="426"/>
      <c r="ED4" s="426"/>
      <c r="EF4" s="405"/>
      <c r="EG4" s="423"/>
      <c r="EH4" s="428"/>
      <c r="EI4" s="426"/>
      <c r="EJ4" s="426"/>
      <c r="EK4" s="426"/>
      <c r="EL4" s="426"/>
      <c r="EM4" s="426"/>
      <c r="EN4" s="426"/>
      <c r="EO4" s="426"/>
      <c r="EP4" s="426"/>
      <c r="EQ4" s="426"/>
      <c r="ER4" s="426"/>
      <c r="ES4" s="426"/>
      <c r="ET4" s="426"/>
      <c r="EU4" s="426"/>
      <c r="EW4" s="405"/>
      <c r="EX4" s="423"/>
      <c r="EY4" s="428"/>
      <c r="EZ4" s="426"/>
      <c r="FA4" s="426"/>
      <c r="FB4" s="426"/>
      <c r="FC4" s="426"/>
      <c r="FD4" s="426"/>
      <c r="FE4" s="426"/>
      <c r="FF4" s="426"/>
      <c r="FG4" s="426"/>
      <c r="FH4" s="426"/>
      <c r="FI4" s="426"/>
      <c r="FJ4" s="426"/>
      <c r="FK4" s="426"/>
      <c r="FL4" s="426"/>
    </row>
    <row r="5" spans="2:168" ht="15" thickBot="1">
      <c r="B5" s="1069"/>
      <c r="C5" s="1068"/>
      <c r="D5" s="1055" t="s">
        <v>257</v>
      </c>
      <c r="E5" s="1067"/>
      <c r="G5" s="1065" t="s">
        <v>258</v>
      </c>
      <c r="H5" s="1064"/>
      <c r="I5" s="1054" t="s">
        <v>259</v>
      </c>
      <c r="J5" s="1066"/>
      <c r="K5" s="1065" t="s">
        <v>260</v>
      </c>
      <c r="L5" s="1064"/>
      <c r="M5" s="1065" t="s">
        <v>261</v>
      </c>
      <c r="N5" s="1064"/>
      <c r="P5" s="1063" t="s">
        <v>1040</v>
      </c>
      <c r="Q5" s="1062"/>
      <c r="R5" s="1061"/>
      <c r="S5" s="3874" t="s">
        <v>16</v>
      </c>
      <c r="T5" s="3874"/>
      <c r="U5" s="726"/>
      <c r="V5" s="1060"/>
      <c r="W5" s="1059"/>
      <c r="AM5" s="1058" t="str">
        <f>BR5</f>
        <v>建物全体・共用部</v>
      </c>
      <c r="AN5" s="1057"/>
      <c r="AO5" s="1057"/>
      <c r="AP5" s="1057"/>
      <c r="AQ5" s="1057"/>
      <c r="AR5" s="1057"/>
      <c r="AS5" s="1057"/>
      <c r="AT5" s="1057"/>
      <c r="AU5" s="1057"/>
      <c r="AV5" s="1056"/>
      <c r="AW5" s="1058" t="str">
        <f>CB5</f>
        <v>住居・宿泊部</v>
      </c>
      <c r="AX5" s="1057"/>
      <c r="AY5" s="1056"/>
      <c r="BA5" s="1055" t="s">
        <v>257</v>
      </c>
      <c r="BB5" s="1054" t="s">
        <v>258</v>
      </c>
      <c r="BC5" s="1054" t="s">
        <v>259</v>
      </c>
      <c r="BD5" s="1052" t="s">
        <v>161</v>
      </c>
      <c r="BE5" s="1052"/>
      <c r="BF5" s="1052"/>
      <c r="BG5" s="1052"/>
      <c r="BH5" s="1052"/>
      <c r="BI5" s="1053"/>
      <c r="BJ5" s="1052"/>
      <c r="BK5" s="1052"/>
      <c r="BL5" s="1052"/>
      <c r="BM5" s="1052"/>
      <c r="BO5" s="1016"/>
      <c r="BP5" s="1016"/>
      <c r="BQ5" s="1004"/>
      <c r="BR5" s="1052" t="s">
        <v>161</v>
      </c>
      <c r="BS5" s="1052"/>
      <c r="BT5" s="1052"/>
      <c r="BU5" s="1052"/>
      <c r="BV5" s="1052"/>
      <c r="BW5" s="1053"/>
      <c r="BX5" s="1052"/>
      <c r="BY5" s="1052"/>
      <c r="BZ5" s="1052"/>
      <c r="CA5" s="1052"/>
      <c r="CB5" s="1052" t="s">
        <v>163</v>
      </c>
      <c r="CC5" s="1052"/>
      <c r="CD5" s="1052"/>
      <c r="CF5" s="429"/>
      <c r="CG5" s="429"/>
      <c r="CH5" s="431"/>
      <c r="CI5" s="1050" t="s">
        <v>161</v>
      </c>
      <c r="CJ5" s="1050"/>
      <c r="CK5" s="1050"/>
      <c r="CL5" s="1050"/>
      <c r="CM5" s="1050"/>
      <c r="CN5" s="1051"/>
      <c r="CO5" s="1050"/>
      <c r="CP5" s="1050"/>
      <c r="CQ5" s="1050"/>
      <c r="CR5" s="1050"/>
      <c r="CS5" s="1050" t="s">
        <v>163</v>
      </c>
      <c r="CT5" s="1050"/>
      <c r="CU5" s="1050"/>
      <c r="CW5" s="429"/>
      <c r="CX5" s="429"/>
      <c r="CY5" s="431"/>
      <c r="CZ5" s="1050" t="s">
        <v>161</v>
      </c>
      <c r="DA5" s="1050"/>
      <c r="DB5" s="1050"/>
      <c r="DC5" s="1050"/>
      <c r="DD5" s="1050"/>
      <c r="DE5" s="1051"/>
      <c r="DF5" s="1050"/>
      <c r="DG5" s="1050"/>
      <c r="DH5" s="1050"/>
      <c r="DI5" s="1050"/>
      <c r="DJ5" s="1050" t="s">
        <v>163</v>
      </c>
      <c r="DK5" s="1050"/>
      <c r="DL5" s="1050"/>
      <c r="DN5" s="429"/>
      <c r="DO5" s="429"/>
      <c r="DP5" s="431"/>
      <c r="DQ5" s="1050" t="s">
        <v>161</v>
      </c>
      <c r="DR5" s="1050"/>
      <c r="DS5" s="1050"/>
      <c r="DT5" s="1050"/>
      <c r="DU5" s="1050"/>
      <c r="DV5" s="1051"/>
      <c r="DW5" s="1050"/>
      <c r="DX5" s="1050"/>
      <c r="DY5" s="1050"/>
      <c r="DZ5" s="1050"/>
      <c r="EA5" s="1050" t="s">
        <v>163</v>
      </c>
      <c r="EB5" s="1050"/>
      <c r="EC5" s="1050"/>
      <c r="ED5" s="549"/>
      <c r="EF5" s="429"/>
      <c r="EG5" s="429"/>
      <c r="EH5" s="431"/>
      <c r="EI5" s="1050" t="s">
        <v>161</v>
      </c>
      <c r="EJ5" s="1050"/>
      <c r="EK5" s="1050"/>
      <c r="EL5" s="1050"/>
      <c r="EM5" s="1050"/>
      <c r="EN5" s="1051"/>
      <c r="EO5" s="1050"/>
      <c r="EP5" s="1050"/>
      <c r="EQ5" s="1050"/>
      <c r="ER5" s="1050"/>
      <c r="ES5" s="1050" t="s">
        <v>163</v>
      </c>
      <c r="ET5" s="1050"/>
      <c r="EU5" s="1050"/>
      <c r="EW5" s="429"/>
      <c r="EX5" s="429"/>
      <c r="EY5" s="431"/>
      <c r="EZ5" s="1050" t="s">
        <v>161</v>
      </c>
      <c r="FA5" s="1050"/>
      <c r="FB5" s="1050"/>
      <c r="FC5" s="1050"/>
      <c r="FD5" s="1050"/>
      <c r="FE5" s="1051"/>
      <c r="FF5" s="1050"/>
      <c r="FG5" s="1050"/>
      <c r="FH5" s="1050"/>
      <c r="FI5" s="1050"/>
      <c r="FJ5" s="1050" t="s">
        <v>163</v>
      </c>
      <c r="FK5" s="1050"/>
      <c r="FL5" s="1050"/>
    </row>
    <row r="6" spans="2:168" ht="22.5">
      <c r="B6" s="1049"/>
      <c r="C6" s="1048"/>
      <c r="D6" s="1038" t="s">
        <v>164</v>
      </c>
      <c r="E6" s="1038" t="s">
        <v>165</v>
      </c>
      <c r="G6" s="1038" t="s">
        <v>164</v>
      </c>
      <c r="H6" s="1038" t="s">
        <v>165</v>
      </c>
      <c r="I6" s="1038" t="s">
        <v>164</v>
      </c>
      <c r="J6" s="1038" t="s">
        <v>165</v>
      </c>
      <c r="K6" s="1038" t="s">
        <v>164</v>
      </c>
      <c r="L6" s="1038" t="s">
        <v>165</v>
      </c>
      <c r="M6" s="1038" t="s">
        <v>164</v>
      </c>
      <c r="N6" s="1038" t="s">
        <v>165</v>
      </c>
      <c r="P6" s="1047"/>
      <c r="Q6" s="1046"/>
      <c r="R6" s="1045"/>
      <c r="S6" s="1044"/>
      <c r="T6" s="1044"/>
      <c r="U6" s="726"/>
      <c r="V6" s="1043" t="s">
        <v>620</v>
      </c>
      <c r="W6" s="1042" t="s">
        <v>621</v>
      </c>
      <c r="Y6" s="563" t="str">
        <f t="shared" ref="Y6:AK6" si="0">AM6</f>
        <v>事務所</v>
      </c>
      <c r="Z6" s="563" t="str">
        <f t="shared" si="0"/>
        <v>学校</v>
      </c>
      <c r="AA6" s="563" t="str">
        <f t="shared" si="0"/>
        <v>物販店</v>
      </c>
      <c r="AB6" s="563" t="str">
        <f t="shared" si="0"/>
        <v>飲食店</v>
      </c>
      <c r="AC6" s="563" t="str">
        <f t="shared" si="0"/>
        <v>集会所</v>
      </c>
      <c r="AD6" s="563" t="str">
        <f t="shared" si="0"/>
        <v>工場</v>
      </c>
      <c r="AE6" s="563" t="str">
        <f t="shared" si="0"/>
        <v>小中高</v>
      </c>
      <c r="AF6" s="563" t="str">
        <f t="shared" si="0"/>
        <v>病院</v>
      </c>
      <c r="AG6" s="563" t="str">
        <f t="shared" si="0"/>
        <v>ホテル</v>
      </c>
      <c r="AH6" s="563" t="str">
        <f t="shared" si="0"/>
        <v>集合住宅</v>
      </c>
      <c r="AI6" s="563" t="str">
        <f t="shared" si="0"/>
        <v>病院o</v>
      </c>
      <c r="AJ6" s="563" t="str">
        <f t="shared" si="0"/>
        <v>ホテルo</v>
      </c>
      <c r="AK6" s="563" t="str">
        <f t="shared" si="0"/>
        <v>集合住宅o</v>
      </c>
      <c r="AM6" s="1041" t="str">
        <f>BR6</f>
        <v>事務所</v>
      </c>
      <c r="AN6" s="1040" t="str">
        <f t="shared" ref="AN6:AV6" si="1">BS6</f>
        <v>学校</v>
      </c>
      <c r="AO6" s="1040" t="str">
        <f t="shared" si="1"/>
        <v>物販店</v>
      </c>
      <c r="AP6" s="1040" t="str">
        <f t="shared" si="1"/>
        <v>飲食店</v>
      </c>
      <c r="AQ6" s="1040" t="str">
        <f t="shared" si="1"/>
        <v>集会所</v>
      </c>
      <c r="AR6" s="1040" t="str">
        <f t="shared" si="1"/>
        <v>工場</v>
      </c>
      <c r="AS6" s="1040" t="str">
        <f t="shared" si="1"/>
        <v>小中高</v>
      </c>
      <c r="AT6" s="1040" t="str">
        <f t="shared" si="1"/>
        <v>病院</v>
      </c>
      <c r="AU6" s="1040" t="str">
        <f t="shared" si="1"/>
        <v>ホテル</v>
      </c>
      <c r="AV6" s="1040" t="str">
        <f t="shared" si="1"/>
        <v>集合住宅</v>
      </c>
      <c r="AW6" s="1041" t="str">
        <f>CB6</f>
        <v>病院o</v>
      </c>
      <c r="AX6" s="1040" t="str">
        <f>CC6</f>
        <v>ホテルo</v>
      </c>
      <c r="AY6" s="1039" t="str">
        <f>CD6</f>
        <v>集合住宅o</v>
      </c>
      <c r="BA6" s="1038" t="s">
        <v>164</v>
      </c>
      <c r="BB6" s="1038" t="s">
        <v>164</v>
      </c>
      <c r="BC6" s="1038"/>
      <c r="BD6" s="1034" t="s">
        <v>75</v>
      </c>
      <c r="BE6" s="1034" t="s">
        <v>76</v>
      </c>
      <c r="BF6" s="1034" t="s">
        <v>77</v>
      </c>
      <c r="BG6" s="1034" t="s">
        <v>78</v>
      </c>
      <c r="BH6" s="1037" t="s">
        <v>447</v>
      </c>
      <c r="BI6" s="1034" t="s">
        <v>82</v>
      </c>
      <c r="BJ6" s="1036" t="s">
        <v>162</v>
      </c>
      <c r="BK6" s="1034" t="s">
        <v>79</v>
      </c>
      <c r="BL6" s="1034" t="s">
        <v>1039</v>
      </c>
      <c r="BM6" s="1034" t="s">
        <v>81</v>
      </c>
      <c r="BO6" s="1004"/>
      <c r="BP6" s="1004" t="s">
        <v>508</v>
      </c>
      <c r="BQ6" s="1004" t="s">
        <v>166</v>
      </c>
      <c r="BR6" s="1034" t="s">
        <v>75</v>
      </c>
      <c r="BS6" s="1034" t="s">
        <v>76</v>
      </c>
      <c r="BT6" s="1034" t="s">
        <v>77</v>
      </c>
      <c r="BU6" s="1034" t="s">
        <v>78</v>
      </c>
      <c r="BV6" s="1037" t="s">
        <v>447</v>
      </c>
      <c r="BW6" s="1034" t="s">
        <v>82</v>
      </c>
      <c r="BX6" s="1036" t="s">
        <v>162</v>
      </c>
      <c r="BY6" s="1034" t="s">
        <v>79</v>
      </c>
      <c r="BZ6" s="1034" t="s">
        <v>1039</v>
      </c>
      <c r="CA6" s="1034" t="s">
        <v>81</v>
      </c>
      <c r="CB6" s="1035" t="s">
        <v>1038</v>
      </c>
      <c r="CC6" s="1034" t="s">
        <v>1037</v>
      </c>
      <c r="CD6" s="1034" t="s">
        <v>1036</v>
      </c>
      <c r="CF6" s="430"/>
      <c r="CG6" s="430" t="s">
        <v>508</v>
      </c>
      <c r="CH6" s="431" t="s">
        <v>166</v>
      </c>
      <c r="CI6" s="1030" t="s">
        <v>75</v>
      </c>
      <c r="CJ6" s="1030" t="s">
        <v>76</v>
      </c>
      <c r="CK6" s="1030" t="s">
        <v>77</v>
      </c>
      <c r="CL6" s="1030" t="s">
        <v>78</v>
      </c>
      <c r="CM6" s="1033" t="s">
        <v>447</v>
      </c>
      <c r="CN6" s="1030" t="s">
        <v>82</v>
      </c>
      <c r="CO6" s="1032" t="s">
        <v>162</v>
      </c>
      <c r="CP6" s="1030" t="s">
        <v>79</v>
      </c>
      <c r="CQ6" s="1030" t="s">
        <v>1039</v>
      </c>
      <c r="CR6" s="1030" t="s">
        <v>81</v>
      </c>
      <c r="CS6" s="1031" t="s">
        <v>1038</v>
      </c>
      <c r="CT6" s="1030" t="s">
        <v>1037</v>
      </c>
      <c r="CU6" s="1030" t="s">
        <v>1036</v>
      </c>
      <c r="CW6" s="430"/>
      <c r="CX6" s="430" t="s">
        <v>508</v>
      </c>
      <c r="CY6" s="431" t="s">
        <v>166</v>
      </c>
      <c r="CZ6" s="1030" t="s">
        <v>75</v>
      </c>
      <c r="DA6" s="1030" t="s">
        <v>76</v>
      </c>
      <c r="DB6" s="1030" t="s">
        <v>77</v>
      </c>
      <c r="DC6" s="1030" t="s">
        <v>78</v>
      </c>
      <c r="DD6" s="1033" t="s">
        <v>447</v>
      </c>
      <c r="DE6" s="1030" t="s">
        <v>82</v>
      </c>
      <c r="DF6" s="1032" t="s">
        <v>162</v>
      </c>
      <c r="DG6" s="1030" t="s">
        <v>79</v>
      </c>
      <c r="DH6" s="1030" t="s">
        <v>1039</v>
      </c>
      <c r="DI6" s="1030" t="s">
        <v>81</v>
      </c>
      <c r="DJ6" s="1031" t="s">
        <v>1038</v>
      </c>
      <c r="DK6" s="1030" t="s">
        <v>1037</v>
      </c>
      <c r="DL6" s="1030" t="s">
        <v>1036</v>
      </c>
      <c r="DN6" s="430"/>
      <c r="DO6" s="430" t="s">
        <v>508</v>
      </c>
      <c r="DP6" s="431" t="s">
        <v>166</v>
      </c>
      <c r="DQ6" s="1030" t="s">
        <v>75</v>
      </c>
      <c r="DR6" s="1030" t="s">
        <v>76</v>
      </c>
      <c r="DS6" s="1030" t="s">
        <v>77</v>
      </c>
      <c r="DT6" s="1030" t="s">
        <v>78</v>
      </c>
      <c r="DU6" s="1033" t="s">
        <v>447</v>
      </c>
      <c r="DV6" s="1030" t="s">
        <v>82</v>
      </c>
      <c r="DW6" s="1032" t="s">
        <v>162</v>
      </c>
      <c r="DX6" s="1030" t="s">
        <v>79</v>
      </c>
      <c r="DY6" s="1030" t="s">
        <v>1039</v>
      </c>
      <c r="DZ6" s="1030" t="s">
        <v>81</v>
      </c>
      <c r="EA6" s="1031" t="s">
        <v>1038</v>
      </c>
      <c r="EB6" s="1030" t="s">
        <v>1037</v>
      </c>
      <c r="EC6" s="1030" t="s">
        <v>1036</v>
      </c>
      <c r="ED6" s="550"/>
      <c r="EF6" s="430"/>
      <c r="EG6" s="430" t="s">
        <v>508</v>
      </c>
      <c r="EH6" s="431" t="s">
        <v>166</v>
      </c>
      <c r="EI6" s="1030" t="s">
        <v>75</v>
      </c>
      <c r="EJ6" s="1030" t="s">
        <v>76</v>
      </c>
      <c r="EK6" s="1030" t="s">
        <v>77</v>
      </c>
      <c r="EL6" s="1030" t="s">
        <v>78</v>
      </c>
      <c r="EM6" s="1033" t="s">
        <v>447</v>
      </c>
      <c r="EN6" s="1030" t="s">
        <v>82</v>
      </c>
      <c r="EO6" s="1032" t="s">
        <v>162</v>
      </c>
      <c r="EP6" s="1030" t="s">
        <v>79</v>
      </c>
      <c r="EQ6" s="1030" t="s">
        <v>1039</v>
      </c>
      <c r="ER6" s="1030" t="s">
        <v>81</v>
      </c>
      <c r="ES6" s="1031" t="s">
        <v>1038</v>
      </c>
      <c r="ET6" s="1030" t="s">
        <v>1037</v>
      </c>
      <c r="EU6" s="1030" t="s">
        <v>1036</v>
      </c>
      <c r="EW6" s="430"/>
      <c r="EX6" s="430" t="s">
        <v>508</v>
      </c>
      <c r="EY6" s="431" t="s">
        <v>166</v>
      </c>
      <c r="EZ6" s="1030" t="s">
        <v>75</v>
      </c>
      <c r="FA6" s="1030" t="s">
        <v>76</v>
      </c>
      <c r="FB6" s="1030" t="s">
        <v>77</v>
      </c>
      <c r="FC6" s="1030" t="s">
        <v>78</v>
      </c>
      <c r="FD6" s="1033" t="s">
        <v>447</v>
      </c>
      <c r="FE6" s="1030" t="s">
        <v>82</v>
      </c>
      <c r="FF6" s="1032" t="s">
        <v>162</v>
      </c>
      <c r="FG6" s="1030" t="s">
        <v>79</v>
      </c>
      <c r="FH6" s="1030" t="s">
        <v>1039</v>
      </c>
      <c r="FI6" s="1030" t="s">
        <v>81</v>
      </c>
      <c r="FJ6" s="1031" t="s">
        <v>1038</v>
      </c>
      <c r="FK6" s="1030" t="s">
        <v>1037</v>
      </c>
      <c r="FL6" s="1030" t="s">
        <v>1036</v>
      </c>
    </row>
    <row r="7" spans="2:168" ht="14.25" thickBot="1">
      <c r="B7" s="1029"/>
      <c r="C7" s="1028" t="s">
        <v>1035</v>
      </c>
      <c r="D7" s="1018">
        <f>1-E7</f>
        <v>1</v>
      </c>
      <c r="E7" s="1017">
        <f>(CB8*BY7)+(CC8*BZ7)+(CD8*CA7)</f>
        <v>0</v>
      </c>
      <c r="G7" s="1017"/>
      <c r="H7" s="1017"/>
      <c r="I7" s="1017"/>
      <c r="J7" s="1017"/>
      <c r="K7" s="1017"/>
      <c r="L7" s="1017"/>
      <c r="M7" s="1017"/>
      <c r="N7" s="1017"/>
      <c r="P7" s="1027" t="s">
        <v>1034</v>
      </c>
      <c r="Q7" s="1026"/>
      <c r="R7" s="1025"/>
      <c r="S7" s="1024"/>
      <c r="T7" s="1024"/>
      <c r="U7" s="726"/>
      <c r="V7" s="1023" t="s">
        <v>504</v>
      </c>
      <c r="W7" s="1022" t="s">
        <v>504</v>
      </c>
      <c r="Y7" s="1"/>
      <c r="Z7" s="1"/>
      <c r="AA7" s="1"/>
      <c r="AB7" s="1"/>
      <c r="AC7" s="1"/>
      <c r="AD7" s="1"/>
      <c r="AE7" s="1"/>
      <c r="AF7" s="1"/>
      <c r="AG7" s="1"/>
      <c r="AH7" s="1"/>
      <c r="AI7" s="1"/>
      <c r="AJ7" s="1"/>
      <c r="AK7" s="1"/>
      <c r="AM7" s="1021">
        <f t="shared" ref="AM7:AY7" si="2">BR7*BR8</f>
        <v>1</v>
      </c>
      <c r="AN7" s="1020">
        <f t="shared" si="2"/>
        <v>0</v>
      </c>
      <c r="AO7" s="1020">
        <f t="shared" si="2"/>
        <v>0</v>
      </c>
      <c r="AP7" s="1020">
        <f t="shared" si="2"/>
        <v>0</v>
      </c>
      <c r="AQ7" s="1020">
        <f t="shared" si="2"/>
        <v>0</v>
      </c>
      <c r="AR7" s="1020">
        <f t="shared" si="2"/>
        <v>0</v>
      </c>
      <c r="AS7" s="1020">
        <f t="shared" si="2"/>
        <v>0</v>
      </c>
      <c r="AT7" s="1020">
        <f t="shared" si="2"/>
        <v>0</v>
      </c>
      <c r="AU7" s="1020">
        <f t="shared" si="2"/>
        <v>0</v>
      </c>
      <c r="AV7" s="1019">
        <f t="shared" si="2"/>
        <v>0</v>
      </c>
      <c r="AW7" s="1021">
        <f t="shared" si="2"/>
        <v>0</v>
      </c>
      <c r="AX7" s="1020">
        <f t="shared" si="2"/>
        <v>0</v>
      </c>
      <c r="AY7" s="1019">
        <f t="shared" si="2"/>
        <v>0</v>
      </c>
      <c r="BA7" s="1018"/>
      <c r="BB7" s="1017"/>
      <c r="BC7" s="1017"/>
      <c r="BD7" s="1001">
        <f t="shared" ref="BD7:BM7" si="3">BR7</f>
        <v>1</v>
      </c>
      <c r="BE7" s="1001">
        <f t="shared" si="3"/>
        <v>0</v>
      </c>
      <c r="BF7" s="1001">
        <f t="shared" si="3"/>
        <v>0</v>
      </c>
      <c r="BG7" s="1001">
        <f t="shared" si="3"/>
        <v>0</v>
      </c>
      <c r="BH7" s="1001">
        <f t="shared" si="3"/>
        <v>0</v>
      </c>
      <c r="BI7" s="1001">
        <f t="shared" si="3"/>
        <v>0</v>
      </c>
      <c r="BJ7" s="1001">
        <f t="shared" si="3"/>
        <v>0</v>
      </c>
      <c r="BK7" s="1001">
        <f t="shared" si="3"/>
        <v>0</v>
      </c>
      <c r="BL7" s="1001">
        <f t="shared" si="3"/>
        <v>0</v>
      </c>
      <c r="BM7" s="1001">
        <f t="shared" si="3"/>
        <v>0</v>
      </c>
      <c r="BO7" s="1016"/>
      <c r="BP7" s="1016" t="s">
        <v>167</v>
      </c>
      <c r="BQ7" s="1004" t="s">
        <v>168</v>
      </c>
      <c r="BR7" s="1001">
        <f>Main!C47/Main!$C$19</f>
        <v>1</v>
      </c>
      <c r="BS7" s="1001">
        <f>(Main!E50+Main!E54)/Main!$C$19</f>
        <v>0</v>
      </c>
      <c r="BT7" s="1001">
        <f>Main!C55/Main!$C$19</f>
        <v>0</v>
      </c>
      <c r="BU7" s="1001">
        <f>Main!C59/Main!$C$19</f>
        <v>0</v>
      </c>
      <c r="BV7" s="1001">
        <f>Main!C60/Main!$C$19</f>
        <v>0</v>
      </c>
      <c r="BW7" s="1001">
        <f>Main!C63/Main!$C$19</f>
        <v>0</v>
      </c>
      <c r="BX7" s="1001">
        <f>(Main!E51+Main!E52+Main!E53)/Main!$C$19</f>
        <v>0</v>
      </c>
      <c r="BY7" s="1001">
        <f>Main!C64/Main!$C$19</f>
        <v>0</v>
      </c>
      <c r="BZ7" s="1001">
        <f>Main!C65/Main!$C$19</f>
        <v>0</v>
      </c>
      <c r="CA7" s="1001">
        <f>Main!C67/Main!$C$19</f>
        <v>0</v>
      </c>
      <c r="CB7" s="1001">
        <f>BY7</f>
        <v>0</v>
      </c>
      <c r="CC7" s="1001">
        <f>BZ7</f>
        <v>0</v>
      </c>
      <c r="CD7" s="1001">
        <f>CA7</f>
        <v>0</v>
      </c>
      <c r="CF7" s="429"/>
      <c r="CG7" s="429"/>
      <c r="CH7" s="431"/>
      <c r="CI7" s="432"/>
      <c r="CJ7" s="432"/>
      <c r="CK7" s="432"/>
      <c r="CL7" s="432"/>
      <c r="CM7" s="433"/>
      <c r="CN7" s="432"/>
      <c r="CO7" s="432"/>
      <c r="CP7" s="432"/>
      <c r="CQ7" s="432"/>
      <c r="CR7" s="432"/>
      <c r="CS7" s="432"/>
      <c r="CT7" s="432"/>
      <c r="CU7" s="432"/>
      <c r="CW7" s="429"/>
      <c r="CX7" s="429"/>
      <c r="CY7" s="431"/>
      <c r="CZ7" s="432"/>
      <c r="DA7" s="432"/>
      <c r="DB7" s="432"/>
      <c r="DC7" s="432"/>
      <c r="DD7" s="433"/>
      <c r="DE7" s="432"/>
      <c r="DF7" s="432"/>
      <c r="DG7" s="432"/>
      <c r="DH7" s="432"/>
      <c r="DI7" s="432"/>
      <c r="DJ7" s="432"/>
      <c r="DK7" s="432"/>
      <c r="DL7" s="432"/>
      <c r="DN7" s="429"/>
      <c r="DO7" s="429"/>
      <c r="DP7" s="431"/>
      <c r="DQ7" s="432"/>
      <c r="DR7" s="432"/>
      <c r="DS7" s="432"/>
      <c r="DT7" s="432"/>
      <c r="DU7" s="433"/>
      <c r="DV7" s="432"/>
      <c r="DW7" s="432"/>
      <c r="DX7" s="432"/>
      <c r="DY7" s="432"/>
      <c r="DZ7" s="432"/>
      <c r="EA7" s="432"/>
      <c r="EB7" s="432"/>
      <c r="EC7" s="432"/>
      <c r="ED7" s="551"/>
      <c r="EF7" s="429"/>
      <c r="EG7" s="429"/>
      <c r="EH7" s="431"/>
      <c r="EI7" s="432"/>
      <c r="EJ7" s="432"/>
      <c r="EK7" s="432"/>
      <c r="EL7" s="432"/>
      <c r="EM7" s="433"/>
      <c r="EN7" s="432"/>
      <c r="EO7" s="432"/>
      <c r="EP7" s="432"/>
      <c r="EQ7" s="432"/>
      <c r="ER7" s="432"/>
      <c r="ES7" s="432"/>
      <c r="ET7" s="432"/>
      <c r="EU7" s="432"/>
      <c r="EW7" s="429"/>
      <c r="EX7" s="429"/>
      <c r="EY7" s="431"/>
      <c r="EZ7" s="432"/>
      <c r="FA7" s="432"/>
      <c r="FB7" s="432"/>
      <c r="FC7" s="432"/>
      <c r="FD7" s="433"/>
      <c r="FE7" s="432"/>
      <c r="FF7" s="432"/>
      <c r="FG7" s="432"/>
      <c r="FH7" s="432"/>
      <c r="FI7" s="432"/>
      <c r="FJ7" s="432"/>
      <c r="FK7" s="432"/>
      <c r="FL7" s="432"/>
    </row>
    <row r="8" spans="2:168" ht="15" thickBot="1">
      <c r="B8" s="886" t="s">
        <v>1031</v>
      </c>
      <c r="C8" s="897" t="s">
        <v>176</v>
      </c>
      <c r="D8" s="896"/>
      <c r="E8" s="895"/>
      <c r="G8" s="895"/>
      <c r="H8" s="895"/>
      <c r="I8" s="895" t="e">
        <f>G9+G62+G112</f>
        <v>#REF!</v>
      </c>
      <c r="J8" s="895" t="e">
        <f>H9+H62+H112</f>
        <v>#REF!</v>
      </c>
      <c r="K8" s="895"/>
      <c r="L8" s="895"/>
      <c r="M8" s="895"/>
      <c r="N8" s="895"/>
      <c r="P8" s="1015" t="s">
        <v>1033</v>
      </c>
      <c r="Q8" s="1014"/>
      <c r="R8" s="1013"/>
      <c r="S8" s="1012"/>
      <c r="T8" s="1012"/>
      <c r="U8" s="726"/>
      <c r="V8" s="1011"/>
      <c r="W8" s="1010"/>
      <c r="Y8" s="1"/>
      <c r="Z8" s="1"/>
      <c r="AA8" s="1"/>
      <c r="AB8" s="1"/>
      <c r="AC8" s="1"/>
      <c r="AD8" s="1"/>
      <c r="AE8" s="1"/>
      <c r="AF8" s="1"/>
      <c r="AG8" s="1"/>
      <c r="AH8" s="1"/>
      <c r="AI8" s="1"/>
      <c r="AJ8" s="1"/>
      <c r="AK8" s="1"/>
      <c r="AM8" s="1009"/>
      <c r="AN8" s="1009"/>
      <c r="AO8" s="1009"/>
      <c r="AP8" s="1009"/>
      <c r="AQ8" s="1009"/>
      <c r="AR8" s="1009"/>
      <c r="AS8" s="1009"/>
      <c r="AT8" s="1009"/>
      <c r="AU8" s="1009"/>
      <c r="AV8" s="1009"/>
      <c r="AW8" s="1009"/>
      <c r="AX8" s="1009"/>
      <c r="AY8" s="1009"/>
      <c r="BA8" s="1008"/>
      <c r="BB8" s="1007"/>
      <c r="BC8" s="1007" t="e">
        <f>BB9+BB62+BB112</f>
        <v>#REF!</v>
      </c>
      <c r="BD8" s="1005"/>
      <c r="BE8" s="1005"/>
      <c r="BF8" s="1005"/>
      <c r="BG8" s="1005"/>
      <c r="BH8" s="1006"/>
      <c r="BI8" s="1005"/>
      <c r="BJ8" s="1005"/>
      <c r="BK8" s="1005">
        <f>BY8</f>
        <v>1</v>
      </c>
      <c r="BL8" s="1005">
        <f>BZ8</f>
        <v>1</v>
      </c>
      <c r="BM8" s="1005">
        <f>CA8</f>
        <v>1</v>
      </c>
      <c r="BO8" s="886"/>
      <c r="BP8" s="886" t="s">
        <v>1032</v>
      </c>
      <c r="BQ8" s="1004" t="s">
        <v>177</v>
      </c>
      <c r="BR8" s="1001">
        <v>1</v>
      </c>
      <c r="BS8" s="1001">
        <v>1</v>
      </c>
      <c r="BT8" s="1001">
        <v>1</v>
      </c>
      <c r="BU8" s="1001">
        <v>1</v>
      </c>
      <c r="BV8" s="1001">
        <v>1</v>
      </c>
      <c r="BW8" s="1001">
        <v>1</v>
      </c>
      <c r="BX8" s="1001">
        <v>1</v>
      </c>
      <c r="BY8" s="1001">
        <f>1-Main!F71</f>
        <v>1</v>
      </c>
      <c r="BZ8" s="1001">
        <f>1-Main!F72</f>
        <v>1</v>
      </c>
      <c r="CA8" s="1001">
        <f>1-Main!F73</f>
        <v>1</v>
      </c>
      <c r="CB8" s="1003">
        <f>Main!F71</f>
        <v>0</v>
      </c>
      <c r="CC8" s="1002">
        <f>Main!F72</f>
        <v>0</v>
      </c>
      <c r="CD8" s="1001">
        <f>Main!F73</f>
        <v>0</v>
      </c>
      <c r="CF8" s="434" t="s">
        <v>1031</v>
      </c>
      <c r="CG8" s="434"/>
      <c r="CH8" s="436" t="s">
        <v>1030</v>
      </c>
      <c r="CI8" s="437"/>
      <c r="CJ8" s="437"/>
      <c r="CK8" s="437"/>
      <c r="CL8" s="437"/>
      <c r="CM8" s="438"/>
      <c r="CN8" s="437"/>
      <c r="CO8" s="437"/>
      <c r="CP8" s="437"/>
      <c r="CQ8" s="437"/>
      <c r="CR8" s="437"/>
      <c r="CS8" s="439"/>
      <c r="CT8" s="440"/>
      <c r="CU8" s="440"/>
      <c r="CW8" s="434" t="s">
        <v>1031</v>
      </c>
      <c r="CX8" s="434"/>
      <c r="CY8" s="436" t="s">
        <v>1030</v>
      </c>
      <c r="CZ8" s="437"/>
      <c r="DA8" s="437"/>
      <c r="DB8" s="437"/>
      <c r="DC8" s="437"/>
      <c r="DD8" s="438"/>
      <c r="DE8" s="437"/>
      <c r="DF8" s="437"/>
      <c r="DG8" s="437"/>
      <c r="DH8" s="437"/>
      <c r="DI8" s="437"/>
      <c r="DJ8" s="439"/>
      <c r="DK8" s="440"/>
      <c r="DL8" s="440"/>
      <c r="DN8" s="434" t="s">
        <v>1031</v>
      </c>
      <c r="DO8" s="434"/>
      <c r="DP8" s="436" t="s">
        <v>1030</v>
      </c>
      <c r="DQ8" s="437"/>
      <c r="DR8" s="437"/>
      <c r="DS8" s="437"/>
      <c r="DT8" s="437"/>
      <c r="DU8" s="438"/>
      <c r="DV8" s="437"/>
      <c r="DW8" s="437"/>
      <c r="DX8" s="437"/>
      <c r="DY8" s="437"/>
      <c r="DZ8" s="437"/>
      <c r="EA8" s="439"/>
      <c r="EB8" s="440"/>
      <c r="EC8" s="440"/>
      <c r="ED8" s="552"/>
      <c r="EF8" s="434" t="s">
        <v>1031</v>
      </c>
      <c r="EG8" s="434"/>
      <c r="EH8" s="436" t="s">
        <v>1030</v>
      </c>
      <c r="EI8" s="437"/>
      <c r="EJ8" s="437"/>
      <c r="EK8" s="437"/>
      <c r="EL8" s="437"/>
      <c r="EM8" s="438"/>
      <c r="EN8" s="437"/>
      <c r="EO8" s="437"/>
      <c r="EP8" s="437"/>
      <c r="EQ8" s="437"/>
      <c r="ER8" s="437"/>
      <c r="ES8" s="439"/>
      <c r="ET8" s="440"/>
      <c r="EU8" s="440"/>
      <c r="EW8" s="434" t="s">
        <v>1031</v>
      </c>
      <c r="EX8" s="434"/>
      <c r="EY8" s="436" t="s">
        <v>1030</v>
      </c>
      <c r="EZ8" s="437">
        <f>DQ8</f>
        <v>0</v>
      </c>
      <c r="FA8" s="437"/>
      <c r="FB8" s="437"/>
      <c r="FC8" s="437"/>
      <c r="FD8" s="438"/>
      <c r="FE8" s="437"/>
      <c r="FF8" s="437"/>
      <c r="FG8" s="437"/>
      <c r="FH8" s="437"/>
      <c r="FI8" s="437"/>
      <c r="FJ8" s="439"/>
      <c r="FK8" s="440"/>
      <c r="FL8" s="440"/>
    </row>
    <row r="9" spans="2:168" ht="14.25" thickBot="1">
      <c r="B9" s="732" t="str">
        <f t="shared" ref="B9:B42" si="4">BO9</f>
        <v>Q1</v>
      </c>
      <c r="C9" s="788" t="str">
        <f t="shared" ref="C9:C40" si="5">BQ9</f>
        <v>室内環境</v>
      </c>
      <c r="D9" s="916" t="e">
        <f>IF(I$8=0,0,G9/I$8)</f>
        <v>#REF!</v>
      </c>
      <c r="E9" s="798" t="e">
        <f>IF(J$8=0,0,H9/J$8)</f>
        <v>#REF!</v>
      </c>
      <c r="G9" s="798" t="e">
        <f t="shared" ref="G9:G40" si="6">K9*M9</f>
        <v>#REF!</v>
      </c>
      <c r="H9" s="798" t="e">
        <f t="shared" ref="H9:H40" si="7">L9*N9</f>
        <v>#REF!</v>
      </c>
      <c r="I9" s="798" t="e">
        <f>G10+G20+G35+G48</f>
        <v>#REF!</v>
      </c>
      <c r="J9" s="798" t="e">
        <f>H10+H20+H35+H48</f>
        <v>#REF!</v>
      </c>
      <c r="K9" s="798" t="e">
        <f>IF(#REF!=0,0,1)</f>
        <v>#REF!</v>
      </c>
      <c r="L9" s="798" t="e">
        <f>IF(#REF!=0,0,1)</f>
        <v>#REF!</v>
      </c>
      <c r="M9" s="798">
        <f t="shared" ref="M9:M40" si="8">SUMPRODUCT($BR$7:$CA$7,BR9:CA9)</f>
        <v>0.4</v>
      </c>
      <c r="N9" s="798">
        <f t="shared" ref="N9:N40" si="9">(CB$7*CB9)+(CC$7*CC9)+(CD$7*CD9)</f>
        <v>0</v>
      </c>
      <c r="P9" s="1000" t="s">
        <v>1029</v>
      </c>
      <c r="Q9" s="879" t="s">
        <v>505</v>
      </c>
      <c r="R9" s="879"/>
      <c r="S9" s="879"/>
      <c r="T9" s="999"/>
      <c r="U9" s="726"/>
      <c r="V9" s="998"/>
      <c r="W9" s="997"/>
      <c r="Y9" s="1"/>
      <c r="Z9" s="1"/>
      <c r="AA9" s="1"/>
      <c r="AB9" s="1"/>
      <c r="AC9" s="1"/>
      <c r="AD9" s="1"/>
      <c r="AE9" s="1"/>
      <c r="AF9" s="1"/>
      <c r="AG9" s="1"/>
      <c r="AH9" s="1"/>
      <c r="AI9" s="1"/>
      <c r="AJ9" s="1"/>
      <c r="AK9" s="1"/>
      <c r="AM9" s="996" t="str">
        <f t="shared" ref="AM9:AY9" si="10">AM$6</f>
        <v>事務所</v>
      </c>
      <c r="AN9" s="996" t="str">
        <f t="shared" si="10"/>
        <v>学校</v>
      </c>
      <c r="AO9" s="996" t="str">
        <f t="shared" si="10"/>
        <v>物販店</v>
      </c>
      <c r="AP9" s="996" t="str">
        <f t="shared" si="10"/>
        <v>飲食店</v>
      </c>
      <c r="AQ9" s="996" t="str">
        <f t="shared" si="10"/>
        <v>集会所</v>
      </c>
      <c r="AR9" s="996" t="str">
        <f t="shared" si="10"/>
        <v>工場</v>
      </c>
      <c r="AS9" s="996" t="str">
        <f t="shared" si="10"/>
        <v>小中高</v>
      </c>
      <c r="AT9" s="996" t="str">
        <f t="shared" si="10"/>
        <v>病院</v>
      </c>
      <c r="AU9" s="996" t="str">
        <f t="shared" si="10"/>
        <v>ホテル</v>
      </c>
      <c r="AV9" s="996" t="str">
        <f t="shared" si="10"/>
        <v>集合住宅</v>
      </c>
      <c r="AW9" s="996" t="str">
        <f t="shared" si="10"/>
        <v>病院o</v>
      </c>
      <c r="AX9" s="996" t="str">
        <f t="shared" si="10"/>
        <v>ホテルo</v>
      </c>
      <c r="AY9" s="996" t="str">
        <f t="shared" si="10"/>
        <v>集合住宅o</v>
      </c>
      <c r="BA9" s="791" t="e">
        <f>BB9/$BC$8</f>
        <v>#REF!</v>
      </c>
      <c r="BB9" s="791" t="e">
        <f t="shared" ref="BB9:BB40" si="11">SUMPRODUCT($BD$7:$BM$7,BD9:BM9)</f>
        <v>#REF!</v>
      </c>
      <c r="BC9" s="791" t="e">
        <f>BB10+BB20+BB35+BB48</f>
        <v>#REF!</v>
      </c>
      <c r="BD9" s="790" t="e">
        <f>BR9*#REF!</f>
        <v>#REF!</v>
      </c>
      <c r="BE9" s="790" t="e">
        <f>BS9*#REF!</f>
        <v>#REF!</v>
      </c>
      <c r="BF9" s="790" t="e">
        <f>BT9*#REF!</f>
        <v>#REF!</v>
      </c>
      <c r="BG9" s="790" t="e">
        <f>BU9*#REF!</f>
        <v>#REF!</v>
      </c>
      <c r="BH9" s="790" t="e">
        <f>BV9*#REF!</f>
        <v>#REF!</v>
      </c>
      <c r="BI9" s="790" t="e">
        <f>BW9*#REF!</f>
        <v>#REF!</v>
      </c>
      <c r="BJ9" s="790" t="e">
        <f>BX9*#REF!</f>
        <v>#REF!</v>
      </c>
      <c r="BK9" s="790" t="e">
        <f>BY9*#REF!</f>
        <v>#REF!</v>
      </c>
      <c r="BL9" s="790" t="e">
        <f>BZ9*#REF!</f>
        <v>#REF!</v>
      </c>
      <c r="BM9" s="790" t="e">
        <f>CA9*#REF!</f>
        <v>#REF!</v>
      </c>
      <c r="BO9" s="732" t="str">
        <f t="shared" ref="BO9:BO40" si="12">IF($BO$3=1,CW9,IF($BO$3=2,DN9,IF($BO$3=3,EF9,IF($BO$3=4,EW9,CF9))))</f>
        <v>Q1</v>
      </c>
      <c r="BP9" s="732" t="str">
        <f t="shared" ref="BP9:BP40" si="13">IF($BO$3=1,CX9,IF($BO$3=2,DO9,IF($BO$3=3,EG9,IF($BO$3=4,EX9,CG9))))</f>
        <v xml:space="preserve"> Q</v>
      </c>
      <c r="BQ9" s="788" t="str">
        <f t="shared" ref="BQ9:BQ40" si="14">IF($BO$3=1,CY9,IF($BO$3=2,DP9,IF($BO$3=3,EH9,IF($BO$3=4,EY9,CH9))))</f>
        <v>室内環境</v>
      </c>
      <c r="BR9" s="787">
        <f t="shared" ref="BR9:BR40" si="15">IF($BO$3=1,CZ9,IF($BO$3=2,DQ9,IF($BO$3=3,EI9,IF($BO$3=4,EZ9,CI9))))</f>
        <v>0.4</v>
      </c>
      <c r="BS9" s="787">
        <f t="shared" ref="BS9:BS40" si="16">IF($BO$3=1,DA9,IF($BO$3=2,DR9,IF($BO$3=3,EJ9,IF($BO$3=4,FA9,CJ9))))</f>
        <v>0.4</v>
      </c>
      <c r="BT9" s="787">
        <f t="shared" ref="BT9:BT40" si="17">IF($BO$3=1,DB9,IF($BO$3=2,DS9,IF($BO$3=3,EK9,IF($BO$3=4,FB9,CK9))))</f>
        <v>0.4</v>
      </c>
      <c r="BU9" s="787">
        <f t="shared" ref="BU9:BU40" si="18">IF($BO$3=1,DC9,IF($BO$3=2,DT9,IF($BO$3=3,EL9,IF($BO$3=4,FC9,CL9))))</f>
        <v>0.4</v>
      </c>
      <c r="BV9" s="787">
        <f t="shared" ref="BV9:BV40" si="19">IF($BO$3=1,DD9,IF($BO$3=2,DU9,IF($BO$3=3,EM9,IF($BO$3=4,FD9,CM9))))</f>
        <v>0.4</v>
      </c>
      <c r="BW9" s="787">
        <f t="shared" ref="BW9:BW40" si="20">IF($BO$3=1,DE9,IF($BO$3=2,DV9,IF($BO$3=3,EN9,IF($BO$3=4,FE9,CN9))))</f>
        <v>0.3</v>
      </c>
      <c r="BX9" s="787">
        <f t="shared" ref="BX9:BX40" si="21">IF($BO$3=1,DF9,IF($BO$3=2,DW9,IF($BO$3=3,EO9,IF($BO$3=4,FF9,CO9))))</f>
        <v>0.4</v>
      </c>
      <c r="BY9" s="787">
        <f t="shared" ref="BY9:BY40" si="22">IF($BO$3=1,DG9,IF($BO$3=2,DX9,IF($BO$3=3,EP9,IF($BO$3=4,FG9,CP9))))</f>
        <v>0.4</v>
      </c>
      <c r="BZ9" s="787">
        <f t="shared" ref="BZ9:BZ40" si="23">IF($BO$3=1,DH9,IF($BO$3=2,DY9,IF($BO$3=3,EQ9,IF($BO$3=4,FH9,CQ9))))</f>
        <v>0.4</v>
      </c>
      <c r="CA9" s="787">
        <f t="shared" ref="CA9:CA40" si="24">IF($BO$3=1,DI9,IF($BO$3=2,DZ9,IF($BO$3=3,ER9,IF($BO$3=4,FI9,CR9))))</f>
        <v>0.4</v>
      </c>
      <c r="CB9" s="787">
        <f t="shared" ref="CB9:CB40" si="25">IF($BO$3=1,DJ9,IF($BO$3=2,EA9,IF($BO$3=3,ES9,IF($BO$3=4,FJ9,CS9))))</f>
        <v>0</v>
      </c>
      <c r="CC9" s="787">
        <f t="shared" ref="CC9:CC40" si="26">IF($BO$3=1,DK9,IF($BO$3=2,EB9,IF($BO$3=3,ET9,IF($BO$3=4,FK9,CT9))))</f>
        <v>0</v>
      </c>
      <c r="CD9" s="787">
        <f t="shared" ref="CD9:CD40" si="27">IF($BO$3=1,DL9,IF($BO$3=2,EC9,IF($BO$3=3,EU9,IF($BO$3=4,FL9,CU9))))</f>
        <v>0</v>
      </c>
      <c r="CF9" s="441" t="s">
        <v>1029</v>
      </c>
      <c r="CG9" s="444" t="s">
        <v>178</v>
      </c>
      <c r="CH9" s="442" t="s">
        <v>1028</v>
      </c>
      <c r="CI9" s="443">
        <v>0.4</v>
      </c>
      <c r="CJ9" s="443">
        <v>0.4</v>
      </c>
      <c r="CK9" s="443">
        <v>0.4</v>
      </c>
      <c r="CL9" s="443">
        <v>0.4</v>
      </c>
      <c r="CM9" s="443">
        <v>0.4</v>
      </c>
      <c r="CN9" s="443">
        <v>0.3</v>
      </c>
      <c r="CO9" s="445">
        <v>0.4</v>
      </c>
      <c r="CP9" s="443">
        <v>0.4</v>
      </c>
      <c r="CQ9" s="443">
        <v>0.4</v>
      </c>
      <c r="CR9" s="443">
        <v>0.4</v>
      </c>
      <c r="CS9" s="446"/>
      <c r="CT9" s="445"/>
      <c r="CU9" s="445"/>
      <c r="CW9" s="441" t="s">
        <v>1029</v>
      </c>
      <c r="CX9" s="444" t="s">
        <v>178</v>
      </c>
      <c r="CY9" s="442" t="s">
        <v>1028</v>
      </c>
      <c r="CZ9" s="445">
        <v>0.4</v>
      </c>
      <c r="DA9" s="445">
        <v>0.4</v>
      </c>
      <c r="DB9" s="445">
        <v>0.4</v>
      </c>
      <c r="DC9" s="445">
        <v>0.4</v>
      </c>
      <c r="DD9" s="445">
        <v>0.4</v>
      </c>
      <c r="DE9" s="445">
        <v>0.3</v>
      </c>
      <c r="DF9" s="445">
        <v>0.4</v>
      </c>
      <c r="DG9" s="445">
        <v>0.4</v>
      </c>
      <c r="DH9" s="445">
        <v>0.4</v>
      </c>
      <c r="DI9" s="445">
        <v>0.4</v>
      </c>
      <c r="DJ9" s="446"/>
      <c r="DK9" s="445"/>
      <c r="DL9" s="445"/>
      <c r="DN9" s="441" t="s">
        <v>1029</v>
      </c>
      <c r="DO9" s="444" t="s">
        <v>178</v>
      </c>
      <c r="DP9" s="442" t="s">
        <v>1028</v>
      </c>
      <c r="DQ9" s="445">
        <v>0.4</v>
      </c>
      <c r="DR9" s="445">
        <v>0.4</v>
      </c>
      <c r="DS9" s="445">
        <v>0.4</v>
      </c>
      <c r="DT9" s="445">
        <v>0.4</v>
      </c>
      <c r="DU9" s="445">
        <v>0.4</v>
      </c>
      <c r="DV9" s="445">
        <v>0.3</v>
      </c>
      <c r="DW9" s="445">
        <v>0.4</v>
      </c>
      <c r="DX9" s="445">
        <v>0.4</v>
      </c>
      <c r="DY9" s="445">
        <v>0.4</v>
      </c>
      <c r="DZ9" s="445">
        <v>0.4</v>
      </c>
      <c r="EA9" s="446"/>
      <c r="EB9" s="445"/>
      <c r="EC9" s="445"/>
      <c r="ED9" s="553"/>
      <c r="EF9" s="441" t="s">
        <v>1029</v>
      </c>
      <c r="EG9" s="444" t="s">
        <v>178</v>
      </c>
      <c r="EH9" s="442" t="s">
        <v>1028</v>
      </c>
      <c r="EI9" s="594">
        <v>0.5</v>
      </c>
      <c r="EJ9" s="594">
        <v>0.5</v>
      </c>
      <c r="EK9" s="594">
        <v>0.5</v>
      </c>
      <c r="EL9" s="594">
        <v>0.5</v>
      </c>
      <c r="EM9" s="594">
        <v>0.5</v>
      </c>
      <c r="EN9" s="594">
        <v>0.35</v>
      </c>
      <c r="EO9" s="594">
        <v>0.5</v>
      </c>
      <c r="EP9" s="594">
        <v>0.5</v>
      </c>
      <c r="EQ9" s="594">
        <v>0.5</v>
      </c>
      <c r="ER9" s="594">
        <v>0.5</v>
      </c>
      <c r="ES9" s="605">
        <f t="shared" ref="ES9:EU10" si="28">EA9</f>
        <v>0</v>
      </c>
      <c r="ET9" s="604">
        <f t="shared" si="28"/>
        <v>0</v>
      </c>
      <c r="EU9" s="604">
        <f t="shared" si="28"/>
        <v>0</v>
      </c>
      <c r="EW9" s="441" t="s">
        <v>1029</v>
      </c>
      <c r="EX9" s="444" t="s">
        <v>178</v>
      </c>
      <c r="EY9" s="442" t="s">
        <v>1028</v>
      </c>
      <c r="EZ9" s="665">
        <v>0.5</v>
      </c>
      <c r="FA9" s="594"/>
      <c r="FB9" s="594"/>
      <c r="FC9" s="594"/>
      <c r="FD9" s="594"/>
      <c r="FE9" s="594"/>
      <c r="FF9" s="594"/>
      <c r="FG9" s="594"/>
      <c r="FH9" s="594"/>
      <c r="FI9" s="594"/>
      <c r="FJ9" s="595"/>
      <c r="FK9" s="594"/>
      <c r="FL9" s="594"/>
    </row>
    <row r="10" spans="2:168" ht="14.25" thickBot="1">
      <c r="B10" s="732">
        <f t="shared" si="4"/>
        <v>1</v>
      </c>
      <c r="C10" s="759" t="str">
        <f t="shared" si="5"/>
        <v>音環境</v>
      </c>
      <c r="D10" s="770" t="e">
        <f>IF(I$9=0,0,G10/I$9)</f>
        <v>#REF!</v>
      </c>
      <c r="E10" s="769" t="e">
        <f>IF(J$9=0,0,H10/J$9)</f>
        <v>#REF!</v>
      </c>
      <c r="G10" s="769" t="e">
        <f t="shared" si="6"/>
        <v>#REF!</v>
      </c>
      <c r="H10" s="769" t="e">
        <f t="shared" si="7"/>
        <v>#REF!</v>
      </c>
      <c r="I10" s="995" t="e">
        <f>G11+G14+G19</f>
        <v>#REF!</v>
      </c>
      <c r="J10" s="995" t="e">
        <f>H11+H14+H19</f>
        <v>#REF!</v>
      </c>
      <c r="K10" s="769" t="e">
        <f>IF(L10&gt;0,1,IF(#REF!=0,0,1))</f>
        <v>#REF!</v>
      </c>
      <c r="L10" s="769" t="e">
        <f>IF(#REF!=0,0,1)</f>
        <v>#REF!</v>
      </c>
      <c r="M10" s="769">
        <f t="shared" si="8"/>
        <v>0.15</v>
      </c>
      <c r="N10" s="769">
        <f t="shared" si="9"/>
        <v>0</v>
      </c>
      <c r="P10" s="775">
        <v>1</v>
      </c>
      <c r="Q10" s="942" t="s">
        <v>506</v>
      </c>
      <c r="R10" s="754"/>
      <c r="S10" s="530"/>
      <c r="T10" s="753"/>
      <c r="U10" s="726"/>
      <c r="V10" s="783">
        <f>IF(SUMPRODUCT($AM$7:$AV$7,Y10:AH10)=0,0,SUMPRODUCT($AM$7:$AV$7,AM10:AV10)/SUMPRODUCT($AM$7:$AV$7,Y10:AH10))</f>
        <v>0</v>
      </c>
      <c r="W10" s="782">
        <f>IF(SUMPRODUCT($AW$7:$AY$7,AI10:AK10)=0,0,SUMPRODUCT($AW$7:$AY$7,AW10:AY10)/SUMPRODUCT($AW$7:$AY$7,AI10:AK10))</f>
        <v>0</v>
      </c>
      <c r="Y10" s="1">
        <f t="shared" ref="Y10:Y41" si="29">IF(OR(AM10=0,AM10="-"),0,1)</f>
        <v>0</v>
      </c>
      <c r="Z10" s="1">
        <f t="shared" ref="Z10:Z41" si="30">IF(OR(AN10=0,AN10="-"),0,1)</f>
        <v>0</v>
      </c>
      <c r="AA10" s="1">
        <f t="shared" ref="AA10:AA41" si="31">IF(OR(AO10=0,AO10="-"),0,1)</f>
        <v>0</v>
      </c>
      <c r="AB10" s="1">
        <f t="shared" ref="AB10:AB41" si="32">IF(OR(AP10=0,AP10="-"),0,1)</f>
        <v>0</v>
      </c>
      <c r="AC10" s="1">
        <f t="shared" ref="AC10:AC41" si="33">IF(OR(AQ10=0,AQ10="-"),0,1)</f>
        <v>0</v>
      </c>
      <c r="AD10" s="1">
        <f t="shared" ref="AD10:AD41" si="34">IF(OR(AR10=0,AR10="-"),0,1)</f>
        <v>0</v>
      </c>
      <c r="AE10" s="1">
        <f t="shared" ref="AE10:AE41" si="35">IF(OR(AS10=0,AS10="-"),0,1)</f>
        <v>0</v>
      </c>
      <c r="AF10" s="1">
        <f t="shared" ref="AF10:AF41" si="36">IF(OR(AT10=0,AT10="-"),0,1)</f>
        <v>0</v>
      </c>
      <c r="AG10" s="1">
        <f t="shared" ref="AG10:AG41" si="37">IF(OR(AU10=0,AU10="-"),0,1)</f>
        <v>0</v>
      </c>
      <c r="AH10" s="1">
        <f t="shared" ref="AH10:AH41" si="38">IF(OR(AV10=0,AV10="-"),0,1)</f>
        <v>0</v>
      </c>
      <c r="AI10" s="1">
        <f t="shared" ref="AI10:AI41" si="39">IF(OR(AW10=0,AW10="-"),0,1)</f>
        <v>0</v>
      </c>
      <c r="AJ10" s="1">
        <f t="shared" ref="AJ10:AJ41" si="40">IF(OR(AX10=0,AX10="-"),0,1)</f>
        <v>0</v>
      </c>
      <c r="AK10" s="1">
        <f t="shared" ref="AK10:AK41" si="41">IF(OR(AY10=0,AY10="-"),0,1)</f>
        <v>0</v>
      </c>
      <c r="AM10" s="764" t="s">
        <v>1001</v>
      </c>
      <c r="AN10" s="764" t="s">
        <v>1001</v>
      </c>
      <c r="AO10" s="764" t="s">
        <v>1001</v>
      </c>
      <c r="AP10" s="764" t="s">
        <v>1001</v>
      </c>
      <c r="AQ10" s="764" t="s">
        <v>1001</v>
      </c>
      <c r="AR10" s="764" t="s">
        <v>1001</v>
      </c>
      <c r="AS10" s="764" t="s">
        <v>1001</v>
      </c>
      <c r="AT10" s="764" t="s">
        <v>1001</v>
      </c>
      <c r="AU10" s="764" t="s">
        <v>1001</v>
      </c>
      <c r="AV10" s="764" t="s">
        <v>1001</v>
      </c>
      <c r="AW10" s="764" t="s">
        <v>1001</v>
      </c>
      <c r="AX10" s="764" t="s">
        <v>1001</v>
      </c>
      <c r="AY10" s="764" t="s">
        <v>1001</v>
      </c>
      <c r="BA10" s="763" t="e">
        <f>BB10/$BC$9</f>
        <v>#REF!</v>
      </c>
      <c r="BB10" s="763" t="e">
        <f t="shared" si="11"/>
        <v>#REF!</v>
      </c>
      <c r="BC10" s="763"/>
      <c r="BD10" s="762" t="e">
        <f>BR10*#REF!</f>
        <v>#REF!</v>
      </c>
      <c r="BE10" s="762" t="e">
        <f>BS10*#REF!</f>
        <v>#REF!</v>
      </c>
      <c r="BF10" s="762" t="e">
        <f>BT10*#REF!</f>
        <v>#REF!</v>
      </c>
      <c r="BG10" s="762" t="e">
        <f>BU10*#REF!</f>
        <v>#REF!</v>
      </c>
      <c r="BH10" s="847" t="e">
        <f>BV10*#REF!</f>
        <v>#REF!</v>
      </c>
      <c r="BI10" s="762" t="e">
        <f>BW10*#REF!</f>
        <v>#REF!</v>
      </c>
      <c r="BJ10" s="762" t="e">
        <f>BX10*#REF!</f>
        <v>#REF!</v>
      </c>
      <c r="BK10" s="762" t="e">
        <f>BY10*#REF!</f>
        <v>#REF!</v>
      </c>
      <c r="BL10" s="762" t="e">
        <f>BZ10*#REF!</f>
        <v>#REF!</v>
      </c>
      <c r="BM10" s="762" t="e">
        <f>CA10*#REF!</f>
        <v>#REF!</v>
      </c>
      <c r="BO10" s="823">
        <f t="shared" si="12"/>
        <v>1</v>
      </c>
      <c r="BP10" s="823" t="str">
        <f t="shared" si="13"/>
        <v xml:space="preserve"> Q1</v>
      </c>
      <c r="BQ10" s="759" t="str">
        <f t="shared" si="14"/>
        <v>音環境</v>
      </c>
      <c r="BR10" s="757">
        <f t="shared" si="15"/>
        <v>0.15</v>
      </c>
      <c r="BS10" s="757">
        <f t="shared" si="16"/>
        <v>0.15</v>
      </c>
      <c r="BT10" s="757">
        <f t="shared" si="17"/>
        <v>0.15</v>
      </c>
      <c r="BU10" s="757">
        <f t="shared" si="18"/>
        <v>0.15</v>
      </c>
      <c r="BV10" s="845">
        <f t="shared" si="19"/>
        <v>0.15</v>
      </c>
      <c r="BW10" s="757">
        <f t="shared" si="20"/>
        <v>0.15</v>
      </c>
      <c r="BX10" s="757">
        <f t="shared" si="21"/>
        <v>0.15</v>
      </c>
      <c r="BY10" s="757">
        <f t="shared" si="22"/>
        <v>0.15</v>
      </c>
      <c r="BZ10" s="757">
        <f t="shared" si="23"/>
        <v>0.15</v>
      </c>
      <c r="CA10" s="757">
        <f t="shared" si="24"/>
        <v>0.15</v>
      </c>
      <c r="CB10" s="758">
        <f t="shared" si="25"/>
        <v>0</v>
      </c>
      <c r="CC10" s="757">
        <f t="shared" si="26"/>
        <v>0</v>
      </c>
      <c r="CD10" s="757">
        <f t="shared" si="27"/>
        <v>0</v>
      </c>
      <c r="CF10" s="447">
        <v>1</v>
      </c>
      <c r="CG10" s="451" t="s">
        <v>179</v>
      </c>
      <c r="CH10" s="448" t="s">
        <v>169</v>
      </c>
      <c r="CI10" s="449">
        <v>0.15</v>
      </c>
      <c r="CJ10" s="449">
        <v>0.15</v>
      </c>
      <c r="CK10" s="449">
        <v>0.15</v>
      </c>
      <c r="CL10" s="449">
        <v>0.15</v>
      </c>
      <c r="CM10" s="450">
        <v>0.23</v>
      </c>
      <c r="CN10" s="449">
        <v>0.15</v>
      </c>
      <c r="CO10" s="452">
        <v>0.15</v>
      </c>
      <c r="CP10" s="449">
        <v>0.15</v>
      </c>
      <c r="CQ10" s="449">
        <v>0.15</v>
      </c>
      <c r="CR10" s="449">
        <v>0.15</v>
      </c>
      <c r="CS10" s="453"/>
      <c r="CT10" s="452"/>
      <c r="CU10" s="452"/>
      <c r="CW10" s="447">
        <v>1</v>
      </c>
      <c r="CX10" s="451" t="s">
        <v>179</v>
      </c>
      <c r="CY10" s="448" t="s">
        <v>169</v>
      </c>
      <c r="CZ10" s="452">
        <v>0.15</v>
      </c>
      <c r="DA10" s="452">
        <v>0.15</v>
      </c>
      <c r="DB10" s="452">
        <v>0.15</v>
      </c>
      <c r="DC10" s="452">
        <v>0.15</v>
      </c>
      <c r="DD10" s="454">
        <v>0.23</v>
      </c>
      <c r="DE10" s="452">
        <v>0.15</v>
      </c>
      <c r="DF10" s="452">
        <v>0.15</v>
      </c>
      <c r="DG10" s="452">
        <v>0.15</v>
      </c>
      <c r="DH10" s="452">
        <v>0.15</v>
      </c>
      <c r="DI10" s="452">
        <v>0.15</v>
      </c>
      <c r="DJ10" s="453"/>
      <c r="DK10" s="452"/>
      <c r="DL10" s="452"/>
      <c r="DN10" s="447">
        <v>1</v>
      </c>
      <c r="DO10" s="451" t="s">
        <v>179</v>
      </c>
      <c r="DP10" s="448" t="s">
        <v>169</v>
      </c>
      <c r="DQ10" s="452">
        <v>0.15</v>
      </c>
      <c r="DR10" s="452">
        <v>0.15</v>
      </c>
      <c r="DS10" s="452">
        <v>0.15</v>
      </c>
      <c r="DT10" s="452">
        <v>0.15</v>
      </c>
      <c r="DU10" s="567">
        <v>0.15</v>
      </c>
      <c r="DV10" s="452">
        <v>0.15</v>
      </c>
      <c r="DW10" s="452">
        <v>0.15</v>
      </c>
      <c r="DX10" s="452">
        <v>0.15</v>
      </c>
      <c r="DY10" s="452">
        <v>0.15</v>
      </c>
      <c r="DZ10" s="452">
        <v>0.15</v>
      </c>
      <c r="EA10" s="453"/>
      <c r="EB10" s="452"/>
      <c r="EC10" s="452"/>
      <c r="ED10" s="554"/>
      <c r="EF10" s="447">
        <v>1</v>
      </c>
      <c r="EG10" s="451" t="s">
        <v>179</v>
      </c>
      <c r="EH10" s="448" t="s">
        <v>169</v>
      </c>
      <c r="EI10" s="606">
        <f t="shared" ref="EI10:ER10" si="42">DQ10</f>
        <v>0.15</v>
      </c>
      <c r="EJ10" s="606">
        <f t="shared" si="42"/>
        <v>0.15</v>
      </c>
      <c r="EK10" s="606">
        <f t="shared" si="42"/>
        <v>0.15</v>
      </c>
      <c r="EL10" s="606">
        <f t="shared" si="42"/>
        <v>0.15</v>
      </c>
      <c r="EM10" s="607">
        <f t="shared" si="42"/>
        <v>0.15</v>
      </c>
      <c r="EN10" s="606">
        <f t="shared" si="42"/>
        <v>0.15</v>
      </c>
      <c r="EO10" s="606">
        <f t="shared" si="42"/>
        <v>0.15</v>
      </c>
      <c r="EP10" s="606">
        <f t="shared" si="42"/>
        <v>0.15</v>
      </c>
      <c r="EQ10" s="606">
        <f t="shared" si="42"/>
        <v>0.15</v>
      </c>
      <c r="ER10" s="606">
        <f t="shared" si="42"/>
        <v>0.15</v>
      </c>
      <c r="ES10" s="608">
        <f t="shared" si="28"/>
        <v>0</v>
      </c>
      <c r="ET10" s="606">
        <f t="shared" si="28"/>
        <v>0</v>
      </c>
      <c r="EU10" s="606">
        <f t="shared" si="28"/>
        <v>0</v>
      </c>
      <c r="EW10" s="447">
        <v>1</v>
      </c>
      <c r="EX10" s="451" t="s">
        <v>179</v>
      </c>
      <c r="EY10" s="448" t="s">
        <v>169</v>
      </c>
      <c r="EZ10" s="596">
        <f>DQ10</f>
        <v>0.15</v>
      </c>
      <c r="FA10" s="596"/>
      <c r="FB10" s="596"/>
      <c r="FC10" s="596"/>
      <c r="FD10" s="645"/>
      <c r="FE10" s="596"/>
      <c r="FF10" s="596"/>
      <c r="FG10" s="596"/>
      <c r="FH10" s="596"/>
      <c r="FI10" s="596"/>
      <c r="FJ10" s="597"/>
      <c r="FK10" s="596"/>
      <c r="FL10" s="596"/>
    </row>
    <row r="11" spans="2:168" ht="14.25" thickBot="1">
      <c r="B11" s="732">
        <f t="shared" si="4"/>
        <v>1.1000000000000001</v>
      </c>
      <c r="C11" s="408" t="str">
        <f t="shared" si="5"/>
        <v>室内騒音レベル</v>
      </c>
      <c r="D11" s="731" t="e">
        <f>IF(I$10=0,0,G11/I$10)</f>
        <v>#REF!</v>
      </c>
      <c r="E11" s="731" t="e">
        <f>IF(J$10=0,0,H11/J$10)</f>
        <v>#REF!</v>
      </c>
      <c r="G11" s="730" t="e">
        <f t="shared" si="6"/>
        <v>#REF!</v>
      </c>
      <c r="H11" s="730" t="e">
        <f t="shared" si="7"/>
        <v>#REF!</v>
      </c>
      <c r="I11" s="809" t="e">
        <f>SUM(G12:G13)</f>
        <v>#REF!</v>
      </c>
      <c r="J11" s="809" t="e">
        <f>SUM(H12:H13)</f>
        <v>#REF!</v>
      </c>
      <c r="K11" s="730" t="e">
        <f>IF(#REF!=0,0,1)</f>
        <v>#REF!</v>
      </c>
      <c r="L11" s="730" t="e">
        <f>IF(#REF!=0,0,1)</f>
        <v>#REF!</v>
      </c>
      <c r="M11" s="730">
        <f t="shared" si="8"/>
        <v>0.4</v>
      </c>
      <c r="N11" s="730">
        <f t="shared" si="9"/>
        <v>0</v>
      </c>
      <c r="P11" s="923"/>
      <c r="Q11" s="744">
        <v>1.1000000000000001</v>
      </c>
      <c r="R11" s="816" t="s">
        <v>757</v>
      </c>
      <c r="S11" s="579"/>
      <c r="T11" s="579"/>
      <c r="U11" s="726"/>
      <c r="V11" s="819">
        <f>IF(SUMPRODUCT($AM$7:$AV$7,Y11:AH11)=0,0,SUMPRODUCT($AM$7:$AV$7,AM11:AV11)/SUMPRODUCT($AM$7:$AV$7,Y11:AH11))</f>
        <v>0</v>
      </c>
      <c r="W11" s="818">
        <f>IF(SUMPRODUCT($AW$7:$AY$7,AI11:AK11)=0,0,SUMPRODUCT($AW$7:$AY$7,AW11:AY11)/SUMPRODUCT($AW$7:$AY$7,AI11:AK11))</f>
        <v>0</v>
      </c>
      <c r="Y11" s="1">
        <f t="shared" si="29"/>
        <v>0</v>
      </c>
      <c r="Z11" s="1">
        <f t="shared" si="30"/>
        <v>0</v>
      </c>
      <c r="AA11" s="1">
        <f t="shared" si="31"/>
        <v>0</v>
      </c>
      <c r="AB11" s="1">
        <f t="shared" si="32"/>
        <v>0</v>
      </c>
      <c r="AC11" s="1">
        <f t="shared" si="33"/>
        <v>0</v>
      </c>
      <c r="AD11" s="1">
        <f t="shared" si="34"/>
        <v>0</v>
      </c>
      <c r="AE11" s="1">
        <f t="shared" si="35"/>
        <v>0</v>
      </c>
      <c r="AF11" s="1">
        <f t="shared" si="36"/>
        <v>0</v>
      </c>
      <c r="AG11" s="1">
        <f t="shared" si="37"/>
        <v>0</v>
      </c>
      <c r="AH11" s="1">
        <f t="shared" si="38"/>
        <v>0</v>
      </c>
      <c r="AI11" s="1">
        <f t="shared" si="39"/>
        <v>1</v>
      </c>
      <c r="AJ11" s="1">
        <f t="shared" si="40"/>
        <v>1</v>
      </c>
      <c r="AK11" s="1">
        <f t="shared" si="41"/>
        <v>0</v>
      </c>
      <c r="AM11" s="817"/>
      <c r="AN11" s="817"/>
      <c r="AO11" s="817"/>
      <c r="AP11" s="817"/>
      <c r="AQ11" s="817"/>
      <c r="AR11" s="817"/>
      <c r="AS11" s="817"/>
      <c r="AT11" s="817"/>
      <c r="AU11" s="817"/>
      <c r="AV11" s="817"/>
      <c r="AW11" s="817">
        <v>4</v>
      </c>
      <c r="AX11" s="817">
        <v>5</v>
      </c>
      <c r="AY11" s="817"/>
      <c r="BA11" s="723"/>
      <c r="BB11" s="723" t="e">
        <f t="shared" si="11"/>
        <v>#REF!</v>
      </c>
      <c r="BC11" s="723"/>
      <c r="BD11" s="722" t="e">
        <f>BR11*#REF!</f>
        <v>#REF!</v>
      </c>
      <c r="BE11" s="722" t="e">
        <f>BS11*#REF!</f>
        <v>#REF!</v>
      </c>
      <c r="BF11" s="722" t="e">
        <f>BT11*#REF!</f>
        <v>#REF!</v>
      </c>
      <c r="BG11" s="722" t="e">
        <f>BU11*#REF!</f>
        <v>#REF!</v>
      </c>
      <c r="BH11" s="722" t="e">
        <f>BV11*#REF!</f>
        <v>#REF!</v>
      </c>
      <c r="BI11" s="722" t="e">
        <f>BW11*#REF!</f>
        <v>#REF!</v>
      </c>
      <c r="BJ11" s="722" t="e">
        <f>BX11*#REF!</f>
        <v>#REF!</v>
      </c>
      <c r="BK11" s="722" t="e">
        <f>BY11*#REF!</f>
        <v>#REF!</v>
      </c>
      <c r="BL11" s="722" t="e">
        <f>BZ11*#REF!</f>
        <v>#REF!</v>
      </c>
      <c r="BM11" s="722" t="e">
        <f>CA11*#REF!</f>
        <v>#REF!</v>
      </c>
      <c r="BO11" s="749">
        <f t="shared" si="12"/>
        <v>1.1000000000000001</v>
      </c>
      <c r="BP11" s="749" t="str">
        <f t="shared" si="13"/>
        <v xml:space="preserve"> Q1 1</v>
      </c>
      <c r="BQ11" s="408" t="str">
        <f t="shared" si="14"/>
        <v>室内騒音レベル</v>
      </c>
      <c r="BR11" s="719">
        <f t="shared" si="15"/>
        <v>0.4</v>
      </c>
      <c r="BS11" s="719">
        <f t="shared" si="16"/>
        <v>0.4</v>
      </c>
      <c r="BT11" s="719">
        <f t="shared" si="17"/>
        <v>0.4</v>
      </c>
      <c r="BU11" s="719">
        <f t="shared" si="18"/>
        <v>0.4</v>
      </c>
      <c r="BV11" s="719">
        <f t="shared" si="19"/>
        <v>0.4</v>
      </c>
      <c r="BW11" s="719">
        <f t="shared" si="20"/>
        <v>0.4</v>
      </c>
      <c r="BX11" s="719">
        <f t="shared" si="21"/>
        <v>0.4</v>
      </c>
      <c r="BY11" s="719">
        <f t="shared" si="22"/>
        <v>0.4</v>
      </c>
      <c r="BZ11" s="719">
        <f t="shared" si="23"/>
        <v>0.4</v>
      </c>
      <c r="CA11" s="719">
        <f t="shared" si="24"/>
        <v>0.5</v>
      </c>
      <c r="CB11" s="748">
        <f t="shared" si="25"/>
        <v>0.4</v>
      </c>
      <c r="CC11" s="719">
        <f t="shared" si="26"/>
        <v>0.4</v>
      </c>
      <c r="CD11" s="719">
        <f t="shared" si="27"/>
        <v>0.5</v>
      </c>
      <c r="CF11" s="455">
        <v>1.1000000000000001</v>
      </c>
      <c r="CG11" s="459" t="s">
        <v>180</v>
      </c>
      <c r="CH11" s="456" t="s">
        <v>1027</v>
      </c>
      <c r="CI11" s="460">
        <v>0.4</v>
      </c>
      <c r="CJ11" s="457">
        <v>0.4</v>
      </c>
      <c r="CK11" s="457">
        <v>0.8</v>
      </c>
      <c r="CL11" s="457">
        <v>0.4</v>
      </c>
      <c r="CM11" s="460">
        <v>0.8</v>
      </c>
      <c r="CN11" s="460">
        <v>0.5</v>
      </c>
      <c r="CO11" s="461">
        <v>0.4</v>
      </c>
      <c r="CP11" s="460">
        <v>0.4</v>
      </c>
      <c r="CQ11" s="457">
        <v>0.8</v>
      </c>
      <c r="CR11" s="457">
        <v>0.8</v>
      </c>
      <c r="CS11" s="462">
        <v>0.5</v>
      </c>
      <c r="CT11" s="461">
        <v>0.4</v>
      </c>
      <c r="CU11" s="461">
        <v>0.4</v>
      </c>
      <c r="CW11" s="455">
        <v>1.1000000000000001</v>
      </c>
      <c r="CX11" s="459" t="s">
        <v>180</v>
      </c>
      <c r="CY11" s="456" t="s">
        <v>1027</v>
      </c>
      <c r="CZ11" s="461"/>
      <c r="DA11" s="461"/>
      <c r="DB11" s="461"/>
      <c r="DC11" s="461"/>
      <c r="DD11" s="463">
        <v>0.4</v>
      </c>
      <c r="DE11" s="461"/>
      <c r="DF11" s="461"/>
      <c r="DG11" s="461"/>
      <c r="DH11" s="461"/>
      <c r="DI11" s="461"/>
      <c r="DJ11" s="462"/>
      <c r="DK11" s="461"/>
      <c r="DL11" s="461"/>
      <c r="DN11" s="455">
        <v>1.1000000000000001</v>
      </c>
      <c r="DO11" s="459" t="s">
        <v>180</v>
      </c>
      <c r="DP11" s="456" t="s">
        <v>757</v>
      </c>
      <c r="DQ11" s="461">
        <v>0.4</v>
      </c>
      <c r="DR11" s="461">
        <v>0.4</v>
      </c>
      <c r="DS11" s="461">
        <v>0.4</v>
      </c>
      <c r="DT11" s="461">
        <v>0.4</v>
      </c>
      <c r="DU11" s="568">
        <v>0.4</v>
      </c>
      <c r="DV11" s="461">
        <v>0.4</v>
      </c>
      <c r="DW11" s="461">
        <v>0.4</v>
      </c>
      <c r="DX11" s="461">
        <v>0.4</v>
      </c>
      <c r="DY11" s="461">
        <v>0.4</v>
      </c>
      <c r="DZ11" s="461">
        <v>0.5</v>
      </c>
      <c r="EA11" s="461">
        <v>0.4</v>
      </c>
      <c r="EB11" s="461">
        <v>0.4</v>
      </c>
      <c r="EC11" s="461">
        <v>0.5</v>
      </c>
      <c r="ED11" s="555"/>
      <c r="EF11" s="455">
        <v>1.1000000000000001</v>
      </c>
      <c r="EG11" s="459" t="s">
        <v>180</v>
      </c>
      <c r="EH11" s="456" t="s">
        <v>183</v>
      </c>
      <c r="EI11" s="609">
        <v>0</v>
      </c>
      <c r="EJ11" s="609">
        <v>0</v>
      </c>
      <c r="EK11" s="609">
        <v>0</v>
      </c>
      <c r="EL11" s="609">
        <v>0</v>
      </c>
      <c r="EM11" s="609">
        <v>0</v>
      </c>
      <c r="EN11" s="609">
        <v>0</v>
      </c>
      <c r="EO11" s="609">
        <v>0</v>
      </c>
      <c r="EP11" s="609">
        <v>0</v>
      </c>
      <c r="EQ11" s="609">
        <v>0</v>
      </c>
      <c r="ER11" s="609">
        <v>0</v>
      </c>
      <c r="ES11" s="609">
        <v>0</v>
      </c>
      <c r="ET11" s="609">
        <v>0</v>
      </c>
      <c r="EU11" s="609">
        <v>0</v>
      </c>
      <c r="EW11" s="455">
        <v>1.1000000000000001</v>
      </c>
      <c r="EX11" s="459" t="s">
        <v>180</v>
      </c>
      <c r="EY11" s="456" t="s">
        <v>183</v>
      </c>
      <c r="EZ11" s="666">
        <v>1</v>
      </c>
      <c r="FA11" s="598"/>
      <c r="FB11" s="598"/>
      <c r="FC11" s="598"/>
      <c r="FD11" s="598"/>
      <c r="FE11" s="598"/>
      <c r="FF11" s="598"/>
      <c r="FG11" s="598"/>
      <c r="FH11" s="598"/>
      <c r="FI11" s="598"/>
      <c r="FJ11" s="598"/>
      <c r="FK11" s="598"/>
      <c r="FL11" s="598"/>
    </row>
    <row r="12" spans="2:168" ht="14.25" hidden="1" thickBot="1">
      <c r="B12" s="732" t="str">
        <f t="shared" si="4"/>
        <v>1.1.1</v>
      </c>
      <c r="C12" s="408">
        <f t="shared" si="5"/>
        <v>0</v>
      </c>
      <c r="D12" s="731" t="e">
        <f>IF(I$11=0,0,G12/I$11)</f>
        <v>#REF!</v>
      </c>
      <c r="E12" s="731" t="e">
        <f>IF(J$11=0,0,H12/J$11)</f>
        <v>#REF!</v>
      </c>
      <c r="G12" s="730" t="e">
        <f t="shared" si="6"/>
        <v>#REF!</v>
      </c>
      <c r="H12" s="730" t="e">
        <f t="shared" si="7"/>
        <v>#REF!</v>
      </c>
      <c r="I12" s="809"/>
      <c r="J12" s="809"/>
      <c r="K12" s="730" t="e">
        <f>IF(#REF!=0,0,1)</f>
        <v>#REF!</v>
      </c>
      <c r="L12" s="730" t="e">
        <f>IF(#REF!=0,0,1)</f>
        <v>#REF!</v>
      </c>
      <c r="M12" s="730">
        <f t="shared" si="8"/>
        <v>0</v>
      </c>
      <c r="N12" s="730">
        <f t="shared" si="9"/>
        <v>0</v>
      </c>
      <c r="P12" s="994"/>
      <c r="Q12" s="993"/>
      <c r="R12" s="992">
        <v>1</v>
      </c>
      <c r="S12" s="991" t="s">
        <v>1026</v>
      </c>
      <c r="T12" s="990"/>
      <c r="U12" s="726"/>
      <c r="V12" s="819"/>
      <c r="W12" s="818"/>
      <c r="Y12" s="1">
        <f t="shared" si="29"/>
        <v>0</v>
      </c>
      <c r="Z12" s="1">
        <f t="shared" si="30"/>
        <v>0</v>
      </c>
      <c r="AA12" s="1">
        <f t="shared" si="31"/>
        <v>0</v>
      </c>
      <c r="AB12" s="1">
        <f t="shared" si="32"/>
        <v>0</v>
      </c>
      <c r="AC12" s="1">
        <f t="shared" si="33"/>
        <v>0</v>
      </c>
      <c r="AD12" s="1">
        <f t="shared" si="34"/>
        <v>0</v>
      </c>
      <c r="AE12" s="1">
        <f t="shared" si="35"/>
        <v>0</v>
      </c>
      <c r="AF12" s="1">
        <f t="shared" si="36"/>
        <v>0</v>
      </c>
      <c r="AG12" s="1">
        <f t="shared" si="37"/>
        <v>0</v>
      </c>
      <c r="AH12" s="1">
        <f t="shared" si="38"/>
        <v>0</v>
      </c>
      <c r="AI12" s="1">
        <f t="shared" si="39"/>
        <v>0</v>
      </c>
      <c r="AJ12" s="1">
        <f t="shared" si="40"/>
        <v>0</v>
      </c>
      <c r="AK12" s="1">
        <f t="shared" si="41"/>
        <v>0</v>
      </c>
      <c r="AM12" s="874"/>
      <c r="AN12" s="874"/>
      <c r="AO12" s="874"/>
      <c r="AP12" s="874"/>
      <c r="AQ12" s="874"/>
      <c r="AR12" s="874"/>
      <c r="AS12" s="874"/>
      <c r="AT12" s="874"/>
      <c r="AU12" s="874"/>
      <c r="AV12" s="874"/>
      <c r="AW12" s="874"/>
      <c r="AX12" s="874"/>
      <c r="AY12" s="874"/>
      <c r="BA12" s="723"/>
      <c r="BB12" s="723" t="e">
        <f t="shared" si="11"/>
        <v>#REF!</v>
      </c>
      <c r="BC12" s="723"/>
      <c r="BD12" s="722" t="e">
        <f>BR12*#REF!</f>
        <v>#REF!</v>
      </c>
      <c r="BE12" s="722" t="e">
        <f>BS12*#REF!</f>
        <v>#REF!</v>
      </c>
      <c r="BF12" s="722" t="e">
        <f>BT12*#REF!</f>
        <v>#REF!</v>
      </c>
      <c r="BG12" s="722" t="e">
        <f>BU12*#REF!</f>
        <v>#REF!</v>
      </c>
      <c r="BH12" s="722" t="e">
        <f>BV12*#REF!</f>
        <v>#REF!</v>
      </c>
      <c r="BI12" s="722" t="e">
        <f>BW12*#REF!</f>
        <v>#REF!</v>
      </c>
      <c r="BJ12" s="722" t="e">
        <f>BX12*#REF!</f>
        <v>#REF!</v>
      </c>
      <c r="BK12" s="722" t="e">
        <f>BY12*#REF!</f>
        <v>#REF!</v>
      </c>
      <c r="BL12" s="722" t="e">
        <f>BZ12*#REF!</f>
        <v>#REF!</v>
      </c>
      <c r="BM12" s="722" t="e">
        <f>CA12*#REF!</f>
        <v>#REF!</v>
      </c>
      <c r="BO12" s="749" t="str">
        <f t="shared" si="12"/>
        <v>1.1.1</v>
      </c>
      <c r="BP12" s="749" t="str">
        <f t="shared" si="13"/>
        <v xml:space="preserve"> Q1 1.1</v>
      </c>
      <c r="BQ12" s="408">
        <f t="shared" si="14"/>
        <v>0</v>
      </c>
      <c r="BR12" s="719">
        <f t="shared" si="15"/>
        <v>0</v>
      </c>
      <c r="BS12" s="719">
        <f t="shared" si="16"/>
        <v>0</v>
      </c>
      <c r="BT12" s="719">
        <f t="shared" si="17"/>
        <v>0</v>
      </c>
      <c r="BU12" s="719">
        <f t="shared" si="18"/>
        <v>0</v>
      </c>
      <c r="BV12" s="719">
        <f t="shared" si="19"/>
        <v>0</v>
      </c>
      <c r="BW12" s="719">
        <f t="shared" si="20"/>
        <v>0</v>
      </c>
      <c r="BX12" s="719">
        <f t="shared" si="21"/>
        <v>0</v>
      </c>
      <c r="BY12" s="719">
        <f t="shared" si="22"/>
        <v>0</v>
      </c>
      <c r="BZ12" s="719">
        <f t="shared" si="23"/>
        <v>0</v>
      </c>
      <c r="CA12" s="719">
        <f t="shared" si="24"/>
        <v>0</v>
      </c>
      <c r="CB12" s="748">
        <f t="shared" si="25"/>
        <v>0</v>
      </c>
      <c r="CC12" s="719">
        <f t="shared" si="26"/>
        <v>0</v>
      </c>
      <c r="CD12" s="719">
        <f t="shared" si="27"/>
        <v>0</v>
      </c>
      <c r="CF12" s="455" t="s">
        <v>181</v>
      </c>
      <c r="CG12" s="459" t="s">
        <v>182</v>
      </c>
      <c r="CH12" s="456" t="s">
        <v>183</v>
      </c>
      <c r="CI12" s="457">
        <v>0.4</v>
      </c>
      <c r="CJ12" s="457">
        <v>1</v>
      </c>
      <c r="CK12" s="457">
        <v>1</v>
      </c>
      <c r="CL12" s="457">
        <v>1</v>
      </c>
      <c r="CM12" s="457">
        <v>1</v>
      </c>
      <c r="CN12" s="457">
        <v>0.4</v>
      </c>
      <c r="CO12" s="461">
        <v>1</v>
      </c>
      <c r="CP12" s="457">
        <v>0.4</v>
      </c>
      <c r="CQ12" s="457">
        <v>1</v>
      </c>
      <c r="CR12" s="457">
        <v>1</v>
      </c>
      <c r="CS12" s="462">
        <v>0.4</v>
      </c>
      <c r="CT12" s="461">
        <v>1</v>
      </c>
      <c r="CU12" s="461">
        <v>1</v>
      </c>
      <c r="CW12" s="455" t="s">
        <v>181</v>
      </c>
      <c r="CX12" s="459" t="s">
        <v>182</v>
      </c>
      <c r="CY12" s="456" t="s">
        <v>183</v>
      </c>
      <c r="CZ12" s="461"/>
      <c r="DA12" s="461"/>
      <c r="DB12" s="461"/>
      <c r="DC12" s="461"/>
      <c r="DD12" s="463">
        <v>1</v>
      </c>
      <c r="DE12" s="461"/>
      <c r="DF12" s="461"/>
      <c r="DG12" s="461"/>
      <c r="DH12" s="461"/>
      <c r="DI12" s="461"/>
      <c r="DJ12" s="462"/>
      <c r="DK12" s="461"/>
      <c r="DL12" s="461"/>
      <c r="DN12" s="455" t="s">
        <v>181</v>
      </c>
      <c r="DO12" s="459" t="s">
        <v>182</v>
      </c>
      <c r="DP12" s="456"/>
      <c r="DQ12" s="461"/>
      <c r="DR12" s="461"/>
      <c r="DS12" s="461"/>
      <c r="DT12" s="461"/>
      <c r="DU12" s="568"/>
      <c r="DV12" s="461"/>
      <c r="DW12" s="461"/>
      <c r="DX12" s="461"/>
      <c r="DY12" s="461"/>
      <c r="DZ12" s="461"/>
      <c r="EA12" s="462"/>
      <c r="EB12" s="461"/>
      <c r="EC12" s="461"/>
      <c r="ED12" s="555"/>
      <c r="EF12" s="455" t="s">
        <v>181</v>
      </c>
      <c r="EG12" s="459" t="s">
        <v>182</v>
      </c>
      <c r="EH12" s="456"/>
      <c r="EI12" s="609"/>
      <c r="EJ12" s="609"/>
      <c r="EK12" s="609"/>
      <c r="EL12" s="609"/>
      <c r="EM12" s="610"/>
      <c r="EN12" s="609"/>
      <c r="EO12" s="609"/>
      <c r="EP12" s="609"/>
      <c r="EQ12" s="609"/>
      <c r="ER12" s="609"/>
      <c r="ES12" s="611"/>
      <c r="ET12" s="609"/>
      <c r="EU12" s="609"/>
      <c r="EW12" s="455" t="s">
        <v>181</v>
      </c>
      <c r="EX12" s="459" t="s">
        <v>182</v>
      </c>
      <c r="EY12" s="456"/>
      <c r="EZ12" s="666">
        <f>DQ12</f>
        <v>0</v>
      </c>
      <c r="FA12" s="598"/>
      <c r="FB12" s="598"/>
      <c r="FC12" s="598"/>
      <c r="FD12" s="646"/>
      <c r="FE12" s="598"/>
      <c r="FF12" s="598"/>
      <c r="FG12" s="598"/>
      <c r="FH12" s="598"/>
      <c r="FI12" s="598"/>
      <c r="FJ12" s="647"/>
      <c r="FK12" s="598"/>
      <c r="FL12" s="598"/>
    </row>
    <row r="13" spans="2:168" ht="14.25" hidden="1" thickBot="1">
      <c r="B13" s="732" t="str">
        <f t="shared" si="4"/>
        <v>1.1.2</v>
      </c>
      <c r="C13" s="408">
        <f t="shared" si="5"/>
        <v>0</v>
      </c>
      <c r="D13" s="731" t="e">
        <f>IF(I$11=0,0,G13/I$11)</f>
        <v>#REF!</v>
      </c>
      <c r="E13" s="731" t="e">
        <f>IF(J$11=0,0,H13/J$11)</f>
        <v>#REF!</v>
      </c>
      <c r="G13" s="730" t="e">
        <f t="shared" si="6"/>
        <v>#REF!</v>
      </c>
      <c r="H13" s="730" t="e">
        <f t="shared" si="7"/>
        <v>#REF!</v>
      </c>
      <c r="I13" s="809"/>
      <c r="J13" s="809"/>
      <c r="K13" s="730" t="e">
        <f>IF(#REF!=0,0,1)</f>
        <v>#REF!</v>
      </c>
      <c r="L13" s="730" t="e">
        <f>IF(#REF!=0,0,1)</f>
        <v>#REF!</v>
      </c>
      <c r="M13" s="730">
        <f t="shared" si="8"/>
        <v>0</v>
      </c>
      <c r="N13" s="730">
        <f t="shared" si="9"/>
        <v>0</v>
      </c>
      <c r="P13" s="965"/>
      <c r="Q13" s="955"/>
      <c r="R13" s="954">
        <v>2</v>
      </c>
      <c r="S13" s="953" t="s">
        <v>1025</v>
      </c>
      <c r="T13" s="853"/>
      <c r="U13" s="726"/>
      <c r="V13" s="725"/>
      <c r="W13" s="724"/>
      <c r="Y13" s="1">
        <f t="shared" si="29"/>
        <v>0</v>
      </c>
      <c r="Z13" s="1">
        <f t="shared" si="30"/>
        <v>0</v>
      </c>
      <c r="AA13" s="1">
        <f t="shared" si="31"/>
        <v>0</v>
      </c>
      <c r="AB13" s="1">
        <f t="shared" si="32"/>
        <v>0</v>
      </c>
      <c r="AC13" s="1">
        <f t="shared" si="33"/>
        <v>0</v>
      </c>
      <c r="AD13" s="1">
        <f t="shared" si="34"/>
        <v>0</v>
      </c>
      <c r="AE13" s="1">
        <f t="shared" si="35"/>
        <v>0</v>
      </c>
      <c r="AF13" s="1">
        <f t="shared" si="36"/>
        <v>0</v>
      </c>
      <c r="AG13" s="1">
        <f t="shared" si="37"/>
        <v>0</v>
      </c>
      <c r="AH13" s="1">
        <f t="shared" si="38"/>
        <v>0</v>
      </c>
      <c r="AI13" s="1">
        <f t="shared" si="39"/>
        <v>0</v>
      </c>
      <c r="AJ13" s="1">
        <f t="shared" si="40"/>
        <v>0</v>
      </c>
      <c r="AK13" s="1">
        <f t="shared" si="41"/>
        <v>0</v>
      </c>
      <c r="AM13" s="852"/>
      <c r="AN13" s="852"/>
      <c r="AO13" s="852"/>
      <c r="AP13" s="852"/>
      <c r="AQ13" s="852"/>
      <c r="AR13" s="852"/>
      <c r="AS13" s="852"/>
      <c r="AT13" s="852"/>
      <c r="AU13" s="852"/>
      <c r="AV13" s="852"/>
      <c r="AW13" s="852"/>
      <c r="AX13" s="852"/>
      <c r="AY13" s="852"/>
      <c r="BA13" s="723"/>
      <c r="BB13" s="723" t="e">
        <f t="shared" si="11"/>
        <v>#REF!</v>
      </c>
      <c r="BC13" s="723"/>
      <c r="BD13" s="722" t="e">
        <f>BR13*#REF!</f>
        <v>#REF!</v>
      </c>
      <c r="BE13" s="722" t="e">
        <f>BS13*#REF!</f>
        <v>#REF!</v>
      </c>
      <c r="BF13" s="722" t="e">
        <f>BT13*#REF!</f>
        <v>#REF!</v>
      </c>
      <c r="BG13" s="722" t="e">
        <f>BU13*#REF!</f>
        <v>#REF!</v>
      </c>
      <c r="BH13" s="722" t="e">
        <f>BV13*#REF!</f>
        <v>#REF!</v>
      </c>
      <c r="BI13" s="722" t="e">
        <f>BW13*#REF!</f>
        <v>#REF!</v>
      </c>
      <c r="BJ13" s="722" t="e">
        <f>BX13*#REF!</f>
        <v>#REF!</v>
      </c>
      <c r="BK13" s="722" t="e">
        <f>BY13*#REF!</f>
        <v>#REF!</v>
      </c>
      <c r="BL13" s="722" t="e">
        <f>BZ13*#REF!</f>
        <v>#REF!</v>
      </c>
      <c r="BM13" s="722" t="e">
        <f>CA13*#REF!</f>
        <v>#REF!</v>
      </c>
      <c r="BO13" s="749" t="str">
        <f t="shared" si="12"/>
        <v>1.1.2</v>
      </c>
      <c r="BP13" s="749" t="str">
        <f t="shared" si="13"/>
        <v xml:space="preserve"> Q1 1.1</v>
      </c>
      <c r="BQ13" s="408">
        <f t="shared" si="14"/>
        <v>0</v>
      </c>
      <c r="BR13" s="719">
        <f t="shared" si="15"/>
        <v>0</v>
      </c>
      <c r="BS13" s="719">
        <f t="shared" si="16"/>
        <v>0</v>
      </c>
      <c r="BT13" s="719">
        <f t="shared" si="17"/>
        <v>0</v>
      </c>
      <c r="BU13" s="719">
        <f t="shared" si="18"/>
        <v>0</v>
      </c>
      <c r="BV13" s="719">
        <f t="shared" si="19"/>
        <v>0</v>
      </c>
      <c r="BW13" s="719">
        <f t="shared" si="20"/>
        <v>0</v>
      </c>
      <c r="BX13" s="719">
        <f t="shared" si="21"/>
        <v>0</v>
      </c>
      <c r="BY13" s="719">
        <f t="shared" si="22"/>
        <v>0</v>
      </c>
      <c r="BZ13" s="719">
        <f t="shared" si="23"/>
        <v>0</v>
      </c>
      <c r="CA13" s="719">
        <f t="shared" si="24"/>
        <v>0</v>
      </c>
      <c r="CB13" s="748">
        <f t="shared" si="25"/>
        <v>0</v>
      </c>
      <c r="CC13" s="719">
        <f t="shared" si="26"/>
        <v>0</v>
      </c>
      <c r="CD13" s="719">
        <f t="shared" si="27"/>
        <v>0</v>
      </c>
      <c r="CF13" s="455" t="s">
        <v>184</v>
      </c>
      <c r="CG13" s="459" t="s">
        <v>182</v>
      </c>
      <c r="CH13" s="456" t="s">
        <v>185</v>
      </c>
      <c r="CI13" s="457">
        <v>0.6</v>
      </c>
      <c r="CJ13" s="457"/>
      <c r="CK13" s="457"/>
      <c r="CL13" s="457"/>
      <c r="CM13" s="457"/>
      <c r="CN13" s="457">
        <v>0.6</v>
      </c>
      <c r="CO13" s="461"/>
      <c r="CP13" s="457">
        <v>0.6</v>
      </c>
      <c r="CQ13" s="457"/>
      <c r="CR13" s="457"/>
      <c r="CS13" s="462">
        <v>0.6</v>
      </c>
      <c r="CT13" s="461"/>
      <c r="CU13" s="461"/>
      <c r="CW13" s="455" t="s">
        <v>184</v>
      </c>
      <c r="CX13" s="459" t="s">
        <v>182</v>
      </c>
      <c r="CY13" s="456" t="s">
        <v>185</v>
      </c>
      <c r="CZ13" s="461"/>
      <c r="DA13" s="461"/>
      <c r="DB13" s="461"/>
      <c r="DC13" s="461"/>
      <c r="DD13" s="463"/>
      <c r="DE13" s="461"/>
      <c r="DF13" s="461"/>
      <c r="DG13" s="461"/>
      <c r="DH13" s="461"/>
      <c r="DI13" s="461"/>
      <c r="DJ13" s="462"/>
      <c r="DK13" s="461"/>
      <c r="DL13" s="461"/>
      <c r="DN13" s="455" t="s">
        <v>184</v>
      </c>
      <c r="DO13" s="459" t="s">
        <v>182</v>
      </c>
      <c r="DP13" s="456"/>
      <c r="DQ13" s="461"/>
      <c r="DR13" s="461"/>
      <c r="DS13" s="461"/>
      <c r="DT13" s="461"/>
      <c r="DU13" s="568"/>
      <c r="DV13" s="461"/>
      <c r="DW13" s="461"/>
      <c r="DX13" s="461"/>
      <c r="DY13" s="461"/>
      <c r="DZ13" s="461"/>
      <c r="EA13" s="462"/>
      <c r="EB13" s="461"/>
      <c r="EC13" s="461"/>
      <c r="ED13" s="555"/>
      <c r="EF13" s="455" t="s">
        <v>184</v>
      </c>
      <c r="EG13" s="459" t="s">
        <v>182</v>
      </c>
      <c r="EH13" s="456"/>
      <c r="EI13" s="609"/>
      <c r="EJ13" s="609"/>
      <c r="EK13" s="609"/>
      <c r="EL13" s="609"/>
      <c r="EM13" s="610"/>
      <c r="EN13" s="609"/>
      <c r="EO13" s="609"/>
      <c r="EP13" s="609"/>
      <c r="EQ13" s="609"/>
      <c r="ER13" s="609"/>
      <c r="ES13" s="611"/>
      <c r="ET13" s="609"/>
      <c r="EU13" s="609"/>
      <c r="EW13" s="455" t="s">
        <v>184</v>
      </c>
      <c r="EX13" s="459" t="s">
        <v>182</v>
      </c>
      <c r="EY13" s="456"/>
      <c r="EZ13" s="666">
        <f>DQ13</f>
        <v>0</v>
      </c>
      <c r="FA13" s="598"/>
      <c r="FB13" s="598"/>
      <c r="FC13" s="598"/>
      <c r="FD13" s="646"/>
      <c r="FE13" s="598"/>
      <c r="FF13" s="598"/>
      <c r="FG13" s="598"/>
      <c r="FH13" s="598"/>
      <c r="FI13" s="598"/>
      <c r="FJ13" s="647"/>
      <c r="FK13" s="598"/>
      <c r="FL13" s="598"/>
    </row>
    <row r="14" spans="2:168" ht="14.25" thickBot="1">
      <c r="B14" s="732">
        <f t="shared" si="4"/>
        <v>1.2</v>
      </c>
      <c r="C14" s="408" t="str">
        <f t="shared" si="5"/>
        <v>遮音</v>
      </c>
      <c r="D14" s="731" t="e">
        <f>IF(I$10=0,0,G14/I$10)</f>
        <v>#REF!</v>
      </c>
      <c r="E14" s="731" t="e">
        <f>IF(J$10=0,0,H14/J$10)</f>
        <v>#REF!</v>
      </c>
      <c r="G14" s="730" t="e">
        <f t="shared" si="6"/>
        <v>#REF!</v>
      </c>
      <c r="H14" s="730" t="e">
        <f t="shared" si="7"/>
        <v>#REF!</v>
      </c>
      <c r="I14" s="809" t="e">
        <f>SUM(G15:G18)</f>
        <v>#REF!</v>
      </c>
      <c r="J14" s="809" t="e">
        <f>SUM(H15:H18)</f>
        <v>#REF!</v>
      </c>
      <c r="K14" s="730" t="e">
        <f>IF(#REF!=0,0,1)</f>
        <v>#REF!</v>
      </c>
      <c r="L14" s="730" t="e">
        <f>IF(#REF!=0,0,1)</f>
        <v>#REF!</v>
      </c>
      <c r="M14" s="730">
        <f t="shared" si="8"/>
        <v>0.4</v>
      </c>
      <c r="N14" s="730">
        <f t="shared" si="9"/>
        <v>0</v>
      </c>
      <c r="P14" s="923"/>
      <c r="Q14" s="744">
        <v>1.2</v>
      </c>
      <c r="R14" s="579" t="s">
        <v>507</v>
      </c>
      <c r="S14" s="7"/>
      <c r="T14" s="7"/>
      <c r="U14" s="726"/>
      <c r="V14" s="972">
        <f t="shared" ref="V14:V45" si="43">IF(SUMPRODUCT($AM$7:$AV$7,Y14:AH14)=0,0,SUMPRODUCT($AM$7:$AV$7,AM14:AV14)/SUMPRODUCT($AM$7:$AV$7,Y14:AH14))</f>
        <v>0</v>
      </c>
      <c r="W14" s="971">
        <f t="shared" ref="W14:W45" si="44">IF(SUMPRODUCT($AW$7:$AY$7,AI14:AK14)=0,0,SUMPRODUCT($AW$7:$AY$7,AW14:AY14)/SUMPRODUCT($AW$7:$AY$7,AI14:AK14))</f>
        <v>0</v>
      </c>
      <c r="Y14" s="1">
        <f t="shared" si="29"/>
        <v>0</v>
      </c>
      <c r="Z14" s="1">
        <f t="shared" si="30"/>
        <v>0</v>
      </c>
      <c r="AA14" s="1">
        <f t="shared" si="31"/>
        <v>0</v>
      </c>
      <c r="AB14" s="1">
        <f t="shared" si="32"/>
        <v>0</v>
      </c>
      <c r="AC14" s="1">
        <f t="shared" si="33"/>
        <v>0</v>
      </c>
      <c r="AD14" s="1">
        <f t="shared" si="34"/>
        <v>0</v>
      </c>
      <c r="AE14" s="1">
        <f t="shared" si="35"/>
        <v>0</v>
      </c>
      <c r="AF14" s="1">
        <f t="shared" si="36"/>
        <v>0</v>
      </c>
      <c r="AG14" s="1">
        <f t="shared" si="37"/>
        <v>0</v>
      </c>
      <c r="AH14" s="1">
        <f t="shared" si="38"/>
        <v>0</v>
      </c>
      <c r="AI14" s="1">
        <f t="shared" si="39"/>
        <v>0</v>
      </c>
      <c r="AJ14" s="1">
        <f t="shared" si="40"/>
        <v>0</v>
      </c>
      <c r="AK14" s="1">
        <f t="shared" si="41"/>
        <v>0</v>
      </c>
      <c r="AM14" s="970" t="s">
        <v>1001</v>
      </c>
      <c r="AN14" s="970" t="s">
        <v>1001</v>
      </c>
      <c r="AO14" s="970" t="s">
        <v>1001</v>
      </c>
      <c r="AP14" s="970" t="s">
        <v>1001</v>
      </c>
      <c r="AQ14" s="970" t="s">
        <v>1001</v>
      </c>
      <c r="AR14" s="970" t="s">
        <v>1001</v>
      </c>
      <c r="AS14" s="970" t="s">
        <v>1001</v>
      </c>
      <c r="AT14" s="970" t="s">
        <v>1001</v>
      </c>
      <c r="AU14" s="970" t="s">
        <v>1001</v>
      </c>
      <c r="AV14" s="970" t="s">
        <v>1001</v>
      </c>
      <c r="AW14" s="970" t="s">
        <v>1001</v>
      </c>
      <c r="AX14" s="970" t="s">
        <v>1001</v>
      </c>
      <c r="AY14" s="970" t="s">
        <v>1001</v>
      </c>
      <c r="BA14" s="723"/>
      <c r="BB14" s="723" t="e">
        <f t="shared" si="11"/>
        <v>#REF!</v>
      </c>
      <c r="BC14" s="723"/>
      <c r="BD14" s="722" t="e">
        <f>BR14*#REF!</f>
        <v>#REF!</v>
      </c>
      <c r="BE14" s="722" t="e">
        <f>BS14*#REF!</f>
        <v>#REF!</v>
      </c>
      <c r="BF14" s="722" t="e">
        <f>BT14*#REF!</f>
        <v>#REF!</v>
      </c>
      <c r="BG14" s="722" t="e">
        <f>BU14*#REF!</f>
        <v>#REF!</v>
      </c>
      <c r="BH14" s="722" t="e">
        <f>BV14*#REF!</f>
        <v>#REF!</v>
      </c>
      <c r="BI14" s="722" t="e">
        <f>BW14*#REF!</f>
        <v>#REF!</v>
      </c>
      <c r="BJ14" s="722" t="e">
        <f>BX14*#REF!</f>
        <v>#REF!</v>
      </c>
      <c r="BK14" s="722" t="e">
        <f>BY14*#REF!</f>
        <v>#REF!</v>
      </c>
      <c r="BL14" s="722" t="e">
        <f>BZ14*#REF!</f>
        <v>#REF!</v>
      </c>
      <c r="BM14" s="722" t="e">
        <f>CA14*#REF!</f>
        <v>#REF!</v>
      </c>
      <c r="BO14" s="749">
        <f t="shared" si="12"/>
        <v>1.2</v>
      </c>
      <c r="BP14" s="749" t="str">
        <f t="shared" si="13"/>
        <v xml:space="preserve"> Q1 1</v>
      </c>
      <c r="BQ14" s="408" t="str">
        <f t="shared" si="14"/>
        <v>遮音</v>
      </c>
      <c r="BR14" s="719">
        <f t="shared" si="15"/>
        <v>0.4</v>
      </c>
      <c r="BS14" s="719">
        <f t="shared" si="16"/>
        <v>0.4</v>
      </c>
      <c r="BT14" s="719">
        <f t="shared" si="17"/>
        <v>0.4</v>
      </c>
      <c r="BU14" s="719">
        <f t="shared" si="18"/>
        <v>0.4</v>
      </c>
      <c r="BV14" s="719">
        <f t="shared" si="19"/>
        <v>0.4</v>
      </c>
      <c r="BW14" s="719">
        <f t="shared" si="20"/>
        <v>0.4</v>
      </c>
      <c r="BX14" s="719">
        <f t="shared" si="21"/>
        <v>0.4</v>
      </c>
      <c r="BY14" s="719">
        <f t="shared" si="22"/>
        <v>0.4</v>
      </c>
      <c r="BZ14" s="719">
        <f t="shared" si="23"/>
        <v>0.4</v>
      </c>
      <c r="CA14" s="719">
        <f t="shared" si="24"/>
        <v>0.5</v>
      </c>
      <c r="CB14" s="748">
        <f t="shared" si="25"/>
        <v>0.4</v>
      </c>
      <c r="CC14" s="719">
        <f t="shared" si="26"/>
        <v>0.4</v>
      </c>
      <c r="CD14" s="719">
        <f t="shared" si="27"/>
        <v>0.5</v>
      </c>
      <c r="CF14" s="455">
        <v>1.2</v>
      </c>
      <c r="CG14" s="459" t="s">
        <v>180</v>
      </c>
      <c r="CH14" s="408" t="s">
        <v>696</v>
      </c>
      <c r="CI14" s="460">
        <v>0.4</v>
      </c>
      <c r="CJ14" s="457">
        <v>0.4</v>
      </c>
      <c r="CK14" s="457"/>
      <c r="CL14" s="457">
        <v>0.4</v>
      </c>
      <c r="CM14" s="457"/>
      <c r="CN14" s="460">
        <v>0.5</v>
      </c>
      <c r="CO14" s="461">
        <v>0.4</v>
      </c>
      <c r="CP14" s="460">
        <v>0.4</v>
      </c>
      <c r="CQ14" s="457"/>
      <c r="CR14" s="457"/>
      <c r="CS14" s="462">
        <v>0.5</v>
      </c>
      <c r="CT14" s="461">
        <v>0.4</v>
      </c>
      <c r="CU14" s="464">
        <v>0.4</v>
      </c>
      <c r="CW14" s="455">
        <v>1.2</v>
      </c>
      <c r="CX14" s="459" t="s">
        <v>180</v>
      </c>
      <c r="CY14" s="408" t="s">
        <v>696</v>
      </c>
      <c r="CZ14" s="461">
        <v>0.7</v>
      </c>
      <c r="DA14" s="461">
        <v>0.7</v>
      </c>
      <c r="DB14" s="461">
        <v>0.7</v>
      </c>
      <c r="DC14" s="461">
        <v>0.7</v>
      </c>
      <c r="DD14" s="463">
        <v>0.4</v>
      </c>
      <c r="DE14" s="461">
        <v>0.7</v>
      </c>
      <c r="DF14" s="461">
        <v>0.7</v>
      </c>
      <c r="DG14" s="461">
        <v>0.7</v>
      </c>
      <c r="DH14" s="461">
        <v>0.7</v>
      </c>
      <c r="DI14" s="461">
        <v>1</v>
      </c>
      <c r="DJ14" s="462">
        <v>0.7</v>
      </c>
      <c r="DK14" s="461">
        <v>0.7</v>
      </c>
      <c r="DL14" s="461">
        <v>1</v>
      </c>
      <c r="DN14" s="455">
        <v>1.2</v>
      </c>
      <c r="DO14" s="459" t="s">
        <v>180</v>
      </c>
      <c r="DP14" s="408" t="s">
        <v>696</v>
      </c>
      <c r="DQ14" s="461">
        <v>0.4</v>
      </c>
      <c r="DR14" s="461">
        <v>0.4</v>
      </c>
      <c r="DS14" s="461">
        <v>0.4</v>
      </c>
      <c r="DT14" s="461">
        <v>0.4</v>
      </c>
      <c r="DU14" s="568">
        <v>0.4</v>
      </c>
      <c r="DV14" s="461">
        <v>0.4</v>
      </c>
      <c r="DW14" s="461">
        <v>0.4</v>
      </c>
      <c r="DX14" s="461">
        <v>0.4</v>
      </c>
      <c r="DY14" s="461">
        <v>0.4</v>
      </c>
      <c r="DZ14" s="461">
        <v>0.5</v>
      </c>
      <c r="EA14" s="461">
        <v>0.4</v>
      </c>
      <c r="EB14" s="461">
        <v>0.4</v>
      </c>
      <c r="EC14" s="461">
        <v>0.5</v>
      </c>
      <c r="ED14" s="555"/>
      <c r="EF14" s="455">
        <v>1.2</v>
      </c>
      <c r="EG14" s="459" t="s">
        <v>180</v>
      </c>
      <c r="EH14" s="408" t="s">
        <v>696</v>
      </c>
      <c r="EI14" s="598">
        <v>0.67</v>
      </c>
      <c r="EJ14" s="598">
        <v>0.67</v>
      </c>
      <c r="EK14" s="598">
        <v>0.67</v>
      </c>
      <c r="EL14" s="598">
        <v>0.67</v>
      </c>
      <c r="EM14" s="598">
        <v>0.67</v>
      </c>
      <c r="EN14" s="598">
        <v>0.67</v>
      </c>
      <c r="EO14" s="598">
        <v>0.67</v>
      </c>
      <c r="EP14" s="598">
        <v>0.67</v>
      </c>
      <c r="EQ14" s="598">
        <v>0.67</v>
      </c>
      <c r="ER14" s="598">
        <v>1</v>
      </c>
      <c r="ES14" s="598">
        <v>0.67</v>
      </c>
      <c r="ET14" s="598">
        <v>0.67</v>
      </c>
      <c r="EU14" s="598">
        <v>1</v>
      </c>
      <c r="EW14" s="455">
        <v>1.2</v>
      </c>
      <c r="EX14" s="459" t="s">
        <v>180</v>
      </c>
      <c r="EY14" s="408" t="s">
        <v>696</v>
      </c>
      <c r="EZ14" s="666">
        <v>0</v>
      </c>
      <c r="FA14" s="598"/>
      <c r="FB14" s="598"/>
      <c r="FC14" s="598"/>
      <c r="FD14" s="598"/>
      <c r="FE14" s="598"/>
      <c r="FF14" s="598"/>
      <c r="FG14" s="598"/>
      <c r="FH14" s="598"/>
      <c r="FI14" s="598"/>
      <c r="FJ14" s="598"/>
      <c r="FK14" s="598"/>
      <c r="FL14" s="598"/>
    </row>
    <row r="15" spans="2:168">
      <c r="B15" s="732" t="str">
        <f t="shared" si="4"/>
        <v>1.2.1</v>
      </c>
      <c r="C15" s="408" t="str">
        <f t="shared" si="5"/>
        <v>開口部遮音性能</v>
      </c>
      <c r="D15" s="731" t="e">
        <f t="shared" ref="D15:E18" si="45">IF(I$14=0,0,G15/I$14)</f>
        <v>#REF!</v>
      </c>
      <c r="E15" s="731" t="e">
        <f t="shared" si="45"/>
        <v>#REF!</v>
      </c>
      <c r="G15" s="730" t="e">
        <f t="shared" si="6"/>
        <v>#REF!</v>
      </c>
      <c r="H15" s="730" t="e">
        <f t="shared" si="7"/>
        <v>#REF!</v>
      </c>
      <c r="I15" s="809"/>
      <c r="J15" s="809"/>
      <c r="K15" s="730" t="e">
        <f>IF(#REF!=0,0,1)</f>
        <v>#REF!</v>
      </c>
      <c r="L15" s="730" t="e">
        <f>IF(#REF!=0,0,1)</f>
        <v>#REF!</v>
      </c>
      <c r="M15" s="730">
        <f t="shared" si="8"/>
        <v>0.6</v>
      </c>
      <c r="N15" s="730">
        <f t="shared" si="9"/>
        <v>0</v>
      </c>
      <c r="P15" s="923"/>
      <c r="Q15" s="777"/>
      <c r="R15" s="414">
        <v>1</v>
      </c>
      <c r="S15" s="383" t="s">
        <v>1023</v>
      </c>
      <c r="T15" s="579"/>
      <c r="U15" s="726"/>
      <c r="V15" s="734">
        <f t="shared" si="43"/>
        <v>0</v>
      </c>
      <c r="W15" s="733">
        <f t="shared" si="44"/>
        <v>0</v>
      </c>
      <c r="Y15" s="1">
        <f t="shared" si="29"/>
        <v>0</v>
      </c>
      <c r="Z15" s="1">
        <f t="shared" si="30"/>
        <v>0</v>
      </c>
      <c r="AA15" s="1">
        <f t="shared" si="31"/>
        <v>0</v>
      </c>
      <c r="AB15" s="1">
        <f t="shared" si="32"/>
        <v>0</v>
      </c>
      <c r="AC15" s="1">
        <f t="shared" si="33"/>
        <v>0</v>
      </c>
      <c r="AD15" s="1">
        <f t="shared" si="34"/>
        <v>0</v>
      </c>
      <c r="AE15" s="1">
        <f t="shared" si="35"/>
        <v>0</v>
      </c>
      <c r="AF15" s="1">
        <f t="shared" si="36"/>
        <v>0</v>
      </c>
      <c r="AG15" s="1">
        <f t="shared" si="37"/>
        <v>0</v>
      </c>
      <c r="AH15" s="1">
        <f t="shared" si="38"/>
        <v>0</v>
      </c>
      <c r="AI15" s="1">
        <f t="shared" si="39"/>
        <v>0</v>
      </c>
      <c r="AJ15" s="1">
        <f t="shared" si="40"/>
        <v>0</v>
      </c>
      <c r="AK15" s="1">
        <f t="shared" si="41"/>
        <v>0</v>
      </c>
      <c r="AM15" s="679"/>
      <c r="AN15" s="679"/>
      <c r="AO15" s="679"/>
      <c r="AP15" s="679"/>
      <c r="AQ15" s="679"/>
      <c r="AR15" s="679"/>
      <c r="AS15" s="679"/>
      <c r="AT15" s="679"/>
      <c r="AU15" s="679"/>
      <c r="AV15" s="679"/>
      <c r="AW15" s="679"/>
      <c r="AX15" s="679"/>
      <c r="AY15" s="679"/>
      <c r="BA15" s="723"/>
      <c r="BB15" s="723" t="e">
        <f t="shared" si="11"/>
        <v>#REF!</v>
      </c>
      <c r="BC15" s="723"/>
      <c r="BD15" s="722" t="e">
        <f>BR15*#REF!</f>
        <v>#REF!</v>
      </c>
      <c r="BE15" s="722" t="e">
        <f>BS15*#REF!</f>
        <v>#REF!</v>
      </c>
      <c r="BF15" s="722" t="e">
        <f>BT15*#REF!</f>
        <v>#REF!</v>
      </c>
      <c r="BG15" s="722" t="e">
        <f>BU15*#REF!</f>
        <v>#REF!</v>
      </c>
      <c r="BH15" s="803" t="e">
        <f>BV15*#REF!</f>
        <v>#REF!</v>
      </c>
      <c r="BI15" s="722" t="e">
        <f>BW15*#REF!</f>
        <v>#REF!</v>
      </c>
      <c r="BJ15" s="722" t="e">
        <f>BX15*#REF!</f>
        <v>#REF!</v>
      </c>
      <c r="BK15" s="722" t="e">
        <f>BY15*#REF!</f>
        <v>#REF!</v>
      </c>
      <c r="BL15" s="722" t="e">
        <f>BZ15*#REF!</f>
        <v>#REF!</v>
      </c>
      <c r="BM15" s="722" t="e">
        <f>CA15*#REF!</f>
        <v>#REF!</v>
      </c>
      <c r="BO15" s="749" t="str">
        <f t="shared" si="12"/>
        <v>1.2.1</v>
      </c>
      <c r="BP15" s="749" t="str">
        <f t="shared" si="13"/>
        <v xml:space="preserve"> Q1 1.2</v>
      </c>
      <c r="BQ15" s="408" t="str">
        <f t="shared" si="14"/>
        <v>開口部遮音性能</v>
      </c>
      <c r="BR15" s="719">
        <f t="shared" si="15"/>
        <v>0.6</v>
      </c>
      <c r="BS15" s="719">
        <f t="shared" si="16"/>
        <v>0.3</v>
      </c>
      <c r="BT15" s="719">
        <f t="shared" si="17"/>
        <v>1</v>
      </c>
      <c r="BU15" s="719">
        <f t="shared" si="18"/>
        <v>0.6</v>
      </c>
      <c r="BV15" s="802">
        <f t="shared" si="19"/>
        <v>1</v>
      </c>
      <c r="BW15" s="719">
        <f t="shared" si="20"/>
        <v>0.6</v>
      </c>
      <c r="BX15" s="719">
        <f t="shared" si="21"/>
        <v>0.3</v>
      </c>
      <c r="BY15" s="719">
        <f t="shared" si="22"/>
        <v>0.4</v>
      </c>
      <c r="BZ15" s="719">
        <f t="shared" si="23"/>
        <v>1</v>
      </c>
      <c r="CA15" s="719">
        <f t="shared" si="24"/>
        <v>1</v>
      </c>
      <c r="CB15" s="748">
        <f t="shared" si="25"/>
        <v>0.3</v>
      </c>
      <c r="CC15" s="719">
        <f t="shared" si="26"/>
        <v>0.3</v>
      </c>
      <c r="CD15" s="719">
        <f t="shared" si="27"/>
        <v>0.3</v>
      </c>
      <c r="CF15" s="455" t="s">
        <v>1024</v>
      </c>
      <c r="CG15" s="459" t="s">
        <v>186</v>
      </c>
      <c r="CH15" s="408" t="s">
        <v>1023</v>
      </c>
      <c r="CI15" s="466"/>
      <c r="CJ15" s="466"/>
      <c r="CK15" s="466"/>
      <c r="CL15" s="466"/>
      <c r="CM15" s="466"/>
      <c r="CN15" s="466"/>
      <c r="CO15" s="461"/>
      <c r="CP15" s="466"/>
      <c r="CQ15" s="466"/>
      <c r="CR15" s="466"/>
      <c r="CS15" s="462"/>
      <c r="CT15" s="461"/>
      <c r="CU15" s="461"/>
      <c r="CW15" s="455" t="s">
        <v>1024</v>
      </c>
      <c r="CX15" s="459" t="s">
        <v>186</v>
      </c>
      <c r="CY15" s="408" t="s">
        <v>1023</v>
      </c>
      <c r="CZ15" s="461">
        <v>0.6</v>
      </c>
      <c r="DA15" s="461">
        <v>0.4</v>
      </c>
      <c r="DB15" s="461">
        <v>1</v>
      </c>
      <c r="DC15" s="461">
        <v>0.6</v>
      </c>
      <c r="DD15" s="463">
        <v>1</v>
      </c>
      <c r="DE15" s="461">
        <v>0.6</v>
      </c>
      <c r="DF15" s="461">
        <v>0.4</v>
      </c>
      <c r="DG15" s="461">
        <v>0.4</v>
      </c>
      <c r="DH15" s="461">
        <v>1</v>
      </c>
      <c r="DI15" s="461">
        <v>1</v>
      </c>
      <c r="DJ15" s="462">
        <v>0.3</v>
      </c>
      <c r="DK15" s="461">
        <v>0.3</v>
      </c>
      <c r="DL15" s="461">
        <v>0.3</v>
      </c>
      <c r="DN15" s="455" t="s">
        <v>1024</v>
      </c>
      <c r="DO15" s="459" t="s">
        <v>186</v>
      </c>
      <c r="DP15" s="408" t="s">
        <v>1023</v>
      </c>
      <c r="DQ15" s="461">
        <v>0.6</v>
      </c>
      <c r="DR15" s="461">
        <v>0.3</v>
      </c>
      <c r="DS15" s="461">
        <v>1</v>
      </c>
      <c r="DT15" s="461">
        <v>0.6</v>
      </c>
      <c r="DU15" s="569">
        <v>1</v>
      </c>
      <c r="DV15" s="461">
        <v>0.6</v>
      </c>
      <c r="DW15" s="461">
        <v>0.3</v>
      </c>
      <c r="DX15" s="461">
        <v>0.4</v>
      </c>
      <c r="DY15" s="461">
        <v>1</v>
      </c>
      <c r="DZ15" s="461">
        <v>1</v>
      </c>
      <c r="EA15" s="461">
        <v>0.3</v>
      </c>
      <c r="EB15" s="461">
        <v>0.3</v>
      </c>
      <c r="EC15" s="461">
        <v>0.3</v>
      </c>
      <c r="ED15" s="555"/>
      <c r="EF15" s="455" t="s">
        <v>1024</v>
      </c>
      <c r="EG15" s="459" t="s">
        <v>186</v>
      </c>
      <c r="EH15" s="408" t="s">
        <v>1023</v>
      </c>
      <c r="EI15" s="609">
        <f t="shared" ref="EI15:EU18" si="46">DQ15</f>
        <v>0.6</v>
      </c>
      <c r="EJ15" s="609">
        <f t="shared" si="46"/>
        <v>0.3</v>
      </c>
      <c r="EK15" s="609">
        <f t="shared" si="46"/>
        <v>1</v>
      </c>
      <c r="EL15" s="609">
        <f t="shared" si="46"/>
        <v>0.6</v>
      </c>
      <c r="EM15" s="610">
        <f t="shared" si="46"/>
        <v>1</v>
      </c>
      <c r="EN15" s="609">
        <f t="shared" si="46"/>
        <v>0.6</v>
      </c>
      <c r="EO15" s="609">
        <f t="shared" si="46"/>
        <v>0.3</v>
      </c>
      <c r="EP15" s="609">
        <f t="shared" si="46"/>
        <v>0.4</v>
      </c>
      <c r="EQ15" s="609">
        <f t="shared" si="46"/>
        <v>1</v>
      </c>
      <c r="ER15" s="609">
        <f t="shared" si="46"/>
        <v>1</v>
      </c>
      <c r="ES15" s="609">
        <f t="shared" si="46"/>
        <v>0.3</v>
      </c>
      <c r="ET15" s="609">
        <f t="shared" si="46"/>
        <v>0.3</v>
      </c>
      <c r="EU15" s="609">
        <f t="shared" si="46"/>
        <v>0.3</v>
      </c>
      <c r="EW15" s="455" t="s">
        <v>1024</v>
      </c>
      <c r="EX15" s="459" t="s">
        <v>186</v>
      </c>
      <c r="EY15" s="408" t="s">
        <v>1023</v>
      </c>
      <c r="EZ15" s="666">
        <v>0</v>
      </c>
      <c r="FA15" s="598"/>
      <c r="FB15" s="598"/>
      <c r="FC15" s="598"/>
      <c r="FD15" s="646"/>
      <c r="FE15" s="598"/>
      <c r="FF15" s="598"/>
      <c r="FG15" s="598"/>
      <c r="FH15" s="598"/>
      <c r="FI15" s="598"/>
      <c r="FJ15" s="598"/>
      <c r="FK15" s="598"/>
      <c r="FL15" s="598"/>
    </row>
    <row r="16" spans="2:168">
      <c r="B16" s="732" t="str">
        <f t="shared" si="4"/>
        <v>1.2.2</v>
      </c>
      <c r="C16" s="408" t="str">
        <f t="shared" si="5"/>
        <v>界壁遮音性能</v>
      </c>
      <c r="D16" s="731" t="e">
        <f t="shared" si="45"/>
        <v>#REF!</v>
      </c>
      <c r="E16" s="731" t="e">
        <f t="shared" si="45"/>
        <v>#REF!</v>
      </c>
      <c r="G16" s="730" t="e">
        <f t="shared" si="6"/>
        <v>#REF!</v>
      </c>
      <c r="H16" s="730" t="e">
        <f t="shared" si="7"/>
        <v>#REF!</v>
      </c>
      <c r="I16" s="730"/>
      <c r="J16" s="730"/>
      <c r="K16" s="730" t="e">
        <f>IF(#REF!=0,0,1)</f>
        <v>#REF!</v>
      </c>
      <c r="L16" s="730" t="e">
        <f>IF(#REF!=0,0,1)</f>
        <v>#REF!</v>
      </c>
      <c r="M16" s="730">
        <f t="shared" si="8"/>
        <v>0.4</v>
      </c>
      <c r="N16" s="730">
        <f t="shared" si="9"/>
        <v>0</v>
      </c>
      <c r="P16" s="923"/>
      <c r="Q16" s="810"/>
      <c r="R16" s="414">
        <v>2</v>
      </c>
      <c r="S16" s="383" t="s">
        <v>126</v>
      </c>
      <c r="T16" s="579"/>
      <c r="U16" s="726"/>
      <c r="V16" s="747">
        <f t="shared" si="43"/>
        <v>0</v>
      </c>
      <c r="W16" s="746">
        <f t="shared" si="44"/>
        <v>0</v>
      </c>
      <c r="Y16" s="1">
        <f t="shared" si="29"/>
        <v>0</v>
      </c>
      <c r="Z16" s="1">
        <f t="shared" si="30"/>
        <v>0</v>
      </c>
      <c r="AA16" s="1">
        <f t="shared" si="31"/>
        <v>0</v>
      </c>
      <c r="AB16" s="1">
        <f t="shared" si="32"/>
        <v>0</v>
      </c>
      <c r="AC16" s="1">
        <f t="shared" si="33"/>
        <v>0</v>
      </c>
      <c r="AD16" s="1">
        <f t="shared" si="34"/>
        <v>0</v>
      </c>
      <c r="AE16" s="1">
        <f t="shared" si="35"/>
        <v>0</v>
      </c>
      <c r="AF16" s="1">
        <f t="shared" si="36"/>
        <v>0</v>
      </c>
      <c r="AG16" s="1">
        <f t="shared" si="37"/>
        <v>0</v>
      </c>
      <c r="AH16" s="1">
        <f t="shared" si="38"/>
        <v>0</v>
      </c>
      <c r="AI16" s="1">
        <f t="shared" si="39"/>
        <v>0</v>
      </c>
      <c r="AJ16" s="1">
        <f t="shared" si="40"/>
        <v>0</v>
      </c>
      <c r="AK16" s="1">
        <f t="shared" si="41"/>
        <v>0</v>
      </c>
      <c r="AM16" s="680"/>
      <c r="AN16" s="680"/>
      <c r="AO16" s="680"/>
      <c r="AP16" s="680"/>
      <c r="AQ16" s="680"/>
      <c r="AR16" s="680"/>
      <c r="AS16" s="680"/>
      <c r="AT16" s="680"/>
      <c r="AU16" s="680"/>
      <c r="AV16" s="680"/>
      <c r="AW16" s="680"/>
      <c r="AX16" s="680"/>
      <c r="AY16" s="680"/>
      <c r="BA16" s="723"/>
      <c r="BB16" s="723" t="e">
        <f t="shared" si="11"/>
        <v>#REF!</v>
      </c>
      <c r="BC16" s="723"/>
      <c r="BD16" s="722" t="e">
        <f>BR16*#REF!</f>
        <v>#REF!</v>
      </c>
      <c r="BE16" s="722" t="e">
        <f>BS16*#REF!</f>
        <v>#REF!</v>
      </c>
      <c r="BF16" s="722" t="e">
        <f>BT16*#REF!</f>
        <v>#REF!</v>
      </c>
      <c r="BG16" s="722" t="e">
        <f>BU16*#REF!</f>
        <v>#REF!</v>
      </c>
      <c r="BH16" s="803" t="e">
        <f>BV16*#REF!</f>
        <v>#REF!</v>
      </c>
      <c r="BI16" s="722" t="e">
        <f>BW16*#REF!</f>
        <v>#REF!</v>
      </c>
      <c r="BJ16" s="722" t="e">
        <f>BX16*#REF!</f>
        <v>#REF!</v>
      </c>
      <c r="BK16" s="722" t="e">
        <f>BY16*#REF!</f>
        <v>#REF!</v>
      </c>
      <c r="BL16" s="722" t="e">
        <f>BZ16*#REF!</f>
        <v>#REF!</v>
      </c>
      <c r="BM16" s="722" t="e">
        <f>CA16*#REF!</f>
        <v>#REF!</v>
      </c>
      <c r="BO16" s="749" t="str">
        <f t="shared" si="12"/>
        <v>1.2.2</v>
      </c>
      <c r="BP16" s="749" t="str">
        <f t="shared" si="13"/>
        <v xml:space="preserve"> Q1 1.2</v>
      </c>
      <c r="BQ16" s="408" t="str">
        <f t="shared" si="14"/>
        <v>界壁遮音性能</v>
      </c>
      <c r="BR16" s="719">
        <f t="shared" si="15"/>
        <v>0.4</v>
      </c>
      <c r="BS16" s="719">
        <f t="shared" si="16"/>
        <v>0.3</v>
      </c>
      <c r="BT16" s="719">
        <f t="shared" si="17"/>
        <v>0</v>
      </c>
      <c r="BU16" s="719">
        <f t="shared" si="18"/>
        <v>0.4</v>
      </c>
      <c r="BV16" s="802">
        <f t="shared" si="19"/>
        <v>0</v>
      </c>
      <c r="BW16" s="719">
        <f t="shared" si="20"/>
        <v>0.4</v>
      </c>
      <c r="BX16" s="719">
        <f t="shared" si="21"/>
        <v>0.3</v>
      </c>
      <c r="BY16" s="719">
        <f t="shared" si="22"/>
        <v>0.6</v>
      </c>
      <c r="BZ16" s="719">
        <f t="shared" si="23"/>
        <v>0</v>
      </c>
      <c r="CA16" s="719">
        <f t="shared" si="24"/>
        <v>0</v>
      </c>
      <c r="CB16" s="748">
        <f t="shared" si="25"/>
        <v>0.3</v>
      </c>
      <c r="CC16" s="719">
        <f t="shared" si="26"/>
        <v>0.3</v>
      </c>
      <c r="CD16" s="719">
        <f t="shared" si="27"/>
        <v>0.3</v>
      </c>
      <c r="CF16" s="455" t="s">
        <v>1022</v>
      </c>
      <c r="CG16" s="459" t="s">
        <v>186</v>
      </c>
      <c r="CH16" s="408" t="s">
        <v>126</v>
      </c>
      <c r="CI16" s="467">
        <v>1</v>
      </c>
      <c r="CJ16" s="461">
        <v>0.4</v>
      </c>
      <c r="CK16" s="461"/>
      <c r="CL16" s="461">
        <v>1</v>
      </c>
      <c r="CM16" s="468"/>
      <c r="CN16" s="467">
        <v>1</v>
      </c>
      <c r="CO16" s="461">
        <v>0.4</v>
      </c>
      <c r="CP16" s="467">
        <v>0.4</v>
      </c>
      <c r="CQ16" s="461"/>
      <c r="CR16" s="461"/>
      <c r="CS16" s="462">
        <v>1</v>
      </c>
      <c r="CT16" s="461">
        <v>0.4</v>
      </c>
      <c r="CU16" s="461">
        <v>0.4</v>
      </c>
      <c r="CW16" s="455" t="s">
        <v>1022</v>
      </c>
      <c r="CX16" s="459" t="s">
        <v>186</v>
      </c>
      <c r="CY16" s="408" t="s">
        <v>126</v>
      </c>
      <c r="CZ16" s="461">
        <v>0.4</v>
      </c>
      <c r="DA16" s="461">
        <v>0.3</v>
      </c>
      <c r="DB16" s="461"/>
      <c r="DC16" s="461">
        <v>0.4</v>
      </c>
      <c r="DD16" s="463"/>
      <c r="DE16" s="461">
        <v>0.4</v>
      </c>
      <c r="DF16" s="461">
        <v>0.3</v>
      </c>
      <c r="DG16" s="461">
        <v>0.6</v>
      </c>
      <c r="DH16" s="461"/>
      <c r="DI16" s="461"/>
      <c r="DJ16" s="462">
        <v>0.3</v>
      </c>
      <c r="DK16" s="461">
        <v>0.3</v>
      </c>
      <c r="DL16" s="461">
        <v>0.3</v>
      </c>
      <c r="DN16" s="455" t="s">
        <v>1022</v>
      </c>
      <c r="DO16" s="459" t="s">
        <v>186</v>
      </c>
      <c r="DP16" s="408" t="s">
        <v>126</v>
      </c>
      <c r="DQ16" s="461">
        <v>0.4</v>
      </c>
      <c r="DR16" s="461">
        <v>0.3</v>
      </c>
      <c r="DS16" s="461"/>
      <c r="DT16" s="461">
        <v>0.4</v>
      </c>
      <c r="DU16" s="568"/>
      <c r="DV16" s="461">
        <v>0.4</v>
      </c>
      <c r="DW16" s="461">
        <v>0.3</v>
      </c>
      <c r="DX16" s="461">
        <v>0.6</v>
      </c>
      <c r="DY16" s="461"/>
      <c r="DZ16" s="461"/>
      <c r="EA16" s="461">
        <v>0.3</v>
      </c>
      <c r="EB16" s="461">
        <v>0.3</v>
      </c>
      <c r="EC16" s="461">
        <v>0.3</v>
      </c>
      <c r="ED16" s="555"/>
      <c r="EF16" s="455" t="s">
        <v>1022</v>
      </c>
      <c r="EG16" s="459" t="s">
        <v>186</v>
      </c>
      <c r="EH16" s="408" t="s">
        <v>126</v>
      </c>
      <c r="EI16" s="609">
        <f t="shared" si="46"/>
        <v>0.4</v>
      </c>
      <c r="EJ16" s="609">
        <f t="shared" si="46"/>
        <v>0.3</v>
      </c>
      <c r="EK16" s="609">
        <f t="shared" si="46"/>
        <v>0</v>
      </c>
      <c r="EL16" s="609">
        <f t="shared" si="46"/>
        <v>0.4</v>
      </c>
      <c r="EM16" s="610">
        <f t="shared" si="46"/>
        <v>0</v>
      </c>
      <c r="EN16" s="609">
        <f t="shared" si="46"/>
        <v>0.4</v>
      </c>
      <c r="EO16" s="609">
        <f t="shared" si="46"/>
        <v>0.3</v>
      </c>
      <c r="EP16" s="609">
        <f t="shared" si="46"/>
        <v>0.6</v>
      </c>
      <c r="EQ16" s="609">
        <f t="shared" si="46"/>
        <v>0</v>
      </c>
      <c r="ER16" s="609">
        <f t="shared" si="46"/>
        <v>0</v>
      </c>
      <c r="ES16" s="609">
        <f t="shared" si="46"/>
        <v>0.3</v>
      </c>
      <c r="ET16" s="609">
        <f t="shared" si="46"/>
        <v>0.3</v>
      </c>
      <c r="EU16" s="609">
        <f t="shared" si="46"/>
        <v>0.3</v>
      </c>
      <c r="EW16" s="455" t="s">
        <v>1022</v>
      </c>
      <c r="EX16" s="459" t="s">
        <v>186</v>
      </c>
      <c r="EY16" s="408" t="s">
        <v>126</v>
      </c>
      <c r="EZ16" s="666">
        <v>0</v>
      </c>
      <c r="FA16" s="598"/>
      <c r="FB16" s="598"/>
      <c r="FC16" s="598"/>
      <c r="FD16" s="646"/>
      <c r="FE16" s="598"/>
      <c r="FF16" s="598"/>
      <c r="FG16" s="598"/>
      <c r="FH16" s="598"/>
      <c r="FI16" s="598"/>
      <c r="FJ16" s="598"/>
      <c r="FK16" s="598"/>
      <c r="FL16" s="598"/>
    </row>
    <row r="17" spans="2:168">
      <c r="B17" s="732" t="str">
        <f t="shared" si="4"/>
        <v>1.2.3</v>
      </c>
      <c r="C17" s="408" t="str">
        <f t="shared" si="5"/>
        <v>界床遮音性能（軽量衝撃源）</v>
      </c>
      <c r="D17" s="731" t="e">
        <f t="shared" si="45"/>
        <v>#REF!</v>
      </c>
      <c r="E17" s="731" t="e">
        <f t="shared" si="45"/>
        <v>#REF!</v>
      </c>
      <c r="G17" s="730" t="e">
        <f t="shared" si="6"/>
        <v>#REF!</v>
      </c>
      <c r="H17" s="730" t="e">
        <f t="shared" si="7"/>
        <v>#REF!</v>
      </c>
      <c r="I17" s="730"/>
      <c r="J17" s="730"/>
      <c r="K17" s="730" t="e">
        <f>IF(#REF!=0,0,1)</f>
        <v>#REF!</v>
      </c>
      <c r="L17" s="730" t="e">
        <f>IF(#REF!=0,0,1)</f>
        <v>#REF!</v>
      </c>
      <c r="M17" s="730">
        <f t="shared" si="8"/>
        <v>0</v>
      </c>
      <c r="N17" s="730">
        <f t="shared" si="9"/>
        <v>0</v>
      </c>
      <c r="P17" s="923"/>
      <c r="Q17" s="810"/>
      <c r="R17" s="414">
        <v>3</v>
      </c>
      <c r="S17" s="383" t="s">
        <v>127</v>
      </c>
      <c r="T17" s="579"/>
      <c r="U17" s="726"/>
      <c r="V17" s="747">
        <f t="shared" si="43"/>
        <v>0</v>
      </c>
      <c r="W17" s="746">
        <f t="shared" si="44"/>
        <v>0</v>
      </c>
      <c r="Y17" s="1">
        <f t="shared" si="29"/>
        <v>0</v>
      </c>
      <c r="Z17" s="1">
        <f t="shared" si="30"/>
        <v>0</v>
      </c>
      <c r="AA17" s="1">
        <f t="shared" si="31"/>
        <v>0</v>
      </c>
      <c r="AB17" s="1">
        <f t="shared" si="32"/>
        <v>0</v>
      </c>
      <c r="AC17" s="1">
        <f t="shared" si="33"/>
        <v>0</v>
      </c>
      <c r="AD17" s="1">
        <f t="shared" si="34"/>
        <v>0</v>
      </c>
      <c r="AE17" s="1">
        <f t="shared" si="35"/>
        <v>0</v>
      </c>
      <c r="AF17" s="1">
        <f t="shared" si="36"/>
        <v>0</v>
      </c>
      <c r="AG17" s="1">
        <f t="shared" si="37"/>
        <v>0</v>
      </c>
      <c r="AH17" s="1">
        <f t="shared" si="38"/>
        <v>0</v>
      </c>
      <c r="AI17" s="1">
        <f t="shared" si="39"/>
        <v>1</v>
      </c>
      <c r="AJ17" s="1">
        <f t="shared" si="40"/>
        <v>0</v>
      </c>
      <c r="AK17" s="1">
        <f t="shared" si="41"/>
        <v>0</v>
      </c>
      <c r="AM17" s="680"/>
      <c r="AN17" s="680"/>
      <c r="AO17" s="680"/>
      <c r="AP17" s="680"/>
      <c r="AQ17" s="680"/>
      <c r="AR17" s="680"/>
      <c r="AS17" s="680"/>
      <c r="AT17" s="680"/>
      <c r="AU17" s="680"/>
      <c r="AV17" s="680"/>
      <c r="AW17" s="680">
        <v>4</v>
      </c>
      <c r="AX17" s="680"/>
      <c r="AY17" s="680"/>
      <c r="BA17" s="723"/>
      <c r="BB17" s="723" t="e">
        <f t="shared" si="11"/>
        <v>#REF!</v>
      </c>
      <c r="BC17" s="723"/>
      <c r="BD17" s="722" t="e">
        <f>BR17*#REF!</f>
        <v>#REF!</v>
      </c>
      <c r="BE17" s="722" t="e">
        <f>BS17*#REF!</f>
        <v>#REF!</v>
      </c>
      <c r="BF17" s="722" t="e">
        <f>BT17*#REF!</f>
        <v>#REF!</v>
      </c>
      <c r="BG17" s="722" t="e">
        <f>BU17*#REF!</f>
        <v>#REF!</v>
      </c>
      <c r="BH17" s="803" t="e">
        <f>BV17*#REF!</f>
        <v>#REF!</v>
      </c>
      <c r="BI17" s="722" t="e">
        <f>BW17*#REF!</f>
        <v>#REF!</v>
      </c>
      <c r="BJ17" s="722" t="e">
        <f>BX17*#REF!</f>
        <v>#REF!</v>
      </c>
      <c r="BK17" s="722" t="e">
        <f>BY17*#REF!</f>
        <v>#REF!</v>
      </c>
      <c r="BL17" s="722" t="e">
        <f>BZ17*#REF!</f>
        <v>#REF!</v>
      </c>
      <c r="BM17" s="722" t="e">
        <f>CA17*#REF!</f>
        <v>#REF!</v>
      </c>
      <c r="BO17" s="749" t="str">
        <f t="shared" si="12"/>
        <v>1.2.3</v>
      </c>
      <c r="BP17" s="749" t="str">
        <f t="shared" si="13"/>
        <v xml:space="preserve"> Q1 1.2</v>
      </c>
      <c r="BQ17" s="408" t="str">
        <f t="shared" si="14"/>
        <v>界床遮音性能（軽量衝撃源）</v>
      </c>
      <c r="BR17" s="719">
        <f t="shared" si="15"/>
        <v>0</v>
      </c>
      <c r="BS17" s="719">
        <f t="shared" si="16"/>
        <v>0.2</v>
      </c>
      <c r="BT17" s="719">
        <f t="shared" si="17"/>
        <v>0</v>
      </c>
      <c r="BU17" s="719">
        <f t="shared" si="18"/>
        <v>0</v>
      </c>
      <c r="BV17" s="802">
        <f t="shared" si="19"/>
        <v>0</v>
      </c>
      <c r="BW17" s="719">
        <f t="shared" si="20"/>
        <v>0</v>
      </c>
      <c r="BX17" s="719">
        <f t="shared" si="21"/>
        <v>0.2</v>
      </c>
      <c r="BY17" s="719">
        <f t="shared" si="22"/>
        <v>0</v>
      </c>
      <c r="BZ17" s="719">
        <f t="shared" si="23"/>
        <v>0</v>
      </c>
      <c r="CA17" s="719">
        <f t="shared" si="24"/>
        <v>0</v>
      </c>
      <c r="CB17" s="748">
        <f t="shared" si="25"/>
        <v>0.2</v>
      </c>
      <c r="CC17" s="719">
        <f t="shared" si="26"/>
        <v>0.2</v>
      </c>
      <c r="CD17" s="719">
        <f t="shared" si="27"/>
        <v>0.2</v>
      </c>
      <c r="CF17" s="455" t="s">
        <v>1021</v>
      </c>
      <c r="CG17" s="459" t="s">
        <v>186</v>
      </c>
      <c r="CH17" s="408" t="s">
        <v>127</v>
      </c>
      <c r="CI17" s="461"/>
      <c r="CJ17" s="461">
        <v>0.3</v>
      </c>
      <c r="CK17" s="461"/>
      <c r="CL17" s="461"/>
      <c r="CM17" s="468"/>
      <c r="CN17" s="461"/>
      <c r="CO17" s="461">
        <v>0.3</v>
      </c>
      <c r="CP17" s="467">
        <v>0.6</v>
      </c>
      <c r="CQ17" s="461"/>
      <c r="CR17" s="461"/>
      <c r="CS17" s="462"/>
      <c r="CT17" s="461">
        <v>0.3</v>
      </c>
      <c r="CU17" s="461">
        <v>0.3</v>
      </c>
      <c r="CW17" s="455" t="s">
        <v>1021</v>
      </c>
      <c r="CX17" s="459" t="s">
        <v>186</v>
      </c>
      <c r="CY17" s="408" t="s">
        <v>127</v>
      </c>
      <c r="CZ17" s="461"/>
      <c r="DA17" s="461">
        <v>0.15</v>
      </c>
      <c r="DB17" s="461"/>
      <c r="DC17" s="461"/>
      <c r="DD17" s="463"/>
      <c r="DE17" s="461"/>
      <c r="DF17" s="461">
        <v>0.15</v>
      </c>
      <c r="DG17" s="461"/>
      <c r="DH17" s="461"/>
      <c r="DI17" s="461"/>
      <c r="DJ17" s="462">
        <v>0.2</v>
      </c>
      <c r="DK17" s="461">
        <v>0.2</v>
      </c>
      <c r="DL17" s="461">
        <v>0.2</v>
      </c>
      <c r="DN17" s="455" t="s">
        <v>1021</v>
      </c>
      <c r="DO17" s="459" t="s">
        <v>186</v>
      </c>
      <c r="DP17" s="408" t="s">
        <v>127</v>
      </c>
      <c r="DQ17" s="461"/>
      <c r="DR17" s="461">
        <v>0.2</v>
      </c>
      <c r="DS17" s="461"/>
      <c r="DT17" s="461"/>
      <c r="DU17" s="570"/>
      <c r="DV17" s="461"/>
      <c r="DW17" s="461">
        <v>0.2</v>
      </c>
      <c r="DX17" s="461"/>
      <c r="DY17" s="461"/>
      <c r="DZ17" s="461"/>
      <c r="EA17" s="462">
        <v>0.2</v>
      </c>
      <c r="EB17" s="461">
        <v>0.2</v>
      </c>
      <c r="EC17" s="461">
        <v>0.2</v>
      </c>
      <c r="ED17" s="555"/>
      <c r="EF17" s="455" t="s">
        <v>1021</v>
      </c>
      <c r="EG17" s="459" t="s">
        <v>186</v>
      </c>
      <c r="EH17" s="408" t="s">
        <v>127</v>
      </c>
      <c r="EI17" s="609">
        <f t="shared" si="46"/>
        <v>0</v>
      </c>
      <c r="EJ17" s="609">
        <f t="shared" si="46"/>
        <v>0.2</v>
      </c>
      <c r="EK17" s="609">
        <f t="shared" si="46"/>
        <v>0</v>
      </c>
      <c r="EL17" s="609">
        <f t="shared" si="46"/>
        <v>0</v>
      </c>
      <c r="EM17" s="610">
        <f t="shared" si="46"/>
        <v>0</v>
      </c>
      <c r="EN17" s="609">
        <f t="shared" si="46"/>
        <v>0</v>
      </c>
      <c r="EO17" s="609">
        <f t="shared" si="46"/>
        <v>0.2</v>
      </c>
      <c r="EP17" s="609">
        <f t="shared" si="46"/>
        <v>0</v>
      </c>
      <c r="EQ17" s="609">
        <f t="shared" si="46"/>
        <v>0</v>
      </c>
      <c r="ER17" s="609">
        <f t="shared" si="46"/>
        <v>0</v>
      </c>
      <c r="ES17" s="611">
        <f t="shared" si="46"/>
        <v>0.2</v>
      </c>
      <c r="ET17" s="609">
        <f t="shared" si="46"/>
        <v>0.2</v>
      </c>
      <c r="EU17" s="609">
        <f t="shared" si="46"/>
        <v>0.2</v>
      </c>
      <c r="EW17" s="455" t="s">
        <v>1021</v>
      </c>
      <c r="EX17" s="459" t="s">
        <v>186</v>
      </c>
      <c r="EY17" s="408" t="s">
        <v>127</v>
      </c>
      <c r="EZ17" s="666">
        <v>0</v>
      </c>
      <c r="FA17" s="598"/>
      <c r="FB17" s="598"/>
      <c r="FC17" s="598"/>
      <c r="FD17" s="646"/>
      <c r="FE17" s="598"/>
      <c r="FF17" s="598"/>
      <c r="FG17" s="598"/>
      <c r="FH17" s="598"/>
      <c r="FI17" s="598"/>
      <c r="FJ17" s="647"/>
      <c r="FK17" s="598"/>
      <c r="FL17" s="598"/>
    </row>
    <row r="18" spans="2:168">
      <c r="B18" s="732" t="str">
        <f t="shared" si="4"/>
        <v>1.2.4</v>
      </c>
      <c r="C18" s="408" t="str">
        <f t="shared" si="5"/>
        <v>界床遮音性能（重量衝撃源）</v>
      </c>
      <c r="D18" s="731" t="e">
        <f t="shared" si="45"/>
        <v>#REF!</v>
      </c>
      <c r="E18" s="731" t="e">
        <f t="shared" si="45"/>
        <v>#REF!</v>
      </c>
      <c r="G18" s="730" t="e">
        <f t="shared" si="6"/>
        <v>#REF!</v>
      </c>
      <c r="H18" s="730" t="e">
        <f t="shared" si="7"/>
        <v>#REF!</v>
      </c>
      <c r="I18" s="730"/>
      <c r="J18" s="730"/>
      <c r="K18" s="730" t="e">
        <f>IF(#REF!=0,0,1)</f>
        <v>#REF!</v>
      </c>
      <c r="L18" s="730" t="e">
        <f>IF(#REF!=0,0,1)</f>
        <v>#REF!</v>
      </c>
      <c r="M18" s="730">
        <f t="shared" si="8"/>
        <v>0</v>
      </c>
      <c r="N18" s="730">
        <f t="shared" si="9"/>
        <v>0</v>
      </c>
      <c r="P18" s="923"/>
      <c r="Q18" s="936"/>
      <c r="R18" s="414">
        <v>4</v>
      </c>
      <c r="S18" s="383" t="s">
        <v>128</v>
      </c>
      <c r="T18" s="579"/>
      <c r="U18" s="726"/>
      <c r="V18" s="747">
        <f t="shared" si="43"/>
        <v>0</v>
      </c>
      <c r="W18" s="746">
        <f t="shared" si="44"/>
        <v>0</v>
      </c>
      <c r="Y18" s="1">
        <f t="shared" si="29"/>
        <v>0</v>
      </c>
      <c r="Z18" s="1">
        <f t="shared" si="30"/>
        <v>0</v>
      </c>
      <c r="AA18" s="1">
        <f t="shared" si="31"/>
        <v>0</v>
      </c>
      <c r="AB18" s="1">
        <f t="shared" si="32"/>
        <v>0</v>
      </c>
      <c r="AC18" s="1">
        <f t="shared" si="33"/>
        <v>0</v>
      </c>
      <c r="AD18" s="1">
        <f t="shared" si="34"/>
        <v>0</v>
      </c>
      <c r="AE18" s="1">
        <f t="shared" si="35"/>
        <v>0</v>
      </c>
      <c r="AF18" s="1">
        <f t="shared" si="36"/>
        <v>0</v>
      </c>
      <c r="AG18" s="1">
        <f t="shared" si="37"/>
        <v>0</v>
      </c>
      <c r="AH18" s="1">
        <f t="shared" si="38"/>
        <v>0</v>
      </c>
      <c r="AI18" s="1">
        <f t="shared" si="39"/>
        <v>0</v>
      </c>
      <c r="AJ18" s="1">
        <f t="shared" si="40"/>
        <v>0</v>
      </c>
      <c r="AK18" s="1">
        <f t="shared" si="41"/>
        <v>0</v>
      </c>
      <c r="AM18" s="680"/>
      <c r="AN18" s="680"/>
      <c r="AO18" s="680"/>
      <c r="AP18" s="680"/>
      <c r="AQ18" s="680"/>
      <c r="AR18" s="680"/>
      <c r="AS18" s="680"/>
      <c r="AT18" s="680"/>
      <c r="AU18" s="680"/>
      <c r="AV18" s="680"/>
      <c r="AW18" s="680"/>
      <c r="AX18" s="680"/>
      <c r="AY18" s="680"/>
      <c r="BA18" s="723"/>
      <c r="BB18" s="723" t="e">
        <f t="shared" si="11"/>
        <v>#REF!</v>
      </c>
      <c r="BC18" s="723"/>
      <c r="BD18" s="722" t="e">
        <f>BR18*#REF!</f>
        <v>#REF!</v>
      </c>
      <c r="BE18" s="722" t="e">
        <f>BS18*#REF!</f>
        <v>#REF!</v>
      </c>
      <c r="BF18" s="722" t="e">
        <f>BT18*#REF!</f>
        <v>#REF!</v>
      </c>
      <c r="BG18" s="722" t="e">
        <f>BU18*#REF!</f>
        <v>#REF!</v>
      </c>
      <c r="BH18" s="803" t="e">
        <f>BV18*#REF!</f>
        <v>#REF!</v>
      </c>
      <c r="BI18" s="722" t="e">
        <f>BW18*#REF!</f>
        <v>#REF!</v>
      </c>
      <c r="BJ18" s="722" t="e">
        <f>BX18*#REF!</f>
        <v>#REF!</v>
      </c>
      <c r="BK18" s="722" t="e">
        <f>BY18*#REF!</f>
        <v>#REF!</v>
      </c>
      <c r="BL18" s="722" t="e">
        <f>BZ18*#REF!</f>
        <v>#REF!</v>
      </c>
      <c r="BM18" s="722" t="e">
        <f>CA18*#REF!</f>
        <v>#REF!</v>
      </c>
      <c r="BO18" s="749" t="str">
        <f t="shared" si="12"/>
        <v>1.2.4</v>
      </c>
      <c r="BP18" s="749" t="str">
        <f t="shared" si="13"/>
        <v xml:space="preserve"> Q1 1.2</v>
      </c>
      <c r="BQ18" s="408" t="str">
        <f t="shared" si="14"/>
        <v>界床遮音性能（重量衝撃源）</v>
      </c>
      <c r="BR18" s="719">
        <f t="shared" si="15"/>
        <v>0</v>
      </c>
      <c r="BS18" s="719">
        <f t="shared" si="16"/>
        <v>0.2</v>
      </c>
      <c r="BT18" s="719">
        <f t="shared" si="17"/>
        <v>0</v>
      </c>
      <c r="BU18" s="719">
        <f t="shared" si="18"/>
        <v>0</v>
      </c>
      <c r="BV18" s="802">
        <f t="shared" si="19"/>
        <v>0</v>
      </c>
      <c r="BW18" s="719">
        <f t="shared" si="20"/>
        <v>0</v>
      </c>
      <c r="BX18" s="719">
        <f t="shared" si="21"/>
        <v>0.2</v>
      </c>
      <c r="BY18" s="719">
        <f t="shared" si="22"/>
        <v>0</v>
      </c>
      <c r="BZ18" s="719">
        <f t="shared" si="23"/>
        <v>0</v>
      </c>
      <c r="CA18" s="719">
        <f t="shared" si="24"/>
        <v>0</v>
      </c>
      <c r="CB18" s="748">
        <f t="shared" si="25"/>
        <v>0.2</v>
      </c>
      <c r="CC18" s="719">
        <f t="shared" si="26"/>
        <v>0.2</v>
      </c>
      <c r="CD18" s="719">
        <f t="shared" si="27"/>
        <v>0.2</v>
      </c>
      <c r="CF18" s="455" t="s">
        <v>1020</v>
      </c>
      <c r="CG18" s="459" t="s">
        <v>186</v>
      </c>
      <c r="CH18" s="408" t="s">
        <v>128</v>
      </c>
      <c r="CI18" s="461"/>
      <c r="CJ18" s="461">
        <v>0.3</v>
      </c>
      <c r="CK18" s="461"/>
      <c r="CL18" s="461"/>
      <c r="CM18" s="468"/>
      <c r="CN18" s="461"/>
      <c r="CO18" s="461">
        <v>0.3</v>
      </c>
      <c r="CP18" s="461"/>
      <c r="CQ18" s="461"/>
      <c r="CR18" s="461"/>
      <c r="CS18" s="462"/>
      <c r="CT18" s="461">
        <v>0.3</v>
      </c>
      <c r="CU18" s="461">
        <v>0.3</v>
      </c>
      <c r="CW18" s="455" t="s">
        <v>1020</v>
      </c>
      <c r="CX18" s="459" t="s">
        <v>186</v>
      </c>
      <c r="CY18" s="408" t="s">
        <v>128</v>
      </c>
      <c r="CZ18" s="461"/>
      <c r="DA18" s="461">
        <v>0.15</v>
      </c>
      <c r="DB18" s="461"/>
      <c r="DC18" s="461"/>
      <c r="DD18" s="463"/>
      <c r="DE18" s="461"/>
      <c r="DF18" s="461">
        <v>0.15</v>
      </c>
      <c r="DG18" s="461"/>
      <c r="DH18" s="461"/>
      <c r="DI18" s="461"/>
      <c r="DJ18" s="462">
        <v>0.2</v>
      </c>
      <c r="DK18" s="461">
        <v>0.2</v>
      </c>
      <c r="DL18" s="461">
        <v>0.2</v>
      </c>
      <c r="DN18" s="455" t="s">
        <v>1020</v>
      </c>
      <c r="DO18" s="459" t="s">
        <v>186</v>
      </c>
      <c r="DP18" s="408" t="s">
        <v>128</v>
      </c>
      <c r="DQ18" s="461"/>
      <c r="DR18" s="461">
        <v>0.2</v>
      </c>
      <c r="DS18" s="461"/>
      <c r="DT18" s="461"/>
      <c r="DU18" s="570"/>
      <c r="DV18" s="461"/>
      <c r="DW18" s="461">
        <v>0.2</v>
      </c>
      <c r="DX18" s="461"/>
      <c r="DY18" s="461"/>
      <c r="DZ18" s="461"/>
      <c r="EA18" s="462">
        <v>0.2</v>
      </c>
      <c r="EB18" s="461">
        <v>0.2</v>
      </c>
      <c r="EC18" s="461">
        <v>0.2</v>
      </c>
      <c r="ED18" s="555"/>
      <c r="EF18" s="455" t="s">
        <v>1020</v>
      </c>
      <c r="EG18" s="459" t="s">
        <v>186</v>
      </c>
      <c r="EH18" s="408" t="s">
        <v>128</v>
      </c>
      <c r="EI18" s="609">
        <f t="shared" si="46"/>
        <v>0</v>
      </c>
      <c r="EJ18" s="609">
        <f t="shared" si="46"/>
        <v>0.2</v>
      </c>
      <c r="EK18" s="609">
        <f t="shared" si="46"/>
        <v>0</v>
      </c>
      <c r="EL18" s="609">
        <f t="shared" si="46"/>
        <v>0</v>
      </c>
      <c r="EM18" s="610">
        <f t="shared" si="46"/>
        <v>0</v>
      </c>
      <c r="EN18" s="609">
        <f t="shared" si="46"/>
        <v>0</v>
      </c>
      <c r="EO18" s="609">
        <f t="shared" si="46"/>
        <v>0.2</v>
      </c>
      <c r="EP18" s="609">
        <f t="shared" si="46"/>
        <v>0</v>
      </c>
      <c r="EQ18" s="609">
        <f t="shared" si="46"/>
        <v>0</v>
      </c>
      <c r="ER18" s="609">
        <f t="shared" si="46"/>
        <v>0</v>
      </c>
      <c r="ES18" s="611">
        <f t="shared" si="46"/>
        <v>0.2</v>
      </c>
      <c r="ET18" s="609">
        <f t="shared" si="46"/>
        <v>0.2</v>
      </c>
      <c r="EU18" s="609">
        <f t="shared" si="46"/>
        <v>0.2</v>
      </c>
      <c r="EW18" s="455" t="s">
        <v>1020</v>
      </c>
      <c r="EX18" s="459" t="s">
        <v>186</v>
      </c>
      <c r="EY18" s="408" t="s">
        <v>128</v>
      </c>
      <c r="EZ18" s="666">
        <v>0</v>
      </c>
      <c r="FA18" s="598"/>
      <c r="FB18" s="598"/>
      <c r="FC18" s="598"/>
      <c r="FD18" s="646"/>
      <c r="FE18" s="598"/>
      <c r="FF18" s="598"/>
      <c r="FG18" s="598"/>
      <c r="FH18" s="598"/>
      <c r="FI18" s="598"/>
      <c r="FJ18" s="647"/>
      <c r="FK18" s="598"/>
      <c r="FL18" s="598"/>
    </row>
    <row r="19" spans="2:168" ht="14.25" thickBot="1">
      <c r="B19" s="732">
        <f t="shared" si="4"/>
        <v>1.3</v>
      </c>
      <c r="C19" s="408" t="str">
        <f t="shared" si="5"/>
        <v>吸音</v>
      </c>
      <c r="D19" s="731" t="e">
        <f>IF(I$10=0,0,G19/I$10)</f>
        <v>#REF!</v>
      </c>
      <c r="E19" s="731" t="e">
        <f>IF(J$10=0,0,H19/J$10)</f>
        <v>#REF!</v>
      </c>
      <c r="G19" s="730" t="e">
        <f t="shared" si="6"/>
        <v>#REF!</v>
      </c>
      <c r="H19" s="730" t="e">
        <f t="shared" si="7"/>
        <v>#REF!</v>
      </c>
      <c r="I19" s="730"/>
      <c r="J19" s="730"/>
      <c r="K19" s="730" t="e">
        <f>IF(#REF!=0,0,1)</f>
        <v>#REF!</v>
      </c>
      <c r="L19" s="730" t="e">
        <f>IF(#REF!=0,0,1)</f>
        <v>#REF!</v>
      </c>
      <c r="M19" s="730">
        <f t="shared" si="8"/>
        <v>0.2</v>
      </c>
      <c r="N19" s="730">
        <f t="shared" si="9"/>
        <v>0</v>
      </c>
      <c r="P19" s="989"/>
      <c r="Q19" s="778">
        <v>1.3</v>
      </c>
      <c r="R19" s="579" t="s">
        <v>129</v>
      </c>
      <c r="S19" s="579"/>
      <c r="T19" s="579"/>
      <c r="U19" s="726"/>
      <c r="V19" s="725">
        <f t="shared" si="43"/>
        <v>0</v>
      </c>
      <c r="W19" s="724">
        <f t="shared" si="44"/>
        <v>0</v>
      </c>
      <c r="Y19" s="1">
        <f t="shared" si="29"/>
        <v>0</v>
      </c>
      <c r="Z19" s="1">
        <f t="shared" si="30"/>
        <v>0</v>
      </c>
      <c r="AA19" s="1">
        <f t="shared" si="31"/>
        <v>0</v>
      </c>
      <c r="AB19" s="1">
        <f t="shared" si="32"/>
        <v>0</v>
      </c>
      <c r="AC19" s="1">
        <f t="shared" si="33"/>
        <v>0</v>
      </c>
      <c r="AD19" s="1">
        <f t="shared" si="34"/>
        <v>0</v>
      </c>
      <c r="AE19" s="1">
        <f t="shared" si="35"/>
        <v>0</v>
      </c>
      <c r="AF19" s="1">
        <f t="shared" si="36"/>
        <v>0</v>
      </c>
      <c r="AG19" s="1">
        <f t="shared" si="37"/>
        <v>0</v>
      </c>
      <c r="AH19" s="1">
        <f t="shared" si="38"/>
        <v>0</v>
      </c>
      <c r="AI19" s="1">
        <f t="shared" si="39"/>
        <v>0</v>
      </c>
      <c r="AJ19" s="1">
        <f t="shared" si="40"/>
        <v>0</v>
      </c>
      <c r="AK19" s="1">
        <f t="shared" si="41"/>
        <v>0</v>
      </c>
      <c r="AM19" s="681"/>
      <c r="AN19" s="681"/>
      <c r="AO19" s="681"/>
      <c r="AP19" s="681"/>
      <c r="AQ19" s="681"/>
      <c r="AR19" s="681"/>
      <c r="AS19" s="681"/>
      <c r="AT19" s="681"/>
      <c r="AU19" s="681"/>
      <c r="AV19" s="681"/>
      <c r="AW19" s="681"/>
      <c r="AX19" s="681"/>
      <c r="AY19" s="681"/>
      <c r="BA19" s="723"/>
      <c r="BB19" s="723" t="e">
        <f t="shared" si="11"/>
        <v>#REF!</v>
      </c>
      <c r="BC19" s="723"/>
      <c r="BD19" s="722" t="e">
        <f>BR19*#REF!</f>
        <v>#REF!</v>
      </c>
      <c r="BE19" s="722" t="e">
        <f>BS19*#REF!</f>
        <v>#REF!</v>
      </c>
      <c r="BF19" s="722" t="e">
        <f>BT19*#REF!</f>
        <v>#REF!</v>
      </c>
      <c r="BG19" s="722" t="e">
        <f>BU19*#REF!</f>
        <v>#REF!</v>
      </c>
      <c r="BH19" s="803" t="e">
        <f>BV19*#REF!</f>
        <v>#REF!</v>
      </c>
      <c r="BI19" s="722" t="e">
        <f>BW19*#REF!</f>
        <v>#REF!</v>
      </c>
      <c r="BJ19" s="722" t="e">
        <f>BX19*#REF!</f>
        <v>#REF!</v>
      </c>
      <c r="BK19" s="722" t="e">
        <f>BY19*#REF!</f>
        <v>#REF!</v>
      </c>
      <c r="BL19" s="722" t="e">
        <f>BZ19*#REF!</f>
        <v>#REF!</v>
      </c>
      <c r="BM19" s="722" t="e">
        <f>CA19*#REF!</f>
        <v>#REF!</v>
      </c>
      <c r="BO19" s="749">
        <f t="shared" si="12"/>
        <v>1.3</v>
      </c>
      <c r="BP19" s="749" t="str">
        <f t="shared" si="13"/>
        <v xml:space="preserve"> Q1 1</v>
      </c>
      <c r="BQ19" s="408" t="str">
        <f t="shared" si="14"/>
        <v>吸音</v>
      </c>
      <c r="BR19" s="719">
        <f t="shared" si="15"/>
        <v>0.2</v>
      </c>
      <c r="BS19" s="719">
        <f t="shared" si="16"/>
        <v>0.2</v>
      </c>
      <c r="BT19" s="719">
        <f t="shared" si="17"/>
        <v>0.2</v>
      </c>
      <c r="BU19" s="719">
        <f t="shared" si="18"/>
        <v>0.2</v>
      </c>
      <c r="BV19" s="802">
        <f t="shared" si="19"/>
        <v>0.2</v>
      </c>
      <c r="BW19" s="719">
        <f t="shared" si="20"/>
        <v>0.2</v>
      </c>
      <c r="BX19" s="719">
        <f t="shared" si="21"/>
        <v>0.2</v>
      </c>
      <c r="BY19" s="719">
        <f t="shared" si="22"/>
        <v>0.2</v>
      </c>
      <c r="BZ19" s="719">
        <f t="shared" si="23"/>
        <v>0.2</v>
      </c>
      <c r="CA19" s="719">
        <f t="shared" si="24"/>
        <v>0</v>
      </c>
      <c r="CB19" s="748">
        <f t="shared" si="25"/>
        <v>0.2</v>
      </c>
      <c r="CC19" s="719">
        <f t="shared" si="26"/>
        <v>0.2</v>
      </c>
      <c r="CD19" s="719">
        <f t="shared" si="27"/>
        <v>0</v>
      </c>
      <c r="CF19" s="455">
        <v>1.3</v>
      </c>
      <c r="CG19" s="459" t="s">
        <v>180</v>
      </c>
      <c r="CH19" s="408" t="s">
        <v>129</v>
      </c>
      <c r="CI19" s="467">
        <v>0.2</v>
      </c>
      <c r="CJ19" s="457">
        <v>0.2</v>
      </c>
      <c r="CK19" s="457">
        <v>0.2</v>
      </c>
      <c r="CL19" s="457">
        <v>0.2</v>
      </c>
      <c r="CM19" s="467">
        <v>0.2</v>
      </c>
      <c r="CN19" s="457"/>
      <c r="CO19" s="461">
        <v>0.2</v>
      </c>
      <c r="CP19" s="467">
        <v>0.2</v>
      </c>
      <c r="CQ19" s="457">
        <v>0.2</v>
      </c>
      <c r="CR19" s="457">
        <v>0.2</v>
      </c>
      <c r="CS19" s="462"/>
      <c r="CT19" s="461">
        <v>0.2</v>
      </c>
      <c r="CU19" s="467">
        <v>0.2</v>
      </c>
      <c r="CW19" s="455">
        <v>1.3</v>
      </c>
      <c r="CX19" s="459" t="s">
        <v>180</v>
      </c>
      <c r="CY19" s="408" t="s">
        <v>129</v>
      </c>
      <c r="CZ19" s="461">
        <v>0.3</v>
      </c>
      <c r="DA19" s="461">
        <v>0.3</v>
      </c>
      <c r="DB19" s="461">
        <v>0.3</v>
      </c>
      <c r="DC19" s="461">
        <v>0.3</v>
      </c>
      <c r="DD19" s="463">
        <v>0.2</v>
      </c>
      <c r="DE19" s="461">
        <v>0.3</v>
      </c>
      <c r="DF19" s="461">
        <v>0.3</v>
      </c>
      <c r="DG19" s="461">
        <v>0.3</v>
      </c>
      <c r="DH19" s="461">
        <v>0.3</v>
      </c>
      <c r="DI19" s="461">
        <v>0</v>
      </c>
      <c r="DJ19" s="462">
        <v>0.3</v>
      </c>
      <c r="DK19" s="461">
        <v>0.3</v>
      </c>
      <c r="DL19" s="461">
        <v>0</v>
      </c>
      <c r="DN19" s="455">
        <v>1.3</v>
      </c>
      <c r="DO19" s="459" t="s">
        <v>180</v>
      </c>
      <c r="DP19" s="408" t="s">
        <v>129</v>
      </c>
      <c r="DQ19" s="461">
        <v>0.2</v>
      </c>
      <c r="DR19" s="461">
        <v>0.2</v>
      </c>
      <c r="DS19" s="461">
        <v>0.2</v>
      </c>
      <c r="DT19" s="461">
        <v>0.2</v>
      </c>
      <c r="DU19" s="570">
        <v>0.2</v>
      </c>
      <c r="DV19" s="461">
        <v>0.2</v>
      </c>
      <c r="DW19" s="461">
        <v>0.2</v>
      </c>
      <c r="DX19" s="461">
        <v>0.2</v>
      </c>
      <c r="DY19" s="461">
        <v>0.2</v>
      </c>
      <c r="DZ19" s="461">
        <v>0</v>
      </c>
      <c r="EA19" s="462">
        <v>0.2</v>
      </c>
      <c r="EB19" s="461">
        <v>0.2</v>
      </c>
      <c r="EC19" s="461">
        <v>0</v>
      </c>
      <c r="ED19" s="555"/>
      <c r="EF19" s="455">
        <v>1.3</v>
      </c>
      <c r="EG19" s="459" t="s">
        <v>180</v>
      </c>
      <c r="EH19" s="408" t="s">
        <v>129</v>
      </c>
      <c r="EI19" s="598">
        <v>0.33</v>
      </c>
      <c r="EJ19" s="598">
        <v>0.33</v>
      </c>
      <c r="EK19" s="598">
        <v>0.33</v>
      </c>
      <c r="EL19" s="598">
        <v>0.33</v>
      </c>
      <c r="EM19" s="598">
        <v>0.33</v>
      </c>
      <c r="EN19" s="598">
        <v>0.33</v>
      </c>
      <c r="EO19" s="598">
        <v>0.33</v>
      </c>
      <c r="EP19" s="598">
        <v>0.33</v>
      </c>
      <c r="EQ19" s="598">
        <v>0.33</v>
      </c>
      <c r="ER19" s="609">
        <f t="shared" ref="ER19:ER31" si="47">DZ19</f>
        <v>0</v>
      </c>
      <c r="ES19" s="598">
        <v>0.33</v>
      </c>
      <c r="ET19" s="598">
        <v>0.33</v>
      </c>
      <c r="EU19" s="609">
        <f t="shared" ref="EU19:EU31" si="48">EC19</f>
        <v>0</v>
      </c>
      <c r="EW19" s="455">
        <v>1.3</v>
      </c>
      <c r="EX19" s="459" t="s">
        <v>180</v>
      </c>
      <c r="EY19" s="408" t="s">
        <v>129</v>
      </c>
      <c r="EZ19" s="666">
        <v>0</v>
      </c>
      <c r="FA19" s="598"/>
      <c r="FB19" s="598"/>
      <c r="FC19" s="598"/>
      <c r="FD19" s="598"/>
      <c r="FE19" s="598"/>
      <c r="FF19" s="598"/>
      <c r="FG19" s="598"/>
      <c r="FH19" s="598"/>
      <c r="FI19" s="598"/>
      <c r="FJ19" s="598"/>
      <c r="FK19" s="598"/>
      <c r="FL19" s="598"/>
    </row>
    <row r="20" spans="2:168">
      <c r="B20" s="732">
        <f t="shared" si="4"/>
        <v>2</v>
      </c>
      <c r="C20" s="759" t="str">
        <f t="shared" si="5"/>
        <v>温熱環境</v>
      </c>
      <c r="D20" s="770" t="e">
        <f>IF(I$9=0,0,G20/I$9)</f>
        <v>#REF!</v>
      </c>
      <c r="E20" s="769" t="e">
        <f>IF(J$9=0,0,H20/J$9)</f>
        <v>#REF!</v>
      </c>
      <c r="G20" s="769" t="e">
        <f t="shared" si="6"/>
        <v>#REF!</v>
      </c>
      <c r="H20" s="769" t="e">
        <f t="shared" si="7"/>
        <v>#REF!</v>
      </c>
      <c r="I20" s="769" t="e">
        <f>G21+G30+G31+G32</f>
        <v>#REF!</v>
      </c>
      <c r="J20" s="769" t="e">
        <f>H21+H30+H31+H32</f>
        <v>#REF!</v>
      </c>
      <c r="K20" s="769" t="e">
        <f>IF(L20&gt;0,1,IF(#REF!=0,0,1))</f>
        <v>#REF!</v>
      </c>
      <c r="L20" s="769" t="e">
        <f>IF(#REF!=0,0,1)</f>
        <v>#REF!</v>
      </c>
      <c r="M20" s="769">
        <f t="shared" si="8"/>
        <v>0.35</v>
      </c>
      <c r="N20" s="769">
        <f t="shared" si="9"/>
        <v>0</v>
      </c>
      <c r="P20" s="779">
        <v>2</v>
      </c>
      <c r="Q20" s="767" t="s">
        <v>130</v>
      </c>
      <c r="R20" s="825"/>
      <c r="S20" s="815"/>
      <c r="T20" s="815"/>
      <c r="U20" s="726"/>
      <c r="V20" s="766">
        <f t="shared" si="43"/>
        <v>0</v>
      </c>
      <c r="W20" s="765">
        <f t="shared" si="44"/>
        <v>0</v>
      </c>
      <c r="Y20" s="1">
        <f t="shared" si="29"/>
        <v>0</v>
      </c>
      <c r="Z20" s="1">
        <f t="shared" si="30"/>
        <v>0</v>
      </c>
      <c r="AA20" s="1">
        <f t="shared" si="31"/>
        <v>0</v>
      </c>
      <c r="AB20" s="1">
        <f t="shared" si="32"/>
        <v>0</v>
      </c>
      <c r="AC20" s="1">
        <f t="shared" si="33"/>
        <v>0</v>
      </c>
      <c r="AD20" s="1">
        <f t="shared" si="34"/>
        <v>0</v>
      </c>
      <c r="AE20" s="1">
        <f t="shared" si="35"/>
        <v>0</v>
      </c>
      <c r="AF20" s="1">
        <f t="shared" si="36"/>
        <v>0</v>
      </c>
      <c r="AG20" s="1">
        <f t="shared" si="37"/>
        <v>0</v>
      </c>
      <c r="AH20" s="1">
        <f t="shared" si="38"/>
        <v>0</v>
      </c>
      <c r="AI20" s="1">
        <f t="shared" si="39"/>
        <v>0</v>
      </c>
      <c r="AJ20" s="1">
        <f t="shared" si="40"/>
        <v>0</v>
      </c>
      <c r="AK20" s="1">
        <f t="shared" si="41"/>
        <v>0</v>
      </c>
      <c r="AM20" s="764" t="s">
        <v>1001</v>
      </c>
      <c r="AN20" s="764" t="s">
        <v>1001</v>
      </c>
      <c r="AO20" s="764" t="s">
        <v>1001</v>
      </c>
      <c r="AP20" s="764" t="s">
        <v>1001</v>
      </c>
      <c r="AQ20" s="764" t="s">
        <v>1001</v>
      </c>
      <c r="AR20" s="764" t="s">
        <v>1001</v>
      </c>
      <c r="AS20" s="764" t="s">
        <v>1001</v>
      </c>
      <c r="AT20" s="764" t="s">
        <v>1001</v>
      </c>
      <c r="AU20" s="764" t="s">
        <v>1001</v>
      </c>
      <c r="AV20" s="764" t="s">
        <v>1001</v>
      </c>
      <c r="AW20" s="764" t="s">
        <v>1001</v>
      </c>
      <c r="AX20" s="764" t="s">
        <v>1001</v>
      </c>
      <c r="AY20" s="764" t="s">
        <v>1001</v>
      </c>
      <c r="BA20" s="763" t="e">
        <f>BB20/$BC$9</f>
        <v>#REF!</v>
      </c>
      <c r="BB20" s="763" t="e">
        <f t="shared" si="11"/>
        <v>#REF!</v>
      </c>
      <c r="BC20" s="763"/>
      <c r="BD20" s="762" t="e">
        <f>BR20*#REF!</f>
        <v>#REF!</v>
      </c>
      <c r="BE20" s="762" t="e">
        <f>BS20*#REF!</f>
        <v>#REF!</v>
      </c>
      <c r="BF20" s="762" t="e">
        <f>BT20*#REF!</f>
        <v>#REF!</v>
      </c>
      <c r="BG20" s="762" t="e">
        <f>BU20*#REF!</f>
        <v>#REF!</v>
      </c>
      <c r="BH20" s="941" t="e">
        <f>BV20*#REF!</f>
        <v>#REF!</v>
      </c>
      <c r="BI20" s="762" t="e">
        <f>BW20*#REF!</f>
        <v>#REF!</v>
      </c>
      <c r="BJ20" s="762" t="e">
        <f>BX20*#REF!</f>
        <v>#REF!</v>
      </c>
      <c r="BK20" s="762" t="e">
        <f>BY20*#REF!</f>
        <v>#REF!</v>
      </c>
      <c r="BL20" s="762" t="e">
        <f>BZ20*#REF!</f>
        <v>#REF!</v>
      </c>
      <c r="BM20" s="762" t="e">
        <f>CA20*#REF!</f>
        <v>#REF!</v>
      </c>
      <c r="BO20" s="823">
        <f t="shared" si="12"/>
        <v>2</v>
      </c>
      <c r="BP20" s="823" t="str">
        <f t="shared" si="13"/>
        <v xml:space="preserve"> Q1</v>
      </c>
      <c r="BQ20" s="759" t="str">
        <f t="shared" si="14"/>
        <v>温熱環境</v>
      </c>
      <c r="BR20" s="757">
        <f t="shared" si="15"/>
        <v>0.35</v>
      </c>
      <c r="BS20" s="757">
        <f t="shared" si="16"/>
        <v>0.35</v>
      </c>
      <c r="BT20" s="757">
        <f t="shared" si="17"/>
        <v>0.35</v>
      </c>
      <c r="BU20" s="757">
        <f t="shared" si="18"/>
        <v>0.35</v>
      </c>
      <c r="BV20" s="940">
        <f t="shared" si="19"/>
        <v>0.35</v>
      </c>
      <c r="BW20" s="757">
        <f t="shared" si="20"/>
        <v>0.35</v>
      </c>
      <c r="BX20" s="757">
        <f t="shared" si="21"/>
        <v>0.35</v>
      </c>
      <c r="BY20" s="757">
        <f t="shared" si="22"/>
        <v>0.35</v>
      </c>
      <c r="BZ20" s="757">
        <f t="shared" si="23"/>
        <v>0.35</v>
      </c>
      <c r="CA20" s="757">
        <f t="shared" si="24"/>
        <v>0.35</v>
      </c>
      <c r="CB20" s="758">
        <f t="shared" si="25"/>
        <v>0</v>
      </c>
      <c r="CC20" s="757">
        <f t="shared" si="26"/>
        <v>0</v>
      </c>
      <c r="CD20" s="757">
        <f t="shared" si="27"/>
        <v>0</v>
      </c>
      <c r="CF20" s="447">
        <v>2</v>
      </c>
      <c r="CG20" s="451" t="s">
        <v>179</v>
      </c>
      <c r="CH20" s="448" t="s">
        <v>172</v>
      </c>
      <c r="CI20" s="449">
        <v>0.35</v>
      </c>
      <c r="CJ20" s="449">
        <v>0.35</v>
      </c>
      <c r="CK20" s="449">
        <v>0.35</v>
      </c>
      <c r="CL20" s="449">
        <v>0.35</v>
      </c>
      <c r="CM20" s="449">
        <v>0.44</v>
      </c>
      <c r="CN20" s="449">
        <v>0.35</v>
      </c>
      <c r="CO20" s="452">
        <v>0.35</v>
      </c>
      <c r="CP20" s="449">
        <v>0.35</v>
      </c>
      <c r="CQ20" s="449">
        <v>0.35</v>
      </c>
      <c r="CR20" s="449">
        <v>0.35</v>
      </c>
      <c r="CS20" s="453"/>
      <c r="CT20" s="452"/>
      <c r="CU20" s="452"/>
      <c r="CW20" s="447">
        <v>2</v>
      </c>
      <c r="CX20" s="451" t="s">
        <v>179</v>
      </c>
      <c r="CY20" s="448" t="s">
        <v>172</v>
      </c>
      <c r="CZ20" s="452">
        <v>0.35</v>
      </c>
      <c r="DA20" s="452">
        <v>0.35</v>
      </c>
      <c r="DB20" s="452">
        <v>0.35</v>
      </c>
      <c r="DC20" s="452">
        <v>0.35</v>
      </c>
      <c r="DD20" s="470">
        <v>0.44</v>
      </c>
      <c r="DE20" s="452">
        <v>0.35</v>
      </c>
      <c r="DF20" s="452">
        <v>0.35</v>
      </c>
      <c r="DG20" s="452">
        <v>0.35</v>
      </c>
      <c r="DH20" s="452">
        <v>0.35</v>
      </c>
      <c r="DI20" s="452">
        <v>0.35</v>
      </c>
      <c r="DJ20" s="453"/>
      <c r="DK20" s="452"/>
      <c r="DL20" s="452"/>
      <c r="DN20" s="447">
        <v>2</v>
      </c>
      <c r="DO20" s="451" t="s">
        <v>179</v>
      </c>
      <c r="DP20" s="448" t="s">
        <v>172</v>
      </c>
      <c r="DQ20" s="452">
        <v>0.35</v>
      </c>
      <c r="DR20" s="452">
        <v>0.35</v>
      </c>
      <c r="DS20" s="452">
        <v>0.35</v>
      </c>
      <c r="DT20" s="452">
        <v>0.35</v>
      </c>
      <c r="DU20" s="571">
        <v>0.35</v>
      </c>
      <c r="DV20" s="452">
        <v>0.35</v>
      </c>
      <c r="DW20" s="452">
        <v>0.35</v>
      </c>
      <c r="DX20" s="452">
        <v>0.35</v>
      </c>
      <c r="DY20" s="452">
        <v>0.35</v>
      </c>
      <c r="DZ20" s="452">
        <v>0.35</v>
      </c>
      <c r="EA20" s="453"/>
      <c r="EB20" s="452"/>
      <c r="EC20" s="452"/>
      <c r="ED20" s="554"/>
      <c r="EF20" s="447">
        <v>2</v>
      </c>
      <c r="EG20" s="451" t="s">
        <v>179</v>
      </c>
      <c r="EH20" s="448" t="s">
        <v>172</v>
      </c>
      <c r="EI20" s="606">
        <f t="shared" ref="EI20:EI31" si="49">DQ20</f>
        <v>0.35</v>
      </c>
      <c r="EJ20" s="606">
        <f t="shared" ref="EJ20:EJ31" si="50">DR20</f>
        <v>0.35</v>
      </c>
      <c r="EK20" s="606">
        <f t="shared" ref="EK20:EK31" si="51">DS20</f>
        <v>0.35</v>
      </c>
      <c r="EL20" s="606">
        <f t="shared" ref="EL20:EL31" si="52">DT20</f>
        <v>0.35</v>
      </c>
      <c r="EM20" s="613">
        <f t="shared" ref="EM20:EM31" si="53">DU20</f>
        <v>0.35</v>
      </c>
      <c r="EN20" s="606">
        <f t="shared" ref="EN20:EN31" si="54">DV20</f>
        <v>0.35</v>
      </c>
      <c r="EO20" s="606">
        <f t="shared" ref="EO20:EO31" si="55">DW20</f>
        <v>0.35</v>
      </c>
      <c r="EP20" s="606">
        <f t="shared" ref="EP20:EP31" si="56">DX20</f>
        <v>0.35</v>
      </c>
      <c r="EQ20" s="606">
        <f t="shared" ref="EQ20:EQ31" si="57">DY20</f>
        <v>0.35</v>
      </c>
      <c r="ER20" s="606">
        <f t="shared" si="47"/>
        <v>0.35</v>
      </c>
      <c r="ES20" s="608">
        <f t="shared" ref="ES20:ES31" si="58">EA20</f>
        <v>0</v>
      </c>
      <c r="ET20" s="606">
        <f t="shared" ref="ET20:ET31" si="59">EB20</f>
        <v>0</v>
      </c>
      <c r="EU20" s="606">
        <f t="shared" si="48"/>
        <v>0</v>
      </c>
      <c r="EW20" s="447">
        <v>2</v>
      </c>
      <c r="EX20" s="451" t="s">
        <v>179</v>
      </c>
      <c r="EY20" s="448" t="s">
        <v>172</v>
      </c>
      <c r="EZ20" s="596">
        <f t="shared" ref="EZ20:EZ40" si="60">DQ20</f>
        <v>0.35</v>
      </c>
      <c r="FA20" s="596"/>
      <c r="FB20" s="596"/>
      <c r="FC20" s="596"/>
      <c r="FD20" s="648"/>
      <c r="FE20" s="596"/>
      <c r="FF20" s="596"/>
      <c r="FG20" s="596"/>
      <c r="FH20" s="596"/>
      <c r="FI20" s="596"/>
      <c r="FJ20" s="597"/>
      <c r="FK20" s="596"/>
      <c r="FL20" s="596"/>
    </row>
    <row r="21" spans="2:168" ht="14.25" thickBot="1">
      <c r="B21" s="732">
        <f t="shared" si="4"/>
        <v>2.1</v>
      </c>
      <c r="C21" s="408" t="str">
        <f t="shared" si="5"/>
        <v>室温制御</v>
      </c>
      <c r="D21" s="731" t="e">
        <f>IF(I$20=0,0,G21/I$20)</f>
        <v>#REF!</v>
      </c>
      <c r="E21" s="730" t="e">
        <f>IF(J$20=0,0,H21/J$20)</f>
        <v>#REF!</v>
      </c>
      <c r="G21" s="730" t="e">
        <f t="shared" si="6"/>
        <v>#REF!</v>
      </c>
      <c r="H21" s="730" t="e">
        <f t="shared" si="7"/>
        <v>#REF!</v>
      </c>
      <c r="I21" s="730" t="e">
        <f>SUM(G22:G29)</f>
        <v>#REF!</v>
      </c>
      <c r="J21" s="730" t="e">
        <f>SUM(H22:H29)</f>
        <v>#REF!</v>
      </c>
      <c r="K21" s="730" t="e">
        <f>IF(#REF!=0,0,1)</f>
        <v>#REF!</v>
      </c>
      <c r="L21" s="730" t="e">
        <f>IF(#REF!=0,0,1)</f>
        <v>#REF!</v>
      </c>
      <c r="M21" s="730">
        <f t="shared" si="8"/>
        <v>0.5</v>
      </c>
      <c r="N21" s="730">
        <f t="shared" si="9"/>
        <v>0</v>
      </c>
      <c r="P21" s="923"/>
      <c r="Q21" s="744">
        <v>2.1</v>
      </c>
      <c r="R21" s="838" t="s">
        <v>131</v>
      </c>
      <c r="S21" s="815"/>
      <c r="T21" s="815"/>
      <c r="U21" s="726"/>
      <c r="V21" s="972">
        <f t="shared" si="43"/>
        <v>0</v>
      </c>
      <c r="W21" s="971">
        <f t="shared" si="44"/>
        <v>0</v>
      </c>
      <c r="Y21" s="1">
        <f t="shared" si="29"/>
        <v>0</v>
      </c>
      <c r="Z21" s="1">
        <f t="shared" si="30"/>
        <v>0</v>
      </c>
      <c r="AA21" s="1">
        <f t="shared" si="31"/>
        <v>0</v>
      </c>
      <c r="AB21" s="1">
        <f t="shared" si="32"/>
        <v>0</v>
      </c>
      <c r="AC21" s="1">
        <f t="shared" si="33"/>
        <v>0</v>
      </c>
      <c r="AD21" s="1">
        <f t="shared" si="34"/>
        <v>0</v>
      </c>
      <c r="AE21" s="1">
        <f t="shared" si="35"/>
        <v>0</v>
      </c>
      <c r="AF21" s="1">
        <f t="shared" si="36"/>
        <v>0</v>
      </c>
      <c r="AG21" s="1">
        <f t="shared" si="37"/>
        <v>0</v>
      </c>
      <c r="AH21" s="1">
        <f t="shared" si="38"/>
        <v>0</v>
      </c>
      <c r="AI21" s="1">
        <f t="shared" si="39"/>
        <v>0</v>
      </c>
      <c r="AJ21" s="1">
        <f t="shared" si="40"/>
        <v>0</v>
      </c>
      <c r="AK21" s="1">
        <f t="shared" si="41"/>
        <v>0</v>
      </c>
      <c r="AM21" s="970" t="s">
        <v>1001</v>
      </c>
      <c r="AN21" s="970" t="s">
        <v>1001</v>
      </c>
      <c r="AO21" s="970" t="s">
        <v>1001</v>
      </c>
      <c r="AP21" s="970" t="s">
        <v>1001</v>
      </c>
      <c r="AQ21" s="970" t="s">
        <v>1001</v>
      </c>
      <c r="AR21" s="970" t="s">
        <v>1001</v>
      </c>
      <c r="AS21" s="970" t="s">
        <v>1001</v>
      </c>
      <c r="AT21" s="970" t="s">
        <v>1001</v>
      </c>
      <c r="AU21" s="970" t="s">
        <v>1001</v>
      </c>
      <c r="AV21" s="970" t="s">
        <v>1001</v>
      </c>
      <c r="AW21" s="970" t="s">
        <v>1001</v>
      </c>
      <c r="AX21" s="970" t="s">
        <v>1001</v>
      </c>
      <c r="AY21" s="970" t="s">
        <v>1001</v>
      </c>
      <c r="BA21" s="723"/>
      <c r="BB21" s="723" t="e">
        <f t="shared" si="11"/>
        <v>#REF!</v>
      </c>
      <c r="BC21" s="723"/>
      <c r="BD21" s="722" t="e">
        <f>BR21*#REF!</f>
        <v>#REF!</v>
      </c>
      <c r="BE21" s="722" t="e">
        <f>BS21*#REF!</f>
        <v>#REF!</v>
      </c>
      <c r="BF21" s="722" t="e">
        <f>BT21*#REF!</f>
        <v>#REF!</v>
      </c>
      <c r="BG21" s="722" t="e">
        <f>BU21*#REF!</f>
        <v>#REF!</v>
      </c>
      <c r="BH21" s="935" t="e">
        <f>BV21*#REF!</f>
        <v>#REF!</v>
      </c>
      <c r="BI21" s="722" t="e">
        <f>BW21*#REF!</f>
        <v>#REF!</v>
      </c>
      <c r="BJ21" s="722" t="e">
        <f>BX21*#REF!</f>
        <v>#REF!</v>
      </c>
      <c r="BK21" s="722" t="e">
        <f>BY21*#REF!</f>
        <v>#REF!</v>
      </c>
      <c r="BL21" s="722" t="e">
        <f>BZ21*#REF!</f>
        <v>#REF!</v>
      </c>
      <c r="BM21" s="722" t="e">
        <f>CA21*#REF!</f>
        <v>#REF!</v>
      </c>
      <c r="BO21" s="749">
        <f t="shared" si="12"/>
        <v>2.1</v>
      </c>
      <c r="BP21" s="749" t="str">
        <f t="shared" si="13"/>
        <v xml:space="preserve"> Q1 2</v>
      </c>
      <c r="BQ21" s="408" t="str">
        <f t="shared" si="14"/>
        <v>室温制御</v>
      </c>
      <c r="BR21" s="719">
        <f t="shared" si="15"/>
        <v>0.5</v>
      </c>
      <c r="BS21" s="719">
        <f t="shared" si="16"/>
        <v>0.5</v>
      </c>
      <c r="BT21" s="719">
        <f t="shared" si="17"/>
        <v>0.5</v>
      </c>
      <c r="BU21" s="719">
        <f t="shared" si="18"/>
        <v>0.5</v>
      </c>
      <c r="BV21" s="934">
        <f t="shared" si="19"/>
        <v>0.5</v>
      </c>
      <c r="BW21" s="719">
        <f t="shared" si="20"/>
        <v>0.5</v>
      </c>
      <c r="BX21" s="719">
        <f t="shared" si="21"/>
        <v>0.5</v>
      </c>
      <c r="BY21" s="719">
        <f t="shared" si="22"/>
        <v>0.5</v>
      </c>
      <c r="BZ21" s="719">
        <f t="shared" si="23"/>
        <v>0.5</v>
      </c>
      <c r="CA21" s="719">
        <f t="shared" si="24"/>
        <v>0.5</v>
      </c>
      <c r="CB21" s="748">
        <f t="shared" si="25"/>
        <v>0.5</v>
      </c>
      <c r="CC21" s="719">
        <f t="shared" si="26"/>
        <v>0.5</v>
      </c>
      <c r="CD21" s="719">
        <f t="shared" si="27"/>
        <v>0.5</v>
      </c>
      <c r="CF21" s="455">
        <v>2.1</v>
      </c>
      <c r="CG21" s="459" t="s">
        <v>187</v>
      </c>
      <c r="CH21" s="456" t="s">
        <v>131</v>
      </c>
      <c r="CI21" s="457">
        <v>0.5</v>
      </c>
      <c r="CJ21" s="457">
        <v>0.5</v>
      </c>
      <c r="CK21" s="457">
        <v>0.5</v>
      </c>
      <c r="CL21" s="457">
        <v>0.5</v>
      </c>
      <c r="CM21" s="457">
        <v>0.5</v>
      </c>
      <c r="CN21" s="457">
        <v>0.5</v>
      </c>
      <c r="CO21" s="461">
        <v>0.5</v>
      </c>
      <c r="CP21" s="457">
        <v>0.5</v>
      </c>
      <c r="CQ21" s="457">
        <v>0.5</v>
      </c>
      <c r="CR21" s="457">
        <v>0.5</v>
      </c>
      <c r="CS21" s="462">
        <v>1</v>
      </c>
      <c r="CT21" s="461">
        <v>1</v>
      </c>
      <c r="CU21" s="461">
        <v>1</v>
      </c>
      <c r="CW21" s="455">
        <v>2.1</v>
      </c>
      <c r="CX21" s="459" t="s">
        <v>187</v>
      </c>
      <c r="CY21" s="456" t="s">
        <v>131</v>
      </c>
      <c r="CZ21" s="461">
        <v>0.5</v>
      </c>
      <c r="DA21" s="461">
        <v>0.5</v>
      </c>
      <c r="DB21" s="461">
        <v>0.5</v>
      </c>
      <c r="DC21" s="461">
        <v>0.5</v>
      </c>
      <c r="DD21" s="463">
        <v>0.5</v>
      </c>
      <c r="DE21" s="461">
        <v>0.5</v>
      </c>
      <c r="DF21" s="461">
        <v>0.5</v>
      </c>
      <c r="DG21" s="461">
        <v>0.5</v>
      </c>
      <c r="DH21" s="461">
        <v>0.5</v>
      </c>
      <c r="DI21" s="461">
        <v>0.5</v>
      </c>
      <c r="DJ21" s="462">
        <v>0.5</v>
      </c>
      <c r="DK21" s="461">
        <v>0.5</v>
      </c>
      <c r="DL21" s="461">
        <v>0.5</v>
      </c>
      <c r="DN21" s="455">
        <v>2.1</v>
      </c>
      <c r="DO21" s="459" t="s">
        <v>187</v>
      </c>
      <c r="DP21" s="456" t="s">
        <v>131</v>
      </c>
      <c r="DQ21" s="461">
        <v>0.5</v>
      </c>
      <c r="DR21" s="461">
        <v>0.5</v>
      </c>
      <c r="DS21" s="461">
        <v>0.5</v>
      </c>
      <c r="DT21" s="461">
        <v>0.5</v>
      </c>
      <c r="DU21" s="572">
        <v>0.5</v>
      </c>
      <c r="DV21" s="461">
        <v>0.5</v>
      </c>
      <c r="DW21" s="461">
        <v>0.5</v>
      </c>
      <c r="DX21" s="461">
        <v>0.5</v>
      </c>
      <c r="DY21" s="461">
        <v>0.5</v>
      </c>
      <c r="DZ21" s="461">
        <v>0.5</v>
      </c>
      <c r="EA21" s="462">
        <v>0.5</v>
      </c>
      <c r="EB21" s="461">
        <v>0.5</v>
      </c>
      <c r="EC21" s="461">
        <v>0.5</v>
      </c>
      <c r="ED21" s="555"/>
      <c r="EF21" s="455">
        <v>2.1</v>
      </c>
      <c r="EG21" s="459" t="s">
        <v>187</v>
      </c>
      <c r="EH21" s="456" t="s">
        <v>131</v>
      </c>
      <c r="EI21" s="609">
        <f t="shared" si="49"/>
        <v>0.5</v>
      </c>
      <c r="EJ21" s="609">
        <f t="shared" si="50"/>
        <v>0.5</v>
      </c>
      <c r="EK21" s="609">
        <f t="shared" si="51"/>
        <v>0.5</v>
      </c>
      <c r="EL21" s="609">
        <f t="shared" si="52"/>
        <v>0.5</v>
      </c>
      <c r="EM21" s="614">
        <f t="shared" si="53"/>
        <v>0.5</v>
      </c>
      <c r="EN21" s="609">
        <f t="shared" si="54"/>
        <v>0.5</v>
      </c>
      <c r="EO21" s="609">
        <f t="shared" si="55"/>
        <v>0.5</v>
      </c>
      <c r="EP21" s="609">
        <f t="shared" si="56"/>
        <v>0.5</v>
      </c>
      <c r="EQ21" s="609">
        <f t="shared" si="57"/>
        <v>0.5</v>
      </c>
      <c r="ER21" s="609">
        <f t="shared" si="47"/>
        <v>0.5</v>
      </c>
      <c r="ES21" s="611">
        <f t="shared" si="58"/>
        <v>0.5</v>
      </c>
      <c r="ET21" s="609">
        <f t="shared" si="59"/>
        <v>0.5</v>
      </c>
      <c r="EU21" s="609">
        <f t="shared" si="48"/>
        <v>0.5</v>
      </c>
      <c r="EW21" s="455">
        <v>2.1</v>
      </c>
      <c r="EX21" s="459" t="s">
        <v>187</v>
      </c>
      <c r="EY21" s="456" t="s">
        <v>131</v>
      </c>
      <c r="EZ21" s="598">
        <f t="shared" si="60"/>
        <v>0.5</v>
      </c>
      <c r="FA21" s="598"/>
      <c r="FB21" s="598"/>
      <c r="FC21" s="598"/>
      <c r="FD21" s="649"/>
      <c r="FE21" s="598"/>
      <c r="FF21" s="598"/>
      <c r="FG21" s="598"/>
      <c r="FH21" s="598"/>
      <c r="FI21" s="598"/>
      <c r="FJ21" s="647"/>
      <c r="FK21" s="598"/>
      <c r="FL21" s="598"/>
    </row>
    <row r="22" spans="2:168">
      <c r="B22" s="732" t="str">
        <f t="shared" si="4"/>
        <v>2.1.1</v>
      </c>
      <c r="C22" s="408" t="str">
        <f t="shared" si="5"/>
        <v>室温</v>
      </c>
      <c r="D22" s="809" t="e">
        <f t="shared" ref="D22:E29" si="61">IF(I$21&gt;0,G22/I$21,0)</f>
        <v>#REF!</v>
      </c>
      <c r="E22" s="730" t="e">
        <f t="shared" si="61"/>
        <v>#REF!</v>
      </c>
      <c r="G22" s="730" t="e">
        <f t="shared" si="6"/>
        <v>#REF!</v>
      </c>
      <c r="H22" s="730" t="e">
        <f t="shared" si="7"/>
        <v>#REF!</v>
      </c>
      <c r="I22" s="730"/>
      <c r="J22" s="730"/>
      <c r="K22" s="730" t="e">
        <f>IF(#REF!=0,0,1)</f>
        <v>#REF!</v>
      </c>
      <c r="L22" s="730" t="e">
        <f>IF(#REF!=0,0,1)</f>
        <v>#REF!</v>
      </c>
      <c r="M22" s="730">
        <f t="shared" si="8"/>
        <v>0.37499999999999994</v>
      </c>
      <c r="N22" s="730">
        <f t="shared" si="9"/>
        <v>0</v>
      </c>
      <c r="P22" s="923"/>
      <c r="Q22" s="728"/>
      <c r="R22" s="414">
        <v>1</v>
      </c>
      <c r="S22" s="579" t="s">
        <v>160</v>
      </c>
      <c r="T22" s="745"/>
      <c r="U22" s="726"/>
      <c r="V22" s="734">
        <f t="shared" si="43"/>
        <v>0</v>
      </c>
      <c r="W22" s="733">
        <f t="shared" si="44"/>
        <v>0</v>
      </c>
      <c r="Y22" s="1">
        <f t="shared" si="29"/>
        <v>0</v>
      </c>
      <c r="Z22" s="1">
        <f t="shared" si="30"/>
        <v>0</v>
      </c>
      <c r="AA22" s="1">
        <f t="shared" si="31"/>
        <v>0</v>
      </c>
      <c r="AB22" s="1">
        <f t="shared" si="32"/>
        <v>0</v>
      </c>
      <c r="AC22" s="1">
        <f t="shared" si="33"/>
        <v>0</v>
      </c>
      <c r="AD22" s="1">
        <f t="shared" si="34"/>
        <v>0</v>
      </c>
      <c r="AE22" s="1">
        <f t="shared" si="35"/>
        <v>0</v>
      </c>
      <c r="AF22" s="1">
        <f t="shared" si="36"/>
        <v>0</v>
      </c>
      <c r="AG22" s="1">
        <f t="shared" si="37"/>
        <v>0</v>
      </c>
      <c r="AH22" s="1">
        <f t="shared" si="38"/>
        <v>0</v>
      </c>
      <c r="AI22" s="1">
        <f t="shared" si="39"/>
        <v>0</v>
      </c>
      <c r="AJ22" s="1">
        <f t="shared" si="40"/>
        <v>0</v>
      </c>
      <c r="AK22" s="1">
        <f t="shared" si="41"/>
        <v>0</v>
      </c>
      <c r="AM22" s="679"/>
      <c r="AN22" s="679"/>
      <c r="AO22" s="679"/>
      <c r="AP22" s="679"/>
      <c r="AQ22" s="679"/>
      <c r="AR22" s="679"/>
      <c r="AS22" s="679"/>
      <c r="AT22" s="679"/>
      <c r="AU22" s="679"/>
      <c r="AV22" s="679"/>
      <c r="AW22" s="679"/>
      <c r="AX22" s="679"/>
      <c r="AY22" s="679"/>
      <c r="BA22" s="723"/>
      <c r="BB22" s="723" t="e">
        <f t="shared" si="11"/>
        <v>#REF!</v>
      </c>
      <c r="BC22" s="723"/>
      <c r="BD22" s="722" t="e">
        <f>BR22*#REF!</f>
        <v>#REF!</v>
      </c>
      <c r="BE22" s="722" t="e">
        <f>BS22*#REF!</f>
        <v>#REF!</v>
      </c>
      <c r="BF22" s="722" t="e">
        <f>BT22*#REF!</f>
        <v>#REF!</v>
      </c>
      <c r="BG22" s="722" t="e">
        <f>BU22*#REF!</f>
        <v>#REF!</v>
      </c>
      <c r="BH22" s="935" t="e">
        <f>BV22*#REF!</f>
        <v>#REF!</v>
      </c>
      <c r="BI22" s="722" t="e">
        <f>BW22*#REF!</f>
        <v>#REF!</v>
      </c>
      <c r="BJ22" s="722" t="e">
        <f>BX22*#REF!</f>
        <v>#REF!</v>
      </c>
      <c r="BK22" s="722" t="e">
        <f>BY22*#REF!</f>
        <v>#REF!</v>
      </c>
      <c r="BL22" s="722" t="e">
        <f>BZ22*#REF!</f>
        <v>#REF!</v>
      </c>
      <c r="BM22" s="722" t="e">
        <f>CA22*#REF!</f>
        <v>#REF!</v>
      </c>
      <c r="BO22" s="749" t="str">
        <f t="shared" si="12"/>
        <v>2.1.1</v>
      </c>
      <c r="BP22" s="749" t="str">
        <f t="shared" si="13"/>
        <v xml:space="preserve"> Q1 2.1</v>
      </c>
      <c r="BQ22" s="408" t="str">
        <f t="shared" si="14"/>
        <v>室温</v>
      </c>
      <c r="BR22" s="719">
        <f t="shared" si="15"/>
        <v>0.37499999999999994</v>
      </c>
      <c r="BS22" s="719">
        <f t="shared" si="16"/>
        <v>0.6</v>
      </c>
      <c r="BT22" s="719">
        <f t="shared" si="17"/>
        <v>0.49999999999999989</v>
      </c>
      <c r="BU22" s="719">
        <f t="shared" si="18"/>
        <v>0.49999999999999989</v>
      </c>
      <c r="BV22" s="934">
        <f t="shared" si="19"/>
        <v>0.37499999999999994</v>
      </c>
      <c r="BW22" s="719">
        <f t="shared" si="20"/>
        <v>0.37499999999999994</v>
      </c>
      <c r="BX22" s="719">
        <f t="shared" si="21"/>
        <v>0.6</v>
      </c>
      <c r="BY22" s="719">
        <f t="shared" si="22"/>
        <v>0.37499999999999994</v>
      </c>
      <c r="BZ22" s="719">
        <f t="shared" si="23"/>
        <v>0.37499999999999994</v>
      </c>
      <c r="CA22" s="719">
        <f t="shared" si="24"/>
        <v>0.625</v>
      </c>
      <c r="CB22" s="748">
        <f t="shared" si="25"/>
        <v>0.57142857142857151</v>
      </c>
      <c r="CC22" s="719">
        <f t="shared" si="26"/>
        <v>0.57142857142857151</v>
      </c>
      <c r="CD22" s="719">
        <f t="shared" si="27"/>
        <v>0.625</v>
      </c>
      <c r="CF22" s="455" t="s">
        <v>1019</v>
      </c>
      <c r="CG22" s="459" t="s">
        <v>84</v>
      </c>
      <c r="CH22" s="456" t="s">
        <v>85</v>
      </c>
      <c r="CI22" s="457">
        <v>0.3</v>
      </c>
      <c r="CJ22" s="457">
        <v>0.3</v>
      </c>
      <c r="CK22" s="457">
        <v>0.3</v>
      </c>
      <c r="CL22" s="457">
        <v>0.3</v>
      </c>
      <c r="CM22" s="471">
        <v>0.3</v>
      </c>
      <c r="CN22" s="457">
        <v>0.3</v>
      </c>
      <c r="CO22" s="461">
        <v>0.3</v>
      </c>
      <c r="CP22" s="457">
        <v>0.3</v>
      </c>
      <c r="CQ22" s="457">
        <v>0.3</v>
      </c>
      <c r="CR22" s="457">
        <v>0.5</v>
      </c>
      <c r="CS22" s="462"/>
      <c r="CT22" s="461"/>
      <c r="CU22" s="461"/>
      <c r="CW22" s="455" t="s">
        <v>1019</v>
      </c>
      <c r="CX22" s="459" t="s">
        <v>84</v>
      </c>
      <c r="CY22" s="456" t="s">
        <v>1018</v>
      </c>
      <c r="CZ22" s="461">
        <v>0.3</v>
      </c>
      <c r="DA22" s="461">
        <v>0.6</v>
      </c>
      <c r="DB22" s="461">
        <v>0.3</v>
      </c>
      <c r="DC22" s="461">
        <v>0.3</v>
      </c>
      <c r="DD22" s="463">
        <v>0.3</v>
      </c>
      <c r="DE22" s="461">
        <v>0.3</v>
      </c>
      <c r="DF22" s="461">
        <v>0.6</v>
      </c>
      <c r="DG22" s="461">
        <v>0.3</v>
      </c>
      <c r="DH22" s="461">
        <v>0.3</v>
      </c>
      <c r="DI22" s="461">
        <v>0.6</v>
      </c>
      <c r="DJ22" s="462">
        <v>0.6</v>
      </c>
      <c r="DK22" s="461">
        <v>0.6</v>
      </c>
      <c r="DL22" s="461">
        <v>0.6</v>
      </c>
      <c r="DN22" s="455" t="s">
        <v>1019</v>
      </c>
      <c r="DO22" s="459" t="s">
        <v>84</v>
      </c>
      <c r="DP22" s="456" t="s">
        <v>1018</v>
      </c>
      <c r="DQ22" s="667">
        <f>0.3/(0.3+0.2+0.3)</f>
        <v>0.37499999999999994</v>
      </c>
      <c r="DR22" s="667">
        <f>0.3/(0.3+0.2)</f>
        <v>0.6</v>
      </c>
      <c r="DS22" s="667">
        <f>0.3/(0.3+0.1+0.2)</f>
        <v>0.49999999999999989</v>
      </c>
      <c r="DT22" s="667">
        <f>0.3/(0.3+0.1+0.2)</f>
        <v>0.49999999999999989</v>
      </c>
      <c r="DU22" s="667">
        <f>0.3/(0.3+0.2+0.3)</f>
        <v>0.37499999999999994</v>
      </c>
      <c r="DV22" s="667">
        <f>0.3/(0.3+0.2+0.3)</f>
        <v>0.37499999999999994</v>
      </c>
      <c r="DW22" s="667">
        <f>0.3/(0.3+0.2)</f>
        <v>0.6</v>
      </c>
      <c r="DX22" s="667">
        <f>0.3/(0.3+0.2+0.3)</f>
        <v>0.37499999999999994</v>
      </c>
      <c r="DY22" s="667">
        <f>0.3/(0.3+0.2+0.3)</f>
        <v>0.37499999999999994</v>
      </c>
      <c r="DZ22" s="667">
        <f>0.5/(0.5+0.3)</f>
        <v>0.625</v>
      </c>
      <c r="EA22" s="667">
        <f>0.4/(0.4+0.3)</f>
        <v>0.57142857142857151</v>
      </c>
      <c r="EB22" s="667">
        <f>0.4/(0.4+0.3)</f>
        <v>0.57142857142857151</v>
      </c>
      <c r="EC22" s="667">
        <f>0.5/(0.5+0.3)</f>
        <v>0.625</v>
      </c>
      <c r="ED22" s="555"/>
      <c r="EF22" s="455" t="s">
        <v>1019</v>
      </c>
      <c r="EG22" s="459" t="s">
        <v>84</v>
      </c>
      <c r="EH22" s="456" t="s">
        <v>1018</v>
      </c>
      <c r="EI22" s="609">
        <f t="shared" si="49"/>
        <v>0.37499999999999994</v>
      </c>
      <c r="EJ22" s="609">
        <f t="shared" si="50"/>
        <v>0.6</v>
      </c>
      <c r="EK22" s="609">
        <f t="shared" si="51"/>
        <v>0.49999999999999989</v>
      </c>
      <c r="EL22" s="609">
        <f t="shared" si="52"/>
        <v>0.49999999999999989</v>
      </c>
      <c r="EM22" s="614">
        <f t="shared" si="53"/>
        <v>0.37499999999999994</v>
      </c>
      <c r="EN22" s="609">
        <f t="shared" si="54"/>
        <v>0.37499999999999994</v>
      </c>
      <c r="EO22" s="609">
        <f t="shared" si="55"/>
        <v>0.6</v>
      </c>
      <c r="EP22" s="609">
        <f t="shared" si="56"/>
        <v>0.37499999999999994</v>
      </c>
      <c r="EQ22" s="609">
        <f t="shared" si="57"/>
        <v>0.37499999999999994</v>
      </c>
      <c r="ER22" s="609">
        <f t="shared" si="47"/>
        <v>0.625</v>
      </c>
      <c r="ES22" s="611">
        <f t="shared" si="58"/>
        <v>0.57142857142857151</v>
      </c>
      <c r="ET22" s="609">
        <f t="shared" si="59"/>
        <v>0.57142857142857151</v>
      </c>
      <c r="EU22" s="609">
        <f t="shared" si="48"/>
        <v>0.625</v>
      </c>
      <c r="EW22" s="455" t="s">
        <v>1019</v>
      </c>
      <c r="EX22" s="459" t="s">
        <v>84</v>
      </c>
      <c r="EY22" s="456" t="s">
        <v>1018</v>
      </c>
      <c r="EZ22" s="598">
        <f t="shared" si="60"/>
        <v>0.37499999999999994</v>
      </c>
      <c r="FA22" s="598"/>
      <c r="FB22" s="598"/>
      <c r="FC22" s="598"/>
      <c r="FD22" s="649"/>
      <c r="FE22" s="598"/>
      <c r="FF22" s="598"/>
      <c r="FG22" s="598"/>
      <c r="FH22" s="598"/>
      <c r="FI22" s="598"/>
      <c r="FJ22" s="647"/>
      <c r="FK22" s="598"/>
      <c r="FL22" s="598"/>
    </row>
    <row r="23" spans="2:168" hidden="1">
      <c r="B23" s="732" t="str">
        <f t="shared" si="4"/>
        <v>2.1.2</v>
      </c>
      <c r="C23" s="408">
        <f t="shared" si="5"/>
        <v>0</v>
      </c>
      <c r="D23" s="809" t="e">
        <f t="shared" si="61"/>
        <v>#REF!</v>
      </c>
      <c r="E23" s="730" t="e">
        <f t="shared" si="61"/>
        <v>#REF!</v>
      </c>
      <c r="G23" s="730" t="e">
        <f t="shared" si="6"/>
        <v>#REF!</v>
      </c>
      <c r="H23" s="730" t="e">
        <f t="shared" si="7"/>
        <v>#REF!</v>
      </c>
      <c r="I23" s="730"/>
      <c r="J23" s="730"/>
      <c r="K23" s="730" t="e">
        <f>IF(#REF!=0,0,1)</f>
        <v>#REF!</v>
      </c>
      <c r="L23" s="730" t="e">
        <f>IF(#REF!=0,0,1)</f>
        <v>#REF!</v>
      </c>
      <c r="M23" s="730">
        <f t="shared" si="8"/>
        <v>0</v>
      </c>
      <c r="N23" s="730">
        <f t="shared" si="9"/>
        <v>0</v>
      </c>
      <c r="P23" s="965"/>
      <c r="Q23" s="966"/>
      <c r="R23" s="954">
        <v>2</v>
      </c>
      <c r="S23" s="953" t="s">
        <v>1017</v>
      </c>
      <c r="T23" s="853"/>
      <c r="U23" s="726"/>
      <c r="V23" s="747">
        <f t="shared" si="43"/>
        <v>0</v>
      </c>
      <c r="W23" s="746">
        <f t="shared" si="44"/>
        <v>0</v>
      </c>
      <c r="Y23" s="1">
        <f t="shared" si="29"/>
        <v>0</v>
      </c>
      <c r="Z23" s="1">
        <f t="shared" si="30"/>
        <v>0</v>
      </c>
      <c r="AA23" s="1">
        <f t="shared" si="31"/>
        <v>0</v>
      </c>
      <c r="AB23" s="1">
        <f t="shared" si="32"/>
        <v>0</v>
      </c>
      <c r="AC23" s="1">
        <f t="shared" si="33"/>
        <v>0</v>
      </c>
      <c r="AD23" s="1">
        <f t="shared" si="34"/>
        <v>0</v>
      </c>
      <c r="AE23" s="1">
        <f t="shared" si="35"/>
        <v>0</v>
      </c>
      <c r="AF23" s="1">
        <f t="shared" si="36"/>
        <v>0</v>
      </c>
      <c r="AG23" s="1">
        <f t="shared" si="37"/>
        <v>0</v>
      </c>
      <c r="AH23" s="1">
        <f t="shared" si="38"/>
        <v>0</v>
      </c>
      <c r="AI23" s="1">
        <f t="shared" si="39"/>
        <v>0</v>
      </c>
      <c r="AJ23" s="1">
        <f t="shared" si="40"/>
        <v>0</v>
      </c>
      <c r="AK23" s="1">
        <f t="shared" si="41"/>
        <v>0</v>
      </c>
      <c r="AM23" s="680"/>
      <c r="AN23" s="680"/>
      <c r="AO23" s="680"/>
      <c r="AP23" s="680"/>
      <c r="AQ23" s="680"/>
      <c r="AR23" s="680"/>
      <c r="AS23" s="680"/>
      <c r="AT23" s="680"/>
      <c r="AU23" s="680"/>
      <c r="AV23" s="680"/>
      <c r="AW23" s="680"/>
      <c r="AX23" s="680"/>
      <c r="AY23" s="680"/>
      <c r="BA23" s="988"/>
      <c r="BB23" s="988" t="e">
        <f t="shared" si="11"/>
        <v>#REF!</v>
      </c>
      <c r="BC23" s="988"/>
      <c r="BD23" s="987" t="e">
        <f>BR23*#REF!</f>
        <v>#REF!</v>
      </c>
      <c r="BE23" s="722" t="e">
        <f>BS23*#REF!</f>
        <v>#REF!</v>
      </c>
      <c r="BF23" s="722" t="e">
        <f>BT23*#REF!</f>
        <v>#REF!</v>
      </c>
      <c r="BG23" s="722" t="e">
        <f>BU23*#REF!</f>
        <v>#REF!</v>
      </c>
      <c r="BH23" s="935" t="e">
        <f>BV23*#REF!</f>
        <v>#REF!</v>
      </c>
      <c r="BI23" s="987" t="e">
        <f>BW23*#REF!</f>
        <v>#REF!</v>
      </c>
      <c r="BJ23" s="722" t="e">
        <f>BX23*#REF!</f>
        <v>#REF!</v>
      </c>
      <c r="BK23" s="722" t="e">
        <f>BY23*#REF!</f>
        <v>#REF!</v>
      </c>
      <c r="BL23" s="722" t="e">
        <f>BZ23*#REF!</f>
        <v>#REF!</v>
      </c>
      <c r="BM23" s="722" t="e">
        <f>CA23*#REF!</f>
        <v>#REF!</v>
      </c>
      <c r="BO23" s="749" t="str">
        <f t="shared" si="12"/>
        <v>2.1.2</v>
      </c>
      <c r="BP23" s="749" t="str">
        <f t="shared" si="13"/>
        <v xml:space="preserve"> Q1 2.1</v>
      </c>
      <c r="BQ23" s="408">
        <f t="shared" si="14"/>
        <v>0</v>
      </c>
      <c r="BR23" s="800">
        <f t="shared" si="15"/>
        <v>0</v>
      </c>
      <c r="BS23" s="719">
        <f t="shared" si="16"/>
        <v>0</v>
      </c>
      <c r="BT23" s="719">
        <f t="shared" si="17"/>
        <v>0</v>
      </c>
      <c r="BU23" s="719">
        <f t="shared" si="18"/>
        <v>0</v>
      </c>
      <c r="BV23" s="934">
        <f t="shared" si="19"/>
        <v>0</v>
      </c>
      <c r="BW23" s="800">
        <f t="shared" si="20"/>
        <v>0</v>
      </c>
      <c r="BX23" s="719">
        <f t="shared" si="21"/>
        <v>0</v>
      </c>
      <c r="BY23" s="719">
        <f t="shared" si="22"/>
        <v>0</v>
      </c>
      <c r="BZ23" s="719">
        <f t="shared" si="23"/>
        <v>0</v>
      </c>
      <c r="CA23" s="719">
        <f t="shared" si="24"/>
        <v>0</v>
      </c>
      <c r="CB23" s="748">
        <f t="shared" si="25"/>
        <v>0</v>
      </c>
      <c r="CC23" s="719">
        <f t="shared" si="26"/>
        <v>0</v>
      </c>
      <c r="CD23" s="719">
        <f t="shared" si="27"/>
        <v>0</v>
      </c>
      <c r="CF23" s="455" t="s">
        <v>86</v>
      </c>
      <c r="CG23" s="459" t="s">
        <v>84</v>
      </c>
      <c r="CH23" s="456" t="s">
        <v>87</v>
      </c>
      <c r="CI23" s="466"/>
      <c r="CJ23" s="466">
        <v>0.2</v>
      </c>
      <c r="CK23" s="466">
        <v>0.2</v>
      </c>
      <c r="CL23" s="466">
        <v>0.2</v>
      </c>
      <c r="CM23" s="472">
        <v>0.3</v>
      </c>
      <c r="CN23" s="466"/>
      <c r="CO23" s="461">
        <v>0.2</v>
      </c>
      <c r="CP23" s="466"/>
      <c r="CQ23" s="466"/>
      <c r="CR23" s="466"/>
      <c r="CS23" s="462"/>
      <c r="CT23" s="461"/>
      <c r="CU23" s="461"/>
      <c r="CW23" s="455" t="s">
        <v>86</v>
      </c>
      <c r="CX23" s="459" t="s">
        <v>84</v>
      </c>
      <c r="CY23" s="456" t="s">
        <v>87</v>
      </c>
      <c r="CZ23" s="473"/>
      <c r="DA23" s="461"/>
      <c r="DB23" s="461"/>
      <c r="DC23" s="461"/>
      <c r="DD23" s="463"/>
      <c r="DE23" s="473"/>
      <c r="DF23" s="461"/>
      <c r="DG23" s="461"/>
      <c r="DH23" s="461"/>
      <c r="DI23" s="461"/>
      <c r="DJ23" s="462"/>
      <c r="DK23" s="461"/>
      <c r="DL23" s="461"/>
      <c r="DN23" s="455" t="s">
        <v>86</v>
      </c>
      <c r="DO23" s="459" t="s">
        <v>84</v>
      </c>
      <c r="DP23" s="456"/>
      <c r="DQ23" s="473"/>
      <c r="DR23" s="461"/>
      <c r="DS23" s="461"/>
      <c r="DT23" s="461"/>
      <c r="DU23" s="473"/>
      <c r="DV23" s="473"/>
      <c r="DW23" s="461"/>
      <c r="DX23" s="473"/>
      <c r="DY23" s="473"/>
      <c r="DZ23" s="461"/>
      <c r="EA23" s="462"/>
      <c r="EB23" s="462"/>
      <c r="EC23" s="461"/>
      <c r="ED23" s="555"/>
      <c r="EF23" s="455" t="s">
        <v>86</v>
      </c>
      <c r="EG23" s="459" t="s">
        <v>84</v>
      </c>
      <c r="EH23" s="456"/>
      <c r="EI23" s="615">
        <f t="shared" si="49"/>
        <v>0</v>
      </c>
      <c r="EJ23" s="609">
        <f t="shared" si="50"/>
        <v>0</v>
      </c>
      <c r="EK23" s="609">
        <f t="shared" si="51"/>
        <v>0</v>
      </c>
      <c r="EL23" s="609">
        <f t="shared" si="52"/>
        <v>0</v>
      </c>
      <c r="EM23" s="614">
        <f t="shared" si="53"/>
        <v>0</v>
      </c>
      <c r="EN23" s="615">
        <f t="shared" si="54"/>
        <v>0</v>
      </c>
      <c r="EO23" s="609">
        <f t="shared" si="55"/>
        <v>0</v>
      </c>
      <c r="EP23" s="609">
        <f t="shared" si="56"/>
        <v>0</v>
      </c>
      <c r="EQ23" s="609">
        <f t="shared" si="57"/>
        <v>0</v>
      </c>
      <c r="ER23" s="609">
        <f t="shared" si="47"/>
        <v>0</v>
      </c>
      <c r="ES23" s="611">
        <f t="shared" si="58"/>
        <v>0</v>
      </c>
      <c r="ET23" s="609">
        <f t="shared" si="59"/>
        <v>0</v>
      </c>
      <c r="EU23" s="609">
        <f t="shared" si="48"/>
        <v>0</v>
      </c>
      <c r="EW23" s="455" t="s">
        <v>86</v>
      </c>
      <c r="EX23" s="459" t="s">
        <v>84</v>
      </c>
      <c r="EY23" s="456"/>
      <c r="EZ23" s="598">
        <f t="shared" si="60"/>
        <v>0</v>
      </c>
      <c r="FA23" s="598"/>
      <c r="FB23" s="598"/>
      <c r="FC23" s="598"/>
      <c r="FD23" s="649"/>
      <c r="FE23" s="650"/>
      <c r="FF23" s="598"/>
      <c r="FG23" s="598"/>
      <c r="FH23" s="598"/>
      <c r="FI23" s="598"/>
      <c r="FJ23" s="647"/>
      <c r="FK23" s="598"/>
      <c r="FL23" s="598"/>
    </row>
    <row r="24" spans="2:168">
      <c r="B24" s="732" t="str">
        <f t="shared" si="4"/>
        <v>2.1.3</v>
      </c>
      <c r="C24" s="408" t="str">
        <f t="shared" si="5"/>
        <v>外皮性能</v>
      </c>
      <c r="D24" s="809" t="e">
        <f t="shared" si="61"/>
        <v>#REF!</v>
      </c>
      <c r="E24" s="730" t="e">
        <f t="shared" si="61"/>
        <v>#REF!</v>
      </c>
      <c r="G24" s="730" t="e">
        <f t="shared" si="6"/>
        <v>#REF!</v>
      </c>
      <c r="H24" s="730" t="e">
        <f t="shared" si="7"/>
        <v>#REF!</v>
      </c>
      <c r="I24" s="730"/>
      <c r="J24" s="730"/>
      <c r="K24" s="730" t="e">
        <f>IF(#REF!=0,0,1)</f>
        <v>#REF!</v>
      </c>
      <c r="L24" s="730" t="e">
        <f>IF(#REF!=0,0,1)</f>
        <v>#REF!</v>
      </c>
      <c r="M24" s="730">
        <f t="shared" si="8"/>
        <v>0.25</v>
      </c>
      <c r="N24" s="730">
        <f t="shared" si="9"/>
        <v>0</v>
      </c>
      <c r="P24" s="923"/>
      <c r="Q24" s="728"/>
      <c r="R24" s="414">
        <v>2</v>
      </c>
      <c r="S24" s="579" t="s">
        <v>132</v>
      </c>
      <c r="T24" s="745"/>
      <c r="U24" s="726"/>
      <c r="V24" s="747">
        <f t="shared" si="43"/>
        <v>0</v>
      </c>
      <c r="W24" s="746">
        <f t="shared" si="44"/>
        <v>0</v>
      </c>
      <c r="Y24" s="1">
        <f t="shared" si="29"/>
        <v>0</v>
      </c>
      <c r="Z24" s="1">
        <f t="shared" si="30"/>
        <v>0</v>
      </c>
      <c r="AA24" s="1">
        <f t="shared" si="31"/>
        <v>0</v>
      </c>
      <c r="AB24" s="1">
        <f t="shared" si="32"/>
        <v>0</v>
      </c>
      <c r="AC24" s="1">
        <f t="shared" si="33"/>
        <v>0</v>
      </c>
      <c r="AD24" s="1">
        <f t="shared" si="34"/>
        <v>0</v>
      </c>
      <c r="AE24" s="1">
        <f t="shared" si="35"/>
        <v>0</v>
      </c>
      <c r="AF24" s="1">
        <f t="shared" si="36"/>
        <v>0</v>
      </c>
      <c r="AG24" s="1">
        <f t="shared" si="37"/>
        <v>0</v>
      </c>
      <c r="AH24" s="1">
        <f t="shared" si="38"/>
        <v>0</v>
      </c>
      <c r="AI24" s="1">
        <f t="shared" si="39"/>
        <v>0</v>
      </c>
      <c r="AJ24" s="1">
        <f t="shared" si="40"/>
        <v>0</v>
      </c>
      <c r="AK24" s="1">
        <f t="shared" si="41"/>
        <v>0</v>
      </c>
      <c r="AM24" s="680"/>
      <c r="AN24" s="680"/>
      <c r="AO24" s="680"/>
      <c r="AP24" s="680"/>
      <c r="AQ24" s="680"/>
      <c r="AR24" s="680"/>
      <c r="AS24" s="680"/>
      <c r="AT24" s="680"/>
      <c r="AU24" s="680"/>
      <c r="AV24" s="680"/>
      <c r="AW24" s="680"/>
      <c r="AX24" s="680"/>
      <c r="AY24" s="680"/>
      <c r="BA24" s="723"/>
      <c r="BB24" s="723" t="e">
        <f t="shared" si="11"/>
        <v>#REF!</v>
      </c>
      <c r="BC24" s="723"/>
      <c r="BD24" s="722" t="e">
        <f>BR24*#REF!</f>
        <v>#REF!</v>
      </c>
      <c r="BE24" s="722" t="e">
        <f>BS24*#REF!</f>
        <v>#REF!</v>
      </c>
      <c r="BF24" s="722" t="e">
        <f>BT24*#REF!</f>
        <v>#REF!</v>
      </c>
      <c r="BG24" s="722" t="e">
        <f>BU24*#REF!</f>
        <v>#REF!</v>
      </c>
      <c r="BH24" s="935" t="e">
        <f>BV24*#REF!</f>
        <v>#REF!</v>
      </c>
      <c r="BI24" s="722" t="e">
        <f>BW24*#REF!</f>
        <v>#REF!</v>
      </c>
      <c r="BJ24" s="722" t="e">
        <f>BX24*#REF!</f>
        <v>#REF!</v>
      </c>
      <c r="BK24" s="722" t="e">
        <f>BY24*#REF!</f>
        <v>#REF!</v>
      </c>
      <c r="BL24" s="722" t="e">
        <f>BZ24*#REF!</f>
        <v>#REF!</v>
      </c>
      <c r="BM24" s="722" t="e">
        <f>CA24*#REF!</f>
        <v>#REF!</v>
      </c>
      <c r="BO24" s="749" t="str">
        <f t="shared" si="12"/>
        <v>2.1.3</v>
      </c>
      <c r="BP24" s="749" t="str">
        <f t="shared" si="13"/>
        <v xml:space="preserve"> Q1 2.1</v>
      </c>
      <c r="BQ24" s="408" t="str">
        <f t="shared" si="14"/>
        <v>外皮性能</v>
      </c>
      <c r="BR24" s="719">
        <f t="shared" si="15"/>
        <v>0.25</v>
      </c>
      <c r="BS24" s="719">
        <f t="shared" si="16"/>
        <v>0.4</v>
      </c>
      <c r="BT24" s="719">
        <f t="shared" si="17"/>
        <v>0.16666666666666666</v>
      </c>
      <c r="BU24" s="719">
        <f t="shared" si="18"/>
        <v>0.16666666666666666</v>
      </c>
      <c r="BV24" s="934">
        <f t="shared" si="19"/>
        <v>0.25</v>
      </c>
      <c r="BW24" s="719">
        <f t="shared" si="20"/>
        <v>0.25</v>
      </c>
      <c r="BX24" s="719">
        <f t="shared" si="21"/>
        <v>0.4</v>
      </c>
      <c r="BY24" s="719">
        <f t="shared" si="22"/>
        <v>0.25</v>
      </c>
      <c r="BZ24" s="719">
        <f t="shared" si="23"/>
        <v>0.25</v>
      </c>
      <c r="CA24" s="719">
        <f t="shared" si="24"/>
        <v>0.37499999999999994</v>
      </c>
      <c r="CB24" s="748">
        <f t="shared" si="25"/>
        <v>0.4285714285714286</v>
      </c>
      <c r="CC24" s="719">
        <f t="shared" si="26"/>
        <v>0.4285714285714286</v>
      </c>
      <c r="CD24" s="719">
        <f t="shared" si="27"/>
        <v>0.37499999999999994</v>
      </c>
      <c r="CF24" s="455" t="s">
        <v>88</v>
      </c>
      <c r="CG24" s="459" t="s">
        <v>84</v>
      </c>
      <c r="CH24" s="456" t="s">
        <v>89</v>
      </c>
      <c r="CI24" s="457">
        <v>0.2</v>
      </c>
      <c r="CJ24" s="457">
        <v>0.2</v>
      </c>
      <c r="CK24" s="457">
        <v>0.1</v>
      </c>
      <c r="CL24" s="457">
        <v>0.1</v>
      </c>
      <c r="CM24" s="471">
        <v>0.1</v>
      </c>
      <c r="CN24" s="457">
        <v>0.2</v>
      </c>
      <c r="CO24" s="461">
        <v>0.2</v>
      </c>
      <c r="CP24" s="457">
        <v>0.2</v>
      </c>
      <c r="CQ24" s="457">
        <v>0.2</v>
      </c>
      <c r="CR24" s="457">
        <v>0.3</v>
      </c>
      <c r="CS24" s="462">
        <v>0.5</v>
      </c>
      <c r="CT24" s="461">
        <v>0.5</v>
      </c>
      <c r="CU24" s="461">
        <v>0.6</v>
      </c>
      <c r="CW24" s="455" t="s">
        <v>88</v>
      </c>
      <c r="CX24" s="459" t="s">
        <v>84</v>
      </c>
      <c r="CY24" s="456" t="s">
        <v>89</v>
      </c>
      <c r="CZ24" s="461">
        <v>0.2</v>
      </c>
      <c r="DA24" s="461">
        <v>0.4</v>
      </c>
      <c r="DB24" s="461">
        <v>0.2</v>
      </c>
      <c r="DC24" s="461">
        <v>0.2</v>
      </c>
      <c r="DD24" s="463">
        <v>0.2</v>
      </c>
      <c r="DE24" s="461">
        <v>0.2</v>
      </c>
      <c r="DF24" s="461">
        <v>0.4</v>
      </c>
      <c r="DG24" s="461">
        <v>0.2</v>
      </c>
      <c r="DH24" s="461">
        <v>0.2</v>
      </c>
      <c r="DI24" s="461">
        <v>0.4</v>
      </c>
      <c r="DJ24" s="462">
        <v>0.4</v>
      </c>
      <c r="DK24" s="461">
        <v>0.4</v>
      </c>
      <c r="DL24" s="461">
        <v>0.4</v>
      </c>
      <c r="DN24" s="455" t="s">
        <v>88</v>
      </c>
      <c r="DO24" s="459" t="s">
        <v>84</v>
      </c>
      <c r="DP24" s="456" t="s">
        <v>89</v>
      </c>
      <c r="DQ24" s="667">
        <f>0.2/(0.3+0.2+0.3)</f>
        <v>0.25</v>
      </c>
      <c r="DR24" s="667">
        <f>0.2/(0.3+0.2)</f>
        <v>0.4</v>
      </c>
      <c r="DS24" s="667">
        <f>0.1/(0.3+0.1+0.2)</f>
        <v>0.16666666666666666</v>
      </c>
      <c r="DT24" s="667">
        <f>0.1/(0.3+0.1+0.2)</f>
        <v>0.16666666666666666</v>
      </c>
      <c r="DU24" s="667">
        <f>0.2/(0.3+0.2+0.3)</f>
        <v>0.25</v>
      </c>
      <c r="DV24" s="667">
        <f>0.2/(0.3+0.2+0.3)</f>
        <v>0.25</v>
      </c>
      <c r="DW24" s="667">
        <f>0.2/(0.3+0.2)</f>
        <v>0.4</v>
      </c>
      <c r="DX24" s="667">
        <f>0.2/(0.3+0.2+0.3)</f>
        <v>0.25</v>
      </c>
      <c r="DY24" s="667">
        <f>0.2/(0.3+0.2+0.3)</f>
        <v>0.25</v>
      </c>
      <c r="DZ24" s="667">
        <f>0.3/(0.5+0.3)</f>
        <v>0.37499999999999994</v>
      </c>
      <c r="EA24" s="667">
        <f>0.3/(0.4+0.3)</f>
        <v>0.4285714285714286</v>
      </c>
      <c r="EB24" s="667">
        <f>0.3/(0.4+0.3)</f>
        <v>0.4285714285714286</v>
      </c>
      <c r="EC24" s="667">
        <f>0.3/(0.5+0.3)</f>
        <v>0.37499999999999994</v>
      </c>
      <c r="ED24" s="555"/>
      <c r="EF24" s="455" t="s">
        <v>88</v>
      </c>
      <c r="EG24" s="459" t="s">
        <v>84</v>
      </c>
      <c r="EH24" s="456" t="s">
        <v>89</v>
      </c>
      <c r="EI24" s="609">
        <f t="shared" si="49"/>
        <v>0.25</v>
      </c>
      <c r="EJ24" s="609">
        <f t="shared" si="50"/>
        <v>0.4</v>
      </c>
      <c r="EK24" s="609">
        <f t="shared" si="51"/>
        <v>0.16666666666666666</v>
      </c>
      <c r="EL24" s="609">
        <f t="shared" si="52"/>
        <v>0.16666666666666666</v>
      </c>
      <c r="EM24" s="614">
        <f t="shared" si="53"/>
        <v>0.25</v>
      </c>
      <c r="EN24" s="609">
        <f t="shared" si="54"/>
        <v>0.25</v>
      </c>
      <c r="EO24" s="609">
        <f t="shared" si="55"/>
        <v>0.4</v>
      </c>
      <c r="EP24" s="609">
        <f t="shared" si="56"/>
        <v>0.25</v>
      </c>
      <c r="EQ24" s="609">
        <f t="shared" si="57"/>
        <v>0.25</v>
      </c>
      <c r="ER24" s="609">
        <f t="shared" si="47"/>
        <v>0.37499999999999994</v>
      </c>
      <c r="ES24" s="611">
        <f t="shared" si="58"/>
        <v>0.4285714285714286</v>
      </c>
      <c r="ET24" s="609">
        <f t="shared" si="59"/>
        <v>0.4285714285714286</v>
      </c>
      <c r="EU24" s="609">
        <f t="shared" si="48"/>
        <v>0.37499999999999994</v>
      </c>
      <c r="EW24" s="455" t="s">
        <v>88</v>
      </c>
      <c r="EX24" s="459" t="s">
        <v>84</v>
      </c>
      <c r="EY24" s="456" t="s">
        <v>89</v>
      </c>
      <c r="EZ24" s="598">
        <f t="shared" si="60"/>
        <v>0.25</v>
      </c>
      <c r="FA24" s="598"/>
      <c r="FB24" s="598"/>
      <c r="FC24" s="598"/>
      <c r="FD24" s="649"/>
      <c r="FE24" s="598"/>
      <c r="FF24" s="598"/>
      <c r="FG24" s="598"/>
      <c r="FH24" s="598"/>
      <c r="FI24" s="598"/>
      <c r="FJ24" s="647"/>
      <c r="FK24" s="598"/>
      <c r="FL24" s="598"/>
    </row>
    <row r="25" spans="2:168">
      <c r="B25" s="732" t="str">
        <f t="shared" si="4"/>
        <v>2.1.4</v>
      </c>
      <c r="C25" s="408" t="str">
        <f t="shared" si="5"/>
        <v>ゾーン別制御性</v>
      </c>
      <c r="D25" s="809" t="e">
        <f t="shared" si="61"/>
        <v>#REF!</v>
      </c>
      <c r="E25" s="730" t="e">
        <f t="shared" si="61"/>
        <v>#REF!</v>
      </c>
      <c r="G25" s="730" t="e">
        <f t="shared" si="6"/>
        <v>#REF!</v>
      </c>
      <c r="H25" s="730" t="e">
        <f t="shared" si="7"/>
        <v>#REF!</v>
      </c>
      <c r="I25" s="730"/>
      <c r="J25" s="730"/>
      <c r="K25" s="730" t="e">
        <f>IF(#REF!=0,0,1)</f>
        <v>#REF!</v>
      </c>
      <c r="L25" s="730" t="e">
        <f>IF(#REF!=0,0,1)</f>
        <v>#REF!</v>
      </c>
      <c r="M25" s="730">
        <f t="shared" si="8"/>
        <v>0.37499999999999994</v>
      </c>
      <c r="N25" s="730">
        <f t="shared" si="9"/>
        <v>0</v>
      </c>
      <c r="P25" s="923"/>
      <c r="Q25" s="728"/>
      <c r="R25" s="414">
        <v>3</v>
      </c>
      <c r="S25" s="579" t="s">
        <v>133</v>
      </c>
      <c r="T25" s="745"/>
      <c r="U25" s="726"/>
      <c r="V25" s="747">
        <f t="shared" si="43"/>
        <v>0</v>
      </c>
      <c r="W25" s="746">
        <f t="shared" si="44"/>
        <v>0</v>
      </c>
      <c r="Y25" s="1">
        <f t="shared" si="29"/>
        <v>0</v>
      </c>
      <c r="Z25" s="1">
        <f t="shared" si="30"/>
        <v>0</v>
      </c>
      <c r="AA25" s="1">
        <f t="shared" si="31"/>
        <v>0</v>
      </c>
      <c r="AB25" s="1">
        <f t="shared" si="32"/>
        <v>0</v>
      </c>
      <c r="AC25" s="1">
        <f t="shared" si="33"/>
        <v>0</v>
      </c>
      <c r="AD25" s="1">
        <f t="shared" si="34"/>
        <v>0</v>
      </c>
      <c r="AE25" s="1">
        <f t="shared" si="35"/>
        <v>0</v>
      </c>
      <c r="AF25" s="1">
        <f t="shared" si="36"/>
        <v>0</v>
      </c>
      <c r="AG25" s="1">
        <f t="shared" si="37"/>
        <v>0</v>
      </c>
      <c r="AH25" s="1">
        <f t="shared" si="38"/>
        <v>0</v>
      </c>
      <c r="AI25" s="1">
        <f t="shared" si="39"/>
        <v>0</v>
      </c>
      <c r="AJ25" s="1">
        <f t="shared" si="40"/>
        <v>0</v>
      </c>
      <c r="AK25" s="1">
        <f t="shared" si="41"/>
        <v>0</v>
      </c>
      <c r="AM25" s="680"/>
      <c r="AN25" s="680"/>
      <c r="AO25" s="680"/>
      <c r="AP25" s="680"/>
      <c r="AQ25" s="680"/>
      <c r="AR25" s="680"/>
      <c r="AS25" s="680"/>
      <c r="AT25" s="680"/>
      <c r="AU25" s="680"/>
      <c r="AV25" s="680"/>
      <c r="AW25" s="680"/>
      <c r="AX25" s="680"/>
      <c r="AY25" s="680"/>
      <c r="BA25" s="723"/>
      <c r="BB25" s="723" t="e">
        <f t="shared" si="11"/>
        <v>#REF!</v>
      </c>
      <c r="BC25" s="723"/>
      <c r="BD25" s="722" t="e">
        <f>BR25*#REF!</f>
        <v>#REF!</v>
      </c>
      <c r="BE25" s="722" t="e">
        <f>BS25*#REF!</f>
        <v>#REF!</v>
      </c>
      <c r="BF25" s="722" t="e">
        <f>BT25*#REF!</f>
        <v>#REF!</v>
      </c>
      <c r="BG25" s="722" t="e">
        <f>BU25*#REF!</f>
        <v>#REF!</v>
      </c>
      <c r="BH25" s="935" t="e">
        <f>BV25*#REF!</f>
        <v>#REF!</v>
      </c>
      <c r="BI25" s="722" t="e">
        <f>BW25*#REF!</f>
        <v>#REF!</v>
      </c>
      <c r="BJ25" s="722" t="e">
        <f>BX25*#REF!</f>
        <v>#REF!</v>
      </c>
      <c r="BK25" s="722" t="e">
        <f>BY25*#REF!</f>
        <v>#REF!</v>
      </c>
      <c r="BL25" s="722" t="e">
        <f>BZ25*#REF!</f>
        <v>#REF!</v>
      </c>
      <c r="BM25" s="722" t="e">
        <f>CA25*#REF!</f>
        <v>#REF!</v>
      </c>
      <c r="BO25" s="749" t="str">
        <f t="shared" si="12"/>
        <v>2.1.4</v>
      </c>
      <c r="BP25" s="749" t="str">
        <f t="shared" si="13"/>
        <v xml:space="preserve"> Q1 2.1</v>
      </c>
      <c r="BQ25" s="408" t="str">
        <f t="shared" si="14"/>
        <v>ゾーン別制御性</v>
      </c>
      <c r="BR25" s="719">
        <f t="shared" si="15"/>
        <v>0.37499999999999994</v>
      </c>
      <c r="BS25" s="719">
        <f t="shared" si="16"/>
        <v>0</v>
      </c>
      <c r="BT25" s="719">
        <f t="shared" si="17"/>
        <v>0.33333333333333331</v>
      </c>
      <c r="BU25" s="719">
        <f t="shared" si="18"/>
        <v>0.33333333333333331</v>
      </c>
      <c r="BV25" s="934">
        <f t="shared" si="19"/>
        <v>0.37499999999999994</v>
      </c>
      <c r="BW25" s="719">
        <f t="shared" si="20"/>
        <v>0.37499999999999994</v>
      </c>
      <c r="BX25" s="719">
        <f t="shared" si="21"/>
        <v>0</v>
      </c>
      <c r="BY25" s="719">
        <f t="shared" si="22"/>
        <v>0.37499999999999994</v>
      </c>
      <c r="BZ25" s="719">
        <f t="shared" si="23"/>
        <v>0.37499999999999994</v>
      </c>
      <c r="CA25" s="719">
        <f t="shared" si="24"/>
        <v>0</v>
      </c>
      <c r="CB25" s="748">
        <f t="shared" si="25"/>
        <v>0</v>
      </c>
      <c r="CC25" s="719">
        <f t="shared" si="26"/>
        <v>0</v>
      </c>
      <c r="CD25" s="719">
        <f t="shared" si="27"/>
        <v>0</v>
      </c>
      <c r="CF25" s="455" t="s">
        <v>572</v>
      </c>
      <c r="CG25" s="459" t="s">
        <v>84</v>
      </c>
      <c r="CH25" s="456" t="s">
        <v>573</v>
      </c>
      <c r="CI25" s="457">
        <v>0.3</v>
      </c>
      <c r="CJ25" s="457"/>
      <c r="CK25" s="457">
        <v>0.2</v>
      </c>
      <c r="CL25" s="457">
        <v>0.2</v>
      </c>
      <c r="CM25" s="471">
        <v>0.2</v>
      </c>
      <c r="CN25" s="457">
        <v>0.3</v>
      </c>
      <c r="CO25" s="461">
        <v>0</v>
      </c>
      <c r="CP25" s="457">
        <v>0.3</v>
      </c>
      <c r="CQ25" s="457">
        <v>0.3</v>
      </c>
      <c r="CR25" s="457"/>
      <c r="CS25" s="462"/>
      <c r="CT25" s="461"/>
      <c r="CU25" s="461"/>
      <c r="CW25" s="455" t="s">
        <v>572</v>
      </c>
      <c r="CX25" s="459" t="s">
        <v>84</v>
      </c>
      <c r="CY25" s="456" t="s">
        <v>573</v>
      </c>
      <c r="CZ25" s="461">
        <v>0.5</v>
      </c>
      <c r="DA25" s="461"/>
      <c r="DB25" s="461">
        <v>0.5</v>
      </c>
      <c r="DC25" s="461">
        <v>0.5</v>
      </c>
      <c r="DD25" s="463">
        <v>0.5</v>
      </c>
      <c r="DE25" s="461">
        <v>0.5</v>
      </c>
      <c r="DF25" s="461"/>
      <c r="DG25" s="461">
        <v>0.5</v>
      </c>
      <c r="DH25" s="461">
        <v>0.5</v>
      </c>
      <c r="DI25" s="461"/>
      <c r="DJ25" s="462"/>
      <c r="DK25" s="461"/>
      <c r="DL25" s="461"/>
      <c r="DN25" s="455" t="s">
        <v>572</v>
      </c>
      <c r="DO25" s="459" t="s">
        <v>84</v>
      </c>
      <c r="DP25" s="456" t="s">
        <v>573</v>
      </c>
      <c r="DQ25" s="667">
        <f>0.3/(0.3+0.2+0.3)</f>
        <v>0.37499999999999994</v>
      </c>
      <c r="DR25" s="461"/>
      <c r="DS25" s="667">
        <f>0.2/(0.3+0.1+0.2)</f>
        <v>0.33333333333333331</v>
      </c>
      <c r="DT25" s="667">
        <f>0.2/(0.3+0.1+0.2)</f>
        <v>0.33333333333333331</v>
      </c>
      <c r="DU25" s="667">
        <f>0.3/(0.3+0.2+0.3)</f>
        <v>0.37499999999999994</v>
      </c>
      <c r="DV25" s="667">
        <f>0.3/(0.3+0.2+0.3)</f>
        <v>0.37499999999999994</v>
      </c>
      <c r="DW25" s="461"/>
      <c r="DX25" s="667">
        <f>0.3/(0.3+0.2+0.3)</f>
        <v>0.37499999999999994</v>
      </c>
      <c r="DY25" s="667">
        <f>0.3/(0.3+0.2+0.3)</f>
        <v>0.37499999999999994</v>
      </c>
      <c r="DZ25" s="461"/>
      <c r="EA25" s="462"/>
      <c r="EB25" s="461"/>
      <c r="EC25" s="461"/>
      <c r="ED25" s="555"/>
      <c r="EF25" s="455" t="s">
        <v>572</v>
      </c>
      <c r="EG25" s="459" t="s">
        <v>84</v>
      </c>
      <c r="EH25" s="456" t="s">
        <v>573</v>
      </c>
      <c r="EI25" s="609">
        <f t="shared" si="49"/>
        <v>0.37499999999999994</v>
      </c>
      <c r="EJ25" s="609">
        <f t="shared" si="50"/>
        <v>0</v>
      </c>
      <c r="EK25" s="609">
        <f t="shared" si="51"/>
        <v>0.33333333333333331</v>
      </c>
      <c r="EL25" s="609">
        <f t="shared" si="52"/>
        <v>0.33333333333333331</v>
      </c>
      <c r="EM25" s="614">
        <f t="shared" si="53"/>
        <v>0.37499999999999994</v>
      </c>
      <c r="EN25" s="609">
        <f t="shared" si="54"/>
        <v>0.37499999999999994</v>
      </c>
      <c r="EO25" s="609">
        <f t="shared" si="55"/>
        <v>0</v>
      </c>
      <c r="EP25" s="609">
        <f t="shared" si="56"/>
        <v>0.37499999999999994</v>
      </c>
      <c r="EQ25" s="609">
        <f t="shared" si="57"/>
        <v>0.37499999999999994</v>
      </c>
      <c r="ER25" s="609">
        <f t="shared" si="47"/>
        <v>0</v>
      </c>
      <c r="ES25" s="611">
        <f t="shared" si="58"/>
        <v>0</v>
      </c>
      <c r="ET25" s="609">
        <f t="shared" si="59"/>
        <v>0</v>
      </c>
      <c r="EU25" s="609">
        <f t="shared" si="48"/>
        <v>0</v>
      </c>
      <c r="EW25" s="455" t="s">
        <v>572</v>
      </c>
      <c r="EX25" s="459" t="s">
        <v>84</v>
      </c>
      <c r="EY25" s="456" t="s">
        <v>573</v>
      </c>
      <c r="EZ25" s="598">
        <f t="shared" si="60"/>
        <v>0.37499999999999994</v>
      </c>
      <c r="FA25" s="598"/>
      <c r="FB25" s="598"/>
      <c r="FC25" s="598"/>
      <c r="FD25" s="649"/>
      <c r="FE25" s="598"/>
      <c r="FF25" s="598"/>
      <c r="FG25" s="598"/>
      <c r="FH25" s="598"/>
      <c r="FI25" s="598"/>
      <c r="FJ25" s="647"/>
      <c r="FK25" s="598"/>
      <c r="FL25" s="598"/>
    </row>
    <row r="26" spans="2:168" hidden="1">
      <c r="B26" s="732" t="str">
        <f t="shared" si="4"/>
        <v>2.1.5</v>
      </c>
      <c r="C26" s="408">
        <f t="shared" si="5"/>
        <v>0</v>
      </c>
      <c r="D26" s="809" t="e">
        <f t="shared" si="61"/>
        <v>#REF!</v>
      </c>
      <c r="E26" s="730" t="e">
        <f t="shared" si="61"/>
        <v>#REF!</v>
      </c>
      <c r="G26" s="730" t="e">
        <f t="shared" si="6"/>
        <v>#REF!</v>
      </c>
      <c r="H26" s="730" t="e">
        <f t="shared" si="7"/>
        <v>#REF!</v>
      </c>
      <c r="I26" s="730"/>
      <c r="J26" s="730"/>
      <c r="K26" s="730" t="e">
        <f>IF(#REF!=0,0,1)</f>
        <v>#REF!</v>
      </c>
      <c r="L26" s="730" t="e">
        <f>IF(#REF!=0,0,1)</f>
        <v>#REF!</v>
      </c>
      <c r="M26" s="730">
        <f t="shared" si="8"/>
        <v>0</v>
      </c>
      <c r="N26" s="730">
        <f t="shared" si="9"/>
        <v>0</v>
      </c>
      <c r="P26" s="965"/>
      <c r="Q26" s="966"/>
      <c r="R26" s="954">
        <v>5</v>
      </c>
      <c r="S26" s="953" t="s">
        <v>1016</v>
      </c>
      <c r="T26" s="853"/>
      <c r="U26" s="726"/>
      <c r="V26" s="747">
        <f t="shared" si="43"/>
        <v>0</v>
      </c>
      <c r="W26" s="746">
        <f t="shared" si="44"/>
        <v>0</v>
      </c>
      <c r="Y26" s="1">
        <f t="shared" si="29"/>
        <v>0</v>
      </c>
      <c r="Z26" s="1">
        <f t="shared" si="30"/>
        <v>0</v>
      </c>
      <c r="AA26" s="1">
        <f t="shared" si="31"/>
        <v>0</v>
      </c>
      <c r="AB26" s="1">
        <f t="shared" si="32"/>
        <v>0</v>
      </c>
      <c r="AC26" s="1">
        <f t="shared" si="33"/>
        <v>0</v>
      </c>
      <c r="AD26" s="1">
        <f t="shared" si="34"/>
        <v>0</v>
      </c>
      <c r="AE26" s="1">
        <f t="shared" si="35"/>
        <v>0</v>
      </c>
      <c r="AF26" s="1">
        <f t="shared" si="36"/>
        <v>0</v>
      </c>
      <c r="AG26" s="1">
        <f t="shared" si="37"/>
        <v>0</v>
      </c>
      <c r="AH26" s="1">
        <f t="shared" si="38"/>
        <v>0</v>
      </c>
      <c r="AI26" s="1">
        <f t="shared" si="39"/>
        <v>0</v>
      </c>
      <c r="AJ26" s="1">
        <f t="shared" si="40"/>
        <v>0</v>
      </c>
      <c r="AK26" s="1">
        <f t="shared" si="41"/>
        <v>0</v>
      </c>
      <c r="AM26" s="680"/>
      <c r="AN26" s="680"/>
      <c r="AO26" s="680"/>
      <c r="AP26" s="680"/>
      <c r="AQ26" s="680"/>
      <c r="AR26" s="680"/>
      <c r="AS26" s="680"/>
      <c r="AT26" s="680"/>
      <c r="AU26" s="680"/>
      <c r="AV26" s="680"/>
      <c r="AW26" s="680"/>
      <c r="AX26" s="680"/>
      <c r="AY26" s="680"/>
      <c r="BA26" s="723"/>
      <c r="BB26" s="723" t="e">
        <f t="shared" si="11"/>
        <v>#REF!</v>
      </c>
      <c r="BC26" s="723"/>
      <c r="BD26" s="722" t="e">
        <f>BR26*#REF!</f>
        <v>#REF!</v>
      </c>
      <c r="BE26" s="722" t="e">
        <f>BS26*#REF!</f>
        <v>#REF!</v>
      </c>
      <c r="BF26" s="722" t="e">
        <f>BT26*#REF!</f>
        <v>#REF!</v>
      </c>
      <c r="BG26" s="722" t="e">
        <f>BU26*#REF!</f>
        <v>#REF!</v>
      </c>
      <c r="BH26" s="935" t="e">
        <f>BV26*#REF!</f>
        <v>#REF!</v>
      </c>
      <c r="BI26" s="722" t="e">
        <f>BW26*#REF!</f>
        <v>#REF!</v>
      </c>
      <c r="BJ26" s="722" t="e">
        <f>BX26*#REF!</f>
        <v>#REF!</v>
      </c>
      <c r="BK26" s="722" t="e">
        <f>BY26*#REF!</f>
        <v>#REF!</v>
      </c>
      <c r="BL26" s="722" t="e">
        <f>BZ26*#REF!</f>
        <v>#REF!</v>
      </c>
      <c r="BM26" s="722" t="e">
        <f>CA26*#REF!</f>
        <v>#REF!</v>
      </c>
      <c r="BO26" s="749" t="str">
        <f t="shared" si="12"/>
        <v>2.1.5</v>
      </c>
      <c r="BP26" s="749" t="str">
        <f t="shared" si="13"/>
        <v xml:space="preserve"> Q1 2.1</v>
      </c>
      <c r="BQ26" s="408">
        <f t="shared" si="14"/>
        <v>0</v>
      </c>
      <c r="BR26" s="719">
        <f t="shared" si="15"/>
        <v>0</v>
      </c>
      <c r="BS26" s="719">
        <f t="shared" si="16"/>
        <v>0</v>
      </c>
      <c r="BT26" s="719">
        <f t="shared" si="17"/>
        <v>0</v>
      </c>
      <c r="BU26" s="719">
        <f t="shared" si="18"/>
        <v>0</v>
      </c>
      <c r="BV26" s="934">
        <f t="shared" si="19"/>
        <v>0</v>
      </c>
      <c r="BW26" s="719">
        <f t="shared" si="20"/>
        <v>0</v>
      </c>
      <c r="BX26" s="719">
        <f t="shared" si="21"/>
        <v>0</v>
      </c>
      <c r="BY26" s="719">
        <f t="shared" si="22"/>
        <v>0</v>
      </c>
      <c r="BZ26" s="719">
        <f t="shared" si="23"/>
        <v>0</v>
      </c>
      <c r="CA26" s="719">
        <f t="shared" si="24"/>
        <v>0</v>
      </c>
      <c r="CB26" s="748">
        <f t="shared" si="25"/>
        <v>0</v>
      </c>
      <c r="CC26" s="719">
        <f t="shared" si="26"/>
        <v>0</v>
      </c>
      <c r="CD26" s="719">
        <f t="shared" si="27"/>
        <v>0</v>
      </c>
      <c r="CF26" s="455" t="s">
        <v>574</v>
      </c>
      <c r="CG26" s="459" t="s">
        <v>84</v>
      </c>
      <c r="CH26" s="456" t="s">
        <v>575</v>
      </c>
      <c r="CI26" s="466">
        <v>0.1</v>
      </c>
      <c r="CJ26" s="466">
        <v>0.1</v>
      </c>
      <c r="CK26" s="466">
        <v>0.1</v>
      </c>
      <c r="CL26" s="466">
        <v>0.1</v>
      </c>
      <c r="CM26" s="472">
        <v>0.1</v>
      </c>
      <c r="CN26" s="466">
        <v>0.1</v>
      </c>
      <c r="CO26" s="461">
        <v>0.1</v>
      </c>
      <c r="CP26" s="466">
        <v>0.1</v>
      </c>
      <c r="CQ26" s="466">
        <v>0.1</v>
      </c>
      <c r="CR26" s="466">
        <v>0.2</v>
      </c>
      <c r="CS26" s="462">
        <v>0.3</v>
      </c>
      <c r="CT26" s="461">
        <v>0.3</v>
      </c>
      <c r="CU26" s="461"/>
      <c r="CW26" s="455" t="s">
        <v>574</v>
      </c>
      <c r="CX26" s="459" t="s">
        <v>84</v>
      </c>
      <c r="CY26" s="456" t="s">
        <v>575</v>
      </c>
      <c r="CZ26" s="461"/>
      <c r="DA26" s="461"/>
      <c r="DB26" s="461"/>
      <c r="DC26" s="461"/>
      <c r="DD26" s="463"/>
      <c r="DE26" s="461"/>
      <c r="DF26" s="461"/>
      <c r="DG26" s="461"/>
      <c r="DH26" s="461"/>
      <c r="DI26" s="461"/>
      <c r="DJ26" s="462"/>
      <c r="DK26" s="461"/>
      <c r="DL26" s="461"/>
      <c r="DN26" s="455" t="s">
        <v>574</v>
      </c>
      <c r="DO26" s="459" t="s">
        <v>84</v>
      </c>
      <c r="DP26" s="456"/>
      <c r="DQ26" s="461"/>
      <c r="DR26" s="461"/>
      <c r="DS26" s="461"/>
      <c r="DT26" s="461"/>
      <c r="DU26" s="572"/>
      <c r="DV26" s="461"/>
      <c r="DW26" s="461"/>
      <c r="DX26" s="461"/>
      <c r="DY26" s="461"/>
      <c r="DZ26" s="461"/>
      <c r="EA26" s="462"/>
      <c r="EB26" s="461"/>
      <c r="EC26" s="461"/>
      <c r="ED26" s="555"/>
      <c r="EF26" s="455" t="s">
        <v>574</v>
      </c>
      <c r="EG26" s="459" t="s">
        <v>84</v>
      </c>
      <c r="EH26" s="456"/>
      <c r="EI26" s="609">
        <f t="shared" si="49"/>
        <v>0</v>
      </c>
      <c r="EJ26" s="609">
        <f t="shared" si="50"/>
        <v>0</v>
      </c>
      <c r="EK26" s="609">
        <f t="shared" si="51"/>
        <v>0</v>
      </c>
      <c r="EL26" s="609">
        <f t="shared" si="52"/>
        <v>0</v>
      </c>
      <c r="EM26" s="614">
        <f t="shared" si="53"/>
        <v>0</v>
      </c>
      <c r="EN26" s="609">
        <f t="shared" si="54"/>
        <v>0</v>
      </c>
      <c r="EO26" s="609">
        <f t="shared" si="55"/>
        <v>0</v>
      </c>
      <c r="EP26" s="609">
        <f t="shared" si="56"/>
        <v>0</v>
      </c>
      <c r="EQ26" s="609">
        <f t="shared" si="57"/>
        <v>0</v>
      </c>
      <c r="ER26" s="609">
        <f t="shared" si="47"/>
        <v>0</v>
      </c>
      <c r="ES26" s="611">
        <f t="shared" si="58"/>
        <v>0</v>
      </c>
      <c r="ET26" s="609">
        <f t="shared" si="59"/>
        <v>0</v>
      </c>
      <c r="EU26" s="609">
        <f t="shared" si="48"/>
        <v>0</v>
      </c>
      <c r="EW26" s="455" t="s">
        <v>574</v>
      </c>
      <c r="EX26" s="459" t="s">
        <v>84</v>
      </c>
      <c r="EY26" s="456"/>
      <c r="EZ26" s="598">
        <f t="shared" si="60"/>
        <v>0</v>
      </c>
      <c r="FA26" s="598"/>
      <c r="FB26" s="598"/>
      <c r="FC26" s="598"/>
      <c r="FD26" s="649"/>
      <c r="FE26" s="598"/>
      <c r="FF26" s="598"/>
      <c r="FG26" s="598"/>
      <c r="FH26" s="598"/>
      <c r="FI26" s="598"/>
      <c r="FJ26" s="647"/>
      <c r="FK26" s="598"/>
      <c r="FL26" s="598"/>
    </row>
    <row r="27" spans="2:168" hidden="1">
      <c r="B27" s="732" t="str">
        <f t="shared" si="4"/>
        <v>2.1.6</v>
      </c>
      <c r="C27" s="408">
        <f t="shared" si="5"/>
        <v>0</v>
      </c>
      <c r="D27" s="809" t="e">
        <f t="shared" si="61"/>
        <v>#REF!</v>
      </c>
      <c r="E27" s="730" t="e">
        <f t="shared" si="61"/>
        <v>#REF!</v>
      </c>
      <c r="G27" s="730" t="e">
        <f t="shared" si="6"/>
        <v>#REF!</v>
      </c>
      <c r="H27" s="730" t="e">
        <f t="shared" si="7"/>
        <v>#REF!</v>
      </c>
      <c r="I27" s="730"/>
      <c r="J27" s="730"/>
      <c r="K27" s="730" t="e">
        <f>IF(#REF!=0,0,1)</f>
        <v>#REF!</v>
      </c>
      <c r="L27" s="730" t="e">
        <f>IF(#REF!=0,0,1)</f>
        <v>#REF!</v>
      </c>
      <c r="M27" s="730">
        <f t="shared" si="8"/>
        <v>0</v>
      </c>
      <c r="N27" s="730">
        <f t="shared" si="9"/>
        <v>0</v>
      </c>
      <c r="P27" s="965"/>
      <c r="Q27" s="966"/>
      <c r="R27" s="954">
        <v>6</v>
      </c>
      <c r="S27" s="953" t="s">
        <v>134</v>
      </c>
      <c r="T27" s="853"/>
      <c r="U27" s="726"/>
      <c r="V27" s="747">
        <f t="shared" si="43"/>
        <v>0</v>
      </c>
      <c r="W27" s="746">
        <f t="shared" si="44"/>
        <v>0</v>
      </c>
      <c r="Y27" s="1">
        <f t="shared" si="29"/>
        <v>0</v>
      </c>
      <c r="Z27" s="1">
        <f t="shared" si="30"/>
        <v>0</v>
      </c>
      <c r="AA27" s="1">
        <f t="shared" si="31"/>
        <v>0</v>
      </c>
      <c r="AB27" s="1">
        <f t="shared" si="32"/>
        <v>0</v>
      </c>
      <c r="AC27" s="1">
        <f t="shared" si="33"/>
        <v>0</v>
      </c>
      <c r="AD27" s="1">
        <f t="shared" si="34"/>
        <v>0</v>
      </c>
      <c r="AE27" s="1">
        <f t="shared" si="35"/>
        <v>0</v>
      </c>
      <c r="AF27" s="1">
        <f t="shared" si="36"/>
        <v>0</v>
      </c>
      <c r="AG27" s="1">
        <f t="shared" si="37"/>
        <v>0</v>
      </c>
      <c r="AH27" s="1">
        <f t="shared" si="38"/>
        <v>0</v>
      </c>
      <c r="AI27" s="1">
        <f t="shared" si="39"/>
        <v>0</v>
      </c>
      <c r="AJ27" s="1">
        <f t="shared" si="40"/>
        <v>0</v>
      </c>
      <c r="AK27" s="1">
        <f t="shared" si="41"/>
        <v>0</v>
      </c>
      <c r="AM27" s="680"/>
      <c r="AN27" s="680"/>
      <c r="AO27" s="680"/>
      <c r="AP27" s="680"/>
      <c r="AQ27" s="680"/>
      <c r="AR27" s="680"/>
      <c r="AS27" s="680"/>
      <c r="AT27" s="680"/>
      <c r="AU27" s="680"/>
      <c r="AV27" s="680"/>
      <c r="AW27" s="680"/>
      <c r="AX27" s="680"/>
      <c r="AY27" s="680"/>
      <c r="BA27" s="723"/>
      <c r="BB27" s="723" t="e">
        <f t="shared" si="11"/>
        <v>#REF!</v>
      </c>
      <c r="BC27" s="723"/>
      <c r="BD27" s="722" t="e">
        <f>BR27*#REF!</f>
        <v>#REF!</v>
      </c>
      <c r="BE27" s="722" t="e">
        <f>BS27*#REF!</f>
        <v>#REF!</v>
      </c>
      <c r="BF27" s="722" t="e">
        <f>BT27*#REF!</f>
        <v>#REF!</v>
      </c>
      <c r="BG27" s="722" t="e">
        <f>BU27*#REF!</f>
        <v>#REF!</v>
      </c>
      <c r="BH27" s="935" t="e">
        <f>BV27*#REF!</f>
        <v>#REF!</v>
      </c>
      <c r="BI27" s="722" t="e">
        <f>BW27*#REF!</f>
        <v>#REF!</v>
      </c>
      <c r="BJ27" s="722" t="e">
        <f>BX27*#REF!</f>
        <v>#REF!</v>
      </c>
      <c r="BK27" s="722" t="e">
        <f>BY27*#REF!</f>
        <v>#REF!</v>
      </c>
      <c r="BL27" s="722" t="e">
        <f>BZ27*#REF!</f>
        <v>#REF!</v>
      </c>
      <c r="BM27" s="722" t="e">
        <f>CA27*#REF!</f>
        <v>#REF!</v>
      </c>
      <c r="BO27" s="749" t="str">
        <f t="shared" si="12"/>
        <v>2.1.6</v>
      </c>
      <c r="BP27" s="749" t="str">
        <f t="shared" si="13"/>
        <v xml:space="preserve"> Q1 2.1</v>
      </c>
      <c r="BQ27" s="408">
        <f t="shared" si="14"/>
        <v>0</v>
      </c>
      <c r="BR27" s="719">
        <f t="shared" si="15"/>
        <v>0</v>
      </c>
      <c r="BS27" s="719">
        <f t="shared" si="16"/>
        <v>0</v>
      </c>
      <c r="BT27" s="719">
        <f t="shared" si="17"/>
        <v>0</v>
      </c>
      <c r="BU27" s="719">
        <f t="shared" si="18"/>
        <v>0</v>
      </c>
      <c r="BV27" s="934">
        <f t="shared" si="19"/>
        <v>0</v>
      </c>
      <c r="BW27" s="719">
        <f t="shared" si="20"/>
        <v>0</v>
      </c>
      <c r="BX27" s="719">
        <f t="shared" si="21"/>
        <v>0</v>
      </c>
      <c r="BY27" s="719">
        <f t="shared" si="22"/>
        <v>0</v>
      </c>
      <c r="BZ27" s="719">
        <f t="shared" si="23"/>
        <v>0</v>
      </c>
      <c r="CA27" s="719">
        <f t="shared" si="24"/>
        <v>0</v>
      </c>
      <c r="CB27" s="748">
        <f t="shared" si="25"/>
        <v>0</v>
      </c>
      <c r="CC27" s="719">
        <f t="shared" si="26"/>
        <v>0</v>
      </c>
      <c r="CD27" s="719">
        <f t="shared" si="27"/>
        <v>0</v>
      </c>
      <c r="CF27" s="455" t="s">
        <v>576</v>
      </c>
      <c r="CG27" s="459" t="s">
        <v>84</v>
      </c>
      <c r="CH27" s="456" t="s">
        <v>577</v>
      </c>
      <c r="CI27" s="466"/>
      <c r="CJ27" s="466"/>
      <c r="CK27" s="466"/>
      <c r="CL27" s="466"/>
      <c r="CM27" s="472"/>
      <c r="CN27" s="466"/>
      <c r="CO27" s="461">
        <v>0</v>
      </c>
      <c r="CP27" s="466"/>
      <c r="CQ27" s="466"/>
      <c r="CR27" s="466"/>
      <c r="CS27" s="462">
        <v>0.2</v>
      </c>
      <c r="CT27" s="461">
        <v>0.2</v>
      </c>
      <c r="CU27" s="461">
        <v>0.4</v>
      </c>
      <c r="CW27" s="455" t="s">
        <v>576</v>
      </c>
      <c r="CX27" s="459" t="s">
        <v>84</v>
      </c>
      <c r="CY27" s="456" t="s">
        <v>577</v>
      </c>
      <c r="CZ27" s="461"/>
      <c r="DA27" s="461"/>
      <c r="DB27" s="461"/>
      <c r="DC27" s="461"/>
      <c r="DD27" s="463"/>
      <c r="DE27" s="461"/>
      <c r="DF27" s="461"/>
      <c r="DG27" s="461"/>
      <c r="DH27" s="461"/>
      <c r="DI27" s="461"/>
      <c r="DJ27" s="462"/>
      <c r="DK27" s="461"/>
      <c r="DL27" s="461"/>
      <c r="DN27" s="455" t="s">
        <v>576</v>
      </c>
      <c r="DO27" s="459" t="s">
        <v>84</v>
      </c>
      <c r="DP27" s="456"/>
      <c r="DQ27" s="461"/>
      <c r="DR27" s="461"/>
      <c r="DS27" s="461"/>
      <c r="DT27" s="461"/>
      <c r="DU27" s="572"/>
      <c r="DV27" s="461"/>
      <c r="DW27" s="461"/>
      <c r="DX27" s="461"/>
      <c r="DY27" s="461"/>
      <c r="DZ27" s="461"/>
      <c r="EA27" s="462"/>
      <c r="EB27" s="461"/>
      <c r="EC27" s="461"/>
      <c r="ED27" s="555"/>
      <c r="EF27" s="455" t="s">
        <v>576</v>
      </c>
      <c r="EG27" s="459" t="s">
        <v>84</v>
      </c>
      <c r="EH27" s="456"/>
      <c r="EI27" s="609">
        <f t="shared" si="49"/>
        <v>0</v>
      </c>
      <c r="EJ27" s="609">
        <f t="shared" si="50"/>
        <v>0</v>
      </c>
      <c r="EK27" s="609">
        <f t="shared" si="51"/>
        <v>0</v>
      </c>
      <c r="EL27" s="609">
        <f t="shared" si="52"/>
        <v>0</v>
      </c>
      <c r="EM27" s="614">
        <f t="shared" si="53"/>
        <v>0</v>
      </c>
      <c r="EN27" s="609">
        <f t="shared" si="54"/>
        <v>0</v>
      </c>
      <c r="EO27" s="609">
        <f t="shared" si="55"/>
        <v>0</v>
      </c>
      <c r="EP27" s="609">
        <f t="shared" si="56"/>
        <v>0</v>
      </c>
      <c r="EQ27" s="609">
        <f t="shared" si="57"/>
        <v>0</v>
      </c>
      <c r="ER27" s="609">
        <f t="shared" si="47"/>
        <v>0</v>
      </c>
      <c r="ES27" s="611">
        <f t="shared" si="58"/>
        <v>0</v>
      </c>
      <c r="ET27" s="609">
        <f t="shared" si="59"/>
        <v>0</v>
      </c>
      <c r="EU27" s="609">
        <f t="shared" si="48"/>
        <v>0</v>
      </c>
      <c r="EW27" s="455" t="s">
        <v>576</v>
      </c>
      <c r="EX27" s="459" t="s">
        <v>84</v>
      </c>
      <c r="EY27" s="456"/>
      <c r="EZ27" s="598">
        <f t="shared" si="60"/>
        <v>0</v>
      </c>
      <c r="FA27" s="598"/>
      <c r="FB27" s="598"/>
      <c r="FC27" s="598"/>
      <c r="FD27" s="649"/>
      <c r="FE27" s="598"/>
      <c r="FF27" s="598"/>
      <c r="FG27" s="598"/>
      <c r="FH27" s="598"/>
      <c r="FI27" s="598"/>
      <c r="FJ27" s="647"/>
      <c r="FK27" s="598"/>
      <c r="FL27" s="598"/>
    </row>
    <row r="28" spans="2:168" hidden="1">
      <c r="B28" s="732" t="str">
        <f t="shared" si="4"/>
        <v>2.1.7</v>
      </c>
      <c r="C28" s="408">
        <f t="shared" si="5"/>
        <v>0</v>
      </c>
      <c r="D28" s="809" t="e">
        <f t="shared" si="61"/>
        <v>#REF!</v>
      </c>
      <c r="E28" s="730" t="e">
        <f t="shared" si="61"/>
        <v>#REF!</v>
      </c>
      <c r="G28" s="730" t="e">
        <f t="shared" si="6"/>
        <v>#REF!</v>
      </c>
      <c r="H28" s="730" t="e">
        <f t="shared" si="7"/>
        <v>#REF!</v>
      </c>
      <c r="I28" s="730"/>
      <c r="J28" s="730"/>
      <c r="K28" s="730" t="e">
        <f>IF(#REF!=0,0,1)</f>
        <v>#REF!</v>
      </c>
      <c r="L28" s="730" t="e">
        <f>IF(#REF!=0,0,1)</f>
        <v>#REF!</v>
      </c>
      <c r="M28" s="730">
        <f t="shared" si="8"/>
        <v>0</v>
      </c>
      <c r="N28" s="730">
        <f t="shared" si="9"/>
        <v>0</v>
      </c>
      <c r="P28" s="965"/>
      <c r="Q28" s="966"/>
      <c r="R28" s="954">
        <v>7</v>
      </c>
      <c r="S28" s="953" t="s">
        <v>63</v>
      </c>
      <c r="T28" s="853"/>
      <c r="U28" s="726"/>
      <c r="V28" s="747">
        <f t="shared" si="43"/>
        <v>0</v>
      </c>
      <c r="W28" s="746">
        <f t="shared" si="44"/>
        <v>0</v>
      </c>
      <c r="Y28" s="1">
        <f t="shared" si="29"/>
        <v>0</v>
      </c>
      <c r="Z28" s="1">
        <f t="shared" si="30"/>
        <v>0</v>
      </c>
      <c r="AA28" s="1">
        <f t="shared" si="31"/>
        <v>0</v>
      </c>
      <c r="AB28" s="1">
        <f t="shared" si="32"/>
        <v>0</v>
      </c>
      <c r="AC28" s="1">
        <f t="shared" si="33"/>
        <v>0</v>
      </c>
      <c r="AD28" s="1">
        <f t="shared" si="34"/>
        <v>0</v>
      </c>
      <c r="AE28" s="1">
        <f t="shared" si="35"/>
        <v>0</v>
      </c>
      <c r="AF28" s="1">
        <f t="shared" si="36"/>
        <v>0</v>
      </c>
      <c r="AG28" s="1">
        <f t="shared" si="37"/>
        <v>0</v>
      </c>
      <c r="AH28" s="1">
        <f t="shared" si="38"/>
        <v>0</v>
      </c>
      <c r="AI28" s="1">
        <f t="shared" si="39"/>
        <v>0</v>
      </c>
      <c r="AJ28" s="1">
        <f t="shared" si="40"/>
        <v>0</v>
      </c>
      <c r="AK28" s="1">
        <f t="shared" si="41"/>
        <v>0</v>
      </c>
      <c r="AM28" s="680"/>
      <c r="AN28" s="680"/>
      <c r="AO28" s="680"/>
      <c r="AP28" s="680"/>
      <c r="AQ28" s="680"/>
      <c r="AR28" s="680"/>
      <c r="AS28" s="680"/>
      <c r="AT28" s="680"/>
      <c r="AU28" s="680"/>
      <c r="AV28" s="680"/>
      <c r="AW28" s="680"/>
      <c r="AX28" s="680"/>
      <c r="AY28" s="680"/>
      <c r="BA28" s="723"/>
      <c r="BB28" s="723" t="e">
        <f t="shared" si="11"/>
        <v>#REF!</v>
      </c>
      <c r="BC28" s="723"/>
      <c r="BD28" s="722" t="e">
        <f>BR28*#REF!</f>
        <v>#REF!</v>
      </c>
      <c r="BE28" s="722" t="e">
        <f>BS28*#REF!</f>
        <v>#REF!</v>
      </c>
      <c r="BF28" s="722" t="e">
        <f>BT28*#REF!</f>
        <v>#REF!</v>
      </c>
      <c r="BG28" s="722" t="e">
        <f>BU28*#REF!</f>
        <v>#REF!</v>
      </c>
      <c r="BH28" s="935" t="e">
        <f>BV28*#REF!</f>
        <v>#REF!</v>
      </c>
      <c r="BI28" s="722" t="e">
        <f>BW28*#REF!</f>
        <v>#REF!</v>
      </c>
      <c r="BJ28" s="722" t="e">
        <f>BX28*#REF!</f>
        <v>#REF!</v>
      </c>
      <c r="BK28" s="722" t="e">
        <f>BY28*#REF!</f>
        <v>#REF!</v>
      </c>
      <c r="BL28" s="722" t="e">
        <f>BZ28*#REF!</f>
        <v>#REF!</v>
      </c>
      <c r="BM28" s="722" t="e">
        <f>CA28*#REF!</f>
        <v>#REF!</v>
      </c>
      <c r="BO28" s="749" t="str">
        <f t="shared" si="12"/>
        <v>2.1.7</v>
      </c>
      <c r="BP28" s="749" t="str">
        <f t="shared" si="13"/>
        <v xml:space="preserve"> Q1 2.1</v>
      </c>
      <c r="BQ28" s="408">
        <f t="shared" si="14"/>
        <v>0</v>
      </c>
      <c r="BR28" s="719">
        <f t="shared" si="15"/>
        <v>0</v>
      </c>
      <c r="BS28" s="719">
        <f t="shared" si="16"/>
        <v>0</v>
      </c>
      <c r="BT28" s="719">
        <f t="shared" si="17"/>
        <v>0</v>
      </c>
      <c r="BU28" s="719">
        <f t="shared" si="18"/>
        <v>0</v>
      </c>
      <c r="BV28" s="934">
        <f t="shared" si="19"/>
        <v>0</v>
      </c>
      <c r="BW28" s="719">
        <f t="shared" si="20"/>
        <v>0</v>
      </c>
      <c r="BX28" s="719">
        <f t="shared" si="21"/>
        <v>0</v>
      </c>
      <c r="BY28" s="719">
        <f t="shared" si="22"/>
        <v>0</v>
      </c>
      <c r="BZ28" s="719">
        <f t="shared" si="23"/>
        <v>0</v>
      </c>
      <c r="CA28" s="719">
        <f t="shared" si="24"/>
        <v>0</v>
      </c>
      <c r="CB28" s="748">
        <f t="shared" si="25"/>
        <v>0</v>
      </c>
      <c r="CC28" s="719">
        <f t="shared" si="26"/>
        <v>0</v>
      </c>
      <c r="CD28" s="719">
        <f t="shared" si="27"/>
        <v>0</v>
      </c>
      <c r="CF28" s="455" t="s">
        <v>578</v>
      </c>
      <c r="CG28" s="459" t="s">
        <v>84</v>
      </c>
      <c r="CH28" s="456" t="s">
        <v>579</v>
      </c>
      <c r="CI28" s="466">
        <v>0.1</v>
      </c>
      <c r="CJ28" s="466">
        <v>0.2</v>
      </c>
      <c r="CK28" s="466"/>
      <c r="CL28" s="466"/>
      <c r="CM28" s="472"/>
      <c r="CN28" s="466">
        <v>0.1</v>
      </c>
      <c r="CO28" s="461">
        <v>0.2</v>
      </c>
      <c r="CP28" s="466">
        <v>0.1</v>
      </c>
      <c r="CQ28" s="466">
        <v>0.1</v>
      </c>
      <c r="CR28" s="466"/>
      <c r="CS28" s="462"/>
      <c r="CT28" s="461"/>
      <c r="CU28" s="461"/>
      <c r="CW28" s="455" t="s">
        <v>578</v>
      </c>
      <c r="CX28" s="459" t="s">
        <v>84</v>
      </c>
      <c r="CY28" s="456" t="s">
        <v>579</v>
      </c>
      <c r="CZ28" s="461"/>
      <c r="DA28" s="461"/>
      <c r="DB28" s="461"/>
      <c r="DC28" s="461"/>
      <c r="DD28" s="463"/>
      <c r="DE28" s="461"/>
      <c r="DF28" s="461"/>
      <c r="DG28" s="461"/>
      <c r="DH28" s="461"/>
      <c r="DI28" s="461"/>
      <c r="DJ28" s="462"/>
      <c r="DK28" s="461"/>
      <c r="DL28" s="461"/>
      <c r="DN28" s="455" t="s">
        <v>578</v>
      </c>
      <c r="DO28" s="459" t="s">
        <v>84</v>
      </c>
      <c r="DP28" s="456"/>
      <c r="DQ28" s="461"/>
      <c r="DR28" s="461"/>
      <c r="DS28" s="461"/>
      <c r="DT28" s="461"/>
      <c r="DU28" s="572"/>
      <c r="DV28" s="461"/>
      <c r="DW28" s="461"/>
      <c r="DX28" s="461"/>
      <c r="DY28" s="461"/>
      <c r="DZ28" s="461"/>
      <c r="EA28" s="462"/>
      <c r="EB28" s="461"/>
      <c r="EC28" s="461"/>
      <c r="ED28" s="555"/>
      <c r="EF28" s="455" t="s">
        <v>578</v>
      </c>
      <c r="EG28" s="459" t="s">
        <v>84</v>
      </c>
      <c r="EH28" s="456"/>
      <c r="EI28" s="609">
        <f t="shared" si="49"/>
        <v>0</v>
      </c>
      <c r="EJ28" s="609">
        <f t="shared" si="50"/>
        <v>0</v>
      </c>
      <c r="EK28" s="609">
        <f t="shared" si="51"/>
        <v>0</v>
      </c>
      <c r="EL28" s="609">
        <f t="shared" si="52"/>
        <v>0</v>
      </c>
      <c r="EM28" s="614">
        <f t="shared" si="53"/>
        <v>0</v>
      </c>
      <c r="EN28" s="609">
        <f t="shared" si="54"/>
        <v>0</v>
      </c>
      <c r="EO28" s="609">
        <f t="shared" si="55"/>
        <v>0</v>
      </c>
      <c r="EP28" s="609">
        <f t="shared" si="56"/>
        <v>0</v>
      </c>
      <c r="EQ28" s="609">
        <f t="shared" si="57"/>
        <v>0</v>
      </c>
      <c r="ER28" s="609">
        <f t="shared" si="47"/>
        <v>0</v>
      </c>
      <c r="ES28" s="611">
        <f t="shared" si="58"/>
        <v>0</v>
      </c>
      <c r="ET28" s="609">
        <f t="shared" si="59"/>
        <v>0</v>
      </c>
      <c r="EU28" s="609">
        <f t="shared" si="48"/>
        <v>0</v>
      </c>
      <c r="EW28" s="455" t="s">
        <v>578</v>
      </c>
      <c r="EX28" s="459" t="s">
        <v>84</v>
      </c>
      <c r="EY28" s="456"/>
      <c r="EZ28" s="598">
        <f t="shared" si="60"/>
        <v>0</v>
      </c>
      <c r="FA28" s="598"/>
      <c r="FB28" s="598"/>
      <c r="FC28" s="598"/>
      <c r="FD28" s="649"/>
      <c r="FE28" s="598"/>
      <c r="FF28" s="598"/>
      <c r="FG28" s="598"/>
      <c r="FH28" s="598"/>
      <c r="FI28" s="598"/>
      <c r="FJ28" s="647"/>
      <c r="FK28" s="598"/>
      <c r="FL28" s="598"/>
    </row>
    <row r="29" spans="2:168" hidden="1">
      <c r="B29" s="732" t="str">
        <f t="shared" si="4"/>
        <v>2.1.8</v>
      </c>
      <c r="C29" s="408">
        <f t="shared" si="5"/>
        <v>0</v>
      </c>
      <c r="D29" s="809" t="e">
        <f t="shared" si="61"/>
        <v>#REF!</v>
      </c>
      <c r="E29" s="730" t="e">
        <f t="shared" si="61"/>
        <v>#REF!</v>
      </c>
      <c r="G29" s="730" t="e">
        <f t="shared" si="6"/>
        <v>#REF!</v>
      </c>
      <c r="H29" s="730" t="e">
        <f t="shared" si="7"/>
        <v>#REF!</v>
      </c>
      <c r="I29" s="730"/>
      <c r="J29" s="730"/>
      <c r="K29" s="730" t="e">
        <f>IF(#REF!=0,0,1)</f>
        <v>#REF!</v>
      </c>
      <c r="L29" s="730" t="e">
        <f>IF(#REF!=0,0,1)</f>
        <v>#REF!</v>
      </c>
      <c r="M29" s="730">
        <f t="shared" si="8"/>
        <v>0</v>
      </c>
      <c r="N29" s="730">
        <f t="shared" si="9"/>
        <v>0</v>
      </c>
      <c r="P29" s="965"/>
      <c r="Q29" s="966"/>
      <c r="R29" s="954">
        <v>8</v>
      </c>
      <c r="S29" s="953" t="s">
        <v>64</v>
      </c>
      <c r="T29" s="853"/>
      <c r="U29" s="726"/>
      <c r="V29" s="747">
        <f t="shared" si="43"/>
        <v>0</v>
      </c>
      <c r="W29" s="746">
        <f t="shared" si="44"/>
        <v>0</v>
      </c>
      <c r="Y29" s="1">
        <f t="shared" si="29"/>
        <v>0</v>
      </c>
      <c r="Z29" s="1">
        <f t="shared" si="30"/>
        <v>0</v>
      </c>
      <c r="AA29" s="1">
        <f t="shared" si="31"/>
        <v>0</v>
      </c>
      <c r="AB29" s="1">
        <f t="shared" si="32"/>
        <v>0</v>
      </c>
      <c r="AC29" s="1">
        <f t="shared" si="33"/>
        <v>0</v>
      </c>
      <c r="AD29" s="1">
        <f t="shared" si="34"/>
        <v>0</v>
      </c>
      <c r="AE29" s="1">
        <f t="shared" si="35"/>
        <v>0</v>
      </c>
      <c r="AF29" s="1">
        <f t="shared" si="36"/>
        <v>0</v>
      </c>
      <c r="AG29" s="1">
        <f t="shared" si="37"/>
        <v>0</v>
      </c>
      <c r="AH29" s="1">
        <f t="shared" si="38"/>
        <v>0</v>
      </c>
      <c r="AI29" s="1">
        <f t="shared" si="39"/>
        <v>0</v>
      </c>
      <c r="AJ29" s="1">
        <f t="shared" si="40"/>
        <v>0</v>
      </c>
      <c r="AK29" s="1">
        <f t="shared" si="41"/>
        <v>0</v>
      </c>
      <c r="AM29" s="680"/>
      <c r="AN29" s="680"/>
      <c r="AO29" s="680"/>
      <c r="AP29" s="680"/>
      <c r="AQ29" s="680"/>
      <c r="AR29" s="680"/>
      <c r="AS29" s="680"/>
      <c r="AT29" s="680"/>
      <c r="AU29" s="680"/>
      <c r="AV29" s="680"/>
      <c r="AW29" s="680"/>
      <c r="AX29" s="680"/>
      <c r="AY29" s="680"/>
      <c r="BA29" s="723"/>
      <c r="BB29" s="723" t="e">
        <f t="shared" si="11"/>
        <v>#REF!</v>
      </c>
      <c r="BC29" s="723"/>
      <c r="BD29" s="722" t="e">
        <f>BR29*#REF!</f>
        <v>#REF!</v>
      </c>
      <c r="BE29" s="722" t="e">
        <f>BS29*#REF!</f>
        <v>#REF!</v>
      </c>
      <c r="BF29" s="722" t="e">
        <f>BT29*#REF!</f>
        <v>#REF!</v>
      </c>
      <c r="BG29" s="722" t="e">
        <f>BU29*#REF!</f>
        <v>#REF!</v>
      </c>
      <c r="BH29" s="935" t="e">
        <f>BV29*#REF!</f>
        <v>#REF!</v>
      </c>
      <c r="BI29" s="722" t="e">
        <f>BW29*#REF!</f>
        <v>#REF!</v>
      </c>
      <c r="BJ29" s="722" t="e">
        <f>BX29*#REF!</f>
        <v>#REF!</v>
      </c>
      <c r="BK29" s="722" t="e">
        <f>BY29*#REF!</f>
        <v>#REF!</v>
      </c>
      <c r="BL29" s="722" t="e">
        <f>BZ29*#REF!</f>
        <v>#REF!</v>
      </c>
      <c r="BM29" s="722" t="e">
        <f>CA29*#REF!</f>
        <v>#REF!</v>
      </c>
      <c r="BO29" s="749" t="str">
        <f t="shared" si="12"/>
        <v>2.1.8</v>
      </c>
      <c r="BP29" s="749" t="str">
        <f t="shared" si="13"/>
        <v xml:space="preserve"> Q1 2.1</v>
      </c>
      <c r="BQ29" s="408">
        <f t="shared" si="14"/>
        <v>0</v>
      </c>
      <c r="BR29" s="719">
        <f t="shared" si="15"/>
        <v>0</v>
      </c>
      <c r="BS29" s="719">
        <f t="shared" si="16"/>
        <v>0</v>
      </c>
      <c r="BT29" s="719">
        <f t="shared" si="17"/>
        <v>0</v>
      </c>
      <c r="BU29" s="719">
        <f t="shared" si="18"/>
        <v>0</v>
      </c>
      <c r="BV29" s="934">
        <f t="shared" si="19"/>
        <v>0</v>
      </c>
      <c r="BW29" s="719">
        <f t="shared" si="20"/>
        <v>0</v>
      </c>
      <c r="BX29" s="719">
        <f t="shared" si="21"/>
        <v>0</v>
      </c>
      <c r="BY29" s="719">
        <f t="shared" si="22"/>
        <v>0</v>
      </c>
      <c r="BZ29" s="719">
        <f t="shared" si="23"/>
        <v>0</v>
      </c>
      <c r="CA29" s="719">
        <f t="shared" si="24"/>
        <v>0</v>
      </c>
      <c r="CB29" s="748">
        <f t="shared" si="25"/>
        <v>0</v>
      </c>
      <c r="CC29" s="719">
        <f t="shared" si="26"/>
        <v>0</v>
      </c>
      <c r="CD29" s="719">
        <f t="shared" si="27"/>
        <v>0</v>
      </c>
      <c r="CF29" s="455" t="s">
        <v>580</v>
      </c>
      <c r="CG29" s="459" t="s">
        <v>84</v>
      </c>
      <c r="CH29" s="456" t="s">
        <v>581</v>
      </c>
      <c r="CI29" s="466"/>
      <c r="CJ29" s="466"/>
      <c r="CK29" s="466">
        <v>0.1</v>
      </c>
      <c r="CL29" s="466">
        <v>0.1</v>
      </c>
      <c r="CM29" s="472"/>
      <c r="CN29" s="466"/>
      <c r="CO29" s="461">
        <v>0</v>
      </c>
      <c r="CP29" s="466"/>
      <c r="CQ29" s="466"/>
      <c r="CR29" s="466"/>
      <c r="CS29" s="462"/>
      <c r="CT29" s="461"/>
      <c r="CU29" s="461"/>
      <c r="CW29" s="455" t="s">
        <v>580</v>
      </c>
      <c r="CX29" s="459" t="s">
        <v>84</v>
      </c>
      <c r="CY29" s="456" t="s">
        <v>581</v>
      </c>
      <c r="CZ29" s="461"/>
      <c r="DA29" s="461"/>
      <c r="DB29" s="461"/>
      <c r="DC29" s="461"/>
      <c r="DD29" s="463"/>
      <c r="DE29" s="461"/>
      <c r="DF29" s="461"/>
      <c r="DG29" s="461"/>
      <c r="DH29" s="461"/>
      <c r="DI29" s="461"/>
      <c r="DJ29" s="462"/>
      <c r="DK29" s="461"/>
      <c r="DL29" s="461"/>
      <c r="DN29" s="455" t="s">
        <v>580</v>
      </c>
      <c r="DO29" s="459" t="s">
        <v>84</v>
      </c>
      <c r="DP29" s="456"/>
      <c r="DQ29" s="461"/>
      <c r="DR29" s="461"/>
      <c r="DS29" s="461"/>
      <c r="DT29" s="461"/>
      <c r="DU29" s="572"/>
      <c r="DV29" s="461"/>
      <c r="DW29" s="461"/>
      <c r="DX29" s="461"/>
      <c r="DY29" s="461"/>
      <c r="DZ29" s="461"/>
      <c r="EA29" s="462"/>
      <c r="EB29" s="461"/>
      <c r="EC29" s="461"/>
      <c r="ED29" s="555"/>
      <c r="EF29" s="455" t="s">
        <v>580</v>
      </c>
      <c r="EG29" s="459" t="s">
        <v>84</v>
      </c>
      <c r="EH29" s="456"/>
      <c r="EI29" s="609">
        <f t="shared" si="49"/>
        <v>0</v>
      </c>
      <c r="EJ29" s="609">
        <f t="shared" si="50"/>
        <v>0</v>
      </c>
      <c r="EK29" s="609">
        <f t="shared" si="51"/>
        <v>0</v>
      </c>
      <c r="EL29" s="609">
        <f t="shared" si="52"/>
        <v>0</v>
      </c>
      <c r="EM29" s="614">
        <f t="shared" si="53"/>
        <v>0</v>
      </c>
      <c r="EN29" s="609">
        <f t="shared" si="54"/>
        <v>0</v>
      </c>
      <c r="EO29" s="609">
        <f t="shared" si="55"/>
        <v>0</v>
      </c>
      <c r="EP29" s="609">
        <f t="shared" si="56"/>
        <v>0</v>
      </c>
      <c r="EQ29" s="609">
        <f t="shared" si="57"/>
        <v>0</v>
      </c>
      <c r="ER29" s="609">
        <f t="shared" si="47"/>
        <v>0</v>
      </c>
      <c r="ES29" s="611">
        <f t="shared" si="58"/>
        <v>0</v>
      </c>
      <c r="ET29" s="609">
        <f t="shared" si="59"/>
        <v>0</v>
      </c>
      <c r="EU29" s="609">
        <f t="shared" si="48"/>
        <v>0</v>
      </c>
      <c r="EW29" s="455" t="s">
        <v>580</v>
      </c>
      <c r="EX29" s="459" t="s">
        <v>84</v>
      </c>
      <c r="EY29" s="456"/>
      <c r="EZ29" s="598">
        <f t="shared" si="60"/>
        <v>0</v>
      </c>
      <c r="FA29" s="598"/>
      <c r="FB29" s="598"/>
      <c r="FC29" s="598"/>
      <c r="FD29" s="649"/>
      <c r="FE29" s="598"/>
      <c r="FF29" s="598"/>
      <c r="FG29" s="598"/>
      <c r="FH29" s="598"/>
      <c r="FI29" s="598"/>
      <c r="FJ29" s="647"/>
      <c r="FK29" s="598"/>
      <c r="FL29" s="598"/>
    </row>
    <row r="30" spans="2:168">
      <c r="B30" s="732">
        <f t="shared" si="4"/>
        <v>2.2000000000000002</v>
      </c>
      <c r="C30" s="408" t="str">
        <f t="shared" si="5"/>
        <v>湿度制御</v>
      </c>
      <c r="D30" s="731" t="e">
        <f t="shared" ref="D30:E32" si="62">IF(I$20=0,0,G30/I$20)</f>
        <v>#REF!</v>
      </c>
      <c r="E30" s="730" t="e">
        <f t="shared" si="62"/>
        <v>#REF!</v>
      </c>
      <c r="G30" s="730" t="e">
        <f t="shared" si="6"/>
        <v>#REF!</v>
      </c>
      <c r="H30" s="730" t="e">
        <f t="shared" si="7"/>
        <v>#REF!</v>
      </c>
      <c r="I30" s="730"/>
      <c r="J30" s="730"/>
      <c r="K30" s="730" t="e">
        <f>IF(#REF!=0,0,1)</f>
        <v>#REF!</v>
      </c>
      <c r="L30" s="730" t="e">
        <f>IF(#REF!=0,0,1)</f>
        <v>#REF!</v>
      </c>
      <c r="M30" s="730">
        <f t="shared" si="8"/>
        <v>0.2</v>
      </c>
      <c r="N30" s="730">
        <f t="shared" si="9"/>
        <v>0</v>
      </c>
      <c r="P30" s="923"/>
      <c r="Q30" s="778">
        <v>2.2000000000000002</v>
      </c>
      <c r="R30" s="579" t="s">
        <v>65</v>
      </c>
      <c r="S30" s="745"/>
      <c r="T30" s="745"/>
      <c r="U30" s="726"/>
      <c r="V30" s="747">
        <f t="shared" si="43"/>
        <v>0</v>
      </c>
      <c r="W30" s="746">
        <f t="shared" si="44"/>
        <v>0</v>
      </c>
      <c r="Y30" s="1">
        <f t="shared" si="29"/>
        <v>0</v>
      </c>
      <c r="Z30" s="1">
        <f t="shared" si="30"/>
        <v>0</v>
      </c>
      <c r="AA30" s="1">
        <f t="shared" si="31"/>
        <v>0</v>
      </c>
      <c r="AB30" s="1">
        <f t="shared" si="32"/>
        <v>0</v>
      </c>
      <c r="AC30" s="1">
        <f t="shared" si="33"/>
        <v>0</v>
      </c>
      <c r="AD30" s="1">
        <f t="shared" si="34"/>
        <v>0</v>
      </c>
      <c r="AE30" s="1">
        <f t="shared" si="35"/>
        <v>0</v>
      </c>
      <c r="AF30" s="1">
        <f t="shared" si="36"/>
        <v>0</v>
      </c>
      <c r="AG30" s="1">
        <f t="shared" si="37"/>
        <v>0</v>
      </c>
      <c r="AH30" s="1">
        <f t="shared" si="38"/>
        <v>0</v>
      </c>
      <c r="AI30" s="1">
        <f t="shared" si="39"/>
        <v>0</v>
      </c>
      <c r="AJ30" s="1">
        <f t="shared" si="40"/>
        <v>0</v>
      </c>
      <c r="AK30" s="1">
        <f t="shared" si="41"/>
        <v>0</v>
      </c>
      <c r="AM30" s="682"/>
      <c r="AN30" s="682"/>
      <c r="AO30" s="682"/>
      <c r="AP30" s="682"/>
      <c r="AQ30" s="682"/>
      <c r="AR30" s="682"/>
      <c r="AS30" s="682"/>
      <c r="AT30" s="682"/>
      <c r="AU30" s="682"/>
      <c r="AV30" s="682"/>
      <c r="AW30" s="682"/>
      <c r="AX30" s="682"/>
      <c r="AY30" s="682"/>
      <c r="BA30" s="723"/>
      <c r="BB30" s="723" t="e">
        <f t="shared" si="11"/>
        <v>#REF!</v>
      </c>
      <c r="BC30" s="723"/>
      <c r="BD30" s="722" t="e">
        <f>BR30*#REF!</f>
        <v>#REF!</v>
      </c>
      <c r="BE30" s="722" t="e">
        <f>BS30*#REF!</f>
        <v>#REF!</v>
      </c>
      <c r="BF30" s="722" t="e">
        <f>BT30*#REF!</f>
        <v>#REF!</v>
      </c>
      <c r="BG30" s="722" t="e">
        <f>BU30*#REF!</f>
        <v>#REF!</v>
      </c>
      <c r="BH30" s="935" t="e">
        <f>BV30*#REF!</f>
        <v>#REF!</v>
      </c>
      <c r="BI30" s="722" t="e">
        <f>BW30*#REF!</f>
        <v>#REF!</v>
      </c>
      <c r="BJ30" s="722" t="e">
        <f>BX30*#REF!</f>
        <v>#REF!</v>
      </c>
      <c r="BK30" s="722" t="e">
        <f>BY30*#REF!</f>
        <v>#REF!</v>
      </c>
      <c r="BL30" s="722" t="e">
        <f>BZ30*#REF!</f>
        <v>#REF!</v>
      </c>
      <c r="BM30" s="722" t="e">
        <f>CA30*#REF!</f>
        <v>#REF!</v>
      </c>
      <c r="BO30" s="749">
        <f t="shared" si="12"/>
        <v>2.2000000000000002</v>
      </c>
      <c r="BP30" s="749" t="str">
        <f t="shared" si="13"/>
        <v xml:space="preserve"> Q1 2</v>
      </c>
      <c r="BQ30" s="408" t="str">
        <f t="shared" si="14"/>
        <v>湿度制御</v>
      </c>
      <c r="BR30" s="719">
        <f t="shared" si="15"/>
        <v>0.2</v>
      </c>
      <c r="BS30" s="719">
        <f t="shared" si="16"/>
        <v>0.2</v>
      </c>
      <c r="BT30" s="719">
        <f t="shared" si="17"/>
        <v>0.2</v>
      </c>
      <c r="BU30" s="719">
        <f t="shared" si="18"/>
        <v>0.2</v>
      </c>
      <c r="BV30" s="934">
        <f t="shared" si="19"/>
        <v>0.2</v>
      </c>
      <c r="BW30" s="719">
        <f t="shared" si="20"/>
        <v>0.2</v>
      </c>
      <c r="BX30" s="719">
        <f t="shared" si="21"/>
        <v>0.2</v>
      </c>
      <c r="BY30" s="719">
        <f t="shared" si="22"/>
        <v>0.2</v>
      </c>
      <c r="BZ30" s="719">
        <f t="shared" si="23"/>
        <v>0.2</v>
      </c>
      <c r="CA30" s="719">
        <f t="shared" si="24"/>
        <v>0.2</v>
      </c>
      <c r="CB30" s="748">
        <f t="shared" si="25"/>
        <v>0.2</v>
      </c>
      <c r="CC30" s="719">
        <f t="shared" si="26"/>
        <v>0.2</v>
      </c>
      <c r="CD30" s="719">
        <f t="shared" si="27"/>
        <v>0.2</v>
      </c>
      <c r="CF30" s="455">
        <v>2.2000000000000002</v>
      </c>
      <c r="CG30" s="459" t="s">
        <v>187</v>
      </c>
      <c r="CH30" s="456" t="s">
        <v>65</v>
      </c>
      <c r="CI30" s="457">
        <v>0.2</v>
      </c>
      <c r="CJ30" s="457">
        <v>0.2</v>
      </c>
      <c r="CK30" s="457">
        <v>0.2</v>
      </c>
      <c r="CL30" s="457">
        <v>0.2</v>
      </c>
      <c r="CM30" s="471">
        <v>0.2</v>
      </c>
      <c r="CN30" s="457">
        <v>0.2</v>
      </c>
      <c r="CO30" s="461">
        <v>0.2</v>
      </c>
      <c r="CP30" s="457">
        <v>0.2</v>
      </c>
      <c r="CQ30" s="457">
        <v>0.2</v>
      </c>
      <c r="CR30" s="457">
        <v>0.2</v>
      </c>
      <c r="CS30" s="462"/>
      <c r="CT30" s="461"/>
      <c r="CU30" s="461"/>
      <c r="CW30" s="455">
        <v>2.2000000000000002</v>
      </c>
      <c r="CX30" s="459" t="s">
        <v>187</v>
      </c>
      <c r="CY30" s="456" t="s">
        <v>65</v>
      </c>
      <c r="CZ30" s="461">
        <v>0.2</v>
      </c>
      <c r="DA30" s="461">
        <v>0.2</v>
      </c>
      <c r="DB30" s="461">
        <v>0.2</v>
      </c>
      <c r="DC30" s="461">
        <v>0.2</v>
      </c>
      <c r="DD30" s="463">
        <v>0.2</v>
      </c>
      <c r="DE30" s="461">
        <v>0.2</v>
      </c>
      <c r="DF30" s="461">
        <v>0.2</v>
      </c>
      <c r="DG30" s="461">
        <v>0.2</v>
      </c>
      <c r="DH30" s="461">
        <v>0.2</v>
      </c>
      <c r="DI30" s="461">
        <v>0.2</v>
      </c>
      <c r="DJ30" s="462">
        <v>0.2</v>
      </c>
      <c r="DK30" s="461">
        <v>0.2</v>
      </c>
      <c r="DL30" s="461">
        <v>0.2</v>
      </c>
      <c r="DN30" s="455">
        <v>2.2000000000000002</v>
      </c>
      <c r="DO30" s="459" t="s">
        <v>187</v>
      </c>
      <c r="DP30" s="456" t="s">
        <v>65</v>
      </c>
      <c r="DQ30" s="461">
        <v>0.2</v>
      </c>
      <c r="DR30" s="461">
        <v>0.2</v>
      </c>
      <c r="DS30" s="461">
        <v>0.2</v>
      </c>
      <c r="DT30" s="461">
        <v>0.2</v>
      </c>
      <c r="DU30" s="572">
        <v>0.2</v>
      </c>
      <c r="DV30" s="461">
        <v>0.2</v>
      </c>
      <c r="DW30" s="461">
        <v>0.2</v>
      </c>
      <c r="DX30" s="461">
        <v>0.2</v>
      </c>
      <c r="DY30" s="461">
        <v>0.2</v>
      </c>
      <c r="DZ30" s="461">
        <v>0.2</v>
      </c>
      <c r="EA30" s="462">
        <v>0.2</v>
      </c>
      <c r="EB30" s="461">
        <v>0.2</v>
      </c>
      <c r="EC30" s="461">
        <v>0.2</v>
      </c>
      <c r="ED30" s="555"/>
      <c r="EF30" s="455">
        <v>2.2000000000000002</v>
      </c>
      <c r="EG30" s="459" t="s">
        <v>187</v>
      </c>
      <c r="EH30" s="456" t="s">
        <v>65</v>
      </c>
      <c r="EI30" s="609">
        <f t="shared" si="49"/>
        <v>0.2</v>
      </c>
      <c r="EJ30" s="609">
        <f t="shared" si="50"/>
        <v>0.2</v>
      </c>
      <c r="EK30" s="609">
        <f t="shared" si="51"/>
        <v>0.2</v>
      </c>
      <c r="EL30" s="609">
        <f t="shared" si="52"/>
        <v>0.2</v>
      </c>
      <c r="EM30" s="614">
        <f t="shared" si="53"/>
        <v>0.2</v>
      </c>
      <c r="EN30" s="609">
        <f t="shared" si="54"/>
        <v>0.2</v>
      </c>
      <c r="EO30" s="609">
        <f t="shared" si="55"/>
        <v>0.2</v>
      </c>
      <c r="EP30" s="609">
        <f t="shared" si="56"/>
        <v>0.2</v>
      </c>
      <c r="EQ30" s="609">
        <f t="shared" si="57"/>
        <v>0.2</v>
      </c>
      <c r="ER30" s="609">
        <f t="shared" si="47"/>
        <v>0.2</v>
      </c>
      <c r="ES30" s="611">
        <f t="shared" si="58"/>
        <v>0.2</v>
      </c>
      <c r="ET30" s="609">
        <f t="shared" si="59"/>
        <v>0.2</v>
      </c>
      <c r="EU30" s="609">
        <f t="shared" si="48"/>
        <v>0.2</v>
      </c>
      <c r="EW30" s="455">
        <v>2.2000000000000002</v>
      </c>
      <c r="EX30" s="459" t="s">
        <v>187</v>
      </c>
      <c r="EY30" s="456" t="s">
        <v>65</v>
      </c>
      <c r="EZ30" s="598">
        <f t="shared" si="60"/>
        <v>0.2</v>
      </c>
      <c r="FA30" s="598"/>
      <c r="FB30" s="598"/>
      <c r="FC30" s="598"/>
      <c r="FD30" s="649"/>
      <c r="FE30" s="598"/>
      <c r="FF30" s="598"/>
      <c r="FG30" s="598"/>
      <c r="FH30" s="598"/>
      <c r="FI30" s="598"/>
      <c r="FJ30" s="647"/>
      <c r="FK30" s="598"/>
      <c r="FL30" s="598"/>
    </row>
    <row r="31" spans="2:168" ht="14.25" thickBot="1">
      <c r="B31" s="732">
        <f t="shared" si="4"/>
        <v>2.2999999999999998</v>
      </c>
      <c r="C31" s="408" t="str">
        <f t="shared" si="5"/>
        <v>空調方式（新築）</v>
      </c>
      <c r="D31" s="731" t="e">
        <f t="shared" si="62"/>
        <v>#REF!</v>
      </c>
      <c r="E31" s="730" t="e">
        <f t="shared" si="62"/>
        <v>#REF!</v>
      </c>
      <c r="G31" s="730" t="e">
        <f t="shared" si="6"/>
        <v>#REF!</v>
      </c>
      <c r="H31" s="730" t="e">
        <f t="shared" si="7"/>
        <v>#REF!</v>
      </c>
      <c r="I31" s="730"/>
      <c r="J31" s="730"/>
      <c r="K31" s="730" t="e">
        <f>IF(#REF!=0,0,1)</f>
        <v>#REF!</v>
      </c>
      <c r="L31" s="730" t="e">
        <f>IF(#REF!=0,0,1)</f>
        <v>#REF!</v>
      </c>
      <c r="M31" s="730">
        <f t="shared" si="8"/>
        <v>0.3</v>
      </c>
      <c r="N31" s="730">
        <f t="shared" si="9"/>
        <v>0</v>
      </c>
      <c r="P31" s="923"/>
      <c r="Q31" s="777">
        <v>2.2999999999999998</v>
      </c>
      <c r="R31" s="816" t="s">
        <v>66</v>
      </c>
      <c r="S31" s="815"/>
      <c r="T31" s="815"/>
      <c r="U31" s="726"/>
      <c r="V31" s="725">
        <f t="shared" si="43"/>
        <v>0</v>
      </c>
      <c r="W31" s="724">
        <f t="shared" si="44"/>
        <v>0</v>
      </c>
      <c r="Y31" s="1">
        <f t="shared" si="29"/>
        <v>0</v>
      </c>
      <c r="Z31" s="1">
        <f t="shared" si="30"/>
        <v>0</v>
      </c>
      <c r="AA31" s="1">
        <f t="shared" si="31"/>
        <v>0</v>
      </c>
      <c r="AB31" s="1">
        <f t="shared" si="32"/>
        <v>0</v>
      </c>
      <c r="AC31" s="1">
        <f t="shared" si="33"/>
        <v>0</v>
      </c>
      <c r="AD31" s="1">
        <f t="shared" si="34"/>
        <v>0</v>
      </c>
      <c r="AE31" s="1">
        <f t="shared" si="35"/>
        <v>0</v>
      </c>
      <c r="AF31" s="1">
        <f t="shared" si="36"/>
        <v>0</v>
      </c>
      <c r="AG31" s="1">
        <f t="shared" si="37"/>
        <v>0</v>
      </c>
      <c r="AH31" s="1">
        <f t="shared" si="38"/>
        <v>0</v>
      </c>
      <c r="AI31" s="1">
        <f t="shared" si="39"/>
        <v>0</v>
      </c>
      <c r="AJ31" s="1">
        <f t="shared" si="40"/>
        <v>0</v>
      </c>
      <c r="AK31" s="1">
        <f t="shared" si="41"/>
        <v>0</v>
      </c>
      <c r="AM31" s="681"/>
      <c r="AN31" s="681"/>
      <c r="AO31" s="681"/>
      <c r="AP31" s="681"/>
      <c r="AQ31" s="681"/>
      <c r="AR31" s="681"/>
      <c r="AS31" s="681"/>
      <c r="AT31" s="681"/>
      <c r="AU31" s="681"/>
      <c r="AV31" s="681"/>
      <c r="AW31" s="681"/>
      <c r="AX31" s="681"/>
      <c r="AY31" s="681"/>
      <c r="BA31" s="723"/>
      <c r="BB31" s="723" t="e">
        <f t="shared" si="11"/>
        <v>#REF!</v>
      </c>
      <c r="BC31" s="723"/>
      <c r="BD31" s="722" t="e">
        <f>BR31*#REF!</f>
        <v>#REF!</v>
      </c>
      <c r="BE31" s="722" t="e">
        <f>BS31*#REF!</f>
        <v>#REF!</v>
      </c>
      <c r="BF31" s="722" t="e">
        <f>BT31*#REF!</f>
        <v>#REF!</v>
      </c>
      <c r="BG31" s="722" t="e">
        <f>BU31*#REF!</f>
        <v>#REF!</v>
      </c>
      <c r="BH31" s="935" t="e">
        <f>BV31*#REF!</f>
        <v>#REF!</v>
      </c>
      <c r="BI31" s="722" t="e">
        <f>BW31*#REF!</f>
        <v>#REF!</v>
      </c>
      <c r="BJ31" s="722" t="e">
        <f>BX31*#REF!</f>
        <v>#REF!</v>
      </c>
      <c r="BK31" s="722" t="e">
        <f>BY31*#REF!</f>
        <v>#REF!</v>
      </c>
      <c r="BL31" s="722" t="e">
        <f>BZ31*#REF!</f>
        <v>#REF!</v>
      </c>
      <c r="BM31" s="722" t="e">
        <f>CA31*#REF!</f>
        <v>#REF!</v>
      </c>
      <c r="BO31" s="749">
        <f t="shared" si="12"/>
        <v>2.2999999999999998</v>
      </c>
      <c r="BP31" s="749" t="str">
        <f t="shared" si="13"/>
        <v xml:space="preserve"> Q1 2</v>
      </c>
      <c r="BQ31" s="408" t="str">
        <f t="shared" si="14"/>
        <v>空調方式（新築）</v>
      </c>
      <c r="BR31" s="719">
        <f t="shared" si="15"/>
        <v>0.3</v>
      </c>
      <c r="BS31" s="719">
        <f t="shared" si="16"/>
        <v>0.3</v>
      </c>
      <c r="BT31" s="719">
        <f t="shared" si="17"/>
        <v>0.3</v>
      </c>
      <c r="BU31" s="719">
        <f t="shared" si="18"/>
        <v>0.3</v>
      </c>
      <c r="BV31" s="934">
        <f t="shared" si="19"/>
        <v>0.3</v>
      </c>
      <c r="BW31" s="719">
        <f t="shared" si="20"/>
        <v>0.3</v>
      </c>
      <c r="BX31" s="719">
        <f t="shared" si="21"/>
        <v>0.3</v>
      </c>
      <c r="BY31" s="719">
        <f t="shared" si="22"/>
        <v>0.3</v>
      </c>
      <c r="BZ31" s="719">
        <f t="shared" si="23"/>
        <v>0.3</v>
      </c>
      <c r="CA31" s="719">
        <f t="shared" si="24"/>
        <v>0.3</v>
      </c>
      <c r="CB31" s="748">
        <f t="shared" si="25"/>
        <v>0.3</v>
      </c>
      <c r="CC31" s="719">
        <f t="shared" si="26"/>
        <v>0.3</v>
      </c>
      <c r="CD31" s="719">
        <f t="shared" si="27"/>
        <v>0.3</v>
      </c>
      <c r="CF31" s="455">
        <v>2.2999999999999998</v>
      </c>
      <c r="CG31" s="459" t="s">
        <v>187</v>
      </c>
      <c r="CH31" s="456"/>
      <c r="CI31" s="457"/>
      <c r="CJ31" s="457"/>
      <c r="CK31" s="457"/>
      <c r="CL31" s="457"/>
      <c r="CM31" s="471"/>
      <c r="CN31" s="457"/>
      <c r="CO31" s="474"/>
      <c r="CP31" s="457"/>
      <c r="CQ31" s="457"/>
      <c r="CR31" s="457"/>
      <c r="CS31" s="462"/>
      <c r="CT31" s="461"/>
      <c r="CU31" s="461"/>
      <c r="CW31" s="455">
        <v>2.2999999999999998</v>
      </c>
      <c r="CX31" s="459" t="s">
        <v>187</v>
      </c>
      <c r="CY31" s="456" t="s">
        <v>66</v>
      </c>
      <c r="CZ31" s="461">
        <v>0.3</v>
      </c>
      <c r="DA31" s="461">
        <v>0.3</v>
      </c>
      <c r="DB31" s="461">
        <v>0.3</v>
      </c>
      <c r="DC31" s="461">
        <v>0.3</v>
      </c>
      <c r="DD31" s="463">
        <v>0.3</v>
      </c>
      <c r="DE31" s="461">
        <v>0.3</v>
      </c>
      <c r="DF31" s="461">
        <v>0.3</v>
      </c>
      <c r="DG31" s="461">
        <v>0.3</v>
      </c>
      <c r="DH31" s="461">
        <v>0.3</v>
      </c>
      <c r="DI31" s="461">
        <v>0.3</v>
      </c>
      <c r="DJ31" s="462">
        <v>0.3</v>
      </c>
      <c r="DK31" s="461">
        <v>0.3</v>
      </c>
      <c r="DL31" s="461">
        <v>0.3</v>
      </c>
      <c r="DN31" s="455">
        <v>2.2999999999999998</v>
      </c>
      <c r="DO31" s="459" t="s">
        <v>187</v>
      </c>
      <c r="DP31" s="456" t="s">
        <v>777</v>
      </c>
      <c r="DQ31" s="461">
        <v>0.3</v>
      </c>
      <c r="DR31" s="461">
        <v>0.3</v>
      </c>
      <c r="DS31" s="461">
        <v>0.3</v>
      </c>
      <c r="DT31" s="461">
        <v>0.3</v>
      </c>
      <c r="DU31" s="572">
        <v>0.3</v>
      </c>
      <c r="DV31" s="461">
        <v>0.3</v>
      </c>
      <c r="DW31" s="461">
        <v>0.3</v>
      </c>
      <c r="DX31" s="461">
        <v>0.3</v>
      </c>
      <c r="DY31" s="461">
        <v>0.3</v>
      </c>
      <c r="DZ31" s="461">
        <v>0.3</v>
      </c>
      <c r="EA31" s="462">
        <v>0.3</v>
      </c>
      <c r="EB31" s="461">
        <v>0.3</v>
      </c>
      <c r="EC31" s="461">
        <v>0.3</v>
      </c>
      <c r="ED31" s="555"/>
      <c r="EF31" s="455">
        <v>2.2999999999999998</v>
      </c>
      <c r="EG31" s="459" t="s">
        <v>187</v>
      </c>
      <c r="EH31" s="456" t="s">
        <v>66</v>
      </c>
      <c r="EI31" s="609">
        <f t="shared" si="49"/>
        <v>0.3</v>
      </c>
      <c r="EJ31" s="609">
        <f t="shared" si="50"/>
        <v>0.3</v>
      </c>
      <c r="EK31" s="609">
        <f t="shared" si="51"/>
        <v>0.3</v>
      </c>
      <c r="EL31" s="609">
        <f t="shared" si="52"/>
        <v>0.3</v>
      </c>
      <c r="EM31" s="614">
        <f t="shared" si="53"/>
        <v>0.3</v>
      </c>
      <c r="EN31" s="609">
        <f t="shared" si="54"/>
        <v>0.3</v>
      </c>
      <c r="EO31" s="609">
        <f t="shared" si="55"/>
        <v>0.3</v>
      </c>
      <c r="EP31" s="609">
        <f t="shared" si="56"/>
        <v>0.3</v>
      </c>
      <c r="EQ31" s="609">
        <f t="shared" si="57"/>
        <v>0.3</v>
      </c>
      <c r="ER31" s="609">
        <f t="shared" si="47"/>
        <v>0.3</v>
      </c>
      <c r="ES31" s="611">
        <f t="shared" si="58"/>
        <v>0.3</v>
      </c>
      <c r="ET31" s="609">
        <f t="shared" si="59"/>
        <v>0.3</v>
      </c>
      <c r="EU31" s="609">
        <f t="shared" si="48"/>
        <v>0.3</v>
      </c>
      <c r="EW31" s="455">
        <v>2.2999999999999998</v>
      </c>
      <c r="EX31" s="459" t="s">
        <v>187</v>
      </c>
      <c r="EY31" s="456" t="s">
        <v>66</v>
      </c>
      <c r="EZ31" s="598">
        <f t="shared" si="60"/>
        <v>0.3</v>
      </c>
      <c r="FA31" s="598"/>
      <c r="FB31" s="598"/>
      <c r="FC31" s="598"/>
      <c r="FD31" s="649"/>
      <c r="FE31" s="598"/>
      <c r="FF31" s="598"/>
      <c r="FG31" s="598"/>
      <c r="FH31" s="598"/>
      <c r="FI31" s="598"/>
      <c r="FJ31" s="647"/>
      <c r="FK31" s="598"/>
      <c r="FL31" s="598"/>
    </row>
    <row r="32" spans="2:168" hidden="1">
      <c r="B32" s="732">
        <f t="shared" si="4"/>
        <v>2.2999999999999998</v>
      </c>
      <c r="C32" s="408">
        <f t="shared" si="5"/>
        <v>0</v>
      </c>
      <c r="D32" s="731" t="e">
        <f t="shared" si="62"/>
        <v>#REF!</v>
      </c>
      <c r="E32" s="730" t="e">
        <f t="shared" si="62"/>
        <v>#REF!</v>
      </c>
      <c r="G32" s="730" t="e">
        <f t="shared" si="6"/>
        <v>#REF!</v>
      </c>
      <c r="H32" s="730" t="e">
        <f t="shared" si="7"/>
        <v>#REF!</v>
      </c>
      <c r="I32" s="730" t="e">
        <f>SUM(G33:G34)</f>
        <v>#REF!</v>
      </c>
      <c r="J32" s="730" t="e">
        <f>SUM(H33:H34)</f>
        <v>#REF!</v>
      </c>
      <c r="K32" s="730" t="e">
        <f>IF(#REF!=0,0,1)</f>
        <v>#REF!</v>
      </c>
      <c r="L32" s="730" t="e">
        <f>IF(#REF!=0,0,1)</f>
        <v>#REF!</v>
      </c>
      <c r="M32" s="730">
        <f t="shared" si="8"/>
        <v>0</v>
      </c>
      <c r="N32" s="730">
        <f t="shared" si="9"/>
        <v>0</v>
      </c>
      <c r="P32" s="923"/>
      <c r="Q32" s="986">
        <v>2.2999999999999998</v>
      </c>
      <c r="R32" s="926" t="s">
        <v>66</v>
      </c>
      <c r="S32" s="745"/>
      <c r="T32" s="745"/>
      <c r="U32" s="726"/>
      <c r="V32" s="985">
        <f t="shared" si="43"/>
        <v>0</v>
      </c>
      <c r="W32" s="984">
        <f t="shared" si="44"/>
        <v>0</v>
      </c>
      <c r="Y32" s="1">
        <f t="shared" si="29"/>
        <v>0</v>
      </c>
      <c r="Z32" s="1">
        <f t="shared" si="30"/>
        <v>0</v>
      </c>
      <c r="AA32" s="1">
        <f t="shared" si="31"/>
        <v>0</v>
      </c>
      <c r="AB32" s="1">
        <f t="shared" si="32"/>
        <v>0</v>
      </c>
      <c r="AC32" s="1">
        <f t="shared" si="33"/>
        <v>0</v>
      </c>
      <c r="AD32" s="1">
        <f t="shared" si="34"/>
        <v>0</v>
      </c>
      <c r="AE32" s="1">
        <f t="shared" si="35"/>
        <v>0</v>
      </c>
      <c r="AF32" s="1">
        <f t="shared" si="36"/>
        <v>0</v>
      </c>
      <c r="AG32" s="1">
        <f t="shared" si="37"/>
        <v>0</v>
      </c>
      <c r="AH32" s="1">
        <f t="shared" si="38"/>
        <v>0</v>
      </c>
      <c r="AI32" s="1">
        <f t="shared" si="39"/>
        <v>0</v>
      </c>
      <c r="AJ32" s="1">
        <f t="shared" si="40"/>
        <v>0</v>
      </c>
      <c r="AK32" s="1">
        <f t="shared" si="41"/>
        <v>0</v>
      </c>
      <c r="AM32" s="983"/>
      <c r="AN32" s="983"/>
      <c r="AO32" s="983"/>
      <c r="AP32" s="983"/>
      <c r="AQ32" s="983"/>
      <c r="AR32" s="983"/>
      <c r="AS32" s="983"/>
      <c r="AT32" s="983"/>
      <c r="AU32" s="983"/>
      <c r="AV32" s="983"/>
      <c r="AW32" s="983"/>
      <c r="AX32" s="983"/>
      <c r="AY32" s="983"/>
      <c r="BA32" s="723"/>
      <c r="BB32" s="723" t="e">
        <f t="shared" si="11"/>
        <v>#REF!</v>
      </c>
      <c r="BC32" s="723"/>
      <c r="BD32" s="722" t="e">
        <f>BR32*#REF!</f>
        <v>#REF!</v>
      </c>
      <c r="BE32" s="722" t="e">
        <f>BS32*#REF!</f>
        <v>#REF!</v>
      </c>
      <c r="BF32" s="722" t="e">
        <f>BT32*#REF!</f>
        <v>#REF!</v>
      </c>
      <c r="BG32" s="722" t="e">
        <f>BU32*#REF!</f>
        <v>#REF!</v>
      </c>
      <c r="BH32" s="935" t="e">
        <f>BV32*#REF!</f>
        <v>#REF!</v>
      </c>
      <c r="BI32" s="722" t="e">
        <f>BW32*#REF!</f>
        <v>#REF!</v>
      </c>
      <c r="BJ32" s="722" t="e">
        <f>BX32*#REF!</f>
        <v>#REF!</v>
      </c>
      <c r="BK32" s="722" t="e">
        <f>BY32*#REF!</f>
        <v>#REF!</v>
      </c>
      <c r="BL32" s="722" t="e">
        <f>BZ32*#REF!</f>
        <v>#REF!</v>
      </c>
      <c r="BM32" s="722" t="e">
        <f>CA32*#REF!</f>
        <v>#REF!</v>
      </c>
      <c r="BO32" s="749">
        <f t="shared" si="12"/>
        <v>2.2999999999999998</v>
      </c>
      <c r="BP32" s="749" t="str">
        <f t="shared" si="13"/>
        <v xml:space="preserve"> Q1 2</v>
      </c>
      <c r="BQ32" s="408">
        <f t="shared" si="14"/>
        <v>0</v>
      </c>
      <c r="BR32" s="719">
        <f t="shared" si="15"/>
        <v>0</v>
      </c>
      <c r="BS32" s="719">
        <f t="shared" si="16"/>
        <v>0</v>
      </c>
      <c r="BT32" s="719">
        <f t="shared" si="17"/>
        <v>0</v>
      </c>
      <c r="BU32" s="719">
        <f t="shared" si="18"/>
        <v>0</v>
      </c>
      <c r="BV32" s="934">
        <f t="shared" si="19"/>
        <v>0</v>
      </c>
      <c r="BW32" s="719">
        <f t="shared" si="20"/>
        <v>0</v>
      </c>
      <c r="BX32" s="719">
        <f t="shared" si="21"/>
        <v>0</v>
      </c>
      <c r="BY32" s="719">
        <f t="shared" si="22"/>
        <v>0</v>
      </c>
      <c r="BZ32" s="719">
        <f t="shared" si="23"/>
        <v>0</v>
      </c>
      <c r="CA32" s="719">
        <f t="shared" si="24"/>
        <v>0</v>
      </c>
      <c r="CB32" s="748">
        <f t="shared" si="25"/>
        <v>0</v>
      </c>
      <c r="CC32" s="719">
        <f t="shared" si="26"/>
        <v>0</v>
      </c>
      <c r="CD32" s="719">
        <f t="shared" si="27"/>
        <v>0</v>
      </c>
      <c r="CF32" s="455">
        <v>2.2999999999999998</v>
      </c>
      <c r="CG32" s="459" t="s">
        <v>187</v>
      </c>
      <c r="CH32" s="456" t="s">
        <v>778</v>
      </c>
      <c r="CI32" s="457">
        <v>0.3</v>
      </c>
      <c r="CJ32" s="457">
        <v>0.3</v>
      </c>
      <c r="CK32" s="457">
        <v>0.3</v>
      </c>
      <c r="CL32" s="457">
        <v>0.3</v>
      </c>
      <c r="CM32" s="471">
        <v>0.3</v>
      </c>
      <c r="CN32" s="457">
        <v>0.3</v>
      </c>
      <c r="CO32" s="474">
        <v>0.3</v>
      </c>
      <c r="CP32" s="457">
        <v>0.3</v>
      </c>
      <c r="CQ32" s="457">
        <v>0.3</v>
      </c>
      <c r="CR32" s="457">
        <v>0.3</v>
      </c>
      <c r="CS32" s="462"/>
      <c r="CT32" s="461"/>
      <c r="CU32" s="461"/>
      <c r="CW32" s="455">
        <v>2.2999999999999998</v>
      </c>
      <c r="CX32" s="459" t="s">
        <v>187</v>
      </c>
      <c r="CY32" s="456" t="s">
        <v>66</v>
      </c>
      <c r="CZ32" s="461">
        <v>0.3</v>
      </c>
      <c r="DA32" s="461">
        <v>0.3</v>
      </c>
      <c r="DB32" s="461">
        <v>0.3</v>
      </c>
      <c r="DC32" s="461">
        <v>0.3</v>
      </c>
      <c r="DD32" s="463">
        <v>0.3</v>
      </c>
      <c r="DE32" s="461">
        <v>0.3</v>
      </c>
      <c r="DF32" s="461">
        <v>0.3</v>
      </c>
      <c r="DG32" s="461">
        <v>0.3</v>
      </c>
      <c r="DH32" s="461">
        <v>0.3</v>
      </c>
      <c r="DI32" s="461">
        <v>0.3</v>
      </c>
      <c r="DJ32" s="462">
        <v>0.3</v>
      </c>
      <c r="DK32" s="461">
        <v>0.3</v>
      </c>
      <c r="DL32" s="461">
        <v>0.3</v>
      </c>
      <c r="DN32" s="455">
        <v>2.2999999999999998</v>
      </c>
      <c r="DO32" s="459" t="s">
        <v>187</v>
      </c>
      <c r="DP32" s="456"/>
      <c r="DQ32" s="461"/>
      <c r="DR32" s="461"/>
      <c r="DS32" s="461"/>
      <c r="DT32" s="461"/>
      <c r="DU32" s="572"/>
      <c r="DV32" s="461"/>
      <c r="DW32" s="461"/>
      <c r="DX32" s="461"/>
      <c r="DY32" s="461"/>
      <c r="DZ32" s="461"/>
      <c r="EA32" s="462"/>
      <c r="EB32" s="461"/>
      <c r="EC32" s="461"/>
      <c r="ED32" s="555"/>
      <c r="EF32" s="455">
        <v>2.2999999999999998</v>
      </c>
      <c r="EG32" s="459" t="s">
        <v>187</v>
      </c>
      <c r="EH32" s="456"/>
      <c r="EI32" s="609"/>
      <c r="EJ32" s="609"/>
      <c r="EK32" s="609"/>
      <c r="EL32" s="609"/>
      <c r="EM32" s="614"/>
      <c r="EN32" s="609"/>
      <c r="EO32" s="609"/>
      <c r="EP32" s="609"/>
      <c r="EQ32" s="609"/>
      <c r="ER32" s="609"/>
      <c r="ES32" s="611"/>
      <c r="ET32" s="609"/>
      <c r="EU32" s="609"/>
      <c r="EW32" s="455">
        <v>2.2999999999999998</v>
      </c>
      <c r="EX32" s="459" t="s">
        <v>187</v>
      </c>
      <c r="EY32" s="456"/>
      <c r="EZ32" s="598">
        <f t="shared" si="60"/>
        <v>0</v>
      </c>
      <c r="FA32" s="598"/>
      <c r="FB32" s="598"/>
      <c r="FC32" s="598"/>
      <c r="FD32" s="649"/>
      <c r="FE32" s="598"/>
      <c r="FF32" s="598"/>
      <c r="FG32" s="598"/>
      <c r="FH32" s="598"/>
      <c r="FI32" s="598"/>
      <c r="FJ32" s="647"/>
      <c r="FK32" s="598"/>
      <c r="FL32" s="598"/>
    </row>
    <row r="33" spans="2:168" s="565" customFormat="1" ht="14.25" hidden="1" thickBot="1">
      <c r="B33" s="732" t="str">
        <f t="shared" si="4"/>
        <v>2.3.1</v>
      </c>
      <c r="C33" s="408">
        <f t="shared" si="5"/>
        <v>0</v>
      </c>
      <c r="D33" s="809" t="e">
        <f>IF(I$32&gt;0,G33/I$32,0)</f>
        <v>#REF!</v>
      </c>
      <c r="E33" s="809" t="e">
        <f>IF(J$32&gt;0,H33/J$32,0)</f>
        <v>#REF!</v>
      </c>
      <c r="G33" s="730" t="e">
        <f t="shared" si="6"/>
        <v>#REF!</v>
      </c>
      <c r="H33" s="730" t="e">
        <f t="shared" si="7"/>
        <v>#REF!</v>
      </c>
      <c r="I33" s="730"/>
      <c r="J33" s="730"/>
      <c r="K33" s="730" t="e">
        <f>IF(#REF!=0,0,1)</f>
        <v>#REF!</v>
      </c>
      <c r="L33" s="730" t="e">
        <f>IF(#REF!=0,0,1)</f>
        <v>#REF!</v>
      </c>
      <c r="M33" s="730">
        <f t="shared" si="8"/>
        <v>0</v>
      </c>
      <c r="N33" s="730">
        <f t="shared" si="9"/>
        <v>0</v>
      </c>
      <c r="P33" s="923"/>
      <c r="Q33" s="982"/>
      <c r="R33" s="927">
        <v>1</v>
      </c>
      <c r="S33" s="926" t="s">
        <v>67</v>
      </c>
      <c r="T33" s="925"/>
      <c r="U33" s="976"/>
      <c r="V33" s="981">
        <f t="shared" si="43"/>
        <v>0</v>
      </c>
      <c r="W33" s="980">
        <f t="shared" si="44"/>
        <v>0</v>
      </c>
      <c r="X33"/>
      <c r="Y33" s="1">
        <f t="shared" si="29"/>
        <v>0</v>
      </c>
      <c r="Z33" s="1">
        <f t="shared" si="30"/>
        <v>0</v>
      </c>
      <c r="AA33" s="1">
        <f t="shared" si="31"/>
        <v>0</v>
      </c>
      <c r="AB33" s="1">
        <f t="shared" si="32"/>
        <v>0</v>
      </c>
      <c r="AC33" s="1">
        <f t="shared" si="33"/>
        <v>0</v>
      </c>
      <c r="AD33" s="1">
        <f t="shared" si="34"/>
        <v>0</v>
      </c>
      <c r="AE33" s="1">
        <f t="shared" si="35"/>
        <v>0</v>
      </c>
      <c r="AF33" s="1">
        <f t="shared" si="36"/>
        <v>0</v>
      </c>
      <c r="AG33" s="1">
        <f t="shared" si="37"/>
        <v>0</v>
      </c>
      <c r="AH33" s="1">
        <f t="shared" si="38"/>
        <v>0</v>
      </c>
      <c r="AI33" s="1">
        <f t="shared" si="39"/>
        <v>0</v>
      </c>
      <c r="AJ33" s="1">
        <f t="shared" si="40"/>
        <v>0</v>
      </c>
      <c r="AK33" s="1">
        <f t="shared" si="41"/>
        <v>0</v>
      </c>
      <c r="AL33"/>
      <c r="AM33" s="979"/>
      <c r="AN33" s="979"/>
      <c r="AO33" s="979"/>
      <c r="AP33" s="979"/>
      <c r="AQ33" s="979"/>
      <c r="AR33" s="979"/>
      <c r="AS33" s="979"/>
      <c r="AT33" s="979"/>
      <c r="AU33" s="979"/>
      <c r="AV33" s="979"/>
      <c r="AW33" s="979"/>
      <c r="AX33" s="979"/>
      <c r="AY33" s="979"/>
      <c r="BA33" s="723"/>
      <c r="BB33" s="723" t="e">
        <f t="shared" si="11"/>
        <v>#REF!</v>
      </c>
      <c r="BC33" s="723"/>
      <c r="BD33" s="722" t="e">
        <f>BR33*#REF!</f>
        <v>#REF!</v>
      </c>
      <c r="BE33" s="722" t="e">
        <f>BS33*#REF!</f>
        <v>#REF!</v>
      </c>
      <c r="BF33" s="722" t="e">
        <f>BT33*#REF!</f>
        <v>#REF!</v>
      </c>
      <c r="BG33" s="722" t="e">
        <f>BU33*#REF!</f>
        <v>#REF!</v>
      </c>
      <c r="BH33" s="803" t="e">
        <f>BV33*#REF!</f>
        <v>#REF!</v>
      </c>
      <c r="BI33" s="722" t="e">
        <f>BW33*#REF!</f>
        <v>#REF!</v>
      </c>
      <c r="BJ33" s="722" t="e">
        <f>BX33*#REF!</f>
        <v>#REF!</v>
      </c>
      <c r="BK33" s="722" t="e">
        <f>BY33*#REF!</f>
        <v>#REF!</v>
      </c>
      <c r="BL33" s="722" t="e">
        <f>BZ33*#REF!</f>
        <v>#REF!</v>
      </c>
      <c r="BM33" s="722" t="e">
        <f>CA33*#REF!</f>
        <v>#REF!</v>
      </c>
      <c r="BO33" s="749" t="str">
        <f t="shared" si="12"/>
        <v>2.3.1</v>
      </c>
      <c r="BP33" s="749" t="str">
        <f t="shared" si="13"/>
        <v xml:space="preserve"> Q1 2.3</v>
      </c>
      <c r="BQ33" s="408">
        <f t="shared" si="14"/>
        <v>0</v>
      </c>
      <c r="BR33" s="719">
        <f t="shared" si="15"/>
        <v>0</v>
      </c>
      <c r="BS33" s="719">
        <f t="shared" si="16"/>
        <v>0</v>
      </c>
      <c r="BT33" s="719">
        <f t="shared" si="17"/>
        <v>0</v>
      </c>
      <c r="BU33" s="719">
        <f t="shared" si="18"/>
        <v>0</v>
      </c>
      <c r="BV33" s="802">
        <f t="shared" si="19"/>
        <v>0</v>
      </c>
      <c r="BW33" s="719">
        <f t="shared" si="20"/>
        <v>0</v>
      </c>
      <c r="BX33" s="719">
        <f t="shared" si="21"/>
        <v>0</v>
      </c>
      <c r="BY33" s="719">
        <f t="shared" si="22"/>
        <v>0</v>
      </c>
      <c r="BZ33" s="719">
        <f t="shared" si="23"/>
        <v>0</v>
      </c>
      <c r="CA33" s="719">
        <f t="shared" si="24"/>
        <v>0</v>
      </c>
      <c r="CB33" s="748">
        <f t="shared" si="25"/>
        <v>0</v>
      </c>
      <c r="CC33" s="719">
        <f t="shared" si="26"/>
        <v>0</v>
      </c>
      <c r="CD33" s="719">
        <f t="shared" si="27"/>
        <v>0</v>
      </c>
      <c r="CF33" s="455" t="s">
        <v>1015</v>
      </c>
      <c r="CG33" s="459" t="s">
        <v>582</v>
      </c>
      <c r="CH33" s="456" t="s">
        <v>67</v>
      </c>
      <c r="CI33" s="457">
        <v>0.5</v>
      </c>
      <c r="CJ33" s="457">
        <v>0.5</v>
      </c>
      <c r="CK33" s="457">
        <v>0.5</v>
      </c>
      <c r="CL33" s="457">
        <v>0.5</v>
      </c>
      <c r="CM33" s="471">
        <v>0.5</v>
      </c>
      <c r="CN33" s="457">
        <v>0.5</v>
      </c>
      <c r="CO33" s="474">
        <v>0.5</v>
      </c>
      <c r="CP33" s="457">
        <v>0.5</v>
      </c>
      <c r="CQ33" s="457">
        <v>0.5</v>
      </c>
      <c r="CR33" s="457">
        <v>0.5</v>
      </c>
      <c r="CS33" s="462"/>
      <c r="CT33" s="462"/>
      <c r="CU33" s="462"/>
      <c r="CW33" s="455" t="s">
        <v>1015</v>
      </c>
      <c r="CX33" s="459" t="s">
        <v>582</v>
      </c>
      <c r="CY33" s="456" t="s">
        <v>67</v>
      </c>
      <c r="CZ33" s="461"/>
      <c r="DA33" s="461"/>
      <c r="DB33" s="461"/>
      <c r="DC33" s="461"/>
      <c r="DD33" s="468"/>
      <c r="DE33" s="461"/>
      <c r="DF33" s="461"/>
      <c r="DG33" s="461"/>
      <c r="DH33" s="461"/>
      <c r="DI33" s="461"/>
      <c r="DJ33" s="462"/>
      <c r="DK33" s="461"/>
      <c r="DL33" s="461"/>
      <c r="DN33" s="455" t="s">
        <v>1015</v>
      </c>
      <c r="DO33" s="459" t="s">
        <v>582</v>
      </c>
      <c r="DP33" s="456"/>
      <c r="DQ33" s="487"/>
      <c r="DR33" s="487"/>
      <c r="DS33" s="487"/>
      <c r="DT33" s="487"/>
      <c r="DU33" s="577">
        <v>0</v>
      </c>
      <c r="DV33" s="487"/>
      <c r="DW33" s="487"/>
      <c r="DX33" s="487"/>
      <c r="DY33" s="487"/>
      <c r="DZ33" s="487"/>
      <c r="EA33" s="489"/>
      <c r="EB33" s="487"/>
      <c r="EC33" s="487"/>
      <c r="ED33" s="688"/>
      <c r="EF33" s="455" t="s">
        <v>1015</v>
      </c>
      <c r="EG33" s="459" t="s">
        <v>582</v>
      </c>
      <c r="EH33" s="456"/>
      <c r="EI33" s="609"/>
      <c r="EJ33" s="609"/>
      <c r="EK33" s="609"/>
      <c r="EL33" s="609"/>
      <c r="EM33" s="612"/>
      <c r="EN33" s="609"/>
      <c r="EO33" s="609"/>
      <c r="EP33" s="609"/>
      <c r="EQ33" s="609"/>
      <c r="ER33" s="609"/>
      <c r="ES33" s="611"/>
      <c r="ET33" s="609"/>
      <c r="EU33" s="609"/>
      <c r="EW33" s="455" t="s">
        <v>1015</v>
      </c>
      <c r="EX33" s="459" t="s">
        <v>582</v>
      </c>
      <c r="EY33" s="456"/>
      <c r="EZ33" s="598">
        <f t="shared" si="60"/>
        <v>0</v>
      </c>
      <c r="FA33" s="598"/>
      <c r="FB33" s="598"/>
      <c r="FC33" s="598"/>
      <c r="FD33" s="654"/>
      <c r="FE33" s="598"/>
      <c r="FF33" s="598"/>
      <c r="FG33" s="598"/>
      <c r="FH33" s="598"/>
      <c r="FI33" s="598"/>
      <c r="FJ33" s="647"/>
      <c r="FK33" s="598"/>
      <c r="FL33" s="598"/>
    </row>
    <row r="34" spans="2:168" s="565" customFormat="1" hidden="1">
      <c r="B34" s="732" t="str">
        <f t="shared" si="4"/>
        <v>2.3.2</v>
      </c>
      <c r="C34" s="408">
        <f t="shared" si="5"/>
        <v>0</v>
      </c>
      <c r="D34" s="809" t="e">
        <f>IF(I$32&gt;0,G34/I$32,0)</f>
        <v>#REF!</v>
      </c>
      <c r="E34" s="809" t="e">
        <f>IF(J$32&gt;0,H34/J$32,0)</f>
        <v>#REF!</v>
      </c>
      <c r="G34" s="730" t="e">
        <f t="shared" si="6"/>
        <v>#REF!</v>
      </c>
      <c r="H34" s="730" t="e">
        <f t="shared" si="7"/>
        <v>#REF!</v>
      </c>
      <c r="I34" s="730"/>
      <c r="J34" s="730"/>
      <c r="K34" s="730" t="e">
        <f>IF(#REF!=0,0,1)</f>
        <v>#REF!</v>
      </c>
      <c r="L34" s="730" t="e">
        <f>IF(#REF!=0,0,1)</f>
        <v>#REF!</v>
      </c>
      <c r="M34" s="730">
        <f t="shared" si="8"/>
        <v>0</v>
      </c>
      <c r="N34" s="730">
        <f t="shared" si="9"/>
        <v>0</v>
      </c>
      <c r="P34" s="978"/>
      <c r="Q34" s="977"/>
      <c r="R34" s="927">
        <v>2</v>
      </c>
      <c r="S34" s="926" t="s">
        <v>409</v>
      </c>
      <c r="T34" s="925"/>
      <c r="U34" s="976"/>
      <c r="V34" s="975">
        <f t="shared" si="43"/>
        <v>0</v>
      </c>
      <c r="W34" s="974">
        <f t="shared" si="44"/>
        <v>0</v>
      </c>
      <c r="X34"/>
      <c r="Y34" s="1">
        <f t="shared" si="29"/>
        <v>0</v>
      </c>
      <c r="Z34" s="1">
        <f t="shared" si="30"/>
        <v>0</v>
      </c>
      <c r="AA34" s="1">
        <f t="shared" si="31"/>
        <v>0</v>
      </c>
      <c r="AB34" s="1">
        <f t="shared" si="32"/>
        <v>0</v>
      </c>
      <c r="AC34" s="1">
        <f t="shared" si="33"/>
        <v>0</v>
      </c>
      <c r="AD34" s="1">
        <f t="shared" si="34"/>
        <v>0</v>
      </c>
      <c r="AE34" s="1">
        <f t="shared" si="35"/>
        <v>0</v>
      </c>
      <c r="AF34" s="1">
        <f t="shared" si="36"/>
        <v>0</v>
      </c>
      <c r="AG34" s="1">
        <f t="shared" si="37"/>
        <v>0</v>
      </c>
      <c r="AH34" s="1">
        <f t="shared" si="38"/>
        <v>0</v>
      </c>
      <c r="AI34" s="1">
        <f t="shared" si="39"/>
        <v>0</v>
      </c>
      <c r="AJ34" s="1">
        <f t="shared" si="40"/>
        <v>0</v>
      </c>
      <c r="AK34" s="1">
        <f t="shared" si="41"/>
        <v>0</v>
      </c>
      <c r="AL34"/>
      <c r="AM34" s="973"/>
      <c r="AN34" s="973"/>
      <c r="AO34" s="973"/>
      <c r="AP34" s="973"/>
      <c r="AQ34" s="973"/>
      <c r="AR34" s="973"/>
      <c r="AS34" s="973"/>
      <c r="AT34" s="973"/>
      <c r="AU34" s="973"/>
      <c r="AV34" s="973"/>
      <c r="AW34" s="973"/>
      <c r="AX34" s="973"/>
      <c r="AY34" s="973"/>
      <c r="BA34" s="723"/>
      <c r="BB34" s="723" t="e">
        <f t="shared" si="11"/>
        <v>#REF!</v>
      </c>
      <c r="BC34" s="723"/>
      <c r="BD34" s="722" t="e">
        <f>BR34*#REF!</f>
        <v>#REF!</v>
      </c>
      <c r="BE34" s="722" t="e">
        <f>BS34*#REF!</f>
        <v>#REF!</v>
      </c>
      <c r="BF34" s="722" t="e">
        <f>BT34*#REF!</f>
        <v>#REF!</v>
      </c>
      <c r="BG34" s="722" t="e">
        <f>BU34*#REF!</f>
        <v>#REF!</v>
      </c>
      <c r="BH34" s="803" t="e">
        <f>BV34*#REF!</f>
        <v>#REF!</v>
      </c>
      <c r="BI34" s="722" t="e">
        <f>BW34*#REF!</f>
        <v>#REF!</v>
      </c>
      <c r="BJ34" s="722" t="e">
        <f>BX34*#REF!</f>
        <v>#REF!</v>
      </c>
      <c r="BK34" s="722" t="e">
        <f>BY34*#REF!</f>
        <v>#REF!</v>
      </c>
      <c r="BL34" s="722" t="e">
        <f>BZ34*#REF!</f>
        <v>#REF!</v>
      </c>
      <c r="BM34" s="722" t="e">
        <f>CA34*#REF!</f>
        <v>#REF!</v>
      </c>
      <c r="BO34" s="749" t="str">
        <f t="shared" si="12"/>
        <v>2.3.2</v>
      </c>
      <c r="BP34" s="749" t="str">
        <f t="shared" si="13"/>
        <v xml:space="preserve"> Q1 2.3</v>
      </c>
      <c r="BQ34" s="408">
        <f t="shared" si="14"/>
        <v>0</v>
      </c>
      <c r="BR34" s="719">
        <f t="shared" si="15"/>
        <v>0</v>
      </c>
      <c r="BS34" s="719">
        <f t="shared" si="16"/>
        <v>0</v>
      </c>
      <c r="BT34" s="719">
        <f t="shared" si="17"/>
        <v>0</v>
      </c>
      <c r="BU34" s="719">
        <f t="shared" si="18"/>
        <v>0</v>
      </c>
      <c r="BV34" s="802">
        <f t="shared" si="19"/>
        <v>0</v>
      </c>
      <c r="BW34" s="719">
        <f t="shared" si="20"/>
        <v>0</v>
      </c>
      <c r="BX34" s="719">
        <f t="shared" si="21"/>
        <v>0</v>
      </c>
      <c r="BY34" s="719">
        <f t="shared" si="22"/>
        <v>0</v>
      </c>
      <c r="BZ34" s="719">
        <f t="shared" si="23"/>
        <v>0</v>
      </c>
      <c r="CA34" s="719">
        <f t="shared" si="24"/>
        <v>0</v>
      </c>
      <c r="CB34" s="748">
        <f t="shared" si="25"/>
        <v>0</v>
      </c>
      <c r="CC34" s="719">
        <f t="shared" si="26"/>
        <v>0</v>
      </c>
      <c r="CD34" s="719">
        <f t="shared" si="27"/>
        <v>0</v>
      </c>
      <c r="CF34" s="455" t="s">
        <v>1014</v>
      </c>
      <c r="CG34" s="459" t="s">
        <v>582</v>
      </c>
      <c r="CH34" s="456" t="s">
        <v>409</v>
      </c>
      <c r="CI34" s="457">
        <v>0.5</v>
      </c>
      <c r="CJ34" s="457">
        <v>0.5</v>
      </c>
      <c r="CK34" s="457">
        <v>0.5</v>
      </c>
      <c r="CL34" s="457">
        <v>0.5</v>
      </c>
      <c r="CM34" s="457">
        <v>0.5</v>
      </c>
      <c r="CN34" s="457">
        <v>0.5</v>
      </c>
      <c r="CO34" s="474">
        <v>0.5</v>
      </c>
      <c r="CP34" s="457">
        <v>0.5</v>
      </c>
      <c r="CQ34" s="457">
        <v>0.5</v>
      </c>
      <c r="CR34" s="457">
        <v>0.5</v>
      </c>
      <c r="CS34" s="462"/>
      <c r="CT34" s="462"/>
      <c r="CU34" s="462"/>
      <c r="CW34" s="455" t="s">
        <v>1014</v>
      </c>
      <c r="CX34" s="459" t="s">
        <v>582</v>
      </c>
      <c r="CY34" s="456" t="s">
        <v>409</v>
      </c>
      <c r="CZ34" s="461"/>
      <c r="DA34" s="461"/>
      <c r="DB34" s="461"/>
      <c r="DC34" s="461"/>
      <c r="DD34" s="468"/>
      <c r="DE34" s="461"/>
      <c r="DF34" s="461"/>
      <c r="DG34" s="461"/>
      <c r="DH34" s="461"/>
      <c r="DI34" s="461"/>
      <c r="DJ34" s="462"/>
      <c r="DK34" s="461"/>
      <c r="DL34" s="461"/>
      <c r="DN34" s="455" t="s">
        <v>1014</v>
      </c>
      <c r="DO34" s="459" t="s">
        <v>582</v>
      </c>
      <c r="DP34" s="456"/>
      <c r="DQ34" s="487"/>
      <c r="DR34" s="487"/>
      <c r="DS34" s="487"/>
      <c r="DT34" s="487"/>
      <c r="DU34" s="577">
        <v>0</v>
      </c>
      <c r="DV34" s="487"/>
      <c r="DW34" s="487"/>
      <c r="DX34" s="487"/>
      <c r="DY34" s="487"/>
      <c r="DZ34" s="487"/>
      <c r="EA34" s="489"/>
      <c r="EB34" s="487"/>
      <c r="EC34" s="487"/>
      <c r="ED34" s="688"/>
      <c r="EF34" s="455" t="s">
        <v>1014</v>
      </c>
      <c r="EG34" s="459" t="s">
        <v>582</v>
      </c>
      <c r="EH34" s="456"/>
      <c r="EI34" s="609"/>
      <c r="EJ34" s="609"/>
      <c r="EK34" s="609"/>
      <c r="EL34" s="609"/>
      <c r="EM34" s="612"/>
      <c r="EN34" s="609"/>
      <c r="EO34" s="609"/>
      <c r="EP34" s="609"/>
      <c r="EQ34" s="609"/>
      <c r="ER34" s="609"/>
      <c r="ES34" s="611"/>
      <c r="ET34" s="609"/>
      <c r="EU34" s="609"/>
      <c r="EW34" s="455" t="s">
        <v>1014</v>
      </c>
      <c r="EX34" s="459" t="s">
        <v>582</v>
      </c>
      <c r="EY34" s="456"/>
      <c r="EZ34" s="598">
        <f t="shared" si="60"/>
        <v>0</v>
      </c>
      <c r="FA34" s="598"/>
      <c r="FB34" s="598"/>
      <c r="FC34" s="598"/>
      <c r="FD34" s="654"/>
      <c r="FE34" s="598"/>
      <c r="FF34" s="598"/>
      <c r="FG34" s="598"/>
      <c r="FH34" s="598"/>
      <c r="FI34" s="598"/>
      <c r="FJ34" s="647"/>
      <c r="FK34" s="598"/>
      <c r="FL34" s="598"/>
    </row>
    <row r="35" spans="2:168">
      <c r="B35" s="732">
        <f t="shared" si="4"/>
        <v>3</v>
      </c>
      <c r="C35" s="759" t="str">
        <f t="shared" si="5"/>
        <v>光・視環境</v>
      </c>
      <c r="D35" s="770" t="e">
        <f>IF(I$9=0,0,G35/I$9)</f>
        <v>#REF!</v>
      </c>
      <c r="E35" s="769" t="e">
        <f>IF(J$9=0,0,H35/J$9)</f>
        <v>#REF!</v>
      </c>
      <c r="G35" s="769" t="e">
        <f t="shared" si="6"/>
        <v>#REF!</v>
      </c>
      <c r="H35" s="769" t="e">
        <f t="shared" si="7"/>
        <v>#REF!</v>
      </c>
      <c r="I35" s="769" t="e">
        <f>G36+G40+G44+G47</f>
        <v>#REF!</v>
      </c>
      <c r="J35" s="769" t="e">
        <f>H36+H40+H44+H47</f>
        <v>#REF!</v>
      </c>
      <c r="K35" s="769" t="e">
        <f>IF(L35&gt;0,1,IF(#REF!=0,0,1))</f>
        <v>#REF!</v>
      </c>
      <c r="L35" s="769" t="e">
        <f>IF(#REF!=0,0,1)</f>
        <v>#REF!</v>
      </c>
      <c r="M35" s="769">
        <f t="shared" si="8"/>
        <v>0.25</v>
      </c>
      <c r="N35" s="769">
        <f t="shared" si="9"/>
        <v>0</v>
      </c>
      <c r="P35" s="779">
        <v>3</v>
      </c>
      <c r="Q35" s="767" t="s">
        <v>410</v>
      </c>
      <c r="R35" s="825"/>
      <c r="S35" s="815"/>
      <c r="T35" s="815"/>
      <c r="U35" s="726"/>
      <c r="V35" s="766">
        <f t="shared" si="43"/>
        <v>0</v>
      </c>
      <c r="W35" s="765">
        <f t="shared" si="44"/>
        <v>0</v>
      </c>
      <c r="Y35" s="1">
        <f t="shared" si="29"/>
        <v>0</v>
      </c>
      <c r="Z35" s="1">
        <f t="shared" si="30"/>
        <v>0</v>
      </c>
      <c r="AA35" s="1">
        <f t="shared" si="31"/>
        <v>0</v>
      </c>
      <c r="AB35" s="1">
        <f t="shared" si="32"/>
        <v>0</v>
      </c>
      <c r="AC35" s="1">
        <f t="shared" si="33"/>
        <v>0</v>
      </c>
      <c r="AD35" s="1">
        <f t="shared" si="34"/>
        <v>0</v>
      </c>
      <c r="AE35" s="1">
        <f t="shared" si="35"/>
        <v>0</v>
      </c>
      <c r="AF35" s="1">
        <f t="shared" si="36"/>
        <v>0</v>
      </c>
      <c r="AG35" s="1">
        <f t="shared" si="37"/>
        <v>0</v>
      </c>
      <c r="AH35" s="1">
        <f t="shared" si="38"/>
        <v>0</v>
      </c>
      <c r="AI35" s="1">
        <f t="shared" si="39"/>
        <v>0</v>
      </c>
      <c r="AJ35" s="1">
        <f t="shared" si="40"/>
        <v>0</v>
      </c>
      <c r="AK35" s="1">
        <f t="shared" si="41"/>
        <v>0</v>
      </c>
      <c r="AM35" s="764" t="s">
        <v>1001</v>
      </c>
      <c r="AN35" s="764" t="s">
        <v>1001</v>
      </c>
      <c r="AO35" s="764" t="s">
        <v>1001</v>
      </c>
      <c r="AP35" s="764" t="s">
        <v>1001</v>
      </c>
      <c r="AQ35" s="764" t="s">
        <v>1001</v>
      </c>
      <c r="AR35" s="764" t="s">
        <v>1001</v>
      </c>
      <c r="AS35" s="764" t="s">
        <v>1001</v>
      </c>
      <c r="AT35" s="764" t="s">
        <v>1001</v>
      </c>
      <c r="AU35" s="764" t="s">
        <v>1001</v>
      </c>
      <c r="AV35" s="764" t="s">
        <v>1001</v>
      </c>
      <c r="AW35" s="764" t="s">
        <v>1001</v>
      </c>
      <c r="AX35" s="764" t="s">
        <v>1001</v>
      </c>
      <c r="AY35" s="764" t="s">
        <v>1001</v>
      </c>
      <c r="BA35" s="763" t="e">
        <f>BB35/$BC$9</f>
        <v>#REF!</v>
      </c>
      <c r="BB35" s="763" t="e">
        <f t="shared" si="11"/>
        <v>#REF!</v>
      </c>
      <c r="BC35" s="763"/>
      <c r="BD35" s="762" t="e">
        <f>BR35*#REF!</f>
        <v>#REF!</v>
      </c>
      <c r="BE35" s="762" t="e">
        <f>BS35*#REF!</f>
        <v>#REF!</v>
      </c>
      <c r="BF35" s="762" t="e">
        <f>BT35*#REF!</f>
        <v>#REF!</v>
      </c>
      <c r="BG35" s="762" t="e">
        <f>BU35*#REF!</f>
        <v>#REF!</v>
      </c>
      <c r="BH35" s="941" t="e">
        <f>BV35*#REF!</f>
        <v>#REF!</v>
      </c>
      <c r="BI35" s="762" t="e">
        <f>BW35*#REF!</f>
        <v>#REF!</v>
      </c>
      <c r="BJ35" s="762" t="e">
        <f>BX35*#REF!</f>
        <v>#REF!</v>
      </c>
      <c r="BK35" s="762" t="e">
        <f>BY35*#REF!</f>
        <v>#REF!</v>
      </c>
      <c r="BL35" s="762" t="e">
        <f>BZ35*#REF!</f>
        <v>#REF!</v>
      </c>
      <c r="BM35" s="762" t="e">
        <f>CA35*#REF!</f>
        <v>#REF!</v>
      </c>
      <c r="BO35" s="823">
        <f t="shared" si="12"/>
        <v>3</v>
      </c>
      <c r="BP35" s="823" t="str">
        <f t="shared" si="13"/>
        <v xml:space="preserve"> Q1</v>
      </c>
      <c r="BQ35" s="759" t="str">
        <f t="shared" si="14"/>
        <v>光・視環境</v>
      </c>
      <c r="BR35" s="757">
        <f t="shared" si="15"/>
        <v>0.25</v>
      </c>
      <c r="BS35" s="757">
        <f t="shared" si="16"/>
        <v>0.25</v>
      </c>
      <c r="BT35" s="757">
        <f t="shared" si="17"/>
        <v>0.25</v>
      </c>
      <c r="BU35" s="757">
        <f t="shared" si="18"/>
        <v>0.25</v>
      </c>
      <c r="BV35" s="940">
        <f t="shared" si="19"/>
        <v>0.25</v>
      </c>
      <c r="BW35" s="757">
        <f t="shared" si="20"/>
        <v>0.25</v>
      </c>
      <c r="BX35" s="757">
        <f t="shared" si="21"/>
        <v>0.25</v>
      </c>
      <c r="BY35" s="757">
        <f t="shared" si="22"/>
        <v>0.25</v>
      </c>
      <c r="BZ35" s="757">
        <f t="shared" si="23"/>
        <v>0.25</v>
      </c>
      <c r="CA35" s="757">
        <f t="shared" si="24"/>
        <v>0.25</v>
      </c>
      <c r="CB35" s="758">
        <f t="shared" si="25"/>
        <v>0</v>
      </c>
      <c r="CC35" s="757">
        <f t="shared" si="26"/>
        <v>0</v>
      </c>
      <c r="CD35" s="757">
        <f t="shared" si="27"/>
        <v>0</v>
      </c>
      <c r="CF35" s="447">
        <v>3</v>
      </c>
      <c r="CG35" s="451" t="s">
        <v>179</v>
      </c>
      <c r="CH35" s="448" t="s">
        <v>174</v>
      </c>
      <c r="CI35" s="449">
        <v>0.25</v>
      </c>
      <c r="CJ35" s="449">
        <v>0.25</v>
      </c>
      <c r="CK35" s="449">
        <v>0.25</v>
      </c>
      <c r="CL35" s="449">
        <v>0.25</v>
      </c>
      <c r="CM35" s="469">
        <v>0</v>
      </c>
      <c r="CN35" s="449">
        <v>0.25</v>
      </c>
      <c r="CO35" s="452">
        <v>0.25</v>
      </c>
      <c r="CP35" s="449">
        <v>0.25</v>
      </c>
      <c r="CQ35" s="449">
        <v>0.25</v>
      </c>
      <c r="CR35" s="449">
        <v>0.25</v>
      </c>
      <c r="CS35" s="453"/>
      <c r="CT35" s="452"/>
      <c r="CU35" s="452"/>
      <c r="CW35" s="447">
        <v>3</v>
      </c>
      <c r="CX35" s="451" t="s">
        <v>179</v>
      </c>
      <c r="CY35" s="448" t="s">
        <v>174</v>
      </c>
      <c r="CZ35" s="452">
        <v>0.25</v>
      </c>
      <c r="DA35" s="452">
        <v>0.25</v>
      </c>
      <c r="DB35" s="452">
        <v>0.25</v>
      </c>
      <c r="DC35" s="452">
        <v>0.25</v>
      </c>
      <c r="DD35" s="470"/>
      <c r="DE35" s="452">
        <v>0.25</v>
      </c>
      <c r="DF35" s="452">
        <v>0.25</v>
      </c>
      <c r="DG35" s="452">
        <v>0.25</v>
      </c>
      <c r="DH35" s="452">
        <v>0.25</v>
      </c>
      <c r="DI35" s="452">
        <v>0.25</v>
      </c>
      <c r="DJ35" s="453"/>
      <c r="DK35" s="452"/>
      <c r="DL35" s="452"/>
      <c r="DN35" s="447">
        <v>3</v>
      </c>
      <c r="DO35" s="451" t="s">
        <v>179</v>
      </c>
      <c r="DP35" s="448" t="s">
        <v>174</v>
      </c>
      <c r="DQ35" s="452">
        <v>0.25</v>
      </c>
      <c r="DR35" s="452">
        <v>0.25</v>
      </c>
      <c r="DS35" s="452">
        <v>0.25</v>
      </c>
      <c r="DT35" s="452">
        <v>0.25</v>
      </c>
      <c r="DU35" s="571">
        <v>0.25</v>
      </c>
      <c r="DV35" s="452">
        <v>0.25</v>
      </c>
      <c r="DW35" s="452">
        <v>0.25</v>
      </c>
      <c r="DX35" s="452">
        <v>0.25</v>
      </c>
      <c r="DY35" s="452">
        <v>0.25</v>
      </c>
      <c r="DZ35" s="452">
        <v>0.25</v>
      </c>
      <c r="EA35" s="453"/>
      <c r="EB35" s="452"/>
      <c r="EC35" s="452"/>
      <c r="ED35" s="554"/>
      <c r="EF35" s="447">
        <v>3</v>
      </c>
      <c r="EG35" s="451" t="s">
        <v>179</v>
      </c>
      <c r="EH35" s="448" t="s">
        <v>174</v>
      </c>
      <c r="EI35" s="606">
        <f t="shared" ref="EI35:EU42" si="63">DQ35</f>
        <v>0.25</v>
      </c>
      <c r="EJ35" s="606">
        <f t="shared" si="63"/>
        <v>0.25</v>
      </c>
      <c r="EK35" s="606">
        <f t="shared" si="63"/>
        <v>0.25</v>
      </c>
      <c r="EL35" s="606">
        <f t="shared" si="63"/>
        <v>0.25</v>
      </c>
      <c r="EM35" s="613">
        <f t="shared" si="63"/>
        <v>0.25</v>
      </c>
      <c r="EN35" s="606">
        <f t="shared" si="63"/>
        <v>0.25</v>
      </c>
      <c r="EO35" s="606">
        <f t="shared" si="63"/>
        <v>0.25</v>
      </c>
      <c r="EP35" s="606">
        <f t="shared" si="63"/>
        <v>0.25</v>
      </c>
      <c r="EQ35" s="606">
        <f t="shared" si="63"/>
        <v>0.25</v>
      </c>
      <c r="ER35" s="606">
        <f t="shared" si="63"/>
        <v>0.25</v>
      </c>
      <c r="ES35" s="608">
        <f t="shared" si="63"/>
        <v>0</v>
      </c>
      <c r="ET35" s="606">
        <f t="shared" si="63"/>
        <v>0</v>
      </c>
      <c r="EU35" s="606">
        <f t="shared" si="63"/>
        <v>0</v>
      </c>
      <c r="EW35" s="447">
        <v>3</v>
      </c>
      <c r="EX35" s="451" t="s">
        <v>179</v>
      </c>
      <c r="EY35" s="448" t="s">
        <v>174</v>
      </c>
      <c r="EZ35" s="596">
        <f t="shared" si="60"/>
        <v>0.25</v>
      </c>
      <c r="FA35" s="596"/>
      <c r="FB35" s="596"/>
      <c r="FC35" s="596"/>
      <c r="FD35" s="648"/>
      <c r="FE35" s="596"/>
      <c r="FF35" s="596"/>
      <c r="FG35" s="596"/>
      <c r="FH35" s="596"/>
      <c r="FI35" s="596"/>
      <c r="FJ35" s="597"/>
      <c r="FK35" s="596"/>
      <c r="FL35" s="596"/>
    </row>
    <row r="36" spans="2:168" ht="14.25" thickBot="1">
      <c r="B36" s="732">
        <f t="shared" si="4"/>
        <v>3.1</v>
      </c>
      <c r="C36" s="408" t="str">
        <f t="shared" si="5"/>
        <v>昼光利用</v>
      </c>
      <c r="D36" s="731" t="e">
        <f>IF(I$35=0,0,G36/I$35)</f>
        <v>#REF!</v>
      </c>
      <c r="E36" s="730" t="e">
        <f>IF(J$35=0,0,H36/J$35)</f>
        <v>#REF!</v>
      </c>
      <c r="G36" s="730" t="e">
        <f t="shared" si="6"/>
        <v>#REF!</v>
      </c>
      <c r="H36" s="730" t="e">
        <f t="shared" si="7"/>
        <v>#REF!</v>
      </c>
      <c r="I36" s="730" t="e">
        <f>SUM(G37:G39)</f>
        <v>#REF!</v>
      </c>
      <c r="J36" s="730" t="e">
        <f>SUM(H37:H39)</f>
        <v>#REF!</v>
      </c>
      <c r="K36" s="730" t="e">
        <f>IF(#REF!=0,0,1)</f>
        <v>#REF!</v>
      </c>
      <c r="L36" s="730" t="e">
        <f>IF(#REF!=0,0,1)</f>
        <v>#REF!</v>
      </c>
      <c r="M36" s="730">
        <f t="shared" si="8"/>
        <v>0.3</v>
      </c>
      <c r="N36" s="730">
        <f t="shared" si="9"/>
        <v>0</v>
      </c>
      <c r="P36" s="923"/>
      <c r="Q36" s="744">
        <v>3.1</v>
      </c>
      <c r="R36" s="838" t="s">
        <v>411</v>
      </c>
      <c r="S36" s="815"/>
      <c r="T36" s="815"/>
      <c r="U36" s="726"/>
      <c r="V36" s="972">
        <f t="shared" si="43"/>
        <v>0</v>
      </c>
      <c r="W36" s="971">
        <f t="shared" si="44"/>
        <v>0</v>
      </c>
      <c r="Y36" s="1">
        <f t="shared" si="29"/>
        <v>0</v>
      </c>
      <c r="Z36" s="1">
        <f t="shared" si="30"/>
        <v>0</v>
      </c>
      <c r="AA36" s="1">
        <f t="shared" si="31"/>
        <v>0</v>
      </c>
      <c r="AB36" s="1">
        <f t="shared" si="32"/>
        <v>0</v>
      </c>
      <c r="AC36" s="1">
        <f t="shared" si="33"/>
        <v>0</v>
      </c>
      <c r="AD36" s="1">
        <f t="shared" si="34"/>
        <v>0</v>
      </c>
      <c r="AE36" s="1">
        <f t="shared" si="35"/>
        <v>0</v>
      </c>
      <c r="AF36" s="1">
        <f t="shared" si="36"/>
        <v>0</v>
      </c>
      <c r="AG36" s="1">
        <f t="shared" si="37"/>
        <v>0</v>
      </c>
      <c r="AH36" s="1">
        <f t="shared" si="38"/>
        <v>0</v>
      </c>
      <c r="AI36" s="1">
        <f t="shared" si="39"/>
        <v>0</v>
      </c>
      <c r="AJ36" s="1">
        <f t="shared" si="40"/>
        <v>0</v>
      </c>
      <c r="AK36" s="1">
        <f t="shared" si="41"/>
        <v>0</v>
      </c>
      <c r="AM36" s="970" t="s">
        <v>1001</v>
      </c>
      <c r="AN36" s="970" t="s">
        <v>1001</v>
      </c>
      <c r="AO36" s="970" t="s">
        <v>1001</v>
      </c>
      <c r="AP36" s="970" t="s">
        <v>1001</v>
      </c>
      <c r="AQ36" s="970" t="s">
        <v>1001</v>
      </c>
      <c r="AR36" s="970" t="s">
        <v>1001</v>
      </c>
      <c r="AS36" s="970" t="s">
        <v>1001</v>
      </c>
      <c r="AT36" s="970" t="s">
        <v>1001</v>
      </c>
      <c r="AU36" s="970" t="s">
        <v>1001</v>
      </c>
      <c r="AV36" s="970" t="s">
        <v>1001</v>
      </c>
      <c r="AW36" s="970" t="s">
        <v>1001</v>
      </c>
      <c r="AX36" s="970" t="s">
        <v>1001</v>
      </c>
      <c r="AY36" s="970" t="s">
        <v>1001</v>
      </c>
      <c r="BA36" s="723"/>
      <c r="BB36" s="723" t="e">
        <f t="shared" si="11"/>
        <v>#REF!</v>
      </c>
      <c r="BC36" s="723"/>
      <c r="BD36" s="722" t="e">
        <f>BR36*#REF!</f>
        <v>#REF!</v>
      </c>
      <c r="BE36" s="722" t="e">
        <f>BS36*#REF!</f>
        <v>#REF!</v>
      </c>
      <c r="BF36" s="722" t="e">
        <f>BT36*#REF!</f>
        <v>#REF!</v>
      </c>
      <c r="BG36" s="722" t="e">
        <f>BU36*#REF!</f>
        <v>#REF!</v>
      </c>
      <c r="BH36" s="935" t="e">
        <f>BV36*#REF!</f>
        <v>#REF!</v>
      </c>
      <c r="BI36" s="722" t="e">
        <f>BW36*#REF!</f>
        <v>#REF!</v>
      </c>
      <c r="BJ36" s="722" t="e">
        <f>BX36*#REF!</f>
        <v>#REF!</v>
      </c>
      <c r="BK36" s="722" t="e">
        <f>BY36*#REF!</f>
        <v>#REF!</v>
      </c>
      <c r="BL36" s="722" t="e">
        <f>BZ36*#REF!</f>
        <v>#REF!</v>
      </c>
      <c r="BM36" s="722" t="e">
        <f>CA36*#REF!</f>
        <v>#REF!</v>
      </c>
      <c r="BO36" s="749">
        <f t="shared" si="12"/>
        <v>3.1</v>
      </c>
      <c r="BP36" s="749" t="str">
        <f t="shared" si="13"/>
        <v xml:space="preserve"> Q1 3</v>
      </c>
      <c r="BQ36" s="408" t="str">
        <f t="shared" si="14"/>
        <v>昼光利用</v>
      </c>
      <c r="BR36" s="719">
        <f t="shared" si="15"/>
        <v>0.3</v>
      </c>
      <c r="BS36" s="719">
        <f t="shared" si="16"/>
        <v>0.3</v>
      </c>
      <c r="BT36" s="719">
        <f t="shared" si="17"/>
        <v>0.5</v>
      </c>
      <c r="BU36" s="719">
        <f t="shared" si="18"/>
        <v>1</v>
      </c>
      <c r="BV36" s="934">
        <f t="shared" si="19"/>
        <v>0.3</v>
      </c>
      <c r="BW36" s="719">
        <f t="shared" si="20"/>
        <v>0.3</v>
      </c>
      <c r="BX36" s="719">
        <f t="shared" si="21"/>
        <v>0.3</v>
      </c>
      <c r="BY36" s="719">
        <f t="shared" si="22"/>
        <v>0.3</v>
      </c>
      <c r="BZ36" s="719">
        <f t="shared" si="23"/>
        <v>0.3</v>
      </c>
      <c r="CA36" s="719">
        <f t="shared" si="24"/>
        <v>0.3</v>
      </c>
      <c r="CB36" s="748">
        <f t="shared" si="25"/>
        <v>0.3</v>
      </c>
      <c r="CC36" s="719">
        <f t="shared" si="26"/>
        <v>0.3</v>
      </c>
      <c r="CD36" s="719">
        <f t="shared" si="27"/>
        <v>0.3</v>
      </c>
      <c r="CF36" s="455">
        <v>3.1</v>
      </c>
      <c r="CG36" s="459" t="s">
        <v>583</v>
      </c>
      <c r="CH36" s="456" t="s">
        <v>411</v>
      </c>
      <c r="CI36" s="457">
        <v>0.3</v>
      </c>
      <c r="CJ36" s="457">
        <v>0.3</v>
      </c>
      <c r="CK36" s="457">
        <v>0.5</v>
      </c>
      <c r="CL36" s="457">
        <v>1</v>
      </c>
      <c r="CM36" s="471"/>
      <c r="CN36" s="457">
        <v>0.3</v>
      </c>
      <c r="CO36" s="461">
        <v>0.3</v>
      </c>
      <c r="CP36" s="457">
        <v>0.3</v>
      </c>
      <c r="CQ36" s="457">
        <v>0.3</v>
      </c>
      <c r="CR36" s="457">
        <v>0.3</v>
      </c>
      <c r="CS36" s="462">
        <v>0.3</v>
      </c>
      <c r="CT36" s="461">
        <v>0.3</v>
      </c>
      <c r="CU36" s="461">
        <v>0.3</v>
      </c>
      <c r="CW36" s="455">
        <v>3.1</v>
      </c>
      <c r="CX36" s="459" t="s">
        <v>583</v>
      </c>
      <c r="CY36" s="456" t="s">
        <v>411</v>
      </c>
      <c r="CZ36" s="461">
        <v>0.3</v>
      </c>
      <c r="DA36" s="461">
        <v>0.3</v>
      </c>
      <c r="DB36" s="461">
        <v>0.5</v>
      </c>
      <c r="DC36" s="461">
        <v>1</v>
      </c>
      <c r="DD36" s="463"/>
      <c r="DE36" s="461">
        <v>0.3</v>
      </c>
      <c r="DF36" s="461">
        <v>0.3</v>
      </c>
      <c r="DG36" s="461">
        <v>0.3</v>
      </c>
      <c r="DH36" s="461">
        <v>0.3</v>
      </c>
      <c r="DI36" s="461">
        <v>0.3</v>
      </c>
      <c r="DJ36" s="462">
        <v>0.3</v>
      </c>
      <c r="DK36" s="461">
        <v>0.3</v>
      </c>
      <c r="DL36" s="461">
        <v>0.3</v>
      </c>
      <c r="DN36" s="455">
        <v>3.1</v>
      </c>
      <c r="DO36" s="459" t="s">
        <v>583</v>
      </c>
      <c r="DP36" s="456" t="s">
        <v>411</v>
      </c>
      <c r="DQ36" s="461">
        <v>0.3</v>
      </c>
      <c r="DR36" s="461">
        <v>0.3</v>
      </c>
      <c r="DS36" s="461">
        <v>0.5</v>
      </c>
      <c r="DT36" s="461">
        <v>1</v>
      </c>
      <c r="DU36" s="574">
        <v>0.3</v>
      </c>
      <c r="DV36" s="461">
        <v>0.3</v>
      </c>
      <c r="DW36" s="461">
        <v>0.3</v>
      </c>
      <c r="DX36" s="461">
        <v>0.3</v>
      </c>
      <c r="DY36" s="461">
        <v>0.3</v>
      </c>
      <c r="DZ36" s="461">
        <v>0.3</v>
      </c>
      <c r="EA36" s="462">
        <v>0.3</v>
      </c>
      <c r="EB36" s="461">
        <v>0.3</v>
      </c>
      <c r="EC36" s="461">
        <v>0.3</v>
      </c>
      <c r="ED36" s="555"/>
      <c r="EF36" s="455">
        <v>3.1</v>
      </c>
      <c r="EG36" s="459" t="s">
        <v>583</v>
      </c>
      <c r="EH36" s="456" t="s">
        <v>411</v>
      </c>
      <c r="EI36" s="609">
        <f t="shared" si="63"/>
        <v>0.3</v>
      </c>
      <c r="EJ36" s="609">
        <f t="shared" si="63"/>
        <v>0.3</v>
      </c>
      <c r="EK36" s="609">
        <f t="shared" si="63"/>
        <v>0.5</v>
      </c>
      <c r="EL36" s="609">
        <f t="shared" si="63"/>
        <v>1</v>
      </c>
      <c r="EM36" s="609">
        <f t="shared" si="63"/>
        <v>0.3</v>
      </c>
      <c r="EN36" s="609">
        <f t="shared" si="63"/>
        <v>0.3</v>
      </c>
      <c r="EO36" s="609">
        <f t="shared" si="63"/>
        <v>0.3</v>
      </c>
      <c r="EP36" s="609">
        <f t="shared" si="63"/>
        <v>0.3</v>
      </c>
      <c r="EQ36" s="609">
        <f t="shared" si="63"/>
        <v>0.3</v>
      </c>
      <c r="ER36" s="609">
        <f t="shared" si="63"/>
        <v>0.3</v>
      </c>
      <c r="ES36" s="611">
        <f t="shared" si="63"/>
        <v>0.3</v>
      </c>
      <c r="ET36" s="609">
        <f t="shared" si="63"/>
        <v>0.3</v>
      </c>
      <c r="EU36" s="609">
        <f t="shared" si="63"/>
        <v>0.3</v>
      </c>
      <c r="EW36" s="455">
        <v>3.1</v>
      </c>
      <c r="EX36" s="459" t="s">
        <v>583</v>
      </c>
      <c r="EY36" s="456" t="s">
        <v>411</v>
      </c>
      <c r="EZ36" s="598">
        <f t="shared" si="60"/>
        <v>0.3</v>
      </c>
      <c r="FA36" s="598"/>
      <c r="FB36" s="598"/>
      <c r="FC36" s="598"/>
      <c r="FD36" s="598"/>
      <c r="FE36" s="598"/>
      <c r="FF36" s="598"/>
      <c r="FG36" s="598"/>
      <c r="FH36" s="598"/>
      <c r="FI36" s="598"/>
      <c r="FJ36" s="647"/>
      <c r="FK36" s="598"/>
      <c r="FL36" s="598"/>
    </row>
    <row r="37" spans="2:168">
      <c r="B37" s="732" t="str">
        <f t="shared" si="4"/>
        <v>3.1.1</v>
      </c>
      <c r="C37" s="408" t="str">
        <f t="shared" si="5"/>
        <v>昼光率</v>
      </c>
      <c r="D37" s="809" t="e">
        <f t="shared" ref="D37:E39" si="64">IF(I$36&gt;0,G37/I$36,0)</f>
        <v>#REF!</v>
      </c>
      <c r="E37" s="730" t="e">
        <f t="shared" si="64"/>
        <v>#REF!</v>
      </c>
      <c r="G37" s="730" t="e">
        <f t="shared" si="6"/>
        <v>#REF!</v>
      </c>
      <c r="H37" s="730" t="e">
        <f t="shared" si="7"/>
        <v>#REF!</v>
      </c>
      <c r="I37" s="730"/>
      <c r="J37" s="730"/>
      <c r="K37" s="730" t="e">
        <f>IF(#REF!=0,0,1)</f>
        <v>#REF!</v>
      </c>
      <c r="L37" s="730" t="e">
        <f>IF(#REF!=0,0,1)</f>
        <v>#REF!</v>
      </c>
      <c r="M37" s="730">
        <f t="shared" si="8"/>
        <v>0.6</v>
      </c>
      <c r="N37" s="730">
        <f t="shared" si="9"/>
        <v>0</v>
      </c>
      <c r="P37" s="923"/>
      <c r="Q37" s="728"/>
      <c r="R37" s="414">
        <v>1</v>
      </c>
      <c r="S37" s="579" t="s">
        <v>412</v>
      </c>
      <c r="T37" s="745"/>
      <c r="U37" s="726"/>
      <c r="V37" s="734">
        <f t="shared" si="43"/>
        <v>0</v>
      </c>
      <c r="W37" s="733">
        <f t="shared" si="44"/>
        <v>0</v>
      </c>
      <c r="Y37" s="1">
        <f t="shared" si="29"/>
        <v>0</v>
      </c>
      <c r="Z37" s="1">
        <f t="shared" si="30"/>
        <v>0</v>
      </c>
      <c r="AA37" s="1">
        <f t="shared" si="31"/>
        <v>0</v>
      </c>
      <c r="AB37" s="1">
        <f t="shared" si="32"/>
        <v>0</v>
      </c>
      <c r="AC37" s="1">
        <f t="shared" si="33"/>
        <v>0</v>
      </c>
      <c r="AD37" s="1">
        <f t="shared" si="34"/>
        <v>0</v>
      </c>
      <c r="AE37" s="1">
        <f t="shared" si="35"/>
        <v>0</v>
      </c>
      <c r="AF37" s="1">
        <f t="shared" si="36"/>
        <v>0</v>
      </c>
      <c r="AG37" s="1">
        <f t="shared" si="37"/>
        <v>0</v>
      </c>
      <c r="AH37" s="1">
        <f t="shared" si="38"/>
        <v>0</v>
      </c>
      <c r="AI37" s="1">
        <f t="shared" si="39"/>
        <v>0</v>
      </c>
      <c r="AJ37" s="1">
        <f t="shared" si="40"/>
        <v>0</v>
      </c>
      <c r="AK37" s="1">
        <f t="shared" si="41"/>
        <v>0</v>
      </c>
      <c r="AM37" s="679"/>
      <c r="AN37" s="679"/>
      <c r="AO37" s="679"/>
      <c r="AP37" s="679"/>
      <c r="AQ37" s="679"/>
      <c r="AR37" s="679"/>
      <c r="AS37" s="679"/>
      <c r="AT37" s="679"/>
      <c r="AU37" s="679"/>
      <c r="AV37" s="679"/>
      <c r="AW37" s="679"/>
      <c r="AX37" s="679"/>
      <c r="AY37" s="679"/>
      <c r="BA37" s="723"/>
      <c r="BB37" s="723" t="e">
        <f t="shared" si="11"/>
        <v>#REF!</v>
      </c>
      <c r="BC37" s="723"/>
      <c r="BD37" s="722" t="e">
        <f>BR37*#REF!</f>
        <v>#REF!</v>
      </c>
      <c r="BE37" s="722" t="e">
        <f>BS37*#REF!</f>
        <v>#REF!</v>
      </c>
      <c r="BF37" s="722" t="e">
        <f>BT37*#REF!</f>
        <v>#REF!</v>
      </c>
      <c r="BG37" s="722" t="e">
        <f>BU37*#REF!</f>
        <v>#REF!</v>
      </c>
      <c r="BH37" s="935" t="e">
        <f>BV37*#REF!</f>
        <v>#REF!</v>
      </c>
      <c r="BI37" s="722" t="e">
        <f>BW37*#REF!</f>
        <v>#REF!</v>
      </c>
      <c r="BJ37" s="722" t="e">
        <f>BX37*#REF!</f>
        <v>#REF!</v>
      </c>
      <c r="BK37" s="722" t="e">
        <f>BY37*#REF!</f>
        <v>#REF!</v>
      </c>
      <c r="BL37" s="722" t="e">
        <f>BZ37*#REF!</f>
        <v>#REF!</v>
      </c>
      <c r="BM37" s="722" t="e">
        <f>CA37*#REF!</f>
        <v>#REF!</v>
      </c>
      <c r="BO37" s="749" t="str">
        <f t="shared" si="12"/>
        <v>3.1.1</v>
      </c>
      <c r="BP37" s="749" t="str">
        <f t="shared" si="13"/>
        <v xml:space="preserve"> Q1 3.1</v>
      </c>
      <c r="BQ37" s="408" t="str">
        <f t="shared" si="14"/>
        <v>昼光率</v>
      </c>
      <c r="BR37" s="719">
        <f t="shared" si="15"/>
        <v>0.6</v>
      </c>
      <c r="BS37" s="719">
        <f t="shared" si="16"/>
        <v>0.6</v>
      </c>
      <c r="BT37" s="719">
        <f t="shared" si="17"/>
        <v>0</v>
      </c>
      <c r="BU37" s="719">
        <f t="shared" si="18"/>
        <v>0</v>
      </c>
      <c r="BV37" s="934">
        <f t="shared" si="19"/>
        <v>0.6</v>
      </c>
      <c r="BW37" s="719">
        <f t="shared" si="20"/>
        <v>0.6</v>
      </c>
      <c r="BX37" s="719">
        <f t="shared" si="21"/>
        <v>0.6</v>
      </c>
      <c r="BY37" s="719">
        <f t="shared" si="22"/>
        <v>0.6</v>
      </c>
      <c r="BZ37" s="719">
        <f t="shared" si="23"/>
        <v>0.6</v>
      </c>
      <c r="CA37" s="719">
        <f t="shared" si="24"/>
        <v>0.6</v>
      </c>
      <c r="CB37" s="748">
        <f t="shared" si="25"/>
        <v>0.6</v>
      </c>
      <c r="CC37" s="719">
        <f t="shared" si="26"/>
        <v>0.6</v>
      </c>
      <c r="CD37" s="719">
        <f t="shared" si="27"/>
        <v>0.5</v>
      </c>
      <c r="CF37" s="455" t="s">
        <v>1013</v>
      </c>
      <c r="CG37" s="459" t="s">
        <v>584</v>
      </c>
      <c r="CH37" s="456" t="s">
        <v>585</v>
      </c>
      <c r="CI37" s="457">
        <v>0.6</v>
      </c>
      <c r="CJ37" s="457">
        <v>0.6</v>
      </c>
      <c r="CK37" s="457"/>
      <c r="CL37" s="457"/>
      <c r="CM37" s="471"/>
      <c r="CN37" s="457">
        <v>0.6</v>
      </c>
      <c r="CO37" s="461">
        <v>0.6</v>
      </c>
      <c r="CP37" s="457">
        <v>0.6</v>
      </c>
      <c r="CQ37" s="457">
        <v>0.6</v>
      </c>
      <c r="CR37" s="457">
        <v>0.6</v>
      </c>
      <c r="CS37" s="462">
        <v>0.6</v>
      </c>
      <c r="CT37" s="461">
        <v>0.6</v>
      </c>
      <c r="CU37" s="461">
        <v>0.5</v>
      </c>
      <c r="CW37" s="455" t="s">
        <v>1013</v>
      </c>
      <c r="CX37" s="459" t="s">
        <v>584</v>
      </c>
      <c r="CY37" s="456" t="s">
        <v>585</v>
      </c>
      <c r="CZ37" s="461">
        <v>0.6</v>
      </c>
      <c r="DA37" s="461">
        <v>0.6</v>
      </c>
      <c r="DB37" s="461"/>
      <c r="DC37" s="461"/>
      <c r="DD37" s="463"/>
      <c r="DE37" s="461">
        <v>0.6</v>
      </c>
      <c r="DF37" s="461">
        <v>0.6</v>
      </c>
      <c r="DG37" s="461">
        <v>0.6</v>
      </c>
      <c r="DH37" s="461">
        <v>0.6</v>
      </c>
      <c r="DI37" s="461">
        <v>0.6</v>
      </c>
      <c r="DJ37" s="462">
        <v>0.6</v>
      </c>
      <c r="DK37" s="461">
        <v>0.6</v>
      </c>
      <c r="DL37" s="461">
        <v>0.5</v>
      </c>
      <c r="DN37" s="455" t="s">
        <v>1013</v>
      </c>
      <c r="DO37" s="459" t="s">
        <v>584</v>
      </c>
      <c r="DP37" s="456" t="s">
        <v>585</v>
      </c>
      <c r="DQ37" s="461">
        <v>0.6</v>
      </c>
      <c r="DR37" s="461">
        <v>0.6</v>
      </c>
      <c r="DS37" s="461"/>
      <c r="DT37" s="461"/>
      <c r="DU37" s="572">
        <v>0.6</v>
      </c>
      <c r="DV37" s="461">
        <v>0.6</v>
      </c>
      <c r="DW37" s="461">
        <v>0.6</v>
      </c>
      <c r="DX37" s="461">
        <v>0.6</v>
      </c>
      <c r="DY37" s="461">
        <v>0.6</v>
      </c>
      <c r="DZ37" s="461">
        <v>0.6</v>
      </c>
      <c r="EA37" s="462">
        <v>0.6</v>
      </c>
      <c r="EB37" s="461">
        <v>0.6</v>
      </c>
      <c r="EC37" s="461">
        <v>0.5</v>
      </c>
      <c r="ED37" s="555"/>
      <c r="EF37" s="455" t="s">
        <v>1013</v>
      </c>
      <c r="EG37" s="459" t="s">
        <v>584</v>
      </c>
      <c r="EH37" s="456" t="s">
        <v>585</v>
      </c>
      <c r="EI37" s="609">
        <f t="shared" si="63"/>
        <v>0.6</v>
      </c>
      <c r="EJ37" s="609">
        <f t="shared" si="63"/>
        <v>0.6</v>
      </c>
      <c r="EK37" s="609">
        <f t="shared" si="63"/>
        <v>0</v>
      </c>
      <c r="EL37" s="609">
        <f t="shared" si="63"/>
        <v>0</v>
      </c>
      <c r="EM37" s="609">
        <f t="shared" si="63"/>
        <v>0.6</v>
      </c>
      <c r="EN37" s="609">
        <f t="shared" si="63"/>
        <v>0.6</v>
      </c>
      <c r="EO37" s="609">
        <f t="shared" si="63"/>
        <v>0.6</v>
      </c>
      <c r="EP37" s="609">
        <f t="shared" si="63"/>
        <v>0.6</v>
      </c>
      <c r="EQ37" s="609">
        <f t="shared" si="63"/>
        <v>0.6</v>
      </c>
      <c r="ER37" s="609">
        <f t="shared" si="63"/>
        <v>0.6</v>
      </c>
      <c r="ES37" s="611">
        <f t="shared" si="63"/>
        <v>0.6</v>
      </c>
      <c r="ET37" s="609">
        <f t="shared" si="63"/>
        <v>0.6</v>
      </c>
      <c r="EU37" s="609">
        <f t="shared" si="63"/>
        <v>0.5</v>
      </c>
      <c r="EW37" s="455" t="s">
        <v>1013</v>
      </c>
      <c r="EX37" s="459" t="s">
        <v>584</v>
      </c>
      <c r="EY37" s="456" t="s">
        <v>585</v>
      </c>
      <c r="EZ37" s="598">
        <f t="shared" si="60"/>
        <v>0.6</v>
      </c>
      <c r="FA37" s="598"/>
      <c r="FB37" s="598"/>
      <c r="FC37" s="598"/>
      <c r="FD37" s="598"/>
      <c r="FE37" s="598"/>
      <c r="FF37" s="598"/>
      <c r="FG37" s="598"/>
      <c r="FH37" s="598"/>
      <c r="FI37" s="598"/>
      <c r="FJ37" s="647"/>
      <c r="FK37" s="598"/>
      <c r="FL37" s="598"/>
    </row>
    <row r="38" spans="2:168">
      <c r="B38" s="732" t="str">
        <f t="shared" si="4"/>
        <v>3.1.2</v>
      </c>
      <c r="C38" s="408" t="str">
        <f t="shared" si="5"/>
        <v>方位別開口</v>
      </c>
      <c r="D38" s="809" t="e">
        <f t="shared" si="64"/>
        <v>#REF!</v>
      </c>
      <c r="E38" s="730" t="e">
        <f t="shared" si="64"/>
        <v>#REF!</v>
      </c>
      <c r="G38" s="730" t="e">
        <f t="shared" si="6"/>
        <v>#REF!</v>
      </c>
      <c r="H38" s="730" t="e">
        <f t="shared" si="7"/>
        <v>#REF!</v>
      </c>
      <c r="I38" s="730"/>
      <c r="J38" s="730"/>
      <c r="K38" s="730" t="e">
        <f>IF(#REF!=0,0,1)</f>
        <v>#REF!</v>
      </c>
      <c r="L38" s="730" t="e">
        <f>IF(#REF!=0,0,1)</f>
        <v>#REF!</v>
      </c>
      <c r="M38" s="730">
        <f t="shared" si="8"/>
        <v>0</v>
      </c>
      <c r="N38" s="730">
        <f t="shared" si="9"/>
        <v>0</v>
      </c>
      <c r="P38" s="923"/>
      <c r="Q38" s="728"/>
      <c r="R38" s="414">
        <v>2</v>
      </c>
      <c r="S38" s="579" t="s">
        <v>413</v>
      </c>
      <c r="T38" s="745"/>
      <c r="U38" s="726"/>
      <c r="V38" s="747">
        <f t="shared" si="43"/>
        <v>0</v>
      </c>
      <c r="W38" s="746">
        <f t="shared" si="44"/>
        <v>0</v>
      </c>
      <c r="Y38" s="1">
        <f t="shared" si="29"/>
        <v>0</v>
      </c>
      <c r="Z38" s="1">
        <f t="shared" si="30"/>
        <v>0</v>
      </c>
      <c r="AA38" s="1">
        <f t="shared" si="31"/>
        <v>0</v>
      </c>
      <c r="AB38" s="1">
        <f t="shared" si="32"/>
        <v>0</v>
      </c>
      <c r="AC38" s="1">
        <f t="shared" si="33"/>
        <v>0</v>
      </c>
      <c r="AD38" s="1">
        <f t="shared" si="34"/>
        <v>0</v>
      </c>
      <c r="AE38" s="1">
        <f t="shared" si="35"/>
        <v>0</v>
      </c>
      <c r="AF38" s="1">
        <f t="shared" si="36"/>
        <v>0</v>
      </c>
      <c r="AG38" s="1">
        <f t="shared" si="37"/>
        <v>0</v>
      </c>
      <c r="AH38" s="1">
        <f t="shared" si="38"/>
        <v>0</v>
      </c>
      <c r="AI38" s="1">
        <f t="shared" si="39"/>
        <v>0</v>
      </c>
      <c r="AJ38" s="1">
        <f t="shared" si="40"/>
        <v>0</v>
      </c>
      <c r="AK38" s="1">
        <f t="shared" si="41"/>
        <v>0</v>
      </c>
      <c r="AM38" s="680"/>
      <c r="AN38" s="680"/>
      <c r="AO38" s="680"/>
      <c r="AP38" s="680"/>
      <c r="AQ38" s="680"/>
      <c r="AR38" s="680"/>
      <c r="AS38" s="680"/>
      <c r="AT38" s="680"/>
      <c r="AU38" s="680"/>
      <c r="AV38" s="680"/>
      <c r="AW38" s="680"/>
      <c r="AX38" s="680"/>
      <c r="AY38" s="680"/>
      <c r="BA38" s="723"/>
      <c r="BB38" s="723" t="e">
        <f t="shared" si="11"/>
        <v>#REF!</v>
      </c>
      <c r="BC38" s="723"/>
      <c r="BD38" s="722" t="e">
        <f>BR38*#REF!</f>
        <v>#REF!</v>
      </c>
      <c r="BE38" s="722" t="e">
        <f>BS38*#REF!</f>
        <v>#REF!</v>
      </c>
      <c r="BF38" s="722" t="e">
        <f>BT38*#REF!</f>
        <v>#REF!</v>
      </c>
      <c r="BG38" s="722" t="e">
        <f>BU38*#REF!</f>
        <v>#REF!</v>
      </c>
      <c r="BH38" s="935" t="e">
        <f>BV38*#REF!</f>
        <v>#REF!</v>
      </c>
      <c r="BI38" s="722" t="e">
        <f>BW38*#REF!</f>
        <v>#REF!</v>
      </c>
      <c r="BJ38" s="722" t="e">
        <f>BX38*#REF!</f>
        <v>#REF!</v>
      </c>
      <c r="BK38" s="722" t="e">
        <f>BY38*#REF!</f>
        <v>#REF!</v>
      </c>
      <c r="BL38" s="722" t="e">
        <f>BZ38*#REF!</f>
        <v>#REF!</v>
      </c>
      <c r="BM38" s="722" t="e">
        <f>CA38*#REF!</f>
        <v>#REF!</v>
      </c>
      <c r="BO38" s="749" t="str">
        <f t="shared" si="12"/>
        <v>3.1.2</v>
      </c>
      <c r="BP38" s="749" t="str">
        <f t="shared" si="13"/>
        <v xml:space="preserve"> Q1 3.1</v>
      </c>
      <c r="BQ38" s="408" t="str">
        <f t="shared" si="14"/>
        <v>方位別開口</v>
      </c>
      <c r="BR38" s="719">
        <f t="shared" si="15"/>
        <v>0</v>
      </c>
      <c r="BS38" s="719">
        <f t="shared" si="16"/>
        <v>0</v>
      </c>
      <c r="BT38" s="719">
        <f t="shared" si="17"/>
        <v>0</v>
      </c>
      <c r="BU38" s="719">
        <f t="shared" si="18"/>
        <v>0</v>
      </c>
      <c r="BV38" s="934">
        <f t="shared" si="19"/>
        <v>0</v>
      </c>
      <c r="BW38" s="719">
        <f t="shared" si="20"/>
        <v>0</v>
      </c>
      <c r="BX38" s="719">
        <f t="shared" si="21"/>
        <v>0</v>
      </c>
      <c r="BY38" s="719">
        <f t="shared" si="22"/>
        <v>0</v>
      </c>
      <c r="BZ38" s="719">
        <f t="shared" si="23"/>
        <v>0</v>
      </c>
      <c r="CA38" s="719">
        <f t="shared" si="24"/>
        <v>0</v>
      </c>
      <c r="CB38" s="748">
        <f t="shared" si="25"/>
        <v>0</v>
      </c>
      <c r="CC38" s="719">
        <f t="shared" si="26"/>
        <v>0</v>
      </c>
      <c r="CD38" s="719">
        <f t="shared" si="27"/>
        <v>0.3</v>
      </c>
      <c r="CF38" s="455" t="s">
        <v>1012</v>
      </c>
      <c r="CG38" s="459" t="s">
        <v>584</v>
      </c>
      <c r="CH38" s="456" t="s">
        <v>586</v>
      </c>
      <c r="CI38" s="457"/>
      <c r="CJ38" s="457"/>
      <c r="CK38" s="457"/>
      <c r="CL38" s="457"/>
      <c r="CM38" s="471"/>
      <c r="CN38" s="457"/>
      <c r="CO38" s="461"/>
      <c r="CP38" s="457"/>
      <c r="CQ38" s="457"/>
      <c r="CR38" s="457"/>
      <c r="CS38" s="462"/>
      <c r="CT38" s="461"/>
      <c r="CU38" s="461">
        <v>0.3</v>
      </c>
      <c r="CW38" s="455" t="s">
        <v>1012</v>
      </c>
      <c r="CX38" s="459" t="s">
        <v>584</v>
      </c>
      <c r="CY38" s="456" t="s">
        <v>586</v>
      </c>
      <c r="CZ38" s="461"/>
      <c r="DA38" s="461"/>
      <c r="DB38" s="461"/>
      <c r="DC38" s="461"/>
      <c r="DD38" s="463"/>
      <c r="DE38" s="461"/>
      <c r="DF38" s="461"/>
      <c r="DG38" s="461"/>
      <c r="DH38" s="461"/>
      <c r="DI38" s="461"/>
      <c r="DJ38" s="462"/>
      <c r="DK38" s="461"/>
      <c r="DL38" s="461">
        <v>0.3</v>
      </c>
      <c r="DN38" s="455" t="s">
        <v>1012</v>
      </c>
      <c r="DO38" s="459" t="s">
        <v>584</v>
      </c>
      <c r="DP38" s="456" t="s">
        <v>586</v>
      </c>
      <c r="DQ38" s="461"/>
      <c r="DR38" s="461"/>
      <c r="DS38" s="461"/>
      <c r="DT38" s="461"/>
      <c r="DU38" s="572"/>
      <c r="DV38" s="461"/>
      <c r="DW38" s="461"/>
      <c r="DX38" s="461"/>
      <c r="DY38" s="461"/>
      <c r="DZ38" s="461"/>
      <c r="EA38" s="462"/>
      <c r="EB38" s="461"/>
      <c r="EC38" s="461">
        <v>0.3</v>
      </c>
      <c r="ED38" s="555"/>
      <c r="EF38" s="455" t="s">
        <v>1012</v>
      </c>
      <c r="EG38" s="459" t="s">
        <v>584</v>
      </c>
      <c r="EH38" s="456" t="s">
        <v>586</v>
      </c>
      <c r="EI38" s="609">
        <f t="shared" si="63"/>
        <v>0</v>
      </c>
      <c r="EJ38" s="609">
        <f t="shared" si="63"/>
        <v>0</v>
      </c>
      <c r="EK38" s="609">
        <f t="shared" si="63"/>
        <v>0</v>
      </c>
      <c r="EL38" s="609">
        <f t="shared" si="63"/>
        <v>0</v>
      </c>
      <c r="EM38" s="609">
        <f t="shared" si="63"/>
        <v>0</v>
      </c>
      <c r="EN38" s="609">
        <f t="shared" si="63"/>
        <v>0</v>
      </c>
      <c r="EO38" s="609">
        <f t="shared" si="63"/>
        <v>0</v>
      </c>
      <c r="EP38" s="609">
        <f t="shared" si="63"/>
        <v>0</v>
      </c>
      <c r="EQ38" s="609">
        <f t="shared" si="63"/>
        <v>0</v>
      </c>
      <c r="ER38" s="609">
        <f t="shared" si="63"/>
        <v>0</v>
      </c>
      <c r="ES38" s="611">
        <f t="shared" si="63"/>
        <v>0</v>
      </c>
      <c r="ET38" s="609">
        <f t="shared" si="63"/>
        <v>0</v>
      </c>
      <c r="EU38" s="609">
        <f t="shared" si="63"/>
        <v>0.3</v>
      </c>
      <c r="EW38" s="455" t="s">
        <v>1012</v>
      </c>
      <c r="EX38" s="459" t="s">
        <v>584</v>
      </c>
      <c r="EY38" s="456" t="s">
        <v>586</v>
      </c>
      <c r="EZ38" s="598">
        <f t="shared" si="60"/>
        <v>0</v>
      </c>
      <c r="FA38" s="598"/>
      <c r="FB38" s="598"/>
      <c r="FC38" s="598"/>
      <c r="FD38" s="598"/>
      <c r="FE38" s="598"/>
      <c r="FF38" s="598"/>
      <c r="FG38" s="598"/>
      <c r="FH38" s="598"/>
      <c r="FI38" s="598"/>
      <c r="FJ38" s="647"/>
      <c r="FK38" s="598"/>
      <c r="FL38" s="598"/>
    </row>
    <row r="39" spans="2:168" ht="14.25" thickBot="1">
      <c r="B39" s="732" t="str">
        <f t="shared" si="4"/>
        <v>3.1.3</v>
      </c>
      <c r="C39" s="408" t="str">
        <f t="shared" si="5"/>
        <v>昼光利用設備</v>
      </c>
      <c r="D39" s="809" t="e">
        <f t="shared" si="64"/>
        <v>#REF!</v>
      </c>
      <c r="E39" s="730" t="e">
        <f t="shared" si="64"/>
        <v>#REF!</v>
      </c>
      <c r="G39" s="730" t="e">
        <f t="shared" si="6"/>
        <v>#REF!</v>
      </c>
      <c r="H39" s="730" t="e">
        <f t="shared" si="7"/>
        <v>#REF!</v>
      </c>
      <c r="I39" s="730"/>
      <c r="J39" s="730"/>
      <c r="K39" s="730" t="e">
        <f>IF(#REF!=0,0,1)</f>
        <v>#REF!</v>
      </c>
      <c r="L39" s="730" t="e">
        <f>IF(#REF!=0,0,1)</f>
        <v>#REF!</v>
      </c>
      <c r="M39" s="730">
        <f t="shared" si="8"/>
        <v>0.4</v>
      </c>
      <c r="N39" s="730">
        <f t="shared" si="9"/>
        <v>0</v>
      </c>
      <c r="P39" s="923"/>
      <c r="Q39" s="776"/>
      <c r="R39" s="414">
        <v>3</v>
      </c>
      <c r="S39" s="579" t="s">
        <v>414</v>
      </c>
      <c r="T39" s="745"/>
      <c r="U39" s="726"/>
      <c r="V39" s="725">
        <f t="shared" si="43"/>
        <v>0</v>
      </c>
      <c r="W39" s="724">
        <f t="shared" si="44"/>
        <v>0</v>
      </c>
      <c r="Y39" s="1">
        <f t="shared" si="29"/>
        <v>0</v>
      </c>
      <c r="Z39" s="1">
        <f t="shared" si="30"/>
        <v>0</v>
      </c>
      <c r="AA39" s="1">
        <f t="shared" si="31"/>
        <v>0</v>
      </c>
      <c r="AB39" s="1">
        <f t="shared" si="32"/>
        <v>0</v>
      </c>
      <c r="AC39" s="1">
        <f t="shared" si="33"/>
        <v>0</v>
      </c>
      <c r="AD39" s="1">
        <f t="shared" si="34"/>
        <v>0</v>
      </c>
      <c r="AE39" s="1">
        <f t="shared" si="35"/>
        <v>0</v>
      </c>
      <c r="AF39" s="1">
        <f t="shared" si="36"/>
        <v>0</v>
      </c>
      <c r="AG39" s="1">
        <f t="shared" si="37"/>
        <v>0</v>
      </c>
      <c r="AH39" s="1">
        <f t="shared" si="38"/>
        <v>0</v>
      </c>
      <c r="AI39" s="1">
        <f t="shared" si="39"/>
        <v>1</v>
      </c>
      <c r="AJ39" s="1">
        <f t="shared" si="40"/>
        <v>0</v>
      </c>
      <c r="AK39" s="1">
        <f t="shared" si="41"/>
        <v>0</v>
      </c>
      <c r="AM39" s="683"/>
      <c r="AN39" s="683"/>
      <c r="AO39" s="683"/>
      <c r="AP39" s="683"/>
      <c r="AQ39" s="683"/>
      <c r="AR39" s="683"/>
      <c r="AS39" s="683"/>
      <c r="AT39" s="683"/>
      <c r="AU39" s="683"/>
      <c r="AV39" s="683"/>
      <c r="AW39" s="683">
        <v>4</v>
      </c>
      <c r="AX39" s="683"/>
      <c r="AY39" s="683"/>
      <c r="BA39" s="723"/>
      <c r="BB39" s="723" t="e">
        <f t="shared" si="11"/>
        <v>#REF!</v>
      </c>
      <c r="BC39" s="723"/>
      <c r="BD39" s="722" t="e">
        <f>BR39*#REF!</f>
        <v>#REF!</v>
      </c>
      <c r="BE39" s="722" t="e">
        <f>BS39*#REF!</f>
        <v>#REF!</v>
      </c>
      <c r="BF39" s="722" t="e">
        <f>BT39*#REF!</f>
        <v>#REF!</v>
      </c>
      <c r="BG39" s="722" t="e">
        <f>BU39*#REF!</f>
        <v>#REF!</v>
      </c>
      <c r="BH39" s="935" t="e">
        <f>BV39*#REF!</f>
        <v>#REF!</v>
      </c>
      <c r="BI39" s="722" t="e">
        <f>BW39*#REF!</f>
        <v>#REF!</v>
      </c>
      <c r="BJ39" s="722" t="e">
        <f>BX39*#REF!</f>
        <v>#REF!</v>
      </c>
      <c r="BK39" s="722" t="e">
        <f>BY39*#REF!</f>
        <v>#REF!</v>
      </c>
      <c r="BL39" s="722" t="e">
        <f>BZ39*#REF!</f>
        <v>#REF!</v>
      </c>
      <c r="BM39" s="722" t="e">
        <f>CA39*#REF!</f>
        <v>#REF!</v>
      </c>
      <c r="BO39" s="749" t="str">
        <f t="shared" si="12"/>
        <v>3.1.3</v>
      </c>
      <c r="BP39" s="749" t="str">
        <f t="shared" si="13"/>
        <v xml:space="preserve"> Q1 3.1</v>
      </c>
      <c r="BQ39" s="408" t="str">
        <f t="shared" si="14"/>
        <v>昼光利用設備</v>
      </c>
      <c r="BR39" s="719">
        <f t="shared" si="15"/>
        <v>0.4</v>
      </c>
      <c r="BS39" s="719">
        <f t="shared" si="16"/>
        <v>0.4</v>
      </c>
      <c r="BT39" s="719">
        <f t="shared" si="17"/>
        <v>1</v>
      </c>
      <c r="BU39" s="719">
        <f t="shared" si="18"/>
        <v>1</v>
      </c>
      <c r="BV39" s="934">
        <f t="shared" si="19"/>
        <v>0.4</v>
      </c>
      <c r="BW39" s="719">
        <f t="shared" si="20"/>
        <v>0.4</v>
      </c>
      <c r="BX39" s="719">
        <f t="shared" si="21"/>
        <v>0.4</v>
      </c>
      <c r="BY39" s="719">
        <f t="shared" si="22"/>
        <v>0.4</v>
      </c>
      <c r="BZ39" s="719">
        <f t="shared" si="23"/>
        <v>0.4</v>
      </c>
      <c r="CA39" s="719">
        <f t="shared" si="24"/>
        <v>0.4</v>
      </c>
      <c r="CB39" s="748">
        <f t="shared" si="25"/>
        <v>0.4</v>
      </c>
      <c r="CC39" s="719">
        <f t="shared" si="26"/>
        <v>0.4</v>
      </c>
      <c r="CD39" s="719">
        <f t="shared" si="27"/>
        <v>0.2</v>
      </c>
      <c r="CF39" s="455" t="s">
        <v>1011</v>
      </c>
      <c r="CG39" s="459" t="s">
        <v>584</v>
      </c>
      <c r="CH39" s="456" t="s">
        <v>587</v>
      </c>
      <c r="CI39" s="457">
        <v>0.4</v>
      </c>
      <c r="CJ39" s="457">
        <v>0.4</v>
      </c>
      <c r="CK39" s="457">
        <v>1</v>
      </c>
      <c r="CL39" s="457">
        <v>1</v>
      </c>
      <c r="CM39" s="471"/>
      <c r="CN39" s="457">
        <v>0.4</v>
      </c>
      <c r="CO39" s="461">
        <v>0.4</v>
      </c>
      <c r="CP39" s="457">
        <v>0.4</v>
      </c>
      <c r="CQ39" s="457">
        <v>0.4</v>
      </c>
      <c r="CR39" s="457">
        <v>0.4</v>
      </c>
      <c r="CS39" s="462">
        <v>0.4</v>
      </c>
      <c r="CT39" s="461">
        <v>0.4</v>
      </c>
      <c r="CU39" s="461">
        <v>0.2</v>
      </c>
      <c r="CW39" s="455" t="s">
        <v>1011</v>
      </c>
      <c r="CX39" s="459" t="s">
        <v>584</v>
      </c>
      <c r="CY39" s="456" t="s">
        <v>587</v>
      </c>
      <c r="CZ39" s="461">
        <v>0.4</v>
      </c>
      <c r="DA39" s="461">
        <v>0.4</v>
      </c>
      <c r="DB39" s="461">
        <v>1</v>
      </c>
      <c r="DC39" s="461">
        <v>1</v>
      </c>
      <c r="DD39" s="463"/>
      <c r="DE39" s="461">
        <v>0.4</v>
      </c>
      <c r="DF39" s="461">
        <v>0.4</v>
      </c>
      <c r="DG39" s="461">
        <v>0.4</v>
      </c>
      <c r="DH39" s="461">
        <v>0.4</v>
      </c>
      <c r="DI39" s="461">
        <v>0.4</v>
      </c>
      <c r="DJ39" s="462">
        <v>0.4</v>
      </c>
      <c r="DK39" s="461">
        <v>0.4</v>
      </c>
      <c r="DL39" s="461">
        <v>0.2</v>
      </c>
      <c r="DN39" s="455" t="s">
        <v>1011</v>
      </c>
      <c r="DO39" s="459" t="s">
        <v>584</v>
      </c>
      <c r="DP39" s="456" t="s">
        <v>587</v>
      </c>
      <c r="DQ39" s="461">
        <v>0.4</v>
      </c>
      <c r="DR39" s="461">
        <v>0.4</v>
      </c>
      <c r="DS39" s="461">
        <v>1</v>
      </c>
      <c r="DT39" s="461">
        <v>1</v>
      </c>
      <c r="DU39" s="572">
        <v>0.4</v>
      </c>
      <c r="DV39" s="461">
        <v>0.4</v>
      </c>
      <c r="DW39" s="461">
        <v>0.4</v>
      </c>
      <c r="DX39" s="461">
        <v>0.4</v>
      </c>
      <c r="DY39" s="461">
        <v>0.4</v>
      </c>
      <c r="DZ39" s="461">
        <v>0.4</v>
      </c>
      <c r="EA39" s="462">
        <v>0.4</v>
      </c>
      <c r="EB39" s="461">
        <v>0.4</v>
      </c>
      <c r="EC39" s="461">
        <v>0.2</v>
      </c>
      <c r="ED39" s="555"/>
      <c r="EF39" s="455" t="s">
        <v>1011</v>
      </c>
      <c r="EG39" s="459" t="s">
        <v>584</v>
      </c>
      <c r="EH39" s="456" t="s">
        <v>587</v>
      </c>
      <c r="EI39" s="609">
        <f t="shared" si="63"/>
        <v>0.4</v>
      </c>
      <c r="EJ39" s="609">
        <f t="shared" si="63"/>
        <v>0.4</v>
      </c>
      <c r="EK39" s="609">
        <f t="shared" si="63"/>
        <v>1</v>
      </c>
      <c r="EL39" s="609">
        <f t="shared" si="63"/>
        <v>1</v>
      </c>
      <c r="EM39" s="609">
        <f t="shared" si="63"/>
        <v>0.4</v>
      </c>
      <c r="EN39" s="609">
        <f t="shared" si="63"/>
        <v>0.4</v>
      </c>
      <c r="EO39" s="609">
        <f t="shared" si="63"/>
        <v>0.4</v>
      </c>
      <c r="EP39" s="609">
        <f t="shared" si="63"/>
        <v>0.4</v>
      </c>
      <c r="EQ39" s="609">
        <f t="shared" si="63"/>
        <v>0.4</v>
      </c>
      <c r="ER39" s="609">
        <f t="shared" si="63"/>
        <v>0.4</v>
      </c>
      <c r="ES39" s="611">
        <f t="shared" si="63"/>
        <v>0.4</v>
      </c>
      <c r="ET39" s="609">
        <f t="shared" si="63"/>
        <v>0.4</v>
      </c>
      <c r="EU39" s="609">
        <f t="shared" si="63"/>
        <v>0.2</v>
      </c>
      <c r="EW39" s="455" t="s">
        <v>1011</v>
      </c>
      <c r="EX39" s="459" t="s">
        <v>584</v>
      </c>
      <c r="EY39" s="456" t="s">
        <v>587</v>
      </c>
      <c r="EZ39" s="598">
        <f t="shared" si="60"/>
        <v>0.4</v>
      </c>
      <c r="FA39" s="598"/>
      <c r="FB39" s="598"/>
      <c r="FC39" s="598"/>
      <c r="FD39" s="598"/>
      <c r="FE39" s="598"/>
      <c r="FF39" s="598"/>
      <c r="FG39" s="598"/>
      <c r="FH39" s="598"/>
      <c r="FI39" s="598"/>
      <c r="FJ39" s="647"/>
      <c r="FK39" s="598"/>
      <c r="FL39" s="598"/>
    </row>
    <row r="40" spans="2:168" ht="14.25" thickBot="1">
      <c r="B40" s="732">
        <f t="shared" si="4"/>
        <v>3.2</v>
      </c>
      <c r="C40" s="408" t="str">
        <f t="shared" si="5"/>
        <v>グレア対策</v>
      </c>
      <c r="D40" s="731" t="e">
        <f>IF(I$35=0,0,G40/I$35)</f>
        <v>#REF!</v>
      </c>
      <c r="E40" s="730" t="e">
        <f>IF(J$35=0,0,H40/J$35)</f>
        <v>#REF!</v>
      </c>
      <c r="G40" s="730" t="e">
        <f t="shared" si="6"/>
        <v>#REF!</v>
      </c>
      <c r="H40" s="730" t="e">
        <f t="shared" si="7"/>
        <v>#REF!</v>
      </c>
      <c r="I40" s="730" t="e">
        <f>SUM(G41:G43)</f>
        <v>#REF!</v>
      </c>
      <c r="J40" s="730" t="e">
        <f>SUM(H41:H43)</f>
        <v>#REF!</v>
      </c>
      <c r="K40" s="730" t="e">
        <f>IF(#REF!=0,0,1)</f>
        <v>#REF!</v>
      </c>
      <c r="L40" s="730" t="e">
        <f>IF(#REF!=0,0,1)</f>
        <v>#REF!</v>
      </c>
      <c r="M40" s="730">
        <f t="shared" si="8"/>
        <v>0.3</v>
      </c>
      <c r="N40" s="730">
        <f t="shared" si="9"/>
        <v>0</v>
      </c>
      <c r="P40" s="832"/>
      <c r="Q40" s="777">
        <v>3.2</v>
      </c>
      <c r="R40" s="816" t="s">
        <v>415</v>
      </c>
      <c r="S40" s="815"/>
      <c r="T40" s="815"/>
      <c r="U40" s="726"/>
      <c r="V40" s="963">
        <f t="shared" si="43"/>
        <v>0</v>
      </c>
      <c r="W40" s="962">
        <f t="shared" si="44"/>
        <v>0</v>
      </c>
      <c r="Y40" s="1">
        <f t="shared" si="29"/>
        <v>0</v>
      </c>
      <c r="Z40" s="1">
        <f t="shared" si="30"/>
        <v>0</v>
      </c>
      <c r="AA40" s="1">
        <f t="shared" si="31"/>
        <v>0</v>
      </c>
      <c r="AB40" s="1">
        <f t="shared" si="32"/>
        <v>0</v>
      </c>
      <c r="AC40" s="1">
        <f t="shared" si="33"/>
        <v>0</v>
      </c>
      <c r="AD40" s="1">
        <f t="shared" si="34"/>
        <v>0</v>
      </c>
      <c r="AE40" s="1">
        <f t="shared" si="35"/>
        <v>0</v>
      </c>
      <c r="AF40" s="1">
        <f t="shared" si="36"/>
        <v>0</v>
      </c>
      <c r="AG40" s="1">
        <f t="shared" si="37"/>
        <v>0</v>
      </c>
      <c r="AH40" s="1">
        <f t="shared" si="38"/>
        <v>0</v>
      </c>
      <c r="AI40" s="1">
        <f t="shared" si="39"/>
        <v>0</v>
      </c>
      <c r="AJ40" s="1">
        <f t="shared" si="40"/>
        <v>0</v>
      </c>
      <c r="AK40" s="1">
        <f t="shared" si="41"/>
        <v>0</v>
      </c>
      <c r="AM40" s="961" t="s">
        <v>1001</v>
      </c>
      <c r="AN40" s="961" t="s">
        <v>1001</v>
      </c>
      <c r="AO40" s="961" t="s">
        <v>1001</v>
      </c>
      <c r="AP40" s="961" t="s">
        <v>1001</v>
      </c>
      <c r="AQ40" s="961" t="s">
        <v>1001</v>
      </c>
      <c r="AR40" s="961" t="s">
        <v>1001</v>
      </c>
      <c r="AS40" s="961" t="s">
        <v>1001</v>
      </c>
      <c r="AT40" s="961" t="s">
        <v>1001</v>
      </c>
      <c r="AU40" s="961" t="s">
        <v>1001</v>
      </c>
      <c r="AV40" s="961" t="s">
        <v>1001</v>
      </c>
      <c r="AW40" s="961" t="s">
        <v>1001</v>
      </c>
      <c r="AX40" s="961" t="s">
        <v>1001</v>
      </c>
      <c r="AY40" s="961" t="s">
        <v>1001</v>
      </c>
      <c r="BA40" s="723"/>
      <c r="BB40" s="723" t="e">
        <f t="shared" si="11"/>
        <v>#REF!</v>
      </c>
      <c r="BC40" s="723"/>
      <c r="BD40" s="722" t="e">
        <f>BR40*#REF!</f>
        <v>#REF!</v>
      </c>
      <c r="BE40" s="722" t="e">
        <f>BS40*#REF!</f>
        <v>#REF!</v>
      </c>
      <c r="BF40" s="722" t="e">
        <f>BT40*#REF!</f>
        <v>#REF!</v>
      </c>
      <c r="BG40" s="722" t="e">
        <f>BU40*#REF!</f>
        <v>#REF!</v>
      </c>
      <c r="BH40" s="935" t="e">
        <f>BV40*#REF!</f>
        <v>#REF!</v>
      </c>
      <c r="BI40" s="722" t="e">
        <f>BW40*#REF!</f>
        <v>#REF!</v>
      </c>
      <c r="BJ40" s="722" t="e">
        <f>BX40*#REF!</f>
        <v>#REF!</v>
      </c>
      <c r="BK40" s="722" t="e">
        <f>BY40*#REF!</f>
        <v>#REF!</v>
      </c>
      <c r="BL40" s="722" t="e">
        <f>BZ40*#REF!</f>
        <v>#REF!</v>
      </c>
      <c r="BM40" s="722" t="e">
        <f>CA40*#REF!</f>
        <v>#REF!</v>
      </c>
      <c r="BO40" s="749">
        <f t="shared" si="12"/>
        <v>3.2</v>
      </c>
      <c r="BP40" s="749" t="str">
        <f t="shared" si="13"/>
        <v xml:space="preserve"> Q1 3</v>
      </c>
      <c r="BQ40" s="408" t="str">
        <f t="shared" si="14"/>
        <v>グレア対策</v>
      </c>
      <c r="BR40" s="719">
        <f t="shared" si="15"/>
        <v>0.3</v>
      </c>
      <c r="BS40" s="719">
        <f t="shared" si="16"/>
        <v>0.3</v>
      </c>
      <c r="BT40" s="719">
        <f t="shared" si="17"/>
        <v>0</v>
      </c>
      <c r="BU40" s="719">
        <f t="shared" si="18"/>
        <v>0</v>
      </c>
      <c r="BV40" s="934">
        <f t="shared" si="19"/>
        <v>0</v>
      </c>
      <c r="BW40" s="719">
        <f t="shared" si="20"/>
        <v>0.3</v>
      </c>
      <c r="BX40" s="719">
        <f t="shared" si="21"/>
        <v>0.3</v>
      </c>
      <c r="BY40" s="719">
        <f t="shared" si="22"/>
        <v>0.3</v>
      </c>
      <c r="BZ40" s="719">
        <f t="shared" si="23"/>
        <v>0.3</v>
      </c>
      <c r="CA40" s="719">
        <f t="shared" si="24"/>
        <v>0.3</v>
      </c>
      <c r="CB40" s="748">
        <f t="shared" si="25"/>
        <v>0.3</v>
      </c>
      <c r="CC40" s="719">
        <f t="shared" si="26"/>
        <v>0.3</v>
      </c>
      <c r="CD40" s="719">
        <f t="shared" si="27"/>
        <v>0.3</v>
      </c>
      <c r="CF40" s="455">
        <v>3.2</v>
      </c>
      <c r="CG40" s="459" t="s">
        <v>583</v>
      </c>
      <c r="CH40" s="456" t="s">
        <v>415</v>
      </c>
      <c r="CI40" s="457">
        <v>0.3</v>
      </c>
      <c r="CJ40" s="457">
        <v>0.3</v>
      </c>
      <c r="CK40" s="457"/>
      <c r="CL40" s="457"/>
      <c r="CM40" s="471"/>
      <c r="CN40" s="457">
        <v>0.3</v>
      </c>
      <c r="CO40" s="461">
        <v>0.3</v>
      </c>
      <c r="CP40" s="457">
        <v>0.3</v>
      </c>
      <c r="CQ40" s="457">
        <v>0.3</v>
      </c>
      <c r="CR40" s="457">
        <v>0.3</v>
      </c>
      <c r="CS40" s="462">
        <v>0.3</v>
      </c>
      <c r="CT40" s="461">
        <v>0.3</v>
      </c>
      <c r="CU40" s="461">
        <v>0.3</v>
      </c>
      <c r="CW40" s="455">
        <v>3.2</v>
      </c>
      <c r="CX40" s="459" t="s">
        <v>583</v>
      </c>
      <c r="CY40" s="456" t="s">
        <v>415</v>
      </c>
      <c r="CZ40" s="461">
        <v>0.3</v>
      </c>
      <c r="DA40" s="461">
        <v>0.3</v>
      </c>
      <c r="DB40" s="461"/>
      <c r="DC40" s="461"/>
      <c r="DD40" s="463"/>
      <c r="DE40" s="461">
        <v>0.3</v>
      </c>
      <c r="DF40" s="461">
        <v>0.3</v>
      </c>
      <c r="DG40" s="461">
        <v>0.3</v>
      </c>
      <c r="DH40" s="461">
        <v>0.3</v>
      </c>
      <c r="DI40" s="461">
        <v>0.3</v>
      </c>
      <c r="DJ40" s="462">
        <v>0.3</v>
      </c>
      <c r="DK40" s="461">
        <v>0.3</v>
      </c>
      <c r="DL40" s="461">
        <v>0.3</v>
      </c>
      <c r="DN40" s="455">
        <v>3.2</v>
      </c>
      <c r="DO40" s="459" t="s">
        <v>583</v>
      </c>
      <c r="DP40" s="456" t="s">
        <v>415</v>
      </c>
      <c r="DQ40" s="461">
        <v>0.3</v>
      </c>
      <c r="DR40" s="461">
        <v>0.3</v>
      </c>
      <c r="DS40" s="461"/>
      <c r="DT40" s="461"/>
      <c r="DU40" s="575"/>
      <c r="DV40" s="461">
        <v>0.3</v>
      </c>
      <c r="DW40" s="461">
        <v>0.3</v>
      </c>
      <c r="DX40" s="461">
        <v>0.3</v>
      </c>
      <c r="DY40" s="461">
        <v>0.3</v>
      </c>
      <c r="DZ40" s="461">
        <v>0.3</v>
      </c>
      <c r="EA40" s="462">
        <v>0.3</v>
      </c>
      <c r="EB40" s="461">
        <v>0.3</v>
      </c>
      <c r="EC40" s="461">
        <v>0.3</v>
      </c>
      <c r="ED40" s="555"/>
      <c r="EF40" s="455">
        <v>3.2</v>
      </c>
      <c r="EG40" s="459" t="s">
        <v>583</v>
      </c>
      <c r="EH40" s="456" t="s">
        <v>415</v>
      </c>
      <c r="EI40" s="609">
        <f t="shared" si="63"/>
        <v>0.3</v>
      </c>
      <c r="EJ40" s="609">
        <f t="shared" si="63"/>
        <v>0.3</v>
      </c>
      <c r="EK40" s="609">
        <f t="shared" si="63"/>
        <v>0</v>
      </c>
      <c r="EL40" s="609">
        <f t="shared" si="63"/>
        <v>0</v>
      </c>
      <c r="EM40" s="609">
        <f t="shared" si="63"/>
        <v>0</v>
      </c>
      <c r="EN40" s="609">
        <f t="shared" si="63"/>
        <v>0.3</v>
      </c>
      <c r="EO40" s="609">
        <f t="shared" si="63"/>
        <v>0.3</v>
      </c>
      <c r="EP40" s="609">
        <f t="shared" si="63"/>
        <v>0.3</v>
      </c>
      <c r="EQ40" s="609">
        <f t="shared" si="63"/>
        <v>0.3</v>
      </c>
      <c r="ER40" s="609">
        <f t="shared" si="63"/>
        <v>0.3</v>
      </c>
      <c r="ES40" s="611">
        <f t="shared" si="63"/>
        <v>0.3</v>
      </c>
      <c r="ET40" s="609">
        <f t="shared" si="63"/>
        <v>0.3</v>
      </c>
      <c r="EU40" s="609">
        <f t="shared" si="63"/>
        <v>0.3</v>
      </c>
      <c r="EW40" s="455">
        <v>3.2</v>
      </c>
      <c r="EX40" s="459" t="s">
        <v>583</v>
      </c>
      <c r="EY40" s="456" t="s">
        <v>415</v>
      </c>
      <c r="EZ40" s="598">
        <f t="shared" si="60"/>
        <v>0.3</v>
      </c>
      <c r="FA40" s="598"/>
      <c r="FB40" s="598"/>
      <c r="FC40" s="598"/>
      <c r="FD40" s="598"/>
      <c r="FE40" s="598"/>
      <c r="FF40" s="598"/>
      <c r="FG40" s="598"/>
      <c r="FH40" s="598"/>
      <c r="FI40" s="598"/>
      <c r="FJ40" s="647"/>
      <c r="FK40" s="598"/>
      <c r="FL40" s="598"/>
    </row>
    <row r="41" spans="2:168" ht="14.25" hidden="1" thickBot="1">
      <c r="B41" s="732" t="str">
        <f t="shared" si="4"/>
        <v>3.2.1</v>
      </c>
      <c r="C41" s="408">
        <f t="shared" ref="C41:C72" si="65">BQ41</f>
        <v>0</v>
      </c>
      <c r="D41" s="809" t="e">
        <f t="shared" ref="D41:E43" si="66">IF(I$40&gt;0,G41/I$40,0)</f>
        <v>#REF!</v>
      </c>
      <c r="E41" s="730" t="e">
        <f t="shared" si="66"/>
        <v>#REF!</v>
      </c>
      <c r="G41" s="730" t="e">
        <f t="shared" ref="G41:G72" si="67">K41*M41</f>
        <v>#REF!</v>
      </c>
      <c r="H41" s="730" t="e">
        <f t="shared" ref="H41:H72" si="68">L41*N41</f>
        <v>#REF!</v>
      </c>
      <c r="I41" s="730"/>
      <c r="J41" s="730"/>
      <c r="K41" s="730" t="e">
        <f>IF(#REF!=0,0,1)</f>
        <v>#REF!</v>
      </c>
      <c r="L41" s="730" t="e">
        <f>IF(#REF!=0,0,1)</f>
        <v>#REF!</v>
      </c>
      <c r="M41" s="730">
        <f t="shared" ref="M41:M72" si="69">SUMPRODUCT($BR$7:$CA$7,BR41:CA41)</f>
        <v>0</v>
      </c>
      <c r="N41" s="730">
        <f t="shared" ref="N41:N72" si="70">(CB$7*CB41)+(CC$7*CC41)+(CD$7*CD41)</f>
        <v>0</v>
      </c>
      <c r="P41" s="956"/>
      <c r="Q41" s="966"/>
      <c r="R41" s="954">
        <v>1</v>
      </c>
      <c r="S41" s="953" t="s">
        <v>416</v>
      </c>
      <c r="T41" s="853"/>
      <c r="U41" s="726"/>
      <c r="V41" s="734">
        <f t="shared" si="43"/>
        <v>0</v>
      </c>
      <c r="W41" s="733">
        <f t="shared" si="44"/>
        <v>0</v>
      </c>
      <c r="Y41" s="1">
        <f t="shared" si="29"/>
        <v>0</v>
      </c>
      <c r="Z41" s="1">
        <f t="shared" si="30"/>
        <v>0</v>
      </c>
      <c r="AA41" s="1">
        <f t="shared" si="31"/>
        <v>0</v>
      </c>
      <c r="AB41" s="1">
        <f t="shared" si="32"/>
        <v>0</v>
      </c>
      <c r="AC41" s="1">
        <f t="shared" si="33"/>
        <v>0</v>
      </c>
      <c r="AD41" s="1">
        <f t="shared" si="34"/>
        <v>0</v>
      </c>
      <c r="AE41" s="1">
        <f t="shared" si="35"/>
        <v>0</v>
      </c>
      <c r="AF41" s="1">
        <f t="shared" si="36"/>
        <v>0</v>
      </c>
      <c r="AG41" s="1">
        <f t="shared" si="37"/>
        <v>0</v>
      </c>
      <c r="AH41" s="1">
        <f t="shared" si="38"/>
        <v>0</v>
      </c>
      <c r="AI41" s="1">
        <f t="shared" si="39"/>
        <v>0</v>
      </c>
      <c r="AJ41" s="1">
        <f t="shared" si="40"/>
        <v>0</v>
      </c>
      <c r="AK41" s="1">
        <f t="shared" si="41"/>
        <v>0</v>
      </c>
      <c r="AM41" s="858" t="s">
        <v>1001</v>
      </c>
      <c r="AN41" s="858" t="s">
        <v>1001</v>
      </c>
      <c r="AO41" s="858" t="s">
        <v>1001</v>
      </c>
      <c r="AP41" s="858" t="s">
        <v>1001</v>
      </c>
      <c r="AQ41" s="858" t="s">
        <v>1001</v>
      </c>
      <c r="AR41" s="858" t="s">
        <v>1001</v>
      </c>
      <c r="AS41" s="858" t="s">
        <v>1001</v>
      </c>
      <c r="AT41" s="858" t="s">
        <v>1001</v>
      </c>
      <c r="AU41" s="858" t="s">
        <v>1001</v>
      </c>
      <c r="AV41" s="858" t="s">
        <v>1001</v>
      </c>
      <c r="AW41" s="858" t="s">
        <v>1001</v>
      </c>
      <c r="AX41" s="858" t="s">
        <v>1001</v>
      </c>
      <c r="AY41" s="858" t="s">
        <v>1001</v>
      </c>
      <c r="BA41" s="723"/>
      <c r="BB41" s="723" t="e">
        <f t="shared" ref="BB41:BB72" si="71">SUMPRODUCT($BD$7:$BM$7,BD41:BM41)</f>
        <v>#REF!</v>
      </c>
      <c r="BC41" s="723"/>
      <c r="BD41" s="722" t="e">
        <f>BR41*#REF!</f>
        <v>#REF!</v>
      </c>
      <c r="BE41" s="722" t="e">
        <f>BS41*#REF!</f>
        <v>#REF!</v>
      </c>
      <c r="BF41" s="722" t="e">
        <f>BT41*#REF!</f>
        <v>#REF!</v>
      </c>
      <c r="BG41" s="722" t="e">
        <f>BU41*#REF!</f>
        <v>#REF!</v>
      </c>
      <c r="BH41" s="935" t="e">
        <f>BV41*#REF!</f>
        <v>#REF!</v>
      </c>
      <c r="BI41" s="722" t="e">
        <f>BW41*#REF!</f>
        <v>#REF!</v>
      </c>
      <c r="BJ41" s="722" t="e">
        <f>BX41*#REF!</f>
        <v>#REF!</v>
      </c>
      <c r="BK41" s="722" t="e">
        <f>BY41*#REF!</f>
        <v>#REF!</v>
      </c>
      <c r="BL41" s="722" t="e">
        <f>BZ41*#REF!</f>
        <v>#REF!</v>
      </c>
      <c r="BM41" s="722" t="e">
        <f>CA41*#REF!</f>
        <v>#REF!</v>
      </c>
      <c r="BO41" s="749" t="str">
        <f t="shared" ref="BO41:BO72" si="72">IF($BO$3=1,CW41,IF($BO$3=2,DN41,IF($BO$3=3,EF41,IF($BO$3=4,EW41,CF41))))</f>
        <v>3.2.1</v>
      </c>
      <c r="BP41" s="749" t="str">
        <f t="shared" ref="BP41:BP72" si="73">IF($BO$3=1,CX41,IF($BO$3=2,DO41,IF($BO$3=3,EG41,IF($BO$3=4,EX41,CG41))))</f>
        <v xml:space="preserve"> Q1 3.2</v>
      </c>
      <c r="BQ41" s="408">
        <f t="shared" ref="BQ41:BQ72" si="74">IF($BO$3=1,CY41,IF($BO$3=2,DP41,IF($BO$3=3,EH41,IF($BO$3=4,EY41,CH41))))</f>
        <v>0</v>
      </c>
      <c r="BR41" s="719">
        <f t="shared" ref="BR41:BR72" si="75">IF($BO$3=1,CZ41,IF($BO$3=2,DQ41,IF($BO$3=3,EI41,IF($BO$3=4,EZ41,CI41))))</f>
        <v>0</v>
      </c>
      <c r="BS41" s="719">
        <f t="shared" ref="BS41:BS72" si="76">IF($BO$3=1,DA41,IF($BO$3=2,DR41,IF($BO$3=3,EJ41,IF($BO$3=4,FA41,CJ41))))</f>
        <v>0</v>
      </c>
      <c r="BT41" s="719">
        <f t="shared" ref="BT41:BT72" si="77">IF($BO$3=1,DB41,IF($BO$3=2,DS41,IF($BO$3=3,EK41,IF($BO$3=4,FB41,CK41))))</f>
        <v>0</v>
      </c>
      <c r="BU41" s="719">
        <f t="shared" ref="BU41:BU72" si="78">IF($BO$3=1,DC41,IF($BO$3=2,DT41,IF($BO$3=3,EL41,IF($BO$3=4,FC41,CL41))))</f>
        <v>0</v>
      </c>
      <c r="BV41" s="934">
        <f t="shared" ref="BV41:BV72" si="79">IF($BO$3=1,DD41,IF($BO$3=2,DU41,IF($BO$3=3,EM41,IF($BO$3=4,FD41,CM41))))</f>
        <v>0</v>
      </c>
      <c r="BW41" s="719">
        <f t="shared" ref="BW41:BW72" si="80">IF($BO$3=1,DE41,IF($BO$3=2,DV41,IF($BO$3=3,EN41,IF($BO$3=4,FE41,CN41))))</f>
        <v>0</v>
      </c>
      <c r="BX41" s="719">
        <f t="shared" ref="BX41:BX72" si="81">IF($BO$3=1,DF41,IF($BO$3=2,DW41,IF($BO$3=3,EO41,IF($BO$3=4,FF41,CO41))))</f>
        <v>0</v>
      </c>
      <c r="BY41" s="719">
        <f t="shared" ref="BY41:BY72" si="82">IF($BO$3=1,DG41,IF($BO$3=2,DX41,IF($BO$3=3,EP41,IF($BO$3=4,FG41,CP41))))</f>
        <v>0</v>
      </c>
      <c r="BZ41" s="719">
        <f t="shared" ref="BZ41:BZ72" si="83">IF($BO$3=1,DH41,IF($BO$3=2,DY41,IF($BO$3=3,EQ41,IF($BO$3=4,FH41,CQ41))))</f>
        <v>0</v>
      </c>
      <c r="CA41" s="719">
        <f t="shared" ref="CA41:CA72" si="84">IF($BO$3=1,DI41,IF($BO$3=2,DZ41,IF($BO$3=3,ER41,IF($BO$3=4,FI41,CR41))))</f>
        <v>0</v>
      </c>
      <c r="CB41" s="748">
        <f t="shared" ref="CB41:CB72" si="85">IF($BO$3=1,DJ41,IF($BO$3=2,EA41,IF($BO$3=3,ES41,IF($BO$3=4,FJ41,CS41))))</f>
        <v>0</v>
      </c>
      <c r="CC41" s="719">
        <f t="shared" ref="CC41:CC72" si="86">IF($BO$3=1,DK41,IF($BO$3=2,EB41,IF($BO$3=3,ET41,IF($BO$3=4,FK41,CT41))))</f>
        <v>0</v>
      </c>
      <c r="CD41" s="719">
        <f t="shared" ref="CD41:CD72" si="87">IF($BO$3=1,DL41,IF($BO$3=2,EC41,IF($BO$3=3,EU41,IF($BO$3=4,FL41,CU41))))</f>
        <v>0</v>
      </c>
      <c r="CF41" s="455" t="s">
        <v>1010</v>
      </c>
      <c r="CG41" s="459" t="s">
        <v>588</v>
      </c>
      <c r="CH41" s="456" t="s">
        <v>589</v>
      </c>
      <c r="CI41" s="466">
        <v>0.4</v>
      </c>
      <c r="CJ41" s="466">
        <v>0.4</v>
      </c>
      <c r="CK41" s="466"/>
      <c r="CL41" s="466"/>
      <c r="CM41" s="472"/>
      <c r="CN41" s="466">
        <v>0.4</v>
      </c>
      <c r="CO41" s="474">
        <v>0.3</v>
      </c>
      <c r="CP41" s="466">
        <v>0.4</v>
      </c>
      <c r="CQ41" s="466">
        <v>0.4</v>
      </c>
      <c r="CR41" s="466">
        <v>0.4</v>
      </c>
      <c r="CS41" s="462">
        <v>0.4</v>
      </c>
      <c r="CT41" s="461">
        <v>0.4</v>
      </c>
      <c r="CU41" s="461">
        <v>0.4</v>
      </c>
      <c r="CW41" s="455" t="s">
        <v>1010</v>
      </c>
      <c r="CX41" s="459" t="s">
        <v>588</v>
      </c>
      <c r="CY41" s="456" t="s">
        <v>589</v>
      </c>
      <c r="CZ41" s="461"/>
      <c r="DA41" s="461"/>
      <c r="DB41" s="461"/>
      <c r="DC41" s="461"/>
      <c r="DD41" s="463"/>
      <c r="DE41" s="461"/>
      <c r="DF41" s="461"/>
      <c r="DG41" s="461"/>
      <c r="DH41" s="461"/>
      <c r="DI41" s="461"/>
      <c r="DJ41" s="462"/>
      <c r="DK41" s="461"/>
      <c r="DL41" s="461"/>
      <c r="DN41" s="455" t="s">
        <v>1010</v>
      </c>
      <c r="DO41" s="459" t="s">
        <v>588</v>
      </c>
      <c r="DP41" s="456"/>
      <c r="DQ41" s="667"/>
      <c r="DR41" s="667"/>
      <c r="DS41" s="667"/>
      <c r="DT41" s="667"/>
      <c r="DU41" s="709"/>
      <c r="DV41" s="667"/>
      <c r="DW41" s="667"/>
      <c r="DX41" s="667"/>
      <c r="DY41" s="667"/>
      <c r="DZ41" s="667"/>
      <c r="EA41" s="667"/>
      <c r="EB41" s="667"/>
      <c r="EC41" s="667"/>
      <c r="ED41" s="555"/>
      <c r="EF41" s="455" t="s">
        <v>1010</v>
      </c>
      <c r="EG41" s="459" t="s">
        <v>588</v>
      </c>
      <c r="EH41" s="456" t="s">
        <v>589</v>
      </c>
      <c r="EI41" s="609">
        <f t="shared" si="63"/>
        <v>0</v>
      </c>
      <c r="EJ41" s="609">
        <f t="shared" si="63"/>
        <v>0</v>
      </c>
      <c r="EK41" s="609">
        <f t="shared" si="63"/>
        <v>0</v>
      </c>
      <c r="EL41" s="609">
        <f t="shared" si="63"/>
        <v>0</v>
      </c>
      <c r="EM41" s="609">
        <f t="shared" si="63"/>
        <v>0</v>
      </c>
      <c r="EN41" s="609">
        <f t="shared" si="63"/>
        <v>0</v>
      </c>
      <c r="EO41" s="609">
        <f t="shared" si="63"/>
        <v>0</v>
      </c>
      <c r="EP41" s="609">
        <f t="shared" si="63"/>
        <v>0</v>
      </c>
      <c r="EQ41" s="609">
        <f t="shared" si="63"/>
        <v>0</v>
      </c>
      <c r="ER41" s="609">
        <f t="shared" si="63"/>
        <v>0</v>
      </c>
      <c r="ES41" s="611">
        <f t="shared" si="63"/>
        <v>0</v>
      </c>
      <c r="ET41" s="609">
        <f t="shared" si="63"/>
        <v>0</v>
      </c>
      <c r="EU41" s="609">
        <f t="shared" si="63"/>
        <v>0</v>
      </c>
      <c r="EW41" s="455" t="s">
        <v>1010</v>
      </c>
      <c r="EX41" s="459" t="s">
        <v>588</v>
      </c>
      <c r="EY41" s="456" t="s">
        <v>589</v>
      </c>
      <c r="EZ41" s="666">
        <v>0</v>
      </c>
      <c r="FA41" s="598"/>
      <c r="FB41" s="598"/>
      <c r="FC41" s="598"/>
      <c r="FD41" s="598"/>
      <c r="FE41" s="598"/>
      <c r="FF41" s="598"/>
      <c r="FG41" s="598"/>
      <c r="FH41" s="598"/>
      <c r="FI41" s="598"/>
      <c r="FJ41" s="647"/>
      <c r="FK41" s="598"/>
      <c r="FL41" s="598"/>
    </row>
    <row r="42" spans="2:168">
      <c r="B42" s="732" t="str">
        <f t="shared" si="4"/>
        <v>3.2.2</v>
      </c>
      <c r="C42" s="408" t="str">
        <f t="shared" si="65"/>
        <v>昼光制御</v>
      </c>
      <c r="D42" s="809" t="e">
        <f t="shared" si="66"/>
        <v>#REF!</v>
      </c>
      <c r="E42" s="730" t="e">
        <f t="shared" si="66"/>
        <v>#REF!</v>
      </c>
      <c r="G42" s="730" t="e">
        <f t="shared" si="67"/>
        <v>#REF!</v>
      </c>
      <c r="H42" s="730" t="e">
        <f t="shared" si="68"/>
        <v>#REF!</v>
      </c>
      <c r="I42" s="730"/>
      <c r="J42" s="730"/>
      <c r="K42" s="730" t="e">
        <f>IF(#REF!=0,0,1)</f>
        <v>#REF!</v>
      </c>
      <c r="L42" s="730" t="e">
        <f>IF(#REF!=0,0,1)</f>
        <v>#REF!</v>
      </c>
      <c r="M42" s="730">
        <f t="shared" si="69"/>
        <v>1</v>
      </c>
      <c r="N42" s="730">
        <f t="shared" si="70"/>
        <v>0</v>
      </c>
      <c r="P42" s="832"/>
      <c r="Q42" s="728"/>
      <c r="R42" s="414">
        <v>1</v>
      </c>
      <c r="S42" s="579" t="s">
        <v>417</v>
      </c>
      <c r="T42" s="745"/>
      <c r="U42" s="726"/>
      <c r="V42" s="734">
        <f t="shared" si="43"/>
        <v>0</v>
      </c>
      <c r="W42" s="733">
        <f t="shared" si="44"/>
        <v>0</v>
      </c>
      <c r="Y42" s="1">
        <f t="shared" ref="Y42:Y73" si="88">IF(OR(AM42=0,AM42="-"),0,1)</f>
        <v>0</v>
      </c>
      <c r="Z42" s="1">
        <f t="shared" ref="Z42:Z73" si="89">IF(OR(AN42=0,AN42="-"),0,1)</f>
        <v>0</v>
      </c>
      <c r="AA42" s="1">
        <f t="shared" ref="AA42:AA73" si="90">IF(OR(AO42=0,AO42="-"),0,1)</f>
        <v>0</v>
      </c>
      <c r="AB42" s="1">
        <f t="shared" ref="AB42:AB73" si="91">IF(OR(AP42=0,AP42="-"),0,1)</f>
        <v>0</v>
      </c>
      <c r="AC42" s="1">
        <f t="shared" ref="AC42:AC73" si="92">IF(OR(AQ42=0,AQ42="-"),0,1)</f>
        <v>0</v>
      </c>
      <c r="AD42" s="1">
        <f t="shared" ref="AD42:AD73" si="93">IF(OR(AR42=0,AR42="-"),0,1)</f>
        <v>0</v>
      </c>
      <c r="AE42" s="1">
        <f t="shared" ref="AE42:AE73" si="94">IF(OR(AS42=0,AS42="-"),0,1)</f>
        <v>0</v>
      </c>
      <c r="AF42" s="1">
        <f t="shared" ref="AF42:AF73" si="95">IF(OR(AT42=0,AT42="-"),0,1)</f>
        <v>0</v>
      </c>
      <c r="AG42" s="1">
        <f t="shared" ref="AG42:AG73" si="96">IF(OR(AU42=0,AU42="-"),0,1)</f>
        <v>0</v>
      </c>
      <c r="AH42" s="1">
        <f t="shared" ref="AH42:AH73" si="97">IF(OR(AV42=0,AV42="-"),0,1)</f>
        <v>0</v>
      </c>
      <c r="AI42" s="1">
        <f t="shared" ref="AI42:AI73" si="98">IF(OR(AW42=0,AW42="-"),0,1)</f>
        <v>0</v>
      </c>
      <c r="AJ42" s="1">
        <f t="shared" ref="AJ42:AJ73" si="99">IF(OR(AX42=0,AX42="-"),0,1)</f>
        <v>0</v>
      </c>
      <c r="AK42" s="1">
        <f t="shared" ref="AK42:AK73" si="100">IF(OR(AY42=0,AY42="-"),0,1)</f>
        <v>0</v>
      </c>
      <c r="AM42" s="680"/>
      <c r="AN42" s="680"/>
      <c r="AO42" s="680"/>
      <c r="AP42" s="680"/>
      <c r="AQ42" s="680"/>
      <c r="AR42" s="680"/>
      <c r="AS42" s="680"/>
      <c r="AT42" s="680"/>
      <c r="AU42" s="680"/>
      <c r="AV42" s="680"/>
      <c r="AW42" s="680"/>
      <c r="AX42" s="680"/>
      <c r="AY42" s="680"/>
      <c r="BA42" s="723"/>
      <c r="BB42" s="723" t="e">
        <f t="shared" si="71"/>
        <v>#REF!</v>
      </c>
      <c r="BC42" s="723"/>
      <c r="BD42" s="722" t="e">
        <f>BR42*#REF!</f>
        <v>#REF!</v>
      </c>
      <c r="BE42" s="722" t="e">
        <f>BS42*#REF!</f>
        <v>#REF!</v>
      </c>
      <c r="BF42" s="722" t="e">
        <f>BT42*#REF!</f>
        <v>#REF!</v>
      </c>
      <c r="BG42" s="722" t="e">
        <f>BU42*#REF!</f>
        <v>#REF!</v>
      </c>
      <c r="BH42" s="935" t="e">
        <f>BV42*#REF!</f>
        <v>#REF!</v>
      </c>
      <c r="BI42" s="722" t="e">
        <f>BW42*#REF!</f>
        <v>#REF!</v>
      </c>
      <c r="BJ42" s="722" t="e">
        <f>BX42*#REF!</f>
        <v>#REF!</v>
      </c>
      <c r="BK42" s="722" t="e">
        <f>BY42*#REF!</f>
        <v>#REF!</v>
      </c>
      <c r="BL42" s="722" t="e">
        <f>BZ42*#REF!</f>
        <v>#REF!</v>
      </c>
      <c r="BM42" s="722" t="e">
        <f>CA42*#REF!</f>
        <v>#REF!</v>
      </c>
      <c r="BO42" s="749" t="str">
        <f t="shared" si="72"/>
        <v>3.2.2</v>
      </c>
      <c r="BP42" s="749" t="str">
        <f t="shared" si="73"/>
        <v xml:space="preserve"> Q1 3.2</v>
      </c>
      <c r="BQ42" s="408" t="str">
        <f t="shared" si="74"/>
        <v>昼光制御</v>
      </c>
      <c r="BR42" s="719">
        <f t="shared" si="75"/>
        <v>1</v>
      </c>
      <c r="BS42" s="719">
        <f t="shared" si="76"/>
        <v>1</v>
      </c>
      <c r="BT42" s="719">
        <f t="shared" si="77"/>
        <v>0</v>
      </c>
      <c r="BU42" s="719">
        <f t="shared" si="78"/>
        <v>0</v>
      </c>
      <c r="BV42" s="934">
        <f t="shared" si="79"/>
        <v>0</v>
      </c>
      <c r="BW42" s="719">
        <f t="shared" si="80"/>
        <v>1</v>
      </c>
      <c r="BX42" s="719">
        <f t="shared" si="81"/>
        <v>1</v>
      </c>
      <c r="BY42" s="719">
        <f t="shared" si="82"/>
        <v>1</v>
      </c>
      <c r="BZ42" s="719">
        <f t="shared" si="83"/>
        <v>1</v>
      </c>
      <c r="CA42" s="719">
        <f t="shared" si="84"/>
        <v>1</v>
      </c>
      <c r="CB42" s="748">
        <f t="shared" si="85"/>
        <v>1</v>
      </c>
      <c r="CC42" s="719">
        <f t="shared" si="86"/>
        <v>1</v>
      </c>
      <c r="CD42" s="719">
        <f t="shared" si="87"/>
        <v>1</v>
      </c>
      <c r="CF42" s="455" t="s">
        <v>1009</v>
      </c>
      <c r="CG42" s="459" t="s">
        <v>588</v>
      </c>
      <c r="CH42" s="456" t="s">
        <v>590</v>
      </c>
      <c r="CI42" s="457">
        <v>0.6</v>
      </c>
      <c r="CJ42" s="457">
        <v>0.6</v>
      </c>
      <c r="CK42" s="457"/>
      <c r="CL42" s="457"/>
      <c r="CM42" s="471"/>
      <c r="CN42" s="457">
        <v>0.6</v>
      </c>
      <c r="CO42" s="474">
        <v>0.4</v>
      </c>
      <c r="CP42" s="457">
        <v>0.6</v>
      </c>
      <c r="CQ42" s="457">
        <v>0.6</v>
      </c>
      <c r="CR42" s="457">
        <v>0.6</v>
      </c>
      <c r="CS42" s="462">
        <v>0.6</v>
      </c>
      <c r="CT42" s="461">
        <v>0.6</v>
      </c>
      <c r="CU42" s="461">
        <v>0.6</v>
      </c>
      <c r="CW42" s="455" t="s">
        <v>1009</v>
      </c>
      <c r="CX42" s="459" t="s">
        <v>588</v>
      </c>
      <c r="CY42" s="456" t="s">
        <v>590</v>
      </c>
      <c r="CZ42" s="461">
        <v>1</v>
      </c>
      <c r="DA42" s="461">
        <v>1</v>
      </c>
      <c r="DB42" s="461"/>
      <c r="DC42" s="461"/>
      <c r="DD42" s="463"/>
      <c r="DE42" s="461">
        <v>1</v>
      </c>
      <c r="DF42" s="461">
        <v>1</v>
      </c>
      <c r="DG42" s="461">
        <v>1</v>
      </c>
      <c r="DH42" s="461">
        <v>1</v>
      </c>
      <c r="DI42" s="461">
        <v>1</v>
      </c>
      <c r="DJ42" s="462">
        <v>1</v>
      </c>
      <c r="DK42" s="461">
        <v>1</v>
      </c>
      <c r="DL42" s="461">
        <v>1</v>
      </c>
      <c r="DN42" s="455" t="s">
        <v>1009</v>
      </c>
      <c r="DO42" s="459" t="s">
        <v>588</v>
      </c>
      <c r="DP42" s="456" t="s">
        <v>590</v>
      </c>
      <c r="DQ42" s="667">
        <v>1</v>
      </c>
      <c r="DR42" s="667">
        <v>1</v>
      </c>
      <c r="DS42" s="667"/>
      <c r="DT42" s="667"/>
      <c r="DU42" s="709"/>
      <c r="DV42" s="667">
        <v>1</v>
      </c>
      <c r="DW42" s="667">
        <v>1</v>
      </c>
      <c r="DX42" s="667">
        <v>1</v>
      </c>
      <c r="DY42" s="667">
        <v>1</v>
      </c>
      <c r="DZ42" s="667">
        <v>1</v>
      </c>
      <c r="EA42" s="667">
        <v>1</v>
      </c>
      <c r="EB42" s="667">
        <v>1</v>
      </c>
      <c r="EC42" s="667">
        <v>1</v>
      </c>
      <c r="ED42" s="555"/>
      <c r="EF42" s="455" t="s">
        <v>1009</v>
      </c>
      <c r="EG42" s="459" t="s">
        <v>588</v>
      </c>
      <c r="EH42" s="456" t="s">
        <v>590</v>
      </c>
      <c r="EI42" s="609">
        <f t="shared" si="63"/>
        <v>1</v>
      </c>
      <c r="EJ42" s="609">
        <f t="shared" si="63"/>
        <v>1</v>
      </c>
      <c r="EK42" s="609">
        <f t="shared" si="63"/>
        <v>0</v>
      </c>
      <c r="EL42" s="609">
        <f t="shared" si="63"/>
        <v>0</v>
      </c>
      <c r="EM42" s="609">
        <f t="shared" si="63"/>
        <v>0</v>
      </c>
      <c r="EN42" s="609">
        <f t="shared" si="63"/>
        <v>1</v>
      </c>
      <c r="EO42" s="609">
        <f t="shared" si="63"/>
        <v>1</v>
      </c>
      <c r="EP42" s="609">
        <f t="shared" si="63"/>
        <v>1</v>
      </c>
      <c r="EQ42" s="609">
        <f t="shared" si="63"/>
        <v>1</v>
      </c>
      <c r="ER42" s="609">
        <f t="shared" si="63"/>
        <v>1</v>
      </c>
      <c r="ES42" s="611">
        <f t="shared" si="63"/>
        <v>1</v>
      </c>
      <c r="ET42" s="609">
        <f t="shared" si="63"/>
        <v>1</v>
      </c>
      <c r="EU42" s="609">
        <f t="shared" si="63"/>
        <v>1</v>
      </c>
      <c r="EW42" s="455" t="s">
        <v>1009</v>
      </c>
      <c r="EX42" s="459" t="s">
        <v>588</v>
      </c>
      <c r="EY42" s="456" t="s">
        <v>590</v>
      </c>
      <c r="EZ42" s="666">
        <v>1</v>
      </c>
      <c r="FA42" s="598"/>
      <c r="FB42" s="598"/>
      <c r="FC42" s="598"/>
      <c r="FD42" s="598"/>
      <c r="FE42" s="598"/>
      <c r="FF42" s="598"/>
      <c r="FG42" s="598"/>
      <c r="FH42" s="598"/>
      <c r="FI42" s="598"/>
      <c r="FJ42" s="647"/>
      <c r="FK42" s="598"/>
      <c r="FL42" s="598"/>
    </row>
    <row r="43" spans="2:168" ht="13.5" hidden="1" customHeight="1">
      <c r="B43" s="732" t="s">
        <v>1008</v>
      </c>
      <c r="C43" s="948">
        <f t="shared" si="65"/>
        <v>0</v>
      </c>
      <c r="D43" s="958" t="e">
        <f t="shared" si="66"/>
        <v>#REF!</v>
      </c>
      <c r="E43" s="957" t="e">
        <f t="shared" si="66"/>
        <v>#REF!</v>
      </c>
      <c r="G43" s="957" t="e">
        <f t="shared" si="67"/>
        <v>#REF!</v>
      </c>
      <c r="H43" s="957" t="e">
        <f t="shared" si="68"/>
        <v>#REF!</v>
      </c>
      <c r="I43" s="957"/>
      <c r="J43" s="957"/>
      <c r="K43" s="957" t="e">
        <f>IF(#REF!=0,0,1)</f>
        <v>#REF!</v>
      </c>
      <c r="L43" s="957" t="e">
        <f>IF(#REF!=0,0,1)</f>
        <v>#REF!</v>
      </c>
      <c r="M43" s="957">
        <f t="shared" si="69"/>
        <v>0</v>
      </c>
      <c r="N43" s="957">
        <f t="shared" si="70"/>
        <v>0</v>
      </c>
      <c r="P43" s="832"/>
      <c r="Q43" s="776"/>
      <c r="R43" s="927">
        <v>2</v>
      </c>
      <c r="S43" s="926" t="s">
        <v>212</v>
      </c>
      <c r="T43" s="925"/>
      <c r="U43" s="726"/>
      <c r="V43" s="747">
        <f t="shared" si="43"/>
        <v>0</v>
      </c>
      <c r="W43" s="746">
        <f t="shared" si="44"/>
        <v>0</v>
      </c>
      <c r="Y43" s="1">
        <f t="shared" si="88"/>
        <v>0</v>
      </c>
      <c r="Z43" s="1">
        <f t="shared" si="89"/>
        <v>0</v>
      </c>
      <c r="AA43" s="1">
        <f t="shared" si="90"/>
        <v>0</v>
      </c>
      <c r="AB43" s="1">
        <f t="shared" si="91"/>
        <v>0</v>
      </c>
      <c r="AC43" s="1">
        <f t="shared" si="92"/>
        <v>0</v>
      </c>
      <c r="AD43" s="1">
        <f t="shared" si="93"/>
        <v>0</v>
      </c>
      <c r="AE43" s="1">
        <f t="shared" si="94"/>
        <v>0</v>
      </c>
      <c r="AF43" s="1">
        <f t="shared" si="95"/>
        <v>0</v>
      </c>
      <c r="AG43" s="1">
        <f t="shared" si="96"/>
        <v>0</v>
      </c>
      <c r="AH43" s="1">
        <f t="shared" si="97"/>
        <v>0</v>
      </c>
      <c r="AI43" s="1">
        <f t="shared" si="98"/>
        <v>0</v>
      </c>
      <c r="AJ43" s="1">
        <f t="shared" si="99"/>
        <v>0</v>
      </c>
      <c r="AK43" s="1">
        <f t="shared" si="100"/>
        <v>0</v>
      </c>
      <c r="AM43" s="680" t="s">
        <v>1001</v>
      </c>
      <c r="AN43" s="680" t="s">
        <v>1001</v>
      </c>
      <c r="AO43" s="680" t="s">
        <v>1001</v>
      </c>
      <c r="AP43" s="680" t="s">
        <v>1001</v>
      </c>
      <c r="AQ43" s="680" t="s">
        <v>1001</v>
      </c>
      <c r="AR43" s="680" t="s">
        <v>1001</v>
      </c>
      <c r="AS43" s="680" t="s">
        <v>1001</v>
      </c>
      <c r="AT43" s="680" t="s">
        <v>1001</v>
      </c>
      <c r="AU43" s="680" t="s">
        <v>1001</v>
      </c>
      <c r="AV43" s="680" t="s">
        <v>1001</v>
      </c>
      <c r="AW43" s="680" t="s">
        <v>1001</v>
      </c>
      <c r="AX43" s="680" t="s">
        <v>1001</v>
      </c>
      <c r="AY43" s="680" t="s">
        <v>1001</v>
      </c>
      <c r="BA43" s="952"/>
      <c r="BB43" s="952" t="e">
        <f t="shared" si="71"/>
        <v>#REF!</v>
      </c>
      <c r="BC43" s="952"/>
      <c r="BD43" s="950" t="e">
        <f>BR43*#REF!</f>
        <v>#REF!</v>
      </c>
      <c r="BE43" s="950" t="e">
        <f>BS43*#REF!</f>
        <v>#REF!</v>
      </c>
      <c r="BF43" s="950" t="e">
        <f>BT43*#REF!</f>
        <v>#REF!</v>
      </c>
      <c r="BG43" s="950" t="e">
        <f>BU43*#REF!</f>
        <v>#REF!</v>
      </c>
      <c r="BH43" s="951" t="e">
        <f>BV43*#REF!</f>
        <v>#REF!</v>
      </c>
      <c r="BI43" s="950" t="e">
        <f>BW43*#REF!</f>
        <v>#REF!</v>
      </c>
      <c r="BJ43" s="950" t="e">
        <f>BX43*#REF!</f>
        <v>#REF!</v>
      </c>
      <c r="BK43" s="950" t="e">
        <f>BY43*#REF!</f>
        <v>#REF!</v>
      </c>
      <c r="BL43" s="950" t="e">
        <f>BZ43*#REF!</f>
        <v>#REF!</v>
      </c>
      <c r="BM43" s="950" t="e">
        <f>CA43*#REF!</f>
        <v>#REF!</v>
      </c>
      <c r="BO43" s="949" t="str">
        <f t="shared" si="72"/>
        <v>3.2.3</v>
      </c>
      <c r="BP43" s="949" t="str">
        <f t="shared" si="73"/>
        <v xml:space="preserve"> Q1 3.3</v>
      </c>
      <c r="BQ43" s="948">
        <f t="shared" si="74"/>
        <v>0</v>
      </c>
      <c r="BR43" s="945">
        <f t="shared" si="75"/>
        <v>0</v>
      </c>
      <c r="BS43" s="945">
        <f t="shared" si="76"/>
        <v>0</v>
      </c>
      <c r="BT43" s="945">
        <f t="shared" si="77"/>
        <v>0</v>
      </c>
      <c r="BU43" s="945">
        <f t="shared" si="78"/>
        <v>0</v>
      </c>
      <c r="BV43" s="947">
        <f t="shared" si="79"/>
        <v>0</v>
      </c>
      <c r="BW43" s="945">
        <f t="shared" si="80"/>
        <v>0</v>
      </c>
      <c r="BX43" s="945">
        <f t="shared" si="81"/>
        <v>0</v>
      </c>
      <c r="BY43" s="945">
        <f t="shared" si="82"/>
        <v>0</v>
      </c>
      <c r="BZ43" s="945">
        <f t="shared" si="83"/>
        <v>0</v>
      </c>
      <c r="CA43" s="945">
        <f t="shared" si="84"/>
        <v>0</v>
      </c>
      <c r="CB43" s="946">
        <f t="shared" si="85"/>
        <v>0</v>
      </c>
      <c r="CC43" s="945">
        <f t="shared" si="86"/>
        <v>0</v>
      </c>
      <c r="CD43" s="945">
        <f t="shared" si="87"/>
        <v>0</v>
      </c>
      <c r="CF43" s="455" t="s">
        <v>591</v>
      </c>
      <c r="CG43" s="459" t="s">
        <v>592</v>
      </c>
      <c r="CH43" s="456" t="s">
        <v>212</v>
      </c>
      <c r="CI43" s="457"/>
      <c r="CJ43" s="457"/>
      <c r="CK43" s="457"/>
      <c r="CL43" s="457"/>
      <c r="CM43" s="471"/>
      <c r="CN43" s="457"/>
      <c r="CO43" s="474">
        <v>0.3</v>
      </c>
      <c r="CP43" s="457"/>
      <c r="CQ43" s="457"/>
      <c r="CR43" s="457"/>
      <c r="CS43" s="462"/>
      <c r="CT43" s="461"/>
      <c r="CU43" s="461"/>
      <c r="CW43" s="475" t="s">
        <v>1008</v>
      </c>
      <c r="CX43" s="478" t="s">
        <v>592</v>
      </c>
      <c r="CY43" s="476" t="s">
        <v>212</v>
      </c>
      <c r="CZ43" s="479"/>
      <c r="DA43" s="479"/>
      <c r="DB43" s="479"/>
      <c r="DC43" s="479"/>
      <c r="DD43" s="480"/>
      <c r="DE43" s="479"/>
      <c r="DF43" s="479"/>
      <c r="DG43" s="479"/>
      <c r="DH43" s="479"/>
      <c r="DI43" s="479"/>
      <c r="DJ43" s="481"/>
      <c r="DK43" s="479"/>
      <c r="DL43" s="479"/>
      <c r="DN43" s="475" t="s">
        <v>1008</v>
      </c>
      <c r="DO43" s="478" t="s">
        <v>592</v>
      </c>
      <c r="DP43" s="476"/>
      <c r="DQ43" s="482"/>
      <c r="DR43" s="482"/>
      <c r="DS43" s="482"/>
      <c r="DT43" s="482"/>
      <c r="DU43" s="573"/>
      <c r="DV43" s="482"/>
      <c r="DW43" s="482"/>
      <c r="DX43" s="482"/>
      <c r="DY43" s="482"/>
      <c r="DZ43" s="482"/>
      <c r="EA43" s="484"/>
      <c r="EB43" s="482"/>
      <c r="EC43" s="482"/>
      <c r="ED43" s="556"/>
      <c r="EF43" s="475" t="s">
        <v>1008</v>
      </c>
      <c r="EG43" s="478" t="s">
        <v>592</v>
      </c>
      <c r="EH43" s="476"/>
      <c r="EI43" s="616"/>
      <c r="EJ43" s="616"/>
      <c r="EK43" s="616"/>
      <c r="EL43" s="616"/>
      <c r="EM43" s="617"/>
      <c r="EN43" s="616"/>
      <c r="EO43" s="616"/>
      <c r="EP43" s="616"/>
      <c r="EQ43" s="616"/>
      <c r="ER43" s="616"/>
      <c r="ES43" s="618"/>
      <c r="ET43" s="616"/>
      <c r="EU43" s="616"/>
      <c r="EW43" s="475"/>
      <c r="EX43" s="478"/>
      <c r="EY43" s="476"/>
      <c r="EZ43" s="651"/>
      <c r="FA43" s="651"/>
      <c r="FB43" s="651"/>
      <c r="FC43" s="651"/>
      <c r="FD43" s="652"/>
      <c r="FE43" s="651"/>
      <c r="FF43" s="651"/>
      <c r="FG43" s="651"/>
      <c r="FH43" s="651"/>
      <c r="FI43" s="651"/>
      <c r="FJ43" s="653"/>
      <c r="FK43" s="651"/>
      <c r="FL43" s="651"/>
    </row>
    <row r="44" spans="2:168">
      <c r="B44" s="732">
        <f t="shared" ref="B44:B69" si="101">BO44</f>
        <v>3.3</v>
      </c>
      <c r="C44" s="408" t="str">
        <f t="shared" si="65"/>
        <v>照度</v>
      </c>
      <c r="D44" s="731" t="e">
        <f>IF(I$35=0,0,G44/I$35)</f>
        <v>#REF!</v>
      </c>
      <c r="E44" s="730" t="e">
        <f>IF(J$35=0,0,H44/J$35)</f>
        <v>#REF!</v>
      </c>
      <c r="G44" s="730" t="e">
        <f t="shared" si="67"/>
        <v>#REF!</v>
      </c>
      <c r="H44" s="730" t="e">
        <f t="shared" si="68"/>
        <v>#REF!</v>
      </c>
      <c r="I44" s="730" t="e">
        <f>SUM(G45:G46)</f>
        <v>#REF!</v>
      </c>
      <c r="J44" s="730" t="e">
        <f>SUM(H45:H46)</f>
        <v>#REF!</v>
      </c>
      <c r="K44" s="730" t="e">
        <f>IF(#REF!=0,0,1)</f>
        <v>#REF!</v>
      </c>
      <c r="L44" s="730" t="e">
        <f>IF(#REF!=0,0,1)</f>
        <v>#REF!</v>
      </c>
      <c r="M44" s="730">
        <f t="shared" si="69"/>
        <v>0.15</v>
      </c>
      <c r="N44" s="730">
        <f t="shared" si="70"/>
        <v>0</v>
      </c>
      <c r="P44" s="811"/>
      <c r="Q44" s="744">
        <v>3.3</v>
      </c>
      <c r="R44" s="838" t="s">
        <v>213</v>
      </c>
      <c r="S44" s="838"/>
      <c r="T44" s="838"/>
      <c r="U44" s="726"/>
      <c r="V44" s="747">
        <f t="shared" si="43"/>
        <v>0</v>
      </c>
      <c r="W44" s="746">
        <f t="shared" si="44"/>
        <v>0</v>
      </c>
      <c r="Y44" s="1">
        <f t="shared" si="88"/>
        <v>0</v>
      </c>
      <c r="Z44" s="1">
        <f t="shared" si="89"/>
        <v>0</v>
      </c>
      <c r="AA44" s="1">
        <f t="shared" si="90"/>
        <v>0</v>
      </c>
      <c r="AB44" s="1">
        <f t="shared" si="91"/>
        <v>0</v>
      </c>
      <c r="AC44" s="1">
        <f t="shared" si="92"/>
        <v>0</v>
      </c>
      <c r="AD44" s="1">
        <f t="shared" si="93"/>
        <v>0</v>
      </c>
      <c r="AE44" s="1">
        <f t="shared" si="94"/>
        <v>0</v>
      </c>
      <c r="AF44" s="1">
        <f t="shared" si="95"/>
        <v>0</v>
      </c>
      <c r="AG44" s="1">
        <f t="shared" si="96"/>
        <v>0</v>
      </c>
      <c r="AH44" s="1">
        <f t="shared" si="97"/>
        <v>0</v>
      </c>
      <c r="AI44" s="1">
        <f t="shared" si="98"/>
        <v>0</v>
      </c>
      <c r="AJ44" s="1">
        <f t="shared" si="99"/>
        <v>0</v>
      </c>
      <c r="AK44" s="1">
        <f t="shared" si="100"/>
        <v>0</v>
      </c>
      <c r="AM44" s="682"/>
      <c r="AN44" s="682"/>
      <c r="AO44" s="682"/>
      <c r="AP44" s="682"/>
      <c r="AQ44" s="682"/>
      <c r="AR44" s="682"/>
      <c r="AS44" s="682"/>
      <c r="AT44" s="682"/>
      <c r="AU44" s="682"/>
      <c r="AV44" s="682"/>
      <c r="AW44" s="682"/>
      <c r="AX44" s="682"/>
      <c r="AY44" s="682"/>
      <c r="BA44" s="723"/>
      <c r="BB44" s="723" t="e">
        <f t="shared" si="71"/>
        <v>#REF!</v>
      </c>
      <c r="BC44" s="723"/>
      <c r="BD44" s="722" t="e">
        <f>BR44*#REF!</f>
        <v>#REF!</v>
      </c>
      <c r="BE44" s="722" t="e">
        <f>BS44*#REF!</f>
        <v>#REF!</v>
      </c>
      <c r="BF44" s="722" t="e">
        <f>BT44*#REF!</f>
        <v>#REF!</v>
      </c>
      <c r="BG44" s="722" t="e">
        <f>BU44*#REF!</f>
        <v>#REF!</v>
      </c>
      <c r="BH44" s="935" t="e">
        <f>BV44*#REF!</f>
        <v>#REF!</v>
      </c>
      <c r="BI44" s="722" t="e">
        <f>BW44*#REF!</f>
        <v>#REF!</v>
      </c>
      <c r="BJ44" s="722" t="e">
        <f>BX44*#REF!</f>
        <v>#REF!</v>
      </c>
      <c r="BK44" s="722" t="e">
        <f>BY44*#REF!</f>
        <v>#REF!</v>
      </c>
      <c r="BL44" s="722" t="e">
        <f>BZ44*#REF!</f>
        <v>#REF!</v>
      </c>
      <c r="BM44" s="722" t="e">
        <f>CA44*#REF!</f>
        <v>#REF!</v>
      </c>
      <c r="BO44" s="749">
        <f t="shared" si="72"/>
        <v>3.3</v>
      </c>
      <c r="BP44" s="749" t="str">
        <f t="shared" si="73"/>
        <v xml:space="preserve"> Q1 3</v>
      </c>
      <c r="BQ44" s="408" t="str">
        <f t="shared" si="74"/>
        <v>照度</v>
      </c>
      <c r="BR44" s="719">
        <f t="shared" si="75"/>
        <v>0.15</v>
      </c>
      <c r="BS44" s="719">
        <f t="shared" si="76"/>
        <v>0.15</v>
      </c>
      <c r="BT44" s="719">
        <f t="shared" si="77"/>
        <v>0</v>
      </c>
      <c r="BU44" s="719">
        <f t="shared" si="78"/>
        <v>0</v>
      </c>
      <c r="BV44" s="934">
        <f t="shared" si="79"/>
        <v>0.2</v>
      </c>
      <c r="BW44" s="719">
        <f t="shared" si="80"/>
        <v>0.15</v>
      </c>
      <c r="BX44" s="719">
        <f t="shared" si="81"/>
        <v>0.15</v>
      </c>
      <c r="BY44" s="719">
        <f t="shared" si="82"/>
        <v>0.15</v>
      </c>
      <c r="BZ44" s="719">
        <f t="shared" si="83"/>
        <v>0.15</v>
      </c>
      <c r="CA44" s="719">
        <f t="shared" si="84"/>
        <v>0.15</v>
      </c>
      <c r="CB44" s="748">
        <f t="shared" si="85"/>
        <v>0.15</v>
      </c>
      <c r="CC44" s="719">
        <f t="shared" si="86"/>
        <v>0.15</v>
      </c>
      <c r="CD44" s="719">
        <f t="shared" si="87"/>
        <v>0.15</v>
      </c>
      <c r="CF44" s="455">
        <v>3.3</v>
      </c>
      <c r="CG44" s="459" t="s">
        <v>583</v>
      </c>
      <c r="CH44" s="456" t="s">
        <v>213</v>
      </c>
      <c r="CI44" s="457">
        <v>0.15</v>
      </c>
      <c r="CJ44" s="457">
        <v>0.15</v>
      </c>
      <c r="CK44" s="457"/>
      <c r="CL44" s="457"/>
      <c r="CM44" s="471"/>
      <c r="CN44" s="457">
        <v>0.15</v>
      </c>
      <c r="CO44" s="461">
        <v>0.15</v>
      </c>
      <c r="CP44" s="457">
        <v>0.15</v>
      </c>
      <c r="CQ44" s="457">
        <v>0.15</v>
      </c>
      <c r="CR44" s="457">
        <v>0.15</v>
      </c>
      <c r="CS44" s="462">
        <v>0.15</v>
      </c>
      <c r="CT44" s="461">
        <v>0.15</v>
      </c>
      <c r="CU44" s="461">
        <v>0.15</v>
      </c>
      <c r="CW44" s="455">
        <v>3.3</v>
      </c>
      <c r="CX44" s="459" t="s">
        <v>583</v>
      </c>
      <c r="CY44" s="456" t="s">
        <v>213</v>
      </c>
      <c r="CZ44" s="461">
        <v>0.15</v>
      </c>
      <c r="DA44" s="461">
        <v>0.15</v>
      </c>
      <c r="DB44" s="461"/>
      <c r="DC44" s="461"/>
      <c r="DD44" s="463"/>
      <c r="DE44" s="461">
        <v>0.15</v>
      </c>
      <c r="DF44" s="461">
        <v>0.15</v>
      </c>
      <c r="DG44" s="461">
        <v>0.15</v>
      </c>
      <c r="DH44" s="461">
        <v>0.15</v>
      </c>
      <c r="DI44" s="461">
        <v>0.15</v>
      </c>
      <c r="DJ44" s="462">
        <v>0.15</v>
      </c>
      <c r="DK44" s="461">
        <v>0.15</v>
      </c>
      <c r="DL44" s="461">
        <v>0.15</v>
      </c>
      <c r="DN44" s="455">
        <v>3.3</v>
      </c>
      <c r="DO44" s="459" t="s">
        <v>583</v>
      </c>
      <c r="DP44" s="456" t="s">
        <v>213</v>
      </c>
      <c r="DQ44" s="461">
        <v>0.15</v>
      </c>
      <c r="DR44" s="461">
        <v>0.15</v>
      </c>
      <c r="DS44" s="461"/>
      <c r="DT44" s="461"/>
      <c r="DU44" s="574">
        <v>0.2</v>
      </c>
      <c r="DV44" s="461">
        <v>0.15</v>
      </c>
      <c r="DW44" s="461">
        <v>0.15</v>
      </c>
      <c r="DX44" s="461">
        <v>0.15</v>
      </c>
      <c r="DY44" s="461">
        <v>0.15</v>
      </c>
      <c r="DZ44" s="461">
        <v>0.15</v>
      </c>
      <c r="EA44" s="462">
        <v>0.15</v>
      </c>
      <c r="EB44" s="461">
        <v>0.15</v>
      </c>
      <c r="EC44" s="461">
        <v>0.15</v>
      </c>
      <c r="ED44" s="555"/>
      <c r="EF44" s="455">
        <v>3.3</v>
      </c>
      <c r="EG44" s="459" t="s">
        <v>583</v>
      </c>
      <c r="EH44" s="456" t="s">
        <v>213</v>
      </c>
      <c r="EI44" s="609">
        <f t="shared" ref="EI44:EU50" si="102">DQ44</f>
        <v>0.15</v>
      </c>
      <c r="EJ44" s="609">
        <f t="shared" si="102"/>
        <v>0.15</v>
      </c>
      <c r="EK44" s="609">
        <f t="shared" si="102"/>
        <v>0</v>
      </c>
      <c r="EL44" s="609">
        <f t="shared" si="102"/>
        <v>0</v>
      </c>
      <c r="EM44" s="609">
        <f t="shared" si="102"/>
        <v>0.2</v>
      </c>
      <c r="EN44" s="609">
        <f t="shared" si="102"/>
        <v>0.15</v>
      </c>
      <c r="EO44" s="609">
        <f t="shared" si="102"/>
        <v>0.15</v>
      </c>
      <c r="EP44" s="609">
        <f t="shared" si="102"/>
        <v>0.15</v>
      </c>
      <c r="EQ44" s="609">
        <f t="shared" si="102"/>
        <v>0.15</v>
      </c>
      <c r="ER44" s="609">
        <f t="shared" si="102"/>
        <v>0.15</v>
      </c>
      <c r="ES44" s="611">
        <f t="shared" si="102"/>
        <v>0.15</v>
      </c>
      <c r="ET44" s="609">
        <f t="shared" si="102"/>
        <v>0.15</v>
      </c>
      <c r="EU44" s="609">
        <f t="shared" si="102"/>
        <v>0.15</v>
      </c>
      <c r="EW44" s="455">
        <v>3.3</v>
      </c>
      <c r="EX44" s="459" t="s">
        <v>583</v>
      </c>
      <c r="EY44" s="456" t="s">
        <v>213</v>
      </c>
      <c r="EZ44" s="598">
        <f t="shared" ref="EZ44:EZ50" si="103">DQ44</f>
        <v>0.15</v>
      </c>
      <c r="FA44" s="598"/>
      <c r="FB44" s="598"/>
      <c r="FC44" s="598"/>
      <c r="FD44" s="598"/>
      <c r="FE44" s="598"/>
      <c r="FF44" s="598"/>
      <c r="FG44" s="598"/>
      <c r="FH44" s="598"/>
      <c r="FI44" s="598"/>
      <c r="FJ44" s="647"/>
      <c r="FK44" s="598"/>
      <c r="FL44" s="598"/>
    </row>
    <row r="45" spans="2:168" ht="13.5" hidden="1" customHeight="1">
      <c r="B45" s="732" t="str">
        <f t="shared" si="101"/>
        <v>3.3.1</v>
      </c>
      <c r="C45" s="948" t="str">
        <f t="shared" si="65"/>
        <v>照度</v>
      </c>
      <c r="D45" s="958" t="e">
        <f>IF(I$44&gt;0,G45/I$44,0)</f>
        <v>#REF!</v>
      </c>
      <c r="E45" s="957" t="e">
        <f>IF(J$44&gt;0,H45/J$44,0)</f>
        <v>#REF!</v>
      </c>
      <c r="G45" s="957" t="e">
        <f t="shared" si="67"/>
        <v>#REF!</v>
      </c>
      <c r="H45" s="957" t="e">
        <f t="shared" si="68"/>
        <v>#REF!</v>
      </c>
      <c r="I45" s="957"/>
      <c r="J45" s="957"/>
      <c r="K45" s="957" t="e">
        <f>IF(#REF!=0,0,1)</f>
        <v>#REF!</v>
      </c>
      <c r="L45" s="957" t="e">
        <f>IF(#REF!=0,0,1)</f>
        <v>#REF!</v>
      </c>
      <c r="M45" s="957">
        <f t="shared" si="69"/>
        <v>0</v>
      </c>
      <c r="N45" s="957">
        <f t="shared" si="70"/>
        <v>0</v>
      </c>
      <c r="P45" s="968"/>
      <c r="Q45" s="969"/>
      <c r="R45" s="954">
        <v>1</v>
      </c>
      <c r="S45" s="953" t="s">
        <v>214</v>
      </c>
      <c r="T45" s="853"/>
      <c r="U45" s="726"/>
      <c r="V45" s="747">
        <f t="shared" si="43"/>
        <v>0</v>
      </c>
      <c r="W45" s="746">
        <f t="shared" si="44"/>
        <v>0</v>
      </c>
      <c r="Y45" s="1">
        <f t="shared" si="88"/>
        <v>0</v>
      </c>
      <c r="Z45" s="1">
        <f t="shared" si="89"/>
        <v>0</v>
      </c>
      <c r="AA45" s="1">
        <f t="shared" si="90"/>
        <v>0</v>
      </c>
      <c r="AB45" s="1">
        <f t="shared" si="91"/>
        <v>0</v>
      </c>
      <c r="AC45" s="1">
        <f t="shared" si="92"/>
        <v>0</v>
      </c>
      <c r="AD45" s="1">
        <f t="shared" si="93"/>
        <v>0</v>
      </c>
      <c r="AE45" s="1">
        <f t="shared" si="94"/>
        <v>0</v>
      </c>
      <c r="AF45" s="1">
        <f t="shared" si="95"/>
        <v>0</v>
      </c>
      <c r="AG45" s="1">
        <f t="shared" si="96"/>
        <v>0</v>
      </c>
      <c r="AH45" s="1">
        <f t="shared" si="97"/>
        <v>0</v>
      </c>
      <c r="AI45" s="1">
        <f t="shared" si="98"/>
        <v>0</v>
      </c>
      <c r="AJ45" s="1">
        <f t="shared" si="99"/>
        <v>0</v>
      </c>
      <c r="AK45" s="1">
        <f t="shared" si="100"/>
        <v>0</v>
      </c>
      <c r="AM45" s="680"/>
      <c r="AN45" s="680"/>
      <c r="AO45" s="680"/>
      <c r="AP45" s="680"/>
      <c r="AQ45" s="680"/>
      <c r="AR45" s="680"/>
      <c r="AS45" s="680"/>
      <c r="AT45" s="680"/>
      <c r="AU45" s="680"/>
      <c r="AV45" s="680"/>
      <c r="AW45" s="680"/>
      <c r="AX45" s="680"/>
      <c r="AY45" s="680"/>
      <c r="BA45" s="952"/>
      <c r="BB45" s="952" t="e">
        <f t="shared" si="71"/>
        <v>#REF!</v>
      </c>
      <c r="BC45" s="952"/>
      <c r="BD45" s="950" t="e">
        <f>BR45*#REF!</f>
        <v>#REF!</v>
      </c>
      <c r="BE45" s="950" t="e">
        <f>BS45*#REF!</f>
        <v>#REF!</v>
      </c>
      <c r="BF45" s="950" t="e">
        <f>BT45*#REF!</f>
        <v>#REF!</v>
      </c>
      <c r="BG45" s="950" t="e">
        <f>BU45*#REF!</f>
        <v>#REF!</v>
      </c>
      <c r="BH45" s="951" t="e">
        <f>BV45*#REF!</f>
        <v>#REF!</v>
      </c>
      <c r="BI45" s="950" t="e">
        <f>BW45*#REF!</f>
        <v>#REF!</v>
      </c>
      <c r="BJ45" s="950" t="e">
        <f>BX45*#REF!</f>
        <v>#REF!</v>
      </c>
      <c r="BK45" s="950" t="e">
        <f>BY45*#REF!</f>
        <v>#REF!</v>
      </c>
      <c r="BL45" s="950" t="e">
        <f>BZ45*#REF!</f>
        <v>#REF!</v>
      </c>
      <c r="BM45" s="950" t="e">
        <f>CA45*#REF!</f>
        <v>#REF!</v>
      </c>
      <c r="BO45" s="949" t="str">
        <f t="shared" si="72"/>
        <v>3.3.1</v>
      </c>
      <c r="BP45" s="949" t="str">
        <f t="shared" si="73"/>
        <v xml:space="preserve"> Q1 3.3</v>
      </c>
      <c r="BQ45" s="948" t="str">
        <f t="shared" si="74"/>
        <v>照度</v>
      </c>
      <c r="BR45" s="945">
        <f t="shared" si="75"/>
        <v>0</v>
      </c>
      <c r="BS45" s="945">
        <f t="shared" si="76"/>
        <v>0</v>
      </c>
      <c r="BT45" s="945">
        <f t="shared" si="77"/>
        <v>0</v>
      </c>
      <c r="BU45" s="945">
        <f t="shared" si="78"/>
        <v>0</v>
      </c>
      <c r="BV45" s="947">
        <f t="shared" si="79"/>
        <v>0</v>
      </c>
      <c r="BW45" s="945">
        <f t="shared" si="80"/>
        <v>0</v>
      </c>
      <c r="BX45" s="945">
        <f t="shared" si="81"/>
        <v>0</v>
      </c>
      <c r="BY45" s="945">
        <f t="shared" si="82"/>
        <v>0</v>
      </c>
      <c r="BZ45" s="945">
        <f t="shared" si="83"/>
        <v>0</v>
      </c>
      <c r="CA45" s="945">
        <f t="shared" si="84"/>
        <v>0</v>
      </c>
      <c r="CB45" s="946">
        <f t="shared" si="85"/>
        <v>0</v>
      </c>
      <c r="CC45" s="945">
        <f t="shared" si="86"/>
        <v>0</v>
      </c>
      <c r="CD45" s="945">
        <f t="shared" si="87"/>
        <v>0</v>
      </c>
      <c r="CF45" s="475" t="s">
        <v>1007</v>
      </c>
      <c r="CG45" s="478" t="s">
        <v>592</v>
      </c>
      <c r="CH45" s="476" t="s">
        <v>1006</v>
      </c>
      <c r="CI45" s="457"/>
      <c r="CJ45" s="457"/>
      <c r="CK45" s="457"/>
      <c r="CL45" s="457"/>
      <c r="CM45" s="471"/>
      <c r="CN45" s="457"/>
      <c r="CO45" s="479"/>
      <c r="CP45" s="457"/>
      <c r="CQ45" s="457"/>
      <c r="CR45" s="457"/>
      <c r="CS45" s="481"/>
      <c r="CT45" s="479"/>
      <c r="CU45" s="479"/>
      <c r="CW45" s="475" t="s">
        <v>1007</v>
      </c>
      <c r="CX45" s="478" t="s">
        <v>592</v>
      </c>
      <c r="CY45" s="476" t="s">
        <v>1006</v>
      </c>
      <c r="CZ45" s="479"/>
      <c r="DA45" s="479"/>
      <c r="DB45" s="479"/>
      <c r="DC45" s="479"/>
      <c r="DD45" s="480"/>
      <c r="DE45" s="479"/>
      <c r="DF45" s="479"/>
      <c r="DG45" s="479"/>
      <c r="DH45" s="479"/>
      <c r="DI45" s="479"/>
      <c r="DJ45" s="481"/>
      <c r="DK45" s="479"/>
      <c r="DL45" s="479"/>
      <c r="DN45" s="475" t="s">
        <v>1007</v>
      </c>
      <c r="DO45" s="478" t="s">
        <v>592</v>
      </c>
      <c r="DP45" s="476" t="s">
        <v>1006</v>
      </c>
      <c r="DQ45" s="482"/>
      <c r="DR45" s="482"/>
      <c r="DS45" s="482"/>
      <c r="DT45" s="482"/>
      <c r="DU45" s="576">
        <v>0</v>
      </c>
      <c r="DV45" s="482"/>
      <c r="DW45" s="482"/>
      <c r="DX45" s="482"/>
      <c r="DY45" s="482"/>
      <c r="DZ45" s="482"/>
      <c r="EA45" s="484"/>
      <c r="EB45" s="482"/>
      <c r="EC45" s="482"/>
      <c r="ED45" s="556"/>
      <c r="EF45" s="475" t="s">
        <v>1007</v>
      </c>
      <c r="EG45" s="478" t="s">
        <v>592</v>
      </c>
      <c r="EH45" s="476" t="s">
        <v>1006</v>
      </c>
      <c r="EI45" s="616">
        <f t="shared" si="102"/>
        <v>0</v>
      </c>
      <c r="EJ45" s="616">
        <f t="shared" si="102"/>
        <v>0</v>
      </c>
      <c r="EK45" s="616">
        <f t="shared" si="102"/>
        <v>0</v>
      </c>
      <c r="EL45" s="616">
        <f t="shared" si="102"/>
        <v>0</v>
      </c>
      <c r="EM45" s="616">
        <f t="shared" si="102"/>
        <v>0</v>
      </c>
      <c r="EN45" s="616">
        <f t="shared" si="102"/>
        <v>0</v>
      </c>
      <c r="EO45" s="616">
        <f t="shared" si="102"/>
        <v>0</v>
      </c>
      <c r="EP45" s="616">
        <f t="shared" si="102"/>
        <v>0</v>
      </c>
      <c r="EQ45" s="616">
        <f t="shared" si="102"/>
        <v>0</v>
      </c>
      <c r="ER45" s="616">
        <f t="shared" si="102"/>
        <v>0</v>
      </c>
      <c r="ES45" s="618">
        <f t="shared" si="102"/>
        <v>0</v>
      </c>
      <c r="ET45" s="616">
        <f t="shared" si="102"/>
        <v>0</v>
      </c>
      <c r="EU45" s="616">
        <f t="shared" si="102"/>
        <v>0</v>
      </c>
      <c r="EW45" s="475" t="s">
        <v>1007</v>
      </c>
      <c r="EX45" s="478" t="s">
        <v>592</v>
      </c>
      <c r="EY45" s="476" t="s">
        <v>1006</v>
      </c>
      <c r="EZ45" s="651">
        <f t="shared" si="103"/>
        <v>0</v>
      </c>
      <c r="FA45" s="651"/>
      <c r="FB45" s="651"/>
      <c r="FC45" s="651"/>
      <c r="FD45" s="651"/>
      <c r="FE45" s="651"/>
      <c r="FF45" s="651"/>
      <c r="FG45" s="651"/>
      <c r="FH45" s="651"/>
      <c r="FI45" s="651"/>
      <c r="FJ45" s="653"/>
      <c r="FK45" s="651"/>
      <c r="FL45" s="651"/>
    </row>
    <row r="46" spans="2:168" ht="13.5" hidden="1" customHeight="1">
      <c r="B46" s="732" t="str">
        <f t="shared" si="101"/>
        <v>3.3.2</v>
      </c>
      <c r="C46" s="948" t="str">
        <f t="shared" si="65"/>
        <v>照度均斉度</v>
      </c>
      <c r="D46" s="958" t="e">
        <f>IF(I$44&gt;0,G46/I$44,0)</f>
        <v>#REF!</v>
      </c>
      <c r="E46" s="957" t="e">
        <f>IF(J$44&gt;0,H46/J$44,0)</f>
        <v>#REF!</v>
      </c>
      <c r="G46" s="957" t="e">
        <f t="shared" si="67"/>
        <v>#REF!</v>
      </c>
      <c r="H46" s="957" t="e">
        <f t="shared" si="68"/>
        <v>#REF!</v>
      </c>
      <c r="I46" s="957"/>
      <c r="J46" s="957"/>
      <c r="K46" s="957" t="e">
        <f>IF(#REF!=0,0,1)</f>
        <v>#REF!</v>
      </c>
      <c r="L46" s="957" t="e">
        <f>IF(#REF!=0,0,1)</f>
        <v>#REF!</v>
      </c>
      <c r="M46" s="957">
        <f t="shared" si="69"/>
        <v>0</v>
      </c>
      <c r="N46" s="957">
        <f t="shared" si="70"/>
        <v>0</v>
      </c>
      <c r="P46" s="968"/>
      <c r="Q46" s="955"/>
      <c r="R46" s="954">
        <v>2</v>
      </c>
      <c r="S46" s="953" t="s">
        <v>215</v>
      </c>
      <c r="T46" s="853"/>
      <c r="U46" s="726"/>
      <c r="V46" s="747">
        <f t="shared" ref="V46:V77" si="104">IF(SUMPRODUCT($AM$7:$AV$7,Y46:AH46)=0,0,SUMPRODUCT($AM$7:$AV$7,AM46:AV46)/SUMPRODUCT($AM$7:$AV$7,Y46:AH46))</f>
        <v>0</v>
      </c>
      <c r="W46" s="746">
        <f t="shared" ref="W46:W77" si="105">IF(SUMPRODUCT($AW$7:$AY$7,AI46:AK46)=0,0,SUMPRODUCT($AW$7:$AY$7,AW46:AY46)/SUMPRODUCT($AW$7:$AY$7,AI46:AK46))</f>
        <v>0</v>
      </c>
      <c r="Y46" s="1">
        <f t="shared" si="88"/>
        <v>0</v>
      </c>
      <c r="Z46" s="1">
        <f t="shared" si="89"/>
        <v>0</v>
      </c>
      <c r="AA46" s="1">
        <f t="shared" si="90"/>
        <v>0</v>
      </c>
      <c r="AB46" s="1">
        <f t="shared" si="91"/>
        <v>0</v>
      </c>
      <c r="AC46" s="1">
        <f t="shared" si="92"/>
        <v>0</v>
      </c>
      <c r="AD46" s="1">
        <f t="shared" si="93"/>
        <v>0</v>
      </c>
      <c r="AE46" s="1">
        <f t="shared" si="94"/>
        <v>0</v>
      </c>
      <c r="AF46" s="1">
        <f t="shared" si="95"/>
        <v>0</v>
      </c>
      <c r="AG46" s="1">
        <f t="shared" si="96"/>
        <v>0</v>
      </c>
      <c r="AH46" s="1">
        <f t="shared" si="97"/>
        <v>0</v>
      </c>
      <c r="AI46" s="1">
        <f t="shared" si="98"/>
        <v>0</v>
      </c>
      <c r="AJ46" s="1">
        <f t="shared" si="99"/>
        <v>0</v>
      </c>
      <c r="AK46" s="1">
        <f t="shared" si="100"/>
        <v>0</v>
      </c>
      <c r="AM46" s="680"/>
      <c r="AN46" s="680"/>
      <c r="AO46" s="680"/>
      <c r="AP46" s="680"/>
      <c r="AQ46" s="680"/>
      <c r="AR46" s="680"/>
      <c r="AS46" s="680"/>
      <c r="AT46" s="680"/>
      <c r="AU46" s="680"/>
      <c r="AV46" s="680"/>
      <c r="AW46" s="680"/>
      <c r="AX46" s="680"/>
      <c r="AY46" s="680"/>
      <c r="BA46" s="952"/>
      <c r="BB46" s="952" t="e">
        <f t="shared" si="71"/>
        <v>#REF!</v>
      </c>
      <c r="BC46" s="952"/>
      <c r="BD46" s="950" t="e">
        <f>BR46*#REF!</f>
        <v>#REF!</v>
      </c>
      <c r="BE46" s="950" t="e">
        <f>BS46*#REF!</f>
        <v>#REF!</v>
      </c>
      <c r="BF46" s="950" t="e">
        <f>BT46*#REF!</f>
        <v>#REF!</v>
      </c>
      <c r="BG46" s="950" t="e">
        <f>BU46*#REF!</f>
        <v>#REF!</v>
      </c>
      <c r="BH46" s="951" t="e">
        <f>BV46*#REF!</f>
        <v>#REF!</v>
      </c>
      <c r="BI46" s="950" t="e">
        <f>BW46*#REF!</f>
        <v>#REF!</v>
      </c>
      <c r="BJ46" s="950" t="e">
        <f>BX46*#REF!</f>
        <v>#REF!</v>
      </c>
      <c r="BK46" s="950" t="e">
        <f>BY46*#REF!</f>
        <v>#REF!</v>
      </c>
      <c r="BL46" s="950" t="e">
        <f>BZ46*#REF!</f>
        <v>#REF!</v>
      </c>
      <c r="BM46" s="950" t="e">
        <f>CA46*#REF!</f>
        <v>#REF!</v>
      </c>
      <c r="BO46" s="949" t="str">
        <f t="shared" si="72"/>
        <v>3.3.2</v>
      </c>
      <c r="BP46" s="949" t="str">
        <f t="shared" si="73"/>
        <v xml:space="preserve"> Q1 3.3</v>
      </c>
      <c r="BQ46" s="948" t="str">
        <f t="shared" si="74"/>
        <v>照度均斉度</v>
      </c>
      <c r="BR46" s="945">
        <f t="shared" si="75"/>
        <v>0</v>
      </c>
      <c r="BS46" s="945">
        <f t="shared" si="76"/>
        <v>0</v>
      </c>
      <c r="BT46" s="945">
        <f t="shared" si="77"/>
        <v>0</v>
      </c>
      <c r="BU46" s="945">
        <f t="shared" si="78"/>
        <v>0</v>
      </c>
      <c r="BV46" s="947">
        <f t="shared" si="79"/>
        <v>0</v>
      </c>
      <c r="BW46" s="945">
        <f t="shared" si="80"/>
        <v>0</v>
      </c>
      <c r="BX46" s="945">
        <f t="shared" si="81"/>
        <v>0</v>
      </c>
      <c r="BY46" s="945">
        <f t="shared" si="82"/>
        <v>0</v>
      </c>
      <c r="BZ46" s="945">
        <f t="shared" si="83"/>
        <v>0</v>
      </c>
      <c r="CA46" s="945">
        <f t="shared" si="84"/>
        <v>0</v>
      </c>
      <c r="CB46" s="946">
        <f t="shared" si="85"/>
        <v>0</v>
      </c>
      <c r="CC46" s="945">
        <f t="shared" si="86"/>
        <v>0</v>
      </c>
      <c r="CD46" s="945">
        <f t="shared" si="87"/>
        <v>0</v>
      </c>
      <c r="CF46" s="475" t="s">
        <v>1005</v>
      </c>
      <c r="CG46" s="478" t="s">
        <v>592</v>
      </c>
      <c r="CH46" s="476" t="s">
        <v>1004</v>
      </c>
      <c r="CI46" s="466"/>
      <c r="CJ46" s="466"/>
      <c r="CK46" s="466"/>
      <c r="CL46" s="466"/>
      <c r="CM46" s="472"/>
      <c r="CN46" s="466"/>
      <c r="CO46" s="479"/>
      <c r="CP46" s="466"/>
      <c r="CQ46" s="466"/>
      <c r="CR46" s="466"/>
      <c r="CS46" s="481"/>
      <c r="CT46" s="479"/>
      <c r="CU46" s="479"/>
      <c r="CW46" s="475" t="s">
        <v>1005</v>
      </c>
      <c r="CX46" s="478" t="s">
        <v>592</v>
      </c>
      <c r="CY46" s="476" t="s">
        <v>1004</v>
      </c>
      <c r="CZ46" s="479"/>
      <c r="DA46" s="479"/>
      <c r="DB46" s="479"/>
      <c r="DC46" s="479"/>
      <c r="DD46" s="480"/>
      <c r="DE46" s="479"/>
      <c r="DF46" s="479"/>
      <c r="DG46" s="479"/>
      <c r="DH46" s="479"/>
      <c r="DI46" s="479"/>
      <c r="DJ46" s="481"/>
      <c r="DK46" s="479"/>
      <c r="DL46" s="479"/>
      <c r="DN46" s="475" t="s">
        <v>1005</v>
      </c>
      <c r="DO46" s="478" t="s">
        <v>592</v>
      </c>
      <c r="DP46" s="476" t="s">
        <v>1004</v>
      </c>
      <c r="DQ46" s="482"/>
      <c r="DR46" s="482"/>
      <c r="DS46" s="482"/>
      <c r="DT46" s="482"/>
      <c r="DU46" s="576">
        <v>0</v>
      </c>
      <c r="DV46" s="482"/>
      <c r="DW46" s="482"/>
      <c r="DX46" s="482"/>
      <c r="DY46" s="482"/>
      <c r="DZ46" s="482"/>
      <c r="EA46" s="484"/>
      <c r="EB46" s="482"/>
      <c r="EC46" s="482"/>
      <c r="ED46" s="556"/>
      <c r="EF46" s="475" t="s">
        <v>1005</v>
      </c>
      <c r="EG46" s="478" t="s">
        <v>592</v>
      </c>
      <c r="EH46" s="476" t="s">
        <v>1004</v>
      </c>
      <c r="EI46" s="616">
        <f t="shared" si="102"/>
        <v>0</v>
      </c>
      <c r="EJ46" s="616">
        <f t="shared" si="102"/>
        <v>0</v>
      </c>
      <c r="EK46" s="616">
        <f t="shared" si="102"/>
        <v>0</v>
      </c>
      <c r="EL46" s="616">
        <f t="shared" si="102"/>
        <v>0</v>
      </c>
      <c r="EM46" s="616">
        <f t="shared" si="102"/>
        <v>0</v>
      </c>
      <c r="EN46" s="616">
        <f t="shared" si="102"/>
        <v>0</v>
      </c>
      <c r="EO46" s="616">
        <f t="shared" si="102"/>
        <v>0</v>
      </c>
      <c r="EP46" s="616">
        <f t="shared" si="102"/>
        <v>0</v>
      </c>
      <c r="EQ46" s="616">
        <f t="shared" si="102"/>
        <v>0</v>
      </c>
      <c r="ER46" s="616">
        <f t="shared" si="102"/>
        <v>0</v>
      </c>
      <c r="ES46" s="618">
        <f t="shared" si="102"/>
        <v>0</v>
      </c>
      <c r="ET46" s="616">
        <f t="shared" si="102"/>
        <v>0</v>
      </c>
      <c r="EU46" s="616">
        <f t="shared" si="102"/>
        <v>0</v>
      </c>
      <c r="EW46" s="475" t="s">
        <v>1005</v>
      </c>
      <c r="EX46" s="478" t="s">
        <v>592</v>
      </c>
      <c r="EY46" s="476" t="s">
        <v>1004</v>
      </c>
      <c r="EZ46" s="651">
        <f t="shared" si="103"/>
        <v>0</v>
      </c>
      <c r="FA46" s="651"/>
      <c r="FB46" s="651"/>
      <c r="FC46" s="651"/>
      <c r="FD46" s="651"/>
      <c r="FE46" s="651"/>
      <c r="FF46" s="651"/>
      <c r="FG46" s="651"/>
      <c r="FH46" s="651"/>
      <c r="FI46" s="651"/>
      <c r="FJ46" s="653"/>
      <c r="FK46" s="651"/>
      <c r="FL46" s="651"/>
    </row>
    <row r="47" spans="2:168" ht="14.25" thickBot="1">
      <c r="B47" s="732">
        <f t="shared" si="101"/>
        <v>3.4</v>
      </c>
      <c r="C47" s="408" t="str">
        <f t="shared" si="65"/>
        <v>照明制御</v>
      </c>
      <c r="D47" s="731" t="e">
        <f>IF(I$35=0,0,G47/I$35)</f>
        <v>#REF!</v>
      </c>
      <c r="E47" s="730" t="e">
        <f>IF(J$35=0,0,H47/J$35)</f>
        <v>#REF!</v>
      </c>
      <c r="G47" s="730" t="e">
        <f t="shared" si="67"/>
        <v>#REF!</v>
      </c>
      <c r="H47" s="730" t="e">
        <f t="shared" si="68"/>
        <v>#REF!</v>
      </c>
      <c r="I47" s="730"/>
      <c r="J47" s="730"/>
      <c r="K47" s="730" t="e">
        <f>IF(#REF!=0,0,1)</f>
        <v>#REF!</v>
      </c>
      <c r="L47" s="730" t="e">
        <f>IF(#REF!=0,0,1)</f>
        <v>#REF!</v>
      </c>
      <c r="M47" s="730">
        <f t="shared" si="69"/>
        <v>0.25</v>
      </c>
      <c r="N47" s="730">
        <f t="shared" si="70"/>
        <v>0</v>
      </c>
      <c r="P47" s="967"/>
      <c r="Q47" s="778">
        <v>3.4</v>
      </c>
      <c r="R47" s="3866" t="s">
        <v>216</v>
      </c>
      <c r="S47" s="3867"/>
      <c r="T47" s="745"/>
      <c r="U47" s="726"/>
      <c r="V47" s="725">
        <f t="shared" si="104"/>
        <v>0</v>
      </c>
      <c r="W47" s="724">
        <f t="shared" si="105"/>
        <v>0</v>
      </c>
      <c r="Y47" s="1">
        <f t="shared" si="88"/>
        <v>0</v>
      </c>
      <c r="Z47" s="1">
        <f t="shared" si="89"/>
        <v>0</v>
      </c>
      <c r="AA47" s="1">
        <f t="shared" si="90"/>
        <v>0</v>
      </c>
      <c r="AB47" s="1">
        <f t="shared" si="91"/>
        <v>0</v>
      </c>
      <c r="AC47" s="1">
        <f t="shared" si="92"/>
        <v>0</v>
      </c>
      <c r="AD47" s="1">
        <f t="shared" si="93"/>
        <v>0</v>
      </c>
      <c r="AE47" s="1">
        <f t="shared" si="94"/>
        <v>0</v>
      </c>
      <c r="AF47" s="1">
        <f t="shared" si="95"/>
        <v>0</v>
      </c>
      <c r="AG47" s="1">
        <f t="shared" si="96"/>
        <v>0</v>
      </c>
      <c r="AH47" s="1">
        <f t="shared" si="97"/>
        <v>0</v>
      </c>
      <c r="AI47" s="1">
        <f t="shared" si="98"/>
        <v>0</v>
      </c>
      <c r="AJ47" s="1">
        <f t="shared" si="99"/>
        <v>0</v>
      </c>
      <c r="AK47" s="1">
        <f t="shared" si="100"/>
        <v>0</v>
      </c>
      <c r="AM47" s="681"/>
      <c r="AN47" s="681"/>
      <c r="AO47" s="681"/>
      <c r="AP47" s="681"/>
      <c r="AQ47" s="681"/>
      <c r="AR47" s="681"/>
      <c r="AS47" s="681"/>
      <c r="AT47" s="681"/>
      <c r="AU47" s="681"/>
      <c r="AV47" s="681"/>
      <c r="AW47" s="681"/>
      <c r="AX47" s="681"/>
      <c r="AY47" s="681"/>
      <c r="BA47" s="723"/>
      <c r="BB47" s="723" t="e">
        <f t="shared" si="71"/>
        <v>#REF!</v>
      </c>
      <c r="BC47" s="723"/>
      <c r="BD47" s="722" t="e">
        <f>BR47*#REF!</f>
        <v>#REF!</v>
      </c>
      <c r="BE47" s="722" t="e">
        <f>BS47*#REF!</f>
        <v>#REF!</v>
      </c>
      <c r="BF47" s="722" t="e">
        <f>BT47*#REF!</f>
        <v>#REF!</v>
      </c>
      <c r="BG47" s="722" t="e">
        <f>BU47*#REF!</f>
        <v>#REF!</v>
      </c>
      <c r="BH47" s="935" t="e">
        <f>BV47*#REF!</f>
        <v>#REF!</v>
      </c>
      <c r="BI47" s="722" t="e">
        <f>BW47*#REF!</f>
        <v>#REF!</v>
      </c>
      <c r="BJ47" s="722" t="e">
        <f>BX47*#REF!</f>
        <v>#REF!</v>
      </c>
      <c r="BK47" s="722" t="e">
        <f>BY47*#REF!</f>
        <v>#REF!</v>
      </c>
      <c r="BL47" s="722" t="e">
        <f>BZ47*#REF!</f>
        <v>#REF!</v>
      </c>
      <c r="BM47" s="722" t="e">
        <f>CA47*#REF!</f>
        <v>#REF!</v>
      </c>
      <c r="BO47" s="749">
        <f t="shared" si="72"/>
        <v>3.4</v>
      </c>
      <c r="BP47" s="749" t="str">
        <f t="shared" si="73"/>
        <v xml:space="preserve"> Q1 3</v>
      </c>
      <c r="BQ47" s="408" t="str">
        <f t="shared" si="74"/>
        <v>照明制御</v>
      </c>
      <c r="BR47" s="719">
        <f t="shared" si="75"/>
        <v>0.25</v>
      </c>
      <c r="BS47" s="719">
        <f t="shared" si="76"/>
        <v>0.25</v>
      </c>
      <c r="BT47" s="719">
        <f t="shared" si="77"/>
        <v>0.5</v>
      </c>
      <c r="BU47" s="719">
        <f t="shared" si="78"/>
        <v>0</v>
      </c>
      <c r="BV47" s="934">
        <f t="shared" si="79"/>
        <v>0.5</v>
      </c>
      <c r="BW47" s="719">
        <f t="shared" si="80"/>
        <v>0.25</v>
      </c>
      <c r="BX47" s="719">
        <f t="shared" si="81"/>
        <v>0.25</v>
      </c>
      <c r="BY47" s="719">
        <f t="shared" si="82"/>
        <v>0.25</v>
      </c>
      <c r="BZ47" s="719">
        <f t="shared" si="83"/>
        <v>0.25</v>
      </c>
      <c r="CA47" s="719">
        <f t="shared" si="84"/>
        <v>0.25</v>
      </c>
      <c r="CB47" s="748">
        <f t="shared" si="85"/>
        <v>0.25</v>
      </c>
      <c r="CC47" s="719">
        <f t="shared" si="86"/>
        <v>0.25</v>
      </c>
      <c r="CD47" s="719">
        <f t="shared" si="87"/>
        <v>0.25</v>
      </c>
      <c r="CF47" s="455">
        <v>3.4</v>
      </c>
      <c r="CG47" s="459" t="s">
        <v>583</v>
      </c>
      <c r="CH47" s="456" t="s">
        <v>216</v>
      </c>
      <c r="CI47" s="457">
        <v>0.25</v>
      </c>
      <c r="CJ47" s="457">
        <v>0.25</v>
      </c>
      <c r="CK47" s="457">
        <v>0.5</v>
      </c>
      <c r="CL47" s="457"/>
      <c r="CM47" s="471"/>
      <c r="CN47" s="457">
        <v>0.25</v>
      </c>
      <c r="CO47" s="461">
        <v>0.25</v>
      </c>
      <c r="CP47" s="457">
        <v>0.25</v>
      </c>
      <c r="CQ47" s="457">
        <v>0.25</v>
      </c>
      <c r="CR47" s="457">
        <v>0.25</v>
      </c>
      <c r="CS47" s="462">
        <v>0.25</v>
      </c>
      <c r="CT47" s="461">
        <v>0.25</v>
      </c>
      <c r="CU47" s="461">
        <v>0.25</v>
      </c>
      <c r="CW47" s="455">
        <v>3.4</v>
      </c>
      <c r="CX47" s="459" t="s">
        <v>583</v>
      </c>
      <c r="CY47" s="456" t="s">
        <v>216</v>
      </c>
      <c r="CZ47" s="461">
        <v>0.25</v>
      </c>
      <c r="DA47" s="461">
        <v>0.25</v>
      </c>
      <c r="DB47" s="461">
        <v>0.5</v>
      </c>
      <c r="DC47" s="461">
        <v>0</v>
      </c>
      <c r="DD47" s="463"/>
      <c r="DE47" s="461">
        <v>0.25</v>
      </c>
      <c r="DF47" s="461">
        <v>0.25</v>
      </c>
      <c r="DG47" s="461">
        <v>0.25</v>
      </c>
      <c r="DH47" s="461">
        <v>0.25</v>
      </c>
      <c r="DI47" s="461">
        <v>0.25</v>
      </c>
      <c r="DJ47" s="462">
        <v>0.25</v>
      </c>
      <c r="DK47" s="461">
        <v>0.25</v>
      </c>
      <c r="DL47" s="461">
        <v>0.25</v>
      </c>
      <c r="DN47" s="455">
        <v>3.4</v>
      </c>
      <c r="DO47" s="459" t="s">
        <v>583</v>
      </c>
      <c r="DP47" s="456" t="s">
        <v>216</v>
      </c>
      <c r="DQ47" s="461">
        <v>0.25</v>
      </c>
      <c r="DR47" s="461">
        <v>0.25</v>
      </c>
      <c r="DS47" s="461">
        <v>0.5</v>
      </c>
      <c r="DT47" s="461"/>
      <c r="DU47" s="574">
        <v>0.5</v>
      </c>
      <c r="DV47" s="461">
        <v>0.25</v>
      </c>
      <c r="DW47" s="461">
        <v>0.25</v>
      </c>
      <c r="DX47" s="461">
        <v>0.25</v>
      </c>
      <c r="DY47" s="461">
        <v>0.25</v>
      </c>
      <c r="DZ47" s="461">
        <v>0.25</v>
      </c>
      <c r="EA47" s="462">
        <v>0.25</v>
      </c>
      <c r="EB47" s="461">
        <v>0.25</v>
      </c>
      <c r="EC47" s="461">
        <v>0.25</v>
      </c>
      <c r="ED47" s="555"/>
      <c r="EF47" s="455">
        <v>3.4</v>
      </c>
      <c r="EG47" s="459" t="s">
        <v>583</v>
      </c>
      <c r="EH47" s="456" t="s">
        <v>216</v>
      </c>
      <c r="EI47" s="609">
        <f t="shared" si="102"/>
        <v>0.25</v>
      </c>
      <c r="EJ47" s="609">
        <f t="shared" si="102"/>
        <v>0.25</v>
      </c>
      <c r="EK47" s="609">
        <f t="shared" si="102"/>
        <v>0.5</v>
      </c>
      <c r="EL47" s="609">
        <f t="shared" si="102"/>
        <v>0</v>
      </c>
      <c r="EM47" s="609">
        <f t="shared" si="102"/>
        <v>0.5</v>
      </c>
      <c r="EN47" s="609">
        <f t="shared" si="102"/>
        <v>0.25</v>
      </c>
      <c r="EO47" s="609">
        <f t="shared" si="102"/>
        <v>0.25</v>
      </c>
      <c r="EP47" s="609">
        <f t="shared" si="102"/>
        <v>0.25</v>
      </c>
      <c r="EQ47" s="609">
        <f t="shared" si="102"/>
        <v>0.25</v>
      </c>
      <c r="ER47" s="609">
        <f t="shared" si="102"/>
        <v>0.25</v>
      </c>
      <c r="ES47" s="611">
        <f t="shared" si="102"/>
        <v>0.25</v>
      </c>
      <c r="ET47" s="609">
        <f t="shared" si="102"/>
        <v>0.25</v>
      </c>
      <c r="EU47" s="609">
        <f t="shared" si="102"/>
        <v>0.25</v>
      </c>
      <c r="EW47" s="455">
        <v>3.4</v>
      </c>
      <c r="EX47" s="459" t="s">
        <v>583</v>
      </c>
      <c r="EY47" s="456" t="s">
        <v>216</v>
      </c>
      <c r="EZ47" s="598">
        <f t="shared" si="103"/>
        <v>0.25</v>
      </c>
      <c r="FA47" s="598"/>
      <c r="FB47" s="598"/>
      <c r="FC47" s="598"/>
      <c r="FD47" s="598"/>
      <c r="FE47" s="598"/>
      <c r="FF47" s="598"/>
      <c r="FG47" s="598"/>
      <c r="FH47" s="598"/>
      <c r="FI47" s="598"/>
      <c r="FJ47" s="647"/>
      <c r="FK47" s="598"/>
      <c r="FL47" s="598"/>
    </row>
    <row r="48" spans="2:168">
      <c r="B48" s="732">
        <f t="shared" si="101"/>
        <v>4</v>
      </c>
      <c r="C48" s="759" t="str">
        <f t="shared" si="65"/>
        <v>空気質環境</v>
      </c>
      <c r="D48" s="770" t="e">
        <f>IF(I$9=0,0,G48/I$9)</f>
        <v>#REF!</v>
      </c>
      <c r="E48" s="769" t="e">
        <f>IF(J$9=0,0,H48/J$9)</f>
        <v>#REF!</v>
      </c>
      <c r="G48" s="769" t="e">
        <f t="shared" si="67"/>
        <v>#REF!</v>
      </c>
      <c r="H48" s="769" t="e">
        <f t="shared" si="68"/>
        <v>#REF!</v>
      </c>
      <c r="I48" s="769" t="e">
        <f>G49+G54+G59</f>
        <v>#REF!</v>
      </c>
      <c r="J48" s="769" t="e">
        <f>H49+H54+H59</f>
        <v>#REF!</v>
      </c>
      <c r="K48" s="769" t="e">
        <f>IF(L48&gt;0,1,IF(#REF!=0,0,1))</f>
        <v>#REF!</v>
      </c>
      <c r="L48" s="769" t="e">
        <f>IF(#REF!=0,0,1)</f>
        <v>#REF!</v>
      </c>
      <c r="M48" s="769">
        <f t="shared" si="69"/>
        <v>0.25</v>
      </c>
      <c r="N48" s="769">
        <f t="shared" si="70"/>
        <v>0</v>
      </c>
      <c r="P48" s="779">
        <v>4</v>
      </c>
      <c r="Q48" s="767" t="s">
        <v>217</v>
      </c>
      <c r="R48" s="825"/>
      <c r="S48" s="815"/>
      <c r="T48" s="815"/>
      <c r="U48" s="726"/>
      <c r="V48" s="766">
        <f t="shared" si="104"/>
        <v>0</v>
      </c>
      <c r="W48" s="765">
        <f t="shared" si="105"/>
        <v>0</v>
      </c>
      <c r="Y48" s="1">
        <f t="shared" si="88"/>
        <v>0</v>
      </c>
      <c r="Z48" s="1">
        <f t="shared" si="89"/>
        <v>0</v>
      </c>
      <c r="AA48" s="1">
        <f t="shared" si="90"/>
        <v>0</v>
      </c>
      <c r="AB48" s="1">
        <f t="shared" si="91"/>
        <v>0</v>
      </c>
      <c r="AC48" s="1">
        <f t="shared" si="92"/>
        <v>0</v>
      </c>
      <c r="AD48" s="1">
        <f t="shared" si="93"/>
        <v>0</v>
      </c>
      <c r="AE48" s="1">
        <f t="shared" si="94"/>
        <v>0</v>
      </c>
      <c r="AF48" s="1">
        <f t="shared" si="95"/>
        <v>0</v>
      </c>
      <c r="AG48" s="1">
        <f t="shared" si="96"/>
        <v>0</v>
      </c>
      <c r="AH48" s="1">
        <f t="shared" si="97"/>
        <v>0</v>
      </c>
      <c r="AI48" s="1">
        <f t="shared" si="98"/>
        <v>0</v>
      </c>
      <c r="AJ48" s="1">
        <f t="shared" si="99"/>
        <v>0</v>
      </c>
      <c r="AK48" s="1">
        <f t="shared" si="100"/>
        <v>0</v>
      </c>
      <c r="AM48" s="764" t="s">
        <v>1001</v>
      </c>
      <c r="AN48" s="764" t="s">
        <v>1001</v>
      </c>
      <c r="AO48" s="764" t="s">
        <v>1001</v>
      </c>
      <c r="AP48" s="764" t="s">
        <v>1001</v>
      </c>
      <c r="AQ48" s="764" t="s">
        <v>1001</v>
      </c>
      <c r="AR48" s="764" t="s">
        <v>1001</v>
      </c>
      <c r="AS48" s="764" t="s">
        <v>1001</v>
      </c>
      <c r="AT48" s="764" t="s">
        <v>1001</v>
      </c>
      <c r="AU48" s="764" t="s">
        <v>1001</v>
      </c>
      <c r="AV48" s="764" t="s">
        <v>1001</v>
      </c>
      <c r="AW48" s="764" t="s">
        <v>1001</v>
      </c>
      <c r="AX48" s="764" t="s">
        <v>1001</v>
      </c>
      <c r="AY48" s="764" t="s">
        <v>1001</v>
      </c>
      <c r="BA48" s="763" t="e">
        <f>BB48/$BC$9</f>
        <v>#REF!</v>
      </c>
      <c r="BB48" s="763" t="e">
        <f t="shared" si="71"/>
        <v>#REF!</v>
      </c>
      <c r="BC48" s="763"/>
      <c r="BD48" s="762" t="e">
        <f>BR48*#REF!</f>
        <v>#REF!</v>
      </c>
      <c r="BE48" s="762" t="e">
        <f>BS48*#REF!</f>
        <v>#REF!</v>
      </c>
      <c r="BF48" s="762" t="e">
        <f>BT48*#REF!</f>
        <v>#REF!</v>
      </c>
      <c r="BG48" s="762" t="e">
        <f>BU48*#REF!</f>
        <v>#REF!</v>
      </c>
      <c r="BH48" s="941" t="e">
        <f>BV48*#REF!</f>
        <v>#REF!</v>
      </c>
      <c r="BI48" s="762" t="e">
        <f>BW48*#REF!</f>
        <v>#REF!</v>
      </c>
      <c r="BJ48" s="762" t="e">
        <f>BX48*#REF!</f>
        <v>#REF!</v>
      </c>
      <c r="BK48" s="762" t="e">
        <f>BY48*#REF!</f>
        <v>#REF!</v>
      </c>
      <c r="BL48" s="762" t="e">
        <f>BZ48*#REF!</f>
        <v>#REF!</v>
      </c>
      <c r="BM48" s="762" t="e">
        <f>CA48*#REF!</f>
        <v>#REF!</v>
      </c>
      <c r="BO48" s="823">
        <f t="shared" si="72"/>
        <v>4</v>
      </c>
      <c r="BP48" s="823" t="str">
        <f t="shared" si="73"/>
        <v xml:space="preserve"> Q1</v>
      </c>
      <c r="BQ48" s="759" t="str">
        <f t="shared" si="74"/>
        <v>空気質環境</v>
      </c>
      <c r="BR48" s="757">
        <f t="shared" si="75"/>
        <v>0.25</v>
      </c>
      <c r="BS48" s="757">
        <f t="shared" si="76"/>
        <v>0.25</v>
      </c>
      <c r="BT48" s="757">
        <f t="shared" si="77"/>
        <v>0.25</v>
      </c>
      <c r="BU48" s="757">
        <f t="shared" si="78"/>
        <v>0.25</v>
      </c>
      <c r="BV48" s="940">
        <f t="shared" si="79"/>
        <v>0.25</v>
      </c>
      <c r="BW48" s="757">
        <f t="shared" si="80"/>
        <v>0.25</v>
      </c>
      <c r="BX48" s="757">
        <f t="shared" si="81"/>
        <v>0.25</v>
      </c>
      <c r="BY48" s="757">
        <f t="shared" si="82"/>
        <v>0.25</v>
      </c>
      <c r="BZ48" s="757">
        <f t="shared" si="83"/>
        <v>0.25</v>
      </c>
      <c r="CA48" s="757">
        <f t="shared" si="84"/>
        <v>0.25</v>
      </c>
      <c r="CB48" s="758">
        <f t="shared" si="85"/>
        <v>0</v>
      </c>
      <c r="CC48" s="757">
        <f t="shared" si="86"/>
        <v>0</v>
      </c>
      <c r="CD48" s="757">
        <f t="shared" si="87"/>
        <v>0</v>
      </c>
      <c r="CF48" s="447">
        <v>4</v>
      </c>
      <c r="CG48" s="451" t="s">
        <v>179</v>
      </c>
      <c r="CH48" s="448" t="s">
        <v>15</v>
      </c>
      <c r="CI48" s="485">
        <v>0.25</v>
      </c>
      <c r="CJ48" s="485">
        <v>0.25</v>
      </c>
      <c r="CK48" s="485">
        <v>0.25</v>
      </c>
      <c r="CL48" s="485">
        <v>0.25</v>
      </c>
      <c r="CM48" s="470">
        <v>0.33</v>
      </c>
      <c r="CN48" s="485">
        <v>0.25</v>
      </c>
      <c r="CO48" s="452">
        <v>0.25</v>
      </c>
      <c r="CP48" s="485">
        <v>0.25</v>
      </c>
      <c r="CQ48" s="485">
        <v>0.25</v>
      </c>
      <c r="CR48" s="485">
        <v>0.25</v>
      </c>
      <c r="CS48" s="453"/>
      <c r="CT48" s="452"/>
      <c r="CU48" s="452"/>
      <c r="CW48" s="447">
        <v>4</v>
      </c>
      <c r="CX48" s="451" t="s">
        <v>179</v>
      </c>
      <c r="CY48" s="448" t="s">
        <v>15</v>
      </c>
      <c r="CZ48" s="452">
        <v>0.25</v>
      </c>
      <c r="DA48" s="452">
        <v>0.25</v>
      </c>
      <c r="DB48" s="452">
        <v>0.25</v>
      </c>
      <c r="DC48" s="452">
        <v>0.25</v>
      </c>
      <c r="DD48" s="470">
        <v>0.33</v>
      </c>
      <c r="DE48" s="452">
        <v>0.25</v>
      </c>
      <c r="DF48" s="452">
        <v>0.25</v>
      </c>
      <c r="DG48" s="452">
        <v>0.25</v>
      </c>
      <c r="DH48" s="452">
        <v>0.25</v>
      </c>
      <c r="DI48" s="452">
        <v>0.25</v>
      </c>
      <c r="DJ48" s="453"/>
      <c r="DK48" s="452"/>
      <c r="DL48" s="452"/>
      <c r="DN48" s="447">
        <v>4</v>
      </c>
      <c r="DO48" s="451" t="s">
        <v>179</v>
      </c>
      <c r="DP48" s="448" t="s">
        <v>15</v>
      </c>
      <c r="DQ48" s="485">
        <v>0.25</v>
      </c>
      <c r="DR48" s="485">
        <v>0.25</v>
      </c>
      <c r="DS48" s="485">
        <v>0.25</v>
      </c>
      <c r="DT48" s="485">
        <v>0.25</v>
      </c>
      <c r="DU48" s="571">
        <v>0.25</v>
      </c>
      <c r="DV48" s="485">
        <v>0.25</v>
      </c>
      <c r="DW48" s="485">
        <v>0.25</v>
      </c>
      <c r="DX48" s="485">
        <v>0.25</v>
      </c>
      <c r="DY48" s="485">
        <v>0.25</v>
      </c>
      <c r="DZ48" s="485">
        <v>0.25</v>
      </c>
      <c r="EA48" s="486"/>
      <c r="EB48" s="485"/>
      <c r="EC48" s="485"/>
      <c r="ED48" s="557"/>
      <c r="EF48" s="447">
        <v>4</v>
      </c>
      <c r="EG48" s="451" t="s">
        <v>179</v>
      </c>
      <c r="EH48" s="448" t="s">
        <v>15</v>
      </c>
      <c r="EI48" s="606">
        <f t="shared" si="102"/>
        <v>0.25</v>
      </c>
      <c r="EJ48" s="606">
        <f t="shared" si="102"/>
        <v>0.25</v>
      </c>
      <c r="EK48" s="606">
        <f t="shared" si="102"/>
        <v>0.25</v>
      </c>
      <c r="EL48" s="606">
        <f t="shared" si="102"/>
        <v>0.25</v>
      </c>
      <c r="EM48" s="606">
        <f t="shared" si="102"/>
        <v>0.25</v>
      </c>
      <c r="EN48" s="606">
        <f t="shared" si="102"/>
        <v>0.25</v>
      </c>
      <c r="EO48" s="606">
        <f t="shared" si="102"/>
        <v>0.25</v>
      </c>
      <c r="EP48" s="606">
        <f t="shared" si="102"/>
        <v>0.25</v>
      </c>
      <c r="EQ48" s="606">
        <f t="shared" si="102"/>
        <v>0.25</v>
      </c>
      <c r="ER48" s="606">
        <f t="shared" si="102"/>
        <v>0.25</v>
      </c>
      <c r="ES48" s="608">
        <f t="shared" si="102"/>
        <v>0</v>
      </c>
      <c r="ET48" s="606">
        <f t="shared" si="102"/>
        <v>0</v>
      </c>
      <c r="EU48" s="606">
        <f t="shared" si="102"/>
        <v>0</v>
      </c>
      <c r="EW48" s="447">
        <v>4</v>
      </c>
      <c r="EX48" s="451" t="s">
        <v>179</v>
      </c>
      <c r="EY48" s="448" t="s">
        <v>15</v>
      </c>
      <c r="EZ48" s="596">
        <f t="shared" si="103"/>
        <v>0.25</v>
      </c>
      <c r="FA48" s="596"/>
      <c r="FB48" s="596"/>
      <c r="FC48" s="596"/>
      <c r="FD48" s="596"/>
      <c r="FE48" s="596"/>
      <c r="FF48" s="596"/>
      <c r="FG48" s="596"/>
      <c r="FH48" s="596"/>
      <c r="FI48" s="596"/>
      <c r="FJ48" s="597"/>
      <c r="FK48" s="596"/>
      <c r="FL48" s="596"/>
    </row>
    <row r="49" spans="2:168" ht="14.25" thickBot="1">
      <c r="B49" s="732">
        <f t="shared" si="101"/>
        <v>4.0999999999999996</v>
      </c>
      <c r="C49" s="408" t="str">
        <f t="shared" si="65"/>
        <v>発生源対策</v>
      </c>
      <c r="D49" s="731" t="e">
        <f>IF(I$48=0,0,G49/I$48)</f>
        <v>#REF!</v>
      </c>
      <c r="E49" s="730" t="e">
        <f>IF(J$48=0,0,H49/J$48)</f>
        <v>#REF!</v>
      </c>
      <c r="G49" s="730" t="e">
        <f t="shared" si="67"/>
        <v>#REF!</v>
      </c>
      <c r="H49" s="730" t="e">
        <f t="shared" si="68"/>
        <v>#REF!</v>
      </c>
      <c r="I49" s="730" t="e">
        <f>SUM(G50:G53)</f>
        <v>#REF!</v>
      </c>
      <c r="J49" s="730" t="e">
        <f>SUM(H50:H53)</f>
        <v>#REF!</v>
      </c>
      <c r="K49" s="730" t="e">
        <f>IF(#REF!=0,0,1)</f>
        <v>#REF!</v>
      </c>
      <c r="L49" s="730" t="e">
        <f>IF(#REF!=0,0,1)</f>
        <v>#REF!</v>
      </c>
      <c r="M49" s="730">
        <f t="shared" si="69"/>
        <v>0.5</v>
      </c>
      <c r="N49" s="730">
        <f t="shared" si="70"/>
        <v>0</v>
      </c>
      <c r="P49" s="923"/>
      <c r="Q49" s="744">
        <v>4.0999999999999996</v>
      </c>
      <c r="R49" s="838" t="s">
        <v>218</v>
      </c>
      <c r="S49" s="838"/>
      <c r="T49" s="838"/>
      <c r="U49" s="726"/>
      <c r="V49" s="814">
        <f t="shared" si="104"/>
        <v>0</v>
      </c>
      <c r="W49" s="813">
        <f t="shared" si="105"/>
        <v>0</v>
      </c>
      <c r="Y49" s="1">
        <f t="shared" si="88"/>
        <v>0</v>
      </c>
      <c r="Z49" s="1">
        <f t="shared" si="89"/>
        <v>0</v>
      </c>
      <c r="AA49" s="1">
        <f t="shared" si="90"/>
        <v>0</v>
      </c>
      <c r="AB49" s="1">
        <f t="shared" si="91"/>
        <v>0</v>
      </c>
      <c r="AC49" s="1">
        <f t="shared" si="92"/>
        <v>0</v>
      </c>
      <c r="AD49" s="1">
        <f t="shared" si="93"/>
        <v>0</v>
      </c>
      <c r="AE49" s="1">
        <f t="shared" si="94"/>
        <v>0</v>
      </c>
      <c r="AF49" s="1">
        <f t="shared" si="95"/>
        <v>0</v>
      </c>
      <c r="AG49" s="1">
        <f t="shared" si="96"/>
        <v>0</v>
      </c>
      <c r="AH49" s="1">
        <f t="shared" si="97"/>
        <v>0</v>
      </c>
      <c r="AI49" s="1">
        <f t="shared" si="98"/>
        <v>0</v>
      </c>
      <c r="AJ49" s="1">
        <f t="shared" si="99"/>
        <v>0</v>
      </c>
      <c r="AK49" s="1">
        <f t="shared" si="100"/>
        <v>0</v>
      </c>
      <c r="AM49" s="812" t="s">
        <v>1001</v>
      </c>
      <c r="AN49" s="812" t="s">
        <v>1001</v>
      </c>
      <c r="AO49" s="812" t="s">
        <v>1001</v>
      </c>
      <c r="AP49" s="812" t="s">
        <v>1001</v>
      </c>
      <c r="AQ49" s="812" t="s">
        <v>1001</v>
      </c>
      <c r="AR49" s="812" t="s">
        <v>1001</v>
      </c>
      <c r="AS49" s="812" t="s">
        <v>1001</v>
      </c>
      <c r="AT49" s="812" t="s">
        <v>1001</v>
      </c>
      <c r="AU49" s="812" t="s">
        <v>1001</v>
      </c>
      <c r="AV49" s="812" t="s">
        <v>1001</v>
      </c>
      <c r="AW49" s="812" t="s">
        <v>1001</v>
      </c>
      <c r="AX49" s="812" t="s">
        <v>1001</v>
      </c>
      <c r="AY49" s="812" t="s">
        <v>1001</v>
      </c>
      <c r="BA49" s="723"/>
      <c r="BB49" s="723" t="e">
        <f t="shared" si="71"/>
        <v>#REF!</v>
      </c>
      <c r="BC49" s="723"/>
      <c r="BD49" s="722" t="e">
        <f>BR49*#REF!</f>
        <v>#REF!</v>
      </c>
      <c r="BE49" s="722" t="e">
        <f>BS49*#REF!</f>
        <v>#REF!</v>
      </c>
      <c r="BF49" s="722" t="e">
        <f>BT49*#REF!</f>
        <v>#REF!</v>
      </c>
      <c r="BG49" s="722" t="e">
        <f>BU49*#REF!</f>
        <v>#REF!</v>
      </c>
      <c r="BH49" s="803" t="e">
        <f>BV49*#REF!</f>
        <v>#REF!</v>
      </c>
      <c r="BI49" s="722" t="e">
        <f>BW49*#REF!</f>
        <v>#REF!</v>
      </c>
      <c r="BJ49" s="722" t="e">
        <f>BX49*#REF!</f>
        <v>#REF!</v>
      </c>
      <c r="BK49" s="722" t="e">
        <f>BY49*#REF!</f>
        <v>#REF!</v>
      </c>
      <c r="BL49" s="722" t="e">
        <f>BZ49*#REF!</f>
        <v>#REF!</v>
      </c>
      <c r="BM49" s="722" t="e">
        <f>CA49*#REF!</f>
        <v>#REF!</v>
      </c>
      <c r="BO49" s="749">
        <f t="shared" si="72"/>
        <v>4.0999999999999996</v>
      </c>
      <c r="BP49" s="749" t="str">
        <f t="shared" si="73"/>
        <v xml:space="preserve"> Q1 4</v>
      </c>
      <c r="BQ49" s="408" t="str">
        <f t="shared" si="74"/>
        <v>発生源対策</v>
      </c>
      <c r="BR49" s="719">
        <f t="shared" si="75"/>
        <v>0.5</v>
      </c>
      <c r="BS49" s="719">
        <f t="shared" si="76"/>
        <v>0.5</v>
      </c>
      <c r="BT49" s="719">
        <f t="shared" si="77"/>
        <v>0.5</v>
      </c>
      <c r="BU49" s="719">
        <f t="shared" si="78"/>
        <v>0.5</v>
      </c>
      <c r="BV49" s="802">
        <f t="shared" si="79"/>
        <v>0.5</v>
      </c>
      <c r="BW49" s="719">
        <f t="shared" si="80"/>
        <v>0.5</v>
      </c>
      <c r="BX49" s="719">
        <f t="shared" si="81"/>
        <v>0.5</v>
      </c>
      <c r="BY49" s="719">
        <f t="shared" si="82"/>
        <v>0.5</v>
      </c>
      <c r="BZ49" s="719">
        <f t="shared" si="83"/>
        <v>0.5</v>
      </c>
      <c r="CA49" s="719">
        <f t="shared" si="84"/>
        <v>0.6</v>
      </c>
      <c r="CB49" s="748">
        <f t="shared" si="85"/>
        <v>0.625</v>
      </c>
      <c r="CC49" s="719">
        <f t="shared" si="86"/>
        <v>0.625</v>
      </c>
      <c r="CD49" s="719">
        <f t="shared" si="87"/>
        <v>0.625</v>
      </c>
      <c r="CF49" s="455">
        <v>4.0999999999999996</v>
      </c>
      <c r="CG49" s="459" t="s">
        <v>593</v>
      </c>
      <c r="CH49" s="456" t="s">
        <v>218</v>
      </c>
      <c r="CI49" s="487">
        <v>0.5</v>
      </c>
      <c r="CJ49" s="487">
        <v>0.5</v>
      </c>
      <c r="CK49" s="487">
        <v>0.5</v>
      </c>
      <c r="CL49" s="487">
        <v>0.5</v>
      </c>
      <c r="CM49" s="488">
        <v>0.5</v>
      </c>
      <c r="CN49" s="487">
        <v>0.5</v>
      </c>
      <c r="CO49" s="461">
        <v>0.5</v>
      </c>
      <c r="CP49" s="487">
        <v>0.5</v>
      </c>
      <c r="CQ49" s="487">
        <v>0.5</v>
      </c>
      <c r="CR49" s="487">
        <v>0.6</v>
      </c>
      <c r="CS49" s="462">
        <v>0.625</v>
      </c>
      <c r="CT49" s="461">
        <v>0.625</v>
      </c>
      <c r="CU49" s="461">
        <v>0.625</v>
      </c>
      <c r="CW49" s="455">
        <v>4.0999999999999996</v>
      </c>
      <c r="CX49" s="459" t="s">
        <v>593</v>
      </c>
      <c r="CY49" s="456" t="s">
        <v>218</v>
      </c>
      <c r="CZ49" s="461">
        <v>0.5</v>
      </c>
      <c r="DA49" s="461">
        <v>0.5</v>
      </c>
      <c r="DB49" s="461">
        <v>0.5</v>
      </c>
      <c r="DC49" s="461">
        <v>0.5</v>
      </c>
      <c r="DD49" s="468">
        <v>0.5</v>
      </c>
      <c r="DE49" s="461">
        <v>0.5</v>
      </c>
      <c r="DF49" s="461">
        <v>0.5</v>
      </c>
      <c r="DG49" s="461">
        <v>0.5</v>
      </c>
      <c r="DH49" s="461">
        <v>0.5</v>
      </c>
      <c r="DI49" s="461">
        <v>0.6</v>
      </c>
      <c r="DJ49" s="462">
        <v>0.625</v>
      </c>
      <c r="DK49" s="461">
        <v>0.625</v>
      </c>
      <c r="DL49" s="461">
        <v>0.625</v>
      </c>
      <c r="DN49" s="455">
        <v>4.0999999999999996</v>
      </c>
      <c r="DO49" s="459" t="s">
        <v>593</v>
      </c>
      <c r="DP49" s="456" t="s">
        <v>218</v>
      </c>
      <c r="DQ49" s="487">
        <v>0.5</v>
      </c>
      <c r="DR49" s="487">
        <v>0.5</v>
      </c>
      <c r="DS49" s="487">
        <v>0.5</v>
      </c>
      <c r="DT49" s="487">
        <v>0.5</v>
      </c>
      <c r="DU49" s="577">
        <v>0.5</v>
      </c>
      <c r="DV49" s="487">
        <v>0.5</v>
      </c>
      <c r="DW49" s="487">
        <v>0.5</v>
      </c>
      <c r="DX49" s="487">
        <v>0.5</v>
      </c>
      <c r="DY49" s="487">
        <v>0.5</v>
      </c>
      <c r="DZ49" s="487">
        <v>0.6</v>
      </c>
      <c r="EA49" s="489">
        <v>0.625</v>
      </c>
      <c r="EB49" s="487">
        <v>0.625</v>
      </c>
      <c r="EC49" s="487">
        <v>0.625</v>
      </c>
      <c r="ED49" s="556"/>
      <c r="EF49" s="455">
        <v>4.0999999999999996</v>
      </c>
      <c r="EG49" s="459" t="s">
        <v>593</v>
      </c>
      <c r="EH49" s="456" t="s">
        <v>218</v>
      </c>
      <c r="EI49" s="609">
        <f t="shared" si="102"/>
        <v>0.5</v>
      </c>
      <c r="EJ49" s="609">
        <f t="shared" si="102"/>
        <v>0.5</v>
      </c>
      <c r="EK49" s="609">
        <f t="shared" si="102"/>
        <v>0.5</v>
      </c>
      <c r="EL49" s="609">
        <f t="shared" si="102"/>
        <v>0.5</v>
      </c>
      <c r="EM49" s="609">
        <f t="shared" si="102"/>
        <v>0.5</v>
      </c>
      <c r="EN49" s="609">
        <f t="shared" si="102"/>
        <v>0.5</v>
      </c>
      <c r="EO49" s="609">
        <f t="shared" si="102"/>
        <v>0.5</v>
      </c>
      <c r="EP49" s="609">
        <f t="shared" si="102"/>
        <v>0.5</v>
      </c>
      <c r="EQ49" s="609">
        <f t="shared" si="102"/>
        <v>0.5</v>
      </c>
      <c r="ER49" s="609">
        <f t="shared" si="102"/>
        <v>0.6</v>
      </c>
      <c r="ES49" s="611">
        <f t="shared" si="102"/>
        <v>0.625</v>
      </c>
      <c r="ET49" s="609">
        <f t="shared" si="102"/>
        <v>0.625</v>
      </c>
      <c r="EU49" s="609">
        <f t="shared" si="102"/>
        <v>0.625</v>
      </c>
      <c r="EW49" s="455">
        <v>4.0999999999999996</v>
      </c>
      <c r="EX49" s="459" t="s">
        <v>593</v>
      </c>
      <c r="EY49" s="456" t="s">
        <v>218</v>
      </c>
      <c r="EZ49" s="598">
        <f t="shared" si="103"/>
        <v>0.5</v>
      </c>
      <c r="FA49" s="598"/>
      <c r="FB49" s="598"/>
      <c r="FC49" s="598"/>
      <c r="FD49" s="598"/>
      <c r="FE49" s="598"/>
      <c r="FF49" s="598"/>
      <c r="FG49" s="598"/>
      <c r="FH49" s="598"/>
      <c r="FI49" s="598"/>
      <c r="FJ49" s="647"/>
      <c r="FK49" s="598"/>
      <c r="FL49" s="598"/>
    </row>
    <row r="50" spans="2:168" ht="14.25" thickBot="1">
      <c r="B50" s="732" t="str">
        <f t="shared" si="101"/>
        <v>4.1.1</v>
      </c>
      <c r="C50" s="408" t="str">
        <f t="shared" si="65"/>
        <v>化学汚染物質</v>
      </c>
      <c r="D50" s="809" t="e">
        <f t="shared" ref="D50:E53" si="106">IF(I$49&gt;0,G50/I$49,0)</f>
        <v>#REF!</v>
      </c>
      <c r="E50" s="730" t="e">
        <f t="shared" si="106"/>
        <v>#REF!</v>
      </c>
      <c r="G50" s="730" t="e">
        <f t="shared" si="67"/>
        <v>#REF!</v>
      </c>
      <c r="H50" s="730" t="e">
        <f t="shared" si="68"/>
        <v>#REF!</v>
      </c>
      <c r="I50" s="730"/>
      <c r="J50" s="730"/>
      <c r="K50" s="730" t="e">
        <f>IF(#REF!=0,0,1)</f>
        <v>#REF!</v>
      </c>
      <c r="L50" s="730" t="e">
        <f>IF(#REF!=0,0,1)</f>
        <v>#REF!</v>
      </c>
      <c r="M50" s="730">
        <f t="shared" si="69"/>
        <v>1</v>
      </c>
      <c r="N50" s="730">
        <f t="shared" si="70"/>
        <v>0</v>
      </c>
      <c r="P50" s="923"/>
      <c r="Q50" s="728"/>
      <c r="R50" s="414">
        <v>1</v>
      </c>
      <c r="S50" s="579" t="s">
        <v>219</v>
      </c>
      <c r="T50" s="745"/>
      <c r="U50" s="726"/>
      <c r="V50" s="734">
        <f t="shared" si="104"/>
        <v>0</v>
      </c>
      <c r="W50" s="733">
        <f t="shared" si="105"/>
        <v>0</v>
      </c>
      <c r="Y50" s="1">
        <f t="shared" si="88"/>
        <v>0</v>
      </c>
      <c r="Z50" s="1">
        <f t="shared" si="89"/>
        <v>0</v>
      </c>
      <c r="AA50" s="1">
        <f t="shared" si="90"/>
        <v>0</v>
      </c>
      <c r="AB50" s="1">
        <f t="shared" si="91"/>
        <v>0</v>
      </c>
      <c r="AC50" s="1">
        <f t="shared" si="92"/>
        <v>0</v>
      </c>
      <c r="AD50" s="1">
        <f t="shared" si="93"/>
        <v>0</v>
      </c>
      <c r="AE50" s="1">
        <f t="shared" si="94"/>
        <v>0</v>
      </c>
      <c r="AF50" s="1">
        <f t="shared" si="95"/>
        <v>0</v>
      </c>
      <c r="AG50" s="1">
        <f t="shared" si="96"/>
        <v>0</v>
      </c>
      <c r="AH50" s="1">
        <f t="shared" si="97"/>
        <v>0</v>
      </c>
      <c r="AI50" s="1">
        <f t="shared" si="98"/>
        <v>0</v>
      </c>
      <c r="AJ50" s="1">
        <f t="shared" si="99"/>
        <v>0</v>
      </c>
      <c r="AK50" s="1">
        <f t="shared" si="100"/>
        <v>0</v>
      </c>
      <c r="AM50" s="679"/>
      <c r="AN50" s="679"/>
      <c r="AO50" s="679"/>
      <c r="AP50" s="679"/>
      <c r="AQ50" s="679"/>
      <c r="AR50" s="679"/>
      <c r="AS50" s="679"/>
      <c r="AT50" s="679"/>
      <c r="AU50" s="679"/>
      <c r="AV50" s="679"/>
      <c r="AW50" s="679"/>
      <c r="AX50" s="679"/>
      <c r="AY50" s="679"/>
      <c r="BA50" s="723"/>
      <c r="BB50" s="723" t="e">
        <f t="shared" si="71"/>
        <v>#REF!</v>
      </c>
      <c r="BC50" s="723"/>
      <c r="BD50" s="722" t="e">
        <f>BR50*#REF!</f>
        <v>#REF!</v>
      </c>
      <c r="BE50" s="722" t="e">
        <f>BS50*#REF!</f>
        <v>#REF!</v>
      </c>
      <c r="BF50" s="722" t="e">
        <f>BT50*#REF!</f>
        <v>#REF!</v>
      </c>
      <c r="BG50" s="722" t="e">
        <f>BU50*#REF!</f>
        <v>#REF!</v>
      </c>
      <c r="BH50" s="803" t="e">
        <f>BV50*#REF!</f>
        <v>#REF!</v>
      </c>
      <c r="BI50" s="722" t="e">
        <f>BW50*#REF!</f>
        <v>#REF!</v>
      </c>
      <c r="BJ50" s="722" t="e">
        <f>BX50*#REF!</f>
        <v>#REF!</v>
      </c>
      <c r="BK50" s="722" t="e">
        <f>BY50*#REF!</f>
        <v>#REF!</v>
      </c>
      <c r="BL50" s="722" t="e">
        <f>BZ50*#REF!</f>
        <v>#REF!</v>
      </c>
      <c r="BM50" s="722" t="e">
        <f>CA50*#REF!</f>
        <v>#REF!</v>
      </c>
      <c r="BO50" s="749" t="str">
        <f t="shared" si="72"/>
        <v>4.1.1</v>
      </c>
      <c r="BP50" s="749" t="str">
        <f t="shared" si="73"/>
        <v xml:space="preserve"> Q1 4.1</v>
      </c>
      <c r="BQ50" s="408" t="str">
        <f t="shared" si="74"/>
        <v>化学汚染物質</v>
      </c>
      <c r="BR50" s="719">
        <f t="shared" si="75"/>
        <v>1</v>
      </c>
      <c r="BS50" s="719">
        <f t="shared" si="76"/>
        <v>1</v>
      </c>
      <c r="BT50" s="719">
        <f t="shared" si="77"/>
        <v>1</v>
      </c>
      <c r="BU50" s="719">
        <f t="shared" si="78"/>
        <v>1</v>
      </c>
      <c r="BV50" s="802">
        <f t="shared" si="79"/>
        <v>1</v>
      </c>
      <c r="BW50" s="719">
        <f t="shared" si="80"/>
        <v>1</v>
      </c>
      <c r="BX50" s="719">
        <f t="shared" si="81"/>
        <v>1</v>
      </c>
      <c r="BY50" s="719">
        <f t="shared" si="82"/>
        <v>1</v>
      </c>
      <c r="BZ50" s="719">
        <f t="shared" si="83"/>
        <v>1</v>
      </c>
      <c r="CA50" s="719">
        <f t="shared" si="84"/>
        <v>1</v>
      </c>
      <c r="CB50" s="748">
        <f t="shared" si="85"/>
        <v>1</v>
      </c>
      <c r="CC50" s="719">
        <f t="shared" si="86"/>
        <v>1</v>
      </c>
      <c r="CD50" s="719">
        <f t="shared" si="87"/>
        <v>1</v>
      </c>
      <c r="CF50" s="455" t="s">
        <v>1003</v>
      </c>
      <c r="CG50" s="459" t="s">
        <v>594</v>
      </c>
      <c r="CH50" s="456" t="s">
        <v>595</v>
      </c>
      <c r="CI50" s="487">
        <v>0.25</v>
      </c>
      <c r="CJ50" s="487">
        <v>0.25</v>
      </c>
      <c r="CK50" s="487">
        <v>0.25</v>
      </c>
      <c r="CL50" s="487">
        <v>0.25</v>
      </c>
      <c r="CM50" s="488">
        <v>0.25</v>
      </c>
      <c r="CN50" s="487">
        <v>0.25</v>
      </c>
      <c r="CO50" s="461">
        <v>0.25</v>
      </c>
      <c r="CP50" s="490">
        <v>0.25</v>
      </c>
      <c r="CQ50" s="490">
        <v>0.33</v>
      </c>
      <c r="CR50" s="490">
        <v>0.33</v>
      </c>
      <c r="CS50" s="462">
        <v>0.25</v>
      </c>
      <c r="CT50" s="461">
        <v>0.25</v>
      </c>
      <c r="CU50" s="461">
        <v>0.25</v>
      </c>
      <c r="CW50" s="455" t="s">
        <v>1003</v>
      </c>
      <c r="CX50" s="459" t="s">
        <v>594</v>
      </c>
      <c r="CY50" s="456" t="s">
        <v>1002</v>
      </c>
      <c r="CZ50" s="461">
        <v>1</v>
      </c>
      <c r="DA50" s="461">
        <v>1</v>
      </c>
      <c r="DB50" s="461">
        <v>1</v>
      </c>
      <c r="DC50" s="461">
        <v>1</v>
      </c>
      <c r="DD50" s="468">
        <v>1</v>
      </c>
      <c r="DE50" s="461">
        <v>1</v>
      </c>
      <c r="DF50" s="461">
        <v>1</v>
      </c>
      <c r="DG50" s="461">
        <v>1</v>
      </c>
      <c r="DH50" s="461">
        <v>1</v>
      </c>
      <c r="DI50" s="461">
        <v>1</v>
      </c>
      <c r="DJ50" s="462">
        <v>1</v>
      </c>
      <c r="DK50" s="461">
        <v>1</v>
      </c>
      <c r="DL50" s="461">
        <v>1</v>
      </c>
      <c r="DN50" s="455" t="s">
        <v>1003</v>
      </c>
      <c r="DO50" s="459" t="s">
        <v>594</v>
      </c>
      <c r="DP50" s="456" t="s">
        <v>1002</v>
      </c>
      <c r="DQ50" s="668">
        <v>1</v>
      </c>
      <c r="DR50" s="668">
        <v>1</v>
      </c>
      <c r="DS50" s="668">
        <v>1</v>
      </c>
      <c r="DT50" s="668">
        <v>1</v>
      </c>
      <c r="DU50" s="668">
        <v>1</v>
      </c>
      <c r="DV50" s="668">
        <v>1</v>
      </c>
      <c r="DW50" s="668">
        <v>1</v>
      </c>
      <c r="DX50" s="668">
        <v>1</v>
      </c>
      <c r="DY50" s="668">
        <v>1</v>
      </c>
      <c r="DZ50" s="668">
        <v>1</v>
      </c>
      <c r="EA50" s="668">
        <v>1</v>
      </c>
      <c r="EB50" s="668">
        <v>1</v>
      </c>
      <c r="EC50" s="668">
        <v>1</v>
      </c>
      <c r="ED50" s="556"/>
      <c r="EF50" s="455" t="s">
        <v>1003</v>
      </c>
      <c r="EG50" s="459" t="s">
        <v>594</v>
      </c>
      <c r="EH50" s="456" t="s">
        <v>1002</v>
      </c>
      <c r="EI50" s="609">
        <f t="shared" si="102"/>
        <v>1</v>
      </c>
      <c r="EJ50" s="609">
        <f t="shared" si="102"/>
        <v>1</v>
      </c>
      <c r="EK50" s="609">
        <f t="shared" si="102"/>
        <v>1</v>
      </c>
      <c r="EL50" s="609">
        <f t="shared" si="102"/>
        <v>1</v>
      </c>
      <c r="EM50" s="609">
        <f t="shared" si="102"/>
        <v>1</v>
      </c>
      <c r="EN50" s="609">
        <f t="shared" si="102"/>
        <v>1</v>
      </c>
      <c r="EO50" s="609">
        <f t="shared" si="102"/>
        <v>1</v>
      </c>
      <c r="EP50" s="609">
        <f t="shared" si="102"/>
        <v>1</v>
      </c>
      <c r="EQ50" s="609">
        <f t="shared" si="102"/>
        <v>1</v>
      </c>
      <c r="ER50" s="609">
        <f t="shared" si="102"/>
        <v>1</v>
      </c>
      <c r="ES50" s="609">
        <f t="shared" si="102"/>
        <v>1</v>
      </c>
      <c r="ET50" s="609">
        <f t="shared" si="102"/>
        <v>1</v>
      </c>
      <c r="EU50" s="609">
        <f t="shared" si="102"/>
        <v>1</v>
      </c>
      <c r="EW50" s="455" t="s">
        <v>1003</v>
      </c>
      <c r="EX50" s="459" t="s">
        <v>594</v>
      </c>
      <c r="EY50" s="456" t="s">
        <v>1002</v>
      </c>
      <c r="EZ50" s="598">
        <f t="shared" si="103"/>
        <v>1</v>
      </c>
      <c r="FA50" s="598"/>
      <c r="FB50" s="598"/>
      <c r="FC50" s="598"/>
      <c r="FD50" s="598"/>
      <c r="FE50" s="598"/>
      <c r="FF50" s="598"/>
      <c r="FG50" s="598"/>
      <c r="FH50" s="598"/>
      <c r="FI50" s="598"/>
      <c r="FJ50" s="598"/>
      <c r="FK50" s="598"/>
      <c r="FL50" s="598"/>
    </row>
    <row r="51" spans="2:168" ht="14.25" hidden="1" thickBot="1">
      <c r="B51" s="732" t="str">
        <f t="shared" si="101"/>
        <v>4.1.2</v>
      </c>
      <c r="C51" s="948">
        <f t="shared" si="65"/>
        <v>0</v>
      </c>
      <c r="D51" s="958" t="e">
        <f t="shared" si="106"/>
        <v>#REF!</v>
      </c>
      <c r="E51" s="957" t="e">
        <f t="shared" si="106"/>
        <v>#REF!</v>
      </c>
      <c r="G51" s="957" t="e">
        <f t="shared" si="67"/>
        <v>#REF!</v>
      </c>
      <c r="H51" s="957" t="e">
        <f t="shared" si="68"/>
        <v>#REF!</v>
      </c>
      <c r="I51" s="957"/>
      <c r="J51" s="957"/>
      <c r="K51" s="957" t="e">
        <f>IF(#REF!=0,0,1)</f>
        <v>#REF!</v>
      </c>
      <c r="L51" s="957" t="e">
        <f>IF(#REF!=0,0,1)</f>
        <v>#REF!</v>
      </c>
      <c r="M51" s="957">
        <f t="shared" si="69"/>
        <v>0</v>
      </c>
      <c r="N51" s="957">
        <f t="shared" si="70"/>
        <v>0</v>
      </c>
      <c r="P51" s="923"/>
      <c r="Q51" s="728"/>
      <c r="R51" s="927">
        <v>2</v>
      </c>
      <c r="S51" s="926" t="s">
        <v>220</v>
      </c>
      <c r="T51" s="925"/>
      <c r="U51" s="726"/>
      <c r="V51" s="725">
        <f t="shared" si="104"/>
        <v>0</v>
      </c>
      <c r="W51" s="724">
        <f t="shared" si="105"/>
        <v>0</v>
      </c>
      <c r="Y51" s="1">
        <f t="shared" si="88"/>
        <v>0</v>
      </c>
      <c r="Z51" s="1">
        <f t="shared" si="89"/>
        <v>0</v>
      </c>
      <c r="AA51" s="1">
        <f t="shared" si="90"/>
        <v>0</v>
      </c>
      <c r="AB51" s="1">
        <f t="shared" si="91"/>
        <v>0</v>
      </c>
      <c r="AC51" s="1">
        <f t="shared" si="92"/>
        <v>0</v>
      </c>
      <c r="AD51" s="1">
        <f t="shared" si="93"/>
        <v>0</v>
      </c>
      <c r="AE51" s="1">
        <f t="shared" si="94"/>
        <v>0</v>
      </c>
      <c r="AF51" s="1">
        <f t="shared" si="95"/>
        <v>0</v>
      </c>
      <c r="AG51" s="1">
        <f t="shared" si="96"/>
        <v>0</v>
      </c>
      <c r="AH51" s="1">
        <f t="shared" si="97"/>
        <v>0</v>
      </c>
      <c r="AI51" s="1">
        <f t="shared" si="98"/>
        <v>0</v>
      </c>
      <c r="AJ51" s="1">
        <f t="shared" si="99"/>
        <v>0</v>
      </c>
      <c r="AK51" s="1">
        <f t="shared" si="100"/>
        <v>0</v>
      </c>
      <c r="AM51" s="852" t="s">
        <v>1001</v>
      </c>
      <c r="AN51" s="852" t="s">
        <v>1001</v>
      </c>
      <c r="AO51" s="852" t="s">
        <v>1001</v>
      </c>
      <c r="AP51" s="852" t="s">
        <v>1001</v>
      </c>
      <c r="AQ51" s="852" t="s">
        <v>1001</v>
      </c>
      <c r="AR51" s="852" t="s">
        <v>1001</v>
      </c>
      <c r="AS51" s="852" t="s">
        <v>1001</v>
      </c>
      <c r="AT51" s="852" t="s">
        <v>1001</v>
      </c>
      <c r="AU51" s="852" t="s">
        <v>1001</v>
      </c>
      <c r="AV51" s="852" t="s">
        <v>1001</v>
      </c>
      <c r="AW51" s="852" t="s">
        <v>1001</v>
      </c>
      <c r="AX51" s="852" t="s">
        <v>1001</v>
      </c>
      <c r="AY51" s="852" t="s">
        <v>1001</v>
      </c>
      <c r="BA51" s="952"/>
      <c r="BB51" s="952" t="e">
        <f t="shared" si="71"/>
        <v>#REF!</v>
      </c>
      <c r="BC51" s="952"/>
      <c r="BD51" s="950" t="e">
        <f>BR51*#REF!</f>
        <v>#REF!</v>
      </c>
      <c r="BE51" s="950" t="e">
        <f>BS51*#REF!</f>
        <v>#REF!</v>
      </c>
      <c r="BF51" s="950" t="e">
        <f>BT51*#REF!</f>
        <v>#REF!</v>
      </c>
      <c r="BG51" s="950" t="e">
        <f>BU51*#REF!</f>
        <v>#REF!</v>
      </c>
      <c r="BH51" s="951" t="e">
        <f>BV51*#REF!</f>
        <v>#REF!</v>
      </c>
      <c r="BI51" s="950" t="e">
        <f>BW51*#REF!</f>
        <v>#REF!</v>
      </c>
      <c r="BJ51" s="950" t="e">
        <f>BX51*#REF!</f>
        <v>#REF!</v>
      </c>
      <c r="BK51" s="950" t="e">
        <f>BY51*#REF!</f>
        <v>#REF!</v>
      </c>
      <c r="BL51" s="950" t="e">
        <f>BZ51*#REF!</f>
        <v>#REF!</v>
      </c>
      <c r="BM51" s="950" t="e">
        <f>CA51*#REF!</f>
        <v>#REF!</v>
      </c>
      <c r="BO51" s="949" t="str">
        <f t="shared" si="72"/>
        <v>4.1.2</v>
      </c>
      <c r="BP51" s="949" t="str">
        <f t="shared" si="73"/>
        <v xml:space="preserve"> Q1 4.1</v>
      </c>
      <c r="BQ51" s="948">
        <f t="shared" si="74"/>
        <v>0</v>
      </c>
      <c r="BR51" s="945">
        <f t="shared" si="75"/>
        <v>0</v>
      </c>
      <c r="BS51" s="945">
        <f t="shared" si="76"/>
        <v>0</v>
      </c>
      <c r="BT51" s="945">
        <f t="shared" si="77"/>
        <v>0</v>
      </c>
      <c r="BU51" s="945">
        <f t="shared" si="78"/>
        <v>0</v>
      </c>
      <c r="BV51" s="947">
        <f t="shared" si="79"/>
        <v>0</v>
      </c>
      <c r="BW51" s="945">
        <f t="shared" si="80"/>
        <v>0</v>
      </c>
      <c r="BX51" s="945">
        <f t="shared" si="81"/>
        <v>0</v>
      </c>
      <c r="BY51" s="945">
        <f t="shared" si="82"/>
        <v>0</v>
      </c>
      <c r="BZ51" s="945">
        <f t="shared" si="83"/>
        <v>0</v>
      </c>
      <c r="CA51" s="945">
        <f t="shared" si="84"/>
        <v>0</v>
      </c>
      <c r="CB51" s="946">
        <f t="shared" si="85"/>
        <v>0</v>
      </c>
      <c r="CC51" s="945">
        <f t="shared" si="86"/>
        <v>0</v>
      </c>
      <c r="CD51" s="945">
        <f t="shared" si="87"/>
        <v>0</v>
      </c>
      <c r="CF51" s="455" t="s">
        <v>999</v>
      </c>
      <c r="CG51" s="459" t="s">
        <v>594</v>
      </c>
      <c r="CH51" s="456" t="s">
        <v>1000</v>
      </c>
      <c r="CI51" s="487">
        <v>0.25</v>
      </c>
      <c r="CJ51" s="487">
        <v>0.25</v>
      </c>
      <c r="CK51" s="487">
        <v>0.25</v>
      </c>
      <c r="CL51" s="487">
        <v>0.25</v>
      </c>
      <c r="CM51" s="488">
        <v>0.25</v>
      </c>
      <c r="CN51" s="487">
        <v>0.25</v>
      </c>
      <c r="CO51" s="461">
        <v>0.25</v>
      </c>
      <c r="CP51" s="490">
        <v>0.25</v>
      </c>
      <c r="CQ51" s="490">
        <v>0.33</v>
      </c>
      <c r="CR51" s="490">
        <v>0.33</v>
      </c>
      <c r="CS51" s="462">
        <v>0.25</v>
      </c>
      <c r="CT51" s="461">
        <v>0.25</v>
      </c>
      <c r="CU51" s="461">
        <v>0.25</v>
      </c>
      <c r="CW51" s="475" t="s">
        <v>999</v>
      </c>
      <c r="CX51" s="478" t="s">
        <v>594</v>
      </c>
      <c r="CY51" s="476" t="s">
        <v>1000</v>
      </c>
      <c r="CZ51" s="479"/>
      <c r="DA51" s="479"/>
      <c r="DB51" s="479"/>
      <c r="DC51" s="479"/>
      <c r="DD51" s="480"/>
      <c r="DE51" s="479"/>
      <c r="DF51" s="479"/>
      <c r="DG51" s="479"/>
      <c r="DH51" s="479"/>
      <c r="DI51" s="479"/>
      <c r="DJ51" s="481"/>
      <c r="DK51" s="479"/>
      <c r="DL51" s="479"/>
      <c r="DN51" s="475" t="s">
        <v>999</v>
      </c>
      <c r="DO51" s="478" t="s">
        <v>594</v>
      </c>
      <c r="DP51" s="476"/>
      <c r="DQ51" s="482"/>
      <c r="DR51" s="482"/>
      <c r="DS51" s="482"/>
      <c r="DT51" s="482"/>
      <c r="DU51" s="573"/>
      <c r="DV51" s="482"/>
      <c r="DW51" s="482"/>
      <c r="DX51" s="482"/>
      <c r="DY51" s="482"/>
      <c r="DZ51" s="482"/>
      <c r="EA51" s="484"/>
      <c r="EB51" s="482"/>
      <c r="EC51" s="482"/>
      <c r="ED51" s="556"/>
      <c r="EF51" s="475" t="s">
        <v>999</v>
      </c>
      <c r="EG51" s="478" t="s">
        <v>594</v>
      </c>
      <c r="EH51" s="476"/>
      <c r="EI51" s="616"/>
      <c r="EJ51" s="616"/>
      <c r="EK51" s="616"/>
      <c r="EL51" s="616"/>
      <c r="EM51" s="617"/>
      <c r="EN51" s="616"/>
      <c r="EO51" s="616"/>
      <c r="EP51" s="616"/>
      <c r="EQ51" s="616"/>
      <c r="ER51" s="616"/>
      <c r="ES51" s="618"/>
      <c r="ET51" s="616"/>
      <c r="EU51" s="616"/>
      <c r="EW51" s="475"/>
      <c r="EX51" s="478"/>
      <c r="EY51" s="476"/>
      <c r="EZ51" s="651"/>
      <c r="FA51" s="651"/>
      <c r="FB51" s="651"/>
      <c r="FC51" s="651"/>
      <c r="FD51" s="652"/>
      <c r="FE51" s="651"/>
      <c r="FF51" s="651"/>
      <c r="FG51" s="651"/>
      <c r="FH51" s="651"/>
      <c r="FI51" s="651"/>
      <c r="FJ51" s="653"/>
      <c r="FK51" s="651"/>
      <c r="FL51" s="651"/>
    </row>
    <row r="52" spans="2:168" ht="14.25" hidden="1" thickBot="1">
      <c r="B52" s="732" t="str">
        <f t="shared" si="101"/>
        <v>4.1.3</v>
      </c>
      <c r="C52" s="408">
        <f t="shared" si="65"/>
        <v>0</v>
      </c>
      <c r="D52" s="809" t="e">
        <f t="shared" si="106"/>
        <v>#REF!</v>
      </c>
      <c r="E52" s="730" t="e">
        <f t="shared" si="106"/>
        <v>#REF!</v>
      </c>
      <c r="G52" s="730" t="e">
        <f t="shared" si="67"/>
        <v>#REF!</v>
      </c>
      <c r="H52" s="730" t="e">
        <f t="shared" si="68"/>
        <v>#REF!</v>
      </c>
      <c r="I52" s="730"/>
      <c r="J52" s="730"/>
      <c r="K52" s="730" t="e">
        <f>IF(#REF!=0,0,1)</f>
        <v>#REF!</v>
      </c>
      <c r="L52" s="730" t="e">
        <f>IF(#REF!=0,0,1)</f>
        <v>#REF!</v>
      </c>
      <c r="M52" s="730">
        <f t="shared" si="69"/>
        <v>0</v>
      </c>
      <c r="N52" s="730">
        <f t="shared" si="70"/>
        <v>0</v>
      </c>
      <c r="P52" s="965"/>
      <c r="Q52" s="966"/>
      <c r="R52" s="954">
        <v>3</v>
      </c>
      <c r="S52" s="953" t="s">
        <v>221</v>
      </c>
      <c r="T52" s="853"/>
      <c r="U52" s="726"/>
      <c r="V52" s="747">
        <f t="shared" si="104"/>
        <v>0</v>
      </c>
      <c r="W52" s="746">
        <f t="shared" si="105"/>
        <v>0</v>
      </c>
      <c r="Y52" s="1">
        <f t="shared" si="88"/>
        <v>0</v>
      </c>
      <c r="Z52" s="1">
        <f t="shared" si="89"/>
        <v>0</v>
      </c>
      <c r="AA52" s="1">
        <f t="shared" si="90"/>
        <v>0</v>
      </c>
      <c r="AB52" s="1">
        <f t="shared" si="91"/>
        <v>0</v>
      </c>
      <c r="AC52" s="1">
        <f t="shared" si="92"/>
        <v>0</v>
      </c>
      <c r="AD52" s="1">
        <f t="shared" si="93"/>
        <v>0</v>
      </c>
      <c r="AE52" s="1">
        <f t="shared" si="94"/>
        <v>0</v>
      </c>
      <c r="AF52" s="1">
        <f t="shared" si="95"/>
        <v>0</v>
      </c>
      <c r="AG52" s="1">
        <f t="shared" si="96"/>
        <v>0</v>
      </c>
      <c r="AH52" s="1">
        <f t="shared" si="97"/>
        <v>0</v>
      </c>
      <c r="AI52" s="1">
        <f t="shared" si="98"/>
        <v>0</v>
      </c>
      <c r="AJ52" s="1">
        <f t="shared" si="99"/>
        <v>0</v>
      </c>
      <c r="AK52" s="1">
        <f t="shared" si="100"/>
        <v>0</v>
      </c>
      <c r="AM52" s="772"/>
      <c r="AN52" s="772"/>
      <c r="AO52" s="772"/>
      <c r="AP52" s="772"/>
      <c r="AQ52" s="772"/>
      <c r="AR52" s="772"/>
      <c r="AS52" s="772"/>
      <c r="AT52" s="772"/>
      <c r="AU52" s="772"/>
      <c r="AV52" s="772"/>
      <c r="AW52" s="772"/>
      <c r="AX52" s="772"/>
      <c r="AY52" s="772"/>
      <c r="BA52" s="723"/>
      <c r="BB52" s="723" t="e">
        <f t="shared" si="71"/>
        <v>#REF!</v>
      </c>
      <c r="BC52" s="723"/>
      <c r="BD52" s="722" t="e">
        <f>BR52*#REF!</f>
        <v>#REF!</v>
      </c>
      <c r="BE52" s="722" t="e">
        <f>BS52*#REF!</f>
        <v>#REF!</v>
      </c>
      <c r="BF52" s="722" t="e">
        <f>BT52*#REF!</f>
        <v>#REF!</v>
      </c>
      <c r="BG52" s="722" t="e">
        <f>BU52*#REF!</f>
        <v>#REF!</v>
      </c>
      <c r="BH52" s="803" t="e">
        <f>BV52*#REF!</f>
        <v>#REF!</v>
      </c>
      <c r="BI52" s="722" t="e">
        <f>BW52*#REF!</f>
        <v>#REF!</v>
      </c>
      <c r="BJ52" s="722" t="e">
        <f>BX52*#REF!</f>
        <v>#REF!</v>
      </c>
      <c r="BK52" s="722" t="e">
        <f>BY52*#REF!</f>
        <v>#REF!</v>
      </c>
      <c r="BL52" s="722" t="e">
        <f>BZ52*#REF!</f>
        <v>#REF!</v>
      </c>
      <c r="BM52" s="722" t="e">
        <f>CA52*#REF!</f>
        <v>#REF!</v>
      </c>
      <c r="BO52" s="749" t="str">
        <f t="shared" si="72"/>
        <v>4.1.3</v>
      </c>
      <c r="BP52" s="749" t="str">
        <f t="shared" si="73"/>
        <v xml:space="preserve"> Q1 4.1</v>
      </c>
      <c r="BQ52" s="408">
        <f t="shared" si="74"/>
        <v>0</v>
      </c>
      <c r="BR52" s="719">
        <f t="shared" si="75"/>
        <v>0</v>
      </c>
      <c r="BS52" s="719">
        <f t="shared" si="76"/>
        <v>0</v>
      </c>
      <c r="BT52" s="719">
        <f t="shared" si="77"/>
        <v>0</v>
      </c>
      <c r="BU52" s="719">
        <f t="shared" si="78"/>
        <v>0</v>
      </c>
      <c r="BV52" s="802">
        <f t="shared" si="79"/>
        <v>0</v>
      </c>
      <c r="BW52" s="719">
        <f t="shared" si="80"/>
        <v>0</v>
      </c>
      <c r="BX52" s="719">
        <f t="shared" si="81"/>
        <v>0</v>
      </c>
      <c r="BY52" s="719">
        <f t="shared" si="82"/>
        <v>0</v>
      </c>
      <c r="BZ52" s="719">
        <f t="shared" si="83"/>
        <v>0</v>
      </c>
      <c r="CA52" s="719">
        <f t="shared" si="84"/>
        <v>0</v>
      </c>
      <c r="CB52" s="748">
        <f t="shared" si="85"/>
        <v>0</v>
      </c>
      <c r="CC52" s="719">
        <f t="shared" si="86"/>
        <v>0</v>
      </c>
      <c r="CD52" s="719">
        <f t="shared" si="87"/>
        <v>0</v>
      </c>
      <c r="CF52" s="455" t="s">
        <v>998</v>
      </c>
      <c r="CG52" s="459" t="s">
        <v>594</v>
      </c>
      <c r="CH52" s="456"/>
      <c r="CI52" s="482">
        <v>0.25</v>
      </c>
      <c r="CJ52" s="482">
        <v>0.25</v>
      </c>
      <c r="CK52" s="482">
        <v>0.25</v>
      </c>
      <c r="CL52" s="482">
        <v>0.25</v>
      </c>
      <c r="CM52" s="483">
        <v>0.25</v>
      </c>
      <c r="CN52" s="482">
        <v>0.25</v>
      </c>
      <c r="CO52" s="461">
        <v>0.25</v>
      </c>
      <c r="CP52" s="491">
        <v>0.25</v>
      </c>
      <c r="CQ52" s="491">
        <v>0.33</v>
      </c>
      <c r="CR52" s="491">
        <v>0.33</v>
      </c>
      <c r="CS52" s="462">
        <v>0.25</v>
      </c>
      <c r="CT52" s="461">
        <v>0.25</v>
      </c>
      <c r="CU52" s="461">
        <v>0.25</v>
      </c>
      <c r="CW52" s="455" t="s">
        <v>998</v>
      </c>
      <c r="CX52" s="459" t="s">
        <v>594</v>
      </c>
      <c r="CY52" s="456" t="s">
        <v>596</v>
      </c>
      <c r="CZ52" s="461"/>
      <c r="DA52" s="461"/>
      <c r="DB52" s="461"/>
      <c r="DC52" s="461"/>
      <c r="DD52" s="468"/>
      <c r="DE52" s="461"/>
      <c r="DF52" s="461"/>
      <c r="DG52" s="461"/>
      <c r="DH52" s="461"/>
      <c r="DI52" s="461"/>
      <c r="DJ52" s="462"/>
      <c r="DK52" s="461"/>
      <c r="DL52" s="461"/>
      <c r="DN52" s="455" t="s">
        <v>998</v>
      </c>
      <c r="DO52" s="459" t="s">
        <v>594</v>
      </c>
      <c r="DP52" s="456"/>
      <c r="DQ52" s="487"/>
      <c r="DR52" s="487"/>
      <c r="DS52" s="487"/>
      <c r="DT52" s="487"/>
      <c r="DU52" s="578"/>
      <c r="DV52" s="487"/>
      <c r="DW52" s="487"/>
      <c r="DX52" s="487"/>
      <c r="DY52" s="487"/>
      <c r="DZ52" s="487"/>
      <c r="EA52" s="487"/>
      <c r="EB52" s="487"/>
      <c r="EC52" s="487"/>
      <c r="ED52" s="556"/>
      <c r="EF52" s="455" t="s">
        <v>642</v>
      </c>
      <c r="EG52" s="459" t="s">
        <v>594</v>
      </c>
      <c r="EH52" s="456" t="s">
        <v>596</v>
      </c>
      <c r="EI52" s="609">
        <f t="shared" ref="EI52:EU57" si="107">DQ52</f>
        <v>0</v>
      </c>
      <c r="EJ52" s="609">
        <f t="shared" si="107"/>
        <v>0</v>
      </c>
      <c r="EK52" s="609">
        <f t="shared" si="107"/>
        <v>0</v>
      </c>
      <c r="EL52" s="609">
        <f t="shared" si="107"/>
        <v>0</v>
      </c>
      <c r="EM52" s="610">
        <f t="shared" si="107"/>
        <v>0</v>
      </c>
      <c r="EN52" s="609">
        <f t="shared" si="107"/>
        <v>0</v>
      </c>
      <c r="EO52" s="609">
        <f t="shared" si="107"/>
        <v>0</v>
      </c>
      <c r="EP52" s="609">
        <f t="shared" si="107"/>
        <v>0</v>
      </c>
      <c r="EQ52" s="609">
        <f t="shared" si="107"/>
        <v>0</v>
      </c>
      <c r="ER52" s="609">
        <f t="shared" si="107"/>
        <v>0</v>
      </c>
      <c r="ES52" s="609">
        <f t="shared" si="107"/>
        <v>0</v>
      </c>
      <c r="ET52" s="609">
        <f t="shared" si="107"/>
        <v>0</v>
      </c>
      <c r="EU52" s="609">
        <f t="shared" si="107"/>
        <v>0</v>
      </c>
      <c r="EW52" s="455" t="s">
        <v>642</v>
      </c>
      <c r="EX52" s="459" t="s">
        <v>594</v>
      </c>
      <c r="EY52" s="456" t="s">
        <v>596</v>
      </c>
      <c r="EZ52" s="598">
        <f t="shared" ref="EZ52:EZ57" si="108">DQ52</f>
        <v>0</v>
      </c>
      <c r="FA52" s="598"/>
      <c r="FB52" s="598"/>
      <c r="FC52" s="598"/>
      <c r="FD52" s="646"/>
      <c r="FE52" s="598"/>
      <c r="FF52" s="598"/>
      <c r="FG52" s="598"/>
      <c r="FH52" s="598"/>
      <c r="FI52" s="598"/>
      <c r="FJ52" s="598"/>
      <c r="FK52" s="598"/>
      <c r="FL52" s="598"/>
    </row>
    <row r="53" spans="2:168" ht="14.25" hidden="1" thickBot="1">
      <c r="B53" s="732" t="str">
        <f t="shared" si="101"/>
        <v>4.1.4</v>
      </c>
      <c r="C53" s="408">
        <f t="shared" si="65"/>
        <v>0</v>
      </c>
      <c r="D53" s="809" t="e">
        <f t="shared" si="106"/>
        <v>#REF!</v>
      </c>
      <c r="E53" s="730" t="e">
        <f t="shared" si="106"/>
        <v>#REF!</v>
      </c>
      <c r="G53" s="730" t="e">
        <f t="shared" si="67"/>
        <v>#REF!</v>
      </c>
      <c r="H53" s="730" t="e">
        <f t="shared" si="68"/>
        <v>#REF!</v>
      </c>
      <c r="I53" s="730"/>
      <c r="J53" s="730"/>
      <c r="K53" s="730" t="e">
        <f>IF(#REF!=0,0,1)</f>
        <v>#REF!</v>
      </c>
      <c r="L53" s="730" t="e">
        <f>IF(#REF!=0,0,1)</f>
        <v>#REF!</v>
      </c>
      <c r="M53" s="730">
        <f t="shared" si="69"/>
        <v>0</v>
      </c>
      <c r="N53" s="730">
        <f t="shared" si="70"/>
        <v>0</v>
      </c>
      <c r="P53" s="965"/>
      <c r="Q53" s="964"/>
      <c r="R53" s="954">
        <v>4</v>
      </c>
      <c r="S53" s="953" t="s">
        <v>222</v>
      </c>
      <c r="T53" s="853"/>
      <c r="U53" s="726"/>
      <c r="V53" s="725">
        <f t="shared" si="104"/>
        <v>0</v>
      </c>
      <c r="W53" s="724">
        <f t="shared" si="105"/>
        <v>0</v>
      </c>
      <c r="Y53" s="1">
        <f t="shared" si="88"/>
        <v>0</v>
      </c>
      <c r="Z53" s="1">
        <f t="shared" si="89"/>
        <v>0</v>
      </c>
      <c r="AA53" s="1">
        <f t="shared" si="90"/>
        <v>0</v>
      </c>
      <c r="AB53" s="1">
        <f t="shared" si="91"/>
        <v>0</v>
      </c>
      <c r="AC53" s="1">
        <f t="shared" si="92"/>
        <v>0</v>
      </c>
      <c r="AD53" s="1">
        <f t="shared" si="93"/>
        <v>0</v>
      </c>
      <c r="AE53" s="1">
        <f t="shared" si="94"/>
        <v>0</v>
      </c>
      <c r="AF53" s="1">
        <f t="shared" si="95"/>
        <v>0</v>
      </c>
      <c r="AG53" s="1">
        <f t="shared" si="96"/>
        <v>0</v>
      </c>
      <c r="AH53" s="1">
        <f t="shared" si="97"/>
        <v>0</v>
      </c>
      <c r="AI53" s="1">
        <f t="shared" si="98"/>
        <v>0</v>
      </c>
      <c r="AJ53" s="1">
        <f t="shared" si="99"/>
        <v>0</v>
      </c>
      <c r="AK53" s="1">
        <f t="shared" si="100"/>
        <v>0</v>
      </c>
      <c r="AM53" s="772"/>
      <c r="AN53" s="772"/>
      <c r="AO53" s="772"/>
      <c r="AP53" s="772"/>
      <c r="AQ53" s="772"/>
      <c r="AR53" s="772"/>
      <c r="AS53" s="772"/>
      <c r="AT53" s="772"/>
      <c r="AU53" s="772"/>
      <c r="AV53" s="772"/>
      <c r="AW53" s="772"/>
      <c r="AX53" s="772"/>
      <c r="AY53" s="772"/>
      <c r="BA53" s="723"/>
      <c r="BB53" s="723" t="e">
        <f t="shared" si="71"/>
        <v>#REF!</v>
      </c>
      <c r="BC53" s="723"/>
      <c r="BD53" s="722" t="e">
        <f>BR53*#REF!</f>
        <v>#REF!</v>
      </c>
      <c r="BE53" s="722" t="e">
        <f>BS53*#REF!</f>
        <v>#REF!</v>
      </c>
      <c r="BF53" s="722" t="e">
        <f>BT53*#REF!</f>
        <v>#REF!</v>
      </c>
      <c r="BG53" s="722" t="e">
        <f>BU53*#REF!</f>
        <v>#REF!</v>
      </c>
      <c r="BH53" s="803" t="e">
        <f>BV53*#REF!</f>
        <v>#REF!</v>
      </c>
      <c r="BI53" s="722" t="e">
        <f>BW53*#REF!</f>
        <v>#REF!</v>
      </c>
      <c r="BJ53" s="722" t="e">
        <f>BX53*#REF!</f>
        <v>#REF!</v>
      </c>
      <c r="BK53" s="722" t="e">
        <f>BY53*#REF!</f>
        <v>#REF!</v>
      </c>
      <c r="BL53" s="722" t="e">
        <f>BZ53*#REF!</f>
        <v>#REF!</v>
      </c>
      <c r="BM53" s="722" t="e">
        <f>CA53*#REF!</f>
        <v>#REF!</v>
      </c>
      <c r="BO53" s="749" t="str">
        <f t="shared" si="72"/>
        <v>4.1.4</v>
      </c>
      <c r="BP53" s="749" t="str">
        <f t="shared" si="73"/>
        <v xml:space="preserve"> Q1 4.1</v>
      </c>
      <c r="BQ53" s="408">
        <f t="shared" si="74"/>
        <v>0</v>
      </c>
      <c r="BR53" s="719">
        <f t="shared" si="75"/>
        <v>0</v>
      </c>
      <c r="BS53" s="719">
        <f t="shared" si="76"/>
        <v>0</v>
      </c>
      <c r="BT53" s="719">
        <f t="shared" si="77"/>
        <v>0</v>
      </c>
      <c r="BU53" s="719">
        <f t="shared" si="78"/>
        <v>0</v>
      </c>
      <c r="BV53" s="802">
        <f t="shared" si="79"/>
        <v>0</v>
      </c>
      <c r="BW53" s="719">
        <f t="shared" si="80"/>
        <v>0</v>
      </c>
      <c r="BX53" s="719">
        <f t="shared" si="81"/>
        <v>0</v>
      </c>
      <c r="BY53" s="719">
        <f t="shared" si="82"/>
        <v>0</v>
      </c>
      <c r="BZ53" s="719">
        <f t="shared" si="83"/>
        <v>0</v>
      </c>
      <c r="CA53" s="719">
        <f t="shared" si="84"/>
        <v>0</v>
      </c>
      <c r="CB53" s="748">
        <f t="shared" si="85"/>
        <v>0</v>
      </c>
      <c r="CC53" s="719">
        <f t="shared" si="86"/>
        <v>0</v>
      </c>
      <c r="CD53" s="719">
        <f t="shared" si="87"/>
        <v>0</v>
      </c>
      <c r="CF53" s="455" t="s">
        <v>997</v>
      </c>
      <c r="CG53" s="459" t="s">
        <v>594</v>
      </c>
      <c r="CH53" s="456" t="s">
        <v>597</v>
      </c>
      <c r="CI53" s="487">
        <v>0.25</v>
      </c>
      <c r="CJ53" s="487">
        <v>0.25</v>
      </c>
      <c r="CK53" s="487">
        <v>0.25</v>
      </c>
      <c r="CL53" s="487">
        <v>0.25</v>
      </c>
      <c r="CM53" s="488">
        <v>0.25</v>
      </c>
      <c r="CN53" s="487">
        <v>0.25</v>
      </c>
      <c r="CO53" s="461">
        <v>0.25</v>
      </c>
      <c r="CP53" s="487">
        <v>0.25</v>
      </c>
      <c r="CQ53" s="487"/>
      <c r="CR53" s="487"/>
      <c r="CS53" s="462">
        <v>0.25</v>
      </c>
      <c r="CT53" s="461">
        <v>0.25</v>
      </c>
      <c r="CU53" s="461">
        <v>0.25</v>
      </c>
      <c r="CW53" s="455" t="s">
        <v>996</v>
      </c>
      <c r="CX53" s="459" t="s">
        <v>594</v>
      </c>
      <c r="CY53" s="456" t="s">
        <v>597</v>
      </c>
      <c r="CZ53" s="461"/>
      <c r="DA53" s="461"/>
      <c r="DB53" s="461"/>
      <c r="DC53" s="461"/>
      <c r="DD53" s="468"/>
      <c r="DE53" s="461"/>
      <c r="DF53" s="461"/>
      <c r="DG53" s="461"/>
      <c r="DH53" s="461"/>
      <c r="DI53" s="461"/>
      <c r="DJ53" s="462"/>
      <c r="DK53" s="461"/>
      <c r="DL53" s="461"/>
      <c r="DN53" s="455" t="s">
        <v>643</v>
      </c>
      <c r="DO53" s="459" t="s">
        <v>594</v>
      </c>
      <c r="DP53" s="456"/>
      <c r="DQ53" s="487"/>
      <c r="DR53" s="487"/>
      <c r="DS53" s="487"/>
      <c r="DT53" s="487"/>
      <c r="DU53" s="578"/>
      <c r="DV53" s="487"/>
      <c r="DW53" s="487"/>
      <c r="DX53" s="487"/>
      <c r="DY53" s="487"/>
      <c r="DZ53" s="487"/>
      <c r="EA53" s="487"/>
      <c r="EB53" s="487"/>
      <c r="EC53" s="487"/>
      <c r="ED53" s="556"/>
      <c r="EF53" s="455" t="s">
        <v>996</v>
      </c>
      <c r="EG53" s="459" t="s">
        <v>594</v>
      </c>
      <c r="EH53" s="456" t="s">
        <v>597</v>
      </c>
      <c r="EI53" s="609">
        <f t="shared" si="107"/>
        <v>0</v>
      </c>
      <c r="EJ53" s="609">
        <f t="shared" si="107"/>
        <v>0</v>
      </c>
      <c r="EK53" s="609">
        <f t="shared" si="107"/>
        <v>0</v>
      </c>
      <c r="EL53" s="609">
        <f t="shared" si="107"/>
        <v>0</v>
      </c>
      <c r="EM53" s="610">
        <f t="shared" si="107"/>
        <v>0</v>
      </c>
      <c r="EN53" s="609">
        <f t="shared" si="107"/>
        <v>0</v>
      </c>
      <c r="EO53" s="609">
        <f t="shared" si="107"/>
        <v>0</v>
      </c>
      <c r="EP53" s="609">
        <f t="shared" si="107"/>
        <v>0</v>
      </c>
      <c r="EQ53" s="609">
        <f t="shared" si="107"/>
        <v>0</v>
      </c>
      <c r="ER53" s="609">
        <f t="shared" si="107"/>
        <v>0</v>
      </c>
      <c r="ES53" s="609">
        <f t="shared" si="107"/>
        <v>0</v>
      </c>
      <c r="ET53" s="609">
        <f t="shared" si="107"/>
        <v>0</v>
      </c>
      <c r="EU53" s="609">
        <f t="shared" si="107"/>
        <v>0</v>
      </c>
      <c r="EW53" s="455" t="s">
        <v>643</v>
      </c>
      <c r="EX53" s="459" t="s">
        <v>594</v>
      </c>
      <c r="EY53" s="456" t="s">
        <v>597</v>
      </c>
      <c r="EZ53" s="598">
        <f t="shared" si="108"/>
        <v>0</v>
      </c>
      <c r="FA53" s="598"/>
      <c r="FB53" s="598"/>
      <c r="FC53" s="598"/>
      <c r="FD53" s="646"/>
      <c r="FE53" s="598"/>
      <c r="FF53" s="598"/>
      <c r="FG53" s="598"/>
      <c r="FH53" s="598"/>
      <c r="FI53" s="598"/>
      <c r="FJ53" s="598"/>
      <c r="FK53" s="598"/>
      <c r="FL53" s="598"/>
    </row>
    <row r="54" spans="2:168" ht="14.25" thickBot="1">
      <c r="B54" s="732">
        <f t="shared" si="101"/>
        <v>4.2</v>
      </c>
      <c r="C54" s="408" t="str">
        <f t="shared" si="65"/>
        <v>換気</v>
      </c>
      <c r="D54" s="731" t="e">
        <f>IF(I$48=0,0,G54/I$48)</f>
        <v>#REF!</v>
      </c>
      <c r="E54" s="730" t="e">
        <f>IF(J$48=0,0,H54/J$48)</f>
        <v>#REF!</v>
      </c>
      <c r="G54" s="730" t="e">
        <f t="shared" si="67"/>
        <v>#REF!</v>
      </c>
      <c r="H54" s="730" t="e">
        <f t="shared" si="68"/>
        <v>#REF!</v>
      </c>
      <c r="I54" s="730" t="e">
        <f>SUM(G55:G58)</f>
        <v>#REF!</v>
      </c>
      <c r="J54" s="730" t="e">
        <f>SUM(H55:H58)</f>
        <v>#REF!</v>
      </c>
      <c r="K54" s="730" t="e">
        <f>IF(#REF!=0,0,1)</f>
        <v>#REF!</v>
      </c>
      <c r="L54" s="730" t="e">
        <f>IF(#REF!=0,0,1)</f>
        <v>#REF!</v>
      </c>
      <c r="M54" s="730">
        <f t="shared" si="69"/>
        <v>0.3</v>
      </c>
      <c r="N54" s="730">
        <f t="shared" si="70"/>
        <v>0</v>
      </c>
      <c r="P54" s="832"/>
      <c r="Q54" s="744">
        <v>4.2</v>
      </c>
      <c r="R54" s="838" t="s">
        <v>223</v>
      </c>
      <c r="S54" s="815"/>
      <c r="T54" s="745"/>
      <c r="U54" s="726"/>
      <c r="V54" s="963">
        <f t="shared" si="104"/>
        <v>0</v>
      </c>
      <c r="W54" s="962">
        <f t="shared" si="105"/>
        <v>0</v>
      </c>
      <c r="Y54" s="1">
        <f t="shared" si="88"/>
        <v>0</v>
      </c>
      <c r="Z54" s="1">
        <f t="shared" si="89"/>
        <v>0</v>
      </c>
      <c r="AA54" s="1">
        <f t="shared" si="90"/>
        <v>0</v>
      </c>
      <c r="AB54" s="1">
        <f t="shared" si="91"/>
        <v>0</v>
      </c>
      <c r="AC54" s="1">
        <f t="shared" si="92"/>
        <v>0</v>
      </c>
      <c r="AD54" s="1">
        <f t="shared" si="93"/>
        <v>0</v>
      </c>
      <c r="AE54" s="1">
        <f t="shared" si="94"/>
        <v>0</v>
      </c>
      <c r="AF54" s="1">
        <f t="shared" si="95"/>
        <v>0</v>
      </c>
      <c r="AG54" s="1">
        <f t="shared" si="96"/>
        <v>0</v>
      </c>
      <c r="AH54" s="1">
        <f t="shared" si="97"/>
        <v>0</v>
      </c>
      <c r="AI54" s="1">
        <f t="shared" si="98"/>
        <v>0</v>
      </c>
      <c r="AJ54" s="1">
        <f t="shared" si="99"/>
        <v>0</v>
      </c>
      <c r="AK54" s="1">
        <f t="shared" si="100"/>
        <v>0</v>
      </c>
      <c r="AM54" s="961" t="s">
        <v>995</v>
      </c>
      <c r="AN54" s="961" t="s">
        <v>842</v>
      </c>
      <c r="AO54" s="961" t="s">
        <v>842</v>
      </c>
      <c r="AP54" s="961" t="s">
        <v>995</v>
      </c>
      <c r="AQ54" s="961" t="s">
        <v>842</v>
      </c>
      <c r="AR54" s="961" t="s">
        <v>977</v>
      </c>
      <c r="AS54" s="961" t="s">
        <v>995</v>
      </c>
      <c r="AT54" s="961" t="s">
        <v>995</v>
      </c>
      <c r="AU54" s="961" t="s">
        <v>49</v>
      </c>
      <c r="AV54" s="961" t="s">
        <v>995</v>
      </c>
      <c r="AW54" s="961" t="s">
        <v>49</v>
      </c>
      <c r="AX54" s="961" t="s">
        <v>49</v>
      </c>
      <c r="AY54" s="961" t="s">
        <v>49</v>
      </c>
      <c r="AZ54" s="960"/>
      <c r="BA54" s="959"/>
      <c r="BB54" s="723" t="e">
        <f t="shared" si="71"/>
        <v>#REF!</v>
      </c>
      <c r="BC54" s="723"/>
      <c r="BD54" s="722" t="e">
        <f>BR54*#REF!</f>
        <v>#REF!</v>
      </c>
      <c r="BE54" s="722" t="e">
        <f>BS54*#REF!</f>
        <v>#REF!</v>
      </c>
      <c r="BF54" s="722" t="e">
        <f>BT54*#REF!</f>
        <v>#REF!</v>
      </c>
      <c r="BG54" s="722" t="e">
        <f>BU54*#REF!</f>
        <v>#REF!</v>
      </c>
      <c r="BH54" s="803" t="e">
        <f>BV54*#REF!</f>
        <v>#REF!</v>
      </c>
      <c r="BI54" s="722" t="e">
        <f>BW54*#REF!</f>
        <v>#REF!</v>
      </c>
      <c r="BJ54" s="722" t="e">
        <f>BX54*#REF!</f>
        <v>#REF!</v>
      </c>
      <c r="BK54" s="722" t="e">
        <f>BY54*#REF!</f>
        <v>#REF!</v>
      </c>
      <c r="BL54" s="722" t="e">
        <f>BZ54*#REF!</f>
        <v>#REF!</v>
      </c>
      <c r="BM54" s="722" t="e">
        <f>CA54*#REF!</f>
        <v>#REF!</v>
      </c>
      <c r="BO54" s="749">
        <f t="shared" si="72"/>
        <v>4.2</v>
      </c>
      <c r="BP54" s="749" t="str">
        <f t="shared" si="73"/>
        <v xml:space="preserve"> Q1 4</v>
      </c>
      <c r="BQ54" s="408" t="str">
        <f t="shared" si="74"/>
        <v>換気</v>
      </c>
      <c r="BR54" s="719">
        <f t="shared" si="75"/>
        <v>0.3</v>
      </c>
      <c r="BS54" s="719">
        <f t="shared" si="76"/>
        <v>0.3</v>
      </c>
      <c r="BT54" s="719">
        <f t="shared" si="77"/>
        <v>0.3</v>
      </c>
      <c r="BU54" s="719">
        <f t="shared" si="78"/>
        <v>0.3</v>
      </c>
      <c r="BV54" s="802">
        <f t="shared" si="79"/>
        <v>0.3</v>
      </c>
      <c r="BW54" s="719">
        <f t="shared" si="80"/>
        <v>0.3</v>
      </c>
      <c r="BX54" s="719">
        <f t="shared" si="81"/>
        <v>0.3</v>
      </c>
      <c r="BY54" s="719">
        <f t="shared" si="82"/>
        <v>0.3</v>
      </c>
      <c r="BZ54" s="719">
        <f t="shared" si="83"/>
        <v>0.3</v>
      </c>
      <c r="CA54" s="719">
        <f t="shared" si="84"/>
        <v>0.4</v>
      </c>
      <c r="CB54" s="748">
        <f t="shared" si="85"/>
        <v>0.375</v>
      </c>
      <c r="CC54" s="719">
        <f t="shared" si="86"/>
        <v>0.375</v>
      </c>
      <c r="CD54" s="719">
        <f t="shared" si="87"/>
        <v>0.375</v>
      </c>
      <c r="CF54" s="455">
        <v>4.2</v>
      </c>
      <c r="CG54" s="459" t="s">
        <v>593</v>
      </c>
      <c r="CH54" s="456" t="s">
        <v>223</v>
      </c>
      <c r="CI54" s="487">
        <v>0.3</v>
      </c>
      <c r="CJ54" s="487">
        <v>0.3</v>
      </c>
      <c r="CK54" s="487">
        <v>0.3</v>
      </c>
      <c r="CL54" s="487">
        <v>0.3</v>
      </c>
      <c r="CM54" s="488">
        <v>0.3</v>
      </c>
      <c r="CN54" s="487">
        <v>0.3</v>
      </c>
      <c r="CO54" s="461">
        <v>0.3</v>
      </c>
      <c r="CP54" s="487">
        <v>0.3</v>
      </c>
      <c r="CQ54" s="487">
        <v>0.3</v>
      </c>
      <c r="CR54" s="487">
        <v>0.4</v>
      </c>
      <c r="CS54" s="462">
        <v>0.375</v>
      </c>
      <c r="CT54" s="461">
        <v>0.375</v>
      </c>
      <c r="CU54" s="461">
        <v>0.375</v>
      </c>
      <c r="CW54" s="455">
        <v>4.2</v>
      </c>
      <c r="CX54" s="459" t="s">
        <v>593</v>
      </c>
      <c r="CY54" s="456" t="s">
        <v>223</v>
      </c>
      <c r="CZ54" s="461">
        <v>0.3</v>
      </c>
      <c r="DA54" s="461">
        <v>0.3</v>
      </c>
      <c r="DB54" s="461">
        <v>0.3</v>
      </c>
      <c r="DC54" s="461">
        <v>0.3</v>
      </c>
      <c r="DD54" s="468">
        <v>0.3</v>
      </c>
      <c r="DE54" s="461">
        <v>0.3</v>
      </c>
      <c r="DF54" s="461">
        <v>0.3</v>
      </c>
      <c r="DG54" s="461">
        <v>0.3</v>
      </c>
      <c r="DH54" s="461">
        <v>0.3</v>
      </c>
      <c r="DI54" s="461">
        <v>0.4</v>
      </c>
      <c r="DJ54" s="462">
        <v>0.375</v>
      </c>
      <c r="DK54" s="461">
        <v>0.375</v>
      </c>
      <c r="DL54" s="461">
        <v>0.375</v>
      </c>
      <c r="DN54" s="455">
        <v>4.2</v>
      </c>
      <c r="DO54" s="459" t="s">
        <v>593</v>
      </c>
      <c r="DP54" s="456" t="s">
        <v>223</v>
      </c>
      <c r="DQ54" s="487">
        <v>0.3</v>
      </c>
      <c r="DR54" s="487">
        <v>0.3</v>
      </c>
      <c r="DS54" s="487">
        <v>0.3</v>
      </c>
      <c r="DT54" s="487">
        <v>0.3</v>
      </c>
      <c r="DU54" s="577">
        <v>0.3</v>
      </c>
      <c r="DV54" s="487">
        <v>0.3</v>
      </c>
      <c r="DW54" s="487">
        <v>0.3</v>
      </c>
      <c r="DX54" s="487">
        <v>0.3</v>
      </c>
      <c r="DY54" s="487">
        <v>0.3</v>
      </c>
      <c r="DZ54" s="487">
        <v>0.4</v>
      </c>
      <c r="EA54" s="489">
        <v>0.375</v>
      </c>
      <c r="EB54" s="487">
        <v>0.375</v>
      </c>
      <c r="EC54" s="487">
        <v>0.375</v>
      </c>
      <c r="ED54" s="556"/>
      <c r="EF54" s="455">
        <v>4.2</v>
      </c>
      <c r="EG54" s="459" t="s">
        <v>593</v>
      </c>
      <c r="EH54" s="456" t="s">
        <v>223</v>
      </c>
      <c r="EI54" s="609">
        <f t="shared" si="107"/>
        <v>0.3</v>
      </c>
      <c r="EJ54" s="609">
        <f t="shared" si="107"/>
        <v>0.3</v>
      </c>
      <c r="EK54" s="609">
        <f t="shared" si="107"/>
        <v>0.3</v>
      </c>
      <c r="EL54" s="609">
        <f t="shared" si="107"/>
        <v>0.3</v>
      </c>
      <c r="EM54" s="612">
        <f t="shared" si="107"/>
        <v>0.3</v>
      </c>
      <c r="EN54" s="609">
        <f t="shared" si="107"/>
        <v>0.3</v>
      </c>
      <c r="EO54" s="609">
        <f t="shared" si="107"/>
        <v>0.3</v>
      </c>
      <c r="EP54" s="609">
        <f t="shared" si="107"/>
        <v>0.3</v>
      </c>
      <c r="EQ54" s="609">
        <f t="shared" si="107"/>
        <v>0.3</v>
      </c>
      <c r="ER54" s="609">
        <f t="shared" si="107"/>
        <v>0.4</v>
      </c>
      <c r="ES54" s="611">
        <f t="shared" si="107"/>
        <v>0.375</v>
      </c>
      <c r="ET54" s="609">
        <f t="shared" si="107"/>
        <v>0.375</v>
      </c>
      <c r="EU54" s="609">
        <f t="shared" si="107"/>
        <v>0.375</v>
      </c>
      <c r="EW54" s="455">
        <v>4.2</v>
      </c>
      <c r="EX54" s="459" t="s">
        <v>593</v>
      </c>
      <c r="EY54" s="456" t="s">
        <v>223</v>
      </c>
      <c r="EZ54" s="598">
        <f t="shared" si="108"/>
        <v>0.3</v>
      </c>
      <c r="FA54" s="598"/>
      <c r="FB54" s="598"/>
      <c r="FC54" s="598"/>
      <c r="FD54" s="654"/>
      <c r="FE54" s="598"/>
      <c r="FF54" s="598"/>
      <c r="FG54" s="598"/>
      <c r="FH54" s="598"/>
      <c r="FI54" s="598"/>
      <c r="FJ54" s="647"/>
      <c r="FK54" s="598"/>
      <c r="FL54" s="598"/>
    </row>
    <row r="55" spans="2:168">
      <c r="B55" s="732" t="str">
        <f t="shared" si="101"/>
        <v>4.2.1</v>
      </c>
      <c r="C55" s="408" t="str">
        <f t="shared" si="65"/>
        <v>換気量</v>
      </c>
      <c r="D55" s="809" t="e">
        <f t="shared" ref="D55:E58" si="109">IF(I$54&gt;0,G55/I$54,0)</f>
        <v>#REF!</v>
      </c>
      <c r="E55" s="730" t="e">
        <f t="shared" si="109"/>
        <v>#REF!</v>
      </c>
      <c r="G55" s="730" t="e">
        <f t="shared" si="67"/>
        <v>#REF!</v>
      </c>
      <c r="H55" s="730" t="e">
        <f t="shared" si="68"/>
        <v>#REF!</v>
      </c>
      <c r="I55" s="730"/>
      <c r="J55" s="730"/>
      <c r="K55" s="730" t="e">
        <f>IF(#REF!=0,0,1)</f>
        <v>#REF!</v>
      </c>
      <c r="L55" s="730" t="e">
        <f>IF(#REF!=0,0,1)</f>
        <v>#REF!</v>
      </c>
      <c r="M55" s="730">
        <f t="shared" si="69"/>
        <v>0.33333333333333331</v>
      </c>
      <c r="N55" s="730">
        <f t="shared" si="70"/>
        <v>0</v>
      </c>
      <c r="P55" s="832"/>
      <c r="Q55" s="810"/>
      <c r="R55" s="414">
        <v>1</v>
      </c>
      <c r="S55" s="579" t="s">
        <v>224</v>
      </c>
      <c r="T55" s="741"/>
      <c r="U55" s="726"/>
      <c r="V55" s="734">
        <f t="shared" si="104"/>
        <v>0</v>
      </c>
      <c r="W55" s="733">
        <f t="shared" si="105"/>
        <v>0</v>
      </c>
      <c r="Y55" s="1">
        <f t="shared" si="88"/>
        <v>0</v>
      </c>
      <c r="Z55" s="1">
        <f t="shared" si="89"/>
        <v>0</v>
      </c>
      <c r="AA55" s="1">
        <f t="shared" si="90"/>
        <v>0</v>
      </c>
      <c r="AB55" s="1">
        <f t="shared" si="91"/>
        <v>0</v>
      </c>
      <c r="AC55" s="1">
        <f t="shared" si="92"/>
        <v>0</v>
      </c>
      <c r="AD55" s="1">
        <f t="shared" si="93"/>
        <v>0</v>
      </c>
      <c r="AE55" s="1">
        <f t="shared" si="94"/>
        <v>0</v>
      </c>
      <c r="AF55" s="1">
        <f t="shared" si="95"/>
        <v>0</v>
      </c>
      <c r="AG55" s="1">
        <f t="shared" si="96"/>
        <v>0</v>
      </c>
      <c r="AH55" s="1">
        <f t="shared" si="97"/>
        <v>0</v>
      </c>
      <c r="AI55" s="1">
        <f t="shared" si="98"/>
        <v>0</v>
      </c>
      <c r="AJ55" s="1">
        <f t="shared" si="99"/>
        <v>0</v>
      </c>
      <c r="AK55" s="1">
        <f t="shared" si="100"/>
        <v>0</v>
      </c>
      <c r="AM55" s="680"/>
      <c r="AN55" s="680"/>
      <c r="AO55" s="680"/>
      <c r="AP55" s="680"/>
      <c r="AQ55" s="680"/>
      <c r="AR55" s="680"/>
      <c r="AS55" s="680"/>
      <c r="AT55" s="680"/>
      <c r="AU55" s="680"/>
      <c r="AV55" s="680"/>
      <c r="AW55" s="680"/>
      <c r="AX55" s="680"/>
      <c r="AY55" s="680"/>
      <c r="BA55" s="723"/>
      <c r="BB55" s="723" t="e">
        <f t="shared" si="71"/>
        <v>#REF!</v>
      </c>
      <c r="BC55" s="723"/>
      <c r="BD55" s="722" t="e">
        <f>BR55*#REF!</f>
        <v>#REF!</v>
      </c>
      <c r="BE55" s="722" t="e">
        <f>BS55*#REF!</f>
        <v>#REF!</v>
      </c>
      <c r="BF55" s="722" t="e">
        <f>BT55*#REF!</f>
        <v>#REF!</v>
      </c>
      <c r="BG55" s="722" t="e">
        <f>BU55*#REF!</f>
        <v>#REF!</v>
      </c>
      <c r="BH55" s="803" t="e">
        <f>BV55*#REF!</f>
        <v>#REF!</v>
      </c>
      <c r="BI55" s="722" t="e">
        <f>BW55*#REF!</f>
        <v>#REF!</v>
      </c>
      <c r="BJ55" s="722" t="e">
        <f>BX55*#REF!</f>
        <v>#REF!</v>
      </c>
      <c r="BK55" s="722" t="e">
        <f>BY55*#REF!</f>
        <v>#REF!</v>
      </c>
      <c r="BL55" s="722" t="e">
        <f>BZ55*#REF!</f>
        <v>#REF!</v>
      </c>
      <c r="BM55" s="722" t="e">
        <f>CA55*#REF!</f>
        <v>#REF!</v>
      </c>
      <c r="BO55" s="749" t="str">
        <f t="shared" si="72"/>
        <v>4.2.1</v>
      </c>
      <c r="BP55" s="749" t="str">
        <f t="shared" si="73"/>
        <v xml:space="preserve"> Q1 4.2</v>
      </c>
      <c r="BQ55" s="408" t="str">
        <f t="shared" si="74"/>
        <v>換気量</v>
      </c>
      <c r="BR55" s="719">
        <f t="shared" si="75"/>
        <v>0.33333333333333331</v>
      </c>
      <c r="BS55" s="719">
        <f t="shared" si="76"/>
        <v>0.33333333333333331</v>
      </c>
      <c r="BT55" s="719">
        <f t="shared" si="77"/>
        <v>0.5</v>
      </c>
      <c r="BU55" s="719">
        <f t="shared" si="78"/>
        <v>0.5</v>
      </c>
      <c r="BV55" s="802">
        <f t="shared" si="79"/>
        <v>0.33333333333333331</v>
      </c>
      <c r="BW55" s="719">
        <f t="shared" si="80"/>
        <v>0.33333333333333331</v>
      </c>
      <c r="BX55" s="719">
        <f t="shared" si="81"/>
        <v>0.33333333333333331</v>
      </c>
      <c r="BY55" s="719">
        <f t="shared" si="82"/>
        <v>0.5</v>
      </c>
      <c r="BZ55" s="719">
        <f t="shared" si="83"/>
        <v>0.5</v>
      </c>
      <c r="CA55" s="719">
        <f t="shared" si="84"/>
        <v>0.5</v>
      </c>
      <c r="CB55" s="748">
        <f t="shared" si="85"/>
        <v>0.33333333333333331</v>
      </c>
      <c r="CC55" s="719">
        <f t="shared" si="86"/>
        <v>0.33333333333333331</v>
      </c>
      <c r="CD55" s="719">
        <f t="shared" si="87"/>
        <v>0.33333333333333331</v>
      </c>
      <c r="CF55" s="455" t="s">
        <v>367</v>
      </c>
      <c r="CG55" s="459" t="s">
        <v>598</v>
      </c>
      <c r="CH55" s="456" t="s">
        <v>599</v>
      </c>
      <c r="CI55" s="487">
        <v>0.25</v>
      </c>
      <c r="CJ55" s="487">
        <v>0.25</v>
      </c>
      <c r="CK55" s="490">
        <v>0.33333333333333331</v>
      </c>
      <c r="CL55" s="490">
        <v>0.33333333333333331</v>
      </c>
      <c r="CM55" s="490">
        <v>0.33333333333333331</v>
      </c>
      <c r="CN55" s="487">
        <v>0.25</v>
      </c>
      <c r="CO55" s="461">
        <v>0.25</v>
      </c>
      <c r="CP55" s="490">
        <v>0.33333333333333331</v>
      </c>
      <c r="CQ55" s="490">
        <v>0.33333333333333331</v>
      </c>
      <c r="CR55" s="487"/>
      <c r="CS55" s="462">
        <v>0.25</v>
      </c>
      <c r="CT55" s="461">
        <v>0.25</v>
      </c>
      <c r="CU55" s="461"/>
      <c r="CW55" s="455" t="s">
        <v>367</v>
      </c>
      <c r="CX55" s="459" t="s">
        <v>598</v>
      </c>
      <c r="CY55" s="456" t="s">
        <v>599</v>
      </c>
      <c r="CZ55" s="461">
        <v>0.33333333333333331</v>
      </c>
      <c r="DA55" s="461">
        <v>0.33333333333333331</v>
      </c>
      <c r="DB55" s="461">
        <v>0.5</v>
      </c>
      <c r="DC55" s="461">
        <v>0.5</v>
      </c>
      <c r="DD55" s="468">
        <v>0.5</v>
      </c>
      <c r="DE55" s="461">
        <v>0.33333333333333331</v>
      </c>
      <c r="DF55" s="461">
        <v>0.33333333333333331</v>
      </c>
      <c r="DG55" s="461">
        <v>0.5</v>
      </c>
      <c r="DH55" s="461">
        <v>0.5</v>
      </c>
      <c r="DI55" s="461">
        <v>0.5</v>
      </c>
      <c r="DJ55" s="462">
        <v>0.33333333333333331</v>
      </c>
      <c r="DK55" s="461">
        <v>0.33333333333333331</v>
      </c>
      <c r="DL55" s="461">
        <v>0.33333333333333331</v>
      </c>
      <c r="DN55" s="455" t="s">
        <v>367</v>
      </c>
      <c r="DO55" s="459" t="s">
        <v>598</v>
      </c>
      <c r="DP55" s="456" t="s">
        <v>599</v>
      </c>
      <c r="DQ55" s="668">
        <f t="shared" ref="DQ55:DR57" si="110">0.25/(0.25+0.25+0.25)</f>
        <v>0.33333333333333331</v>
      </c>
      <c r="DR55" s="668">
        <f t="shared" si="110"/>
        <v>0.33333333333333331</v>
      </c>
      <c r="DS55" s="668">
        <f>0.33/(0.33+0.33)</f>
        <v>0.5</v>
      </c>
      <c r="DT55" s="668">
        <f>0.33/(0.33+0.33)</f>
        <v>0.5</v>
      </c>
      <c r="DU55" s="668">
        <f t="shared" ref="DU55:DW57" si="111">0.25/(0.25+0.25+0.25)</f>
        <v>0.33333333333333331</v>
      </c>
      <c r="DV55" s="668">
        <f t="shared" si="111"/>
        <v>0.33333333333333331</v>
      </c>
      <c r="DW55" s="668">
        <f t="shared" si="111"/>
        <v>0.33333333333333331</v>
      </c>
      <c r="DX55" s="668">
        <f>0.33/(0.33+0.33)</f>
        <v>0.5</v>
      </c>
      <c r="DY55" s="668">
        <f>0.33/(0.33+0.33)</f>
        <v>0.5</v>
      </c>
      <c r="DZ55" s="487">
        <v>0.5</v>
      </c>
      <c r="EA55" s="668">
        <f t="shared" ref="EA55:EC57" si="112">0.25/(0.25+0.25+0.25)</f>
        <v>0.33333333333333331</v>
      </c>
      <c r="EB55" s="668">
        <f t="shared" si="112"/>
        <v>0.33333333333333331</v>
      </c>
      <c r="EC55" s="668">
        <f t="shared" si="112"/>
        <v>0.33333333333333331</v>
      </c>
      <c r="ED55" s="556"/>
      <c r="EF55" s="455" t="s">
        <v>367</v>
      </c>
      <c r="EG55" s="459" t="s">
        <v>598</v>
      </c>
      <c r="EH55" s="456" t="s">
        <v>599</v>
      </c>
      <c r="EI55" s="609">
        <f t="shared" si="107"/>
        <v>0.33333333333333331</v>
      </c>
      <c r="EJ55" s="609">
        <f t="shared" si="107"/>
        <v>0.33333333333333331</v>
      </c>
      <c r="EK55" s="609">
        <f t="shared" si="107"/>
        <v>0.5</v>
      </c>
      <c r="EL55" s="609">
        <f t="shared" si="107"/>
        <v>0.5</v>
      </c>
      <c r="EM55" s="610">
        <f t="shared" si="107"/>
        <v>0.33333333333333331</v>
      </c>
      <c r="EN55" s="609">
        <f t="shared" si="107"/>
        <v>0.33333333333333331</v>
      </c>
      <c r="EO55" s="609">
        <f t="shared" si="107"/>
        <v>0.33333333333333331</v>
      </c>
      <c r="EP55" s="609">
        <f t="shared" si="107"/>
        <v>0.5</v>
      </c>
      <c r="EQ55" s="609">
        <f t="shared" si="107"/>
        <v>0.5</v>
      </c>
      <c r="ER55" s="609">
        <f t="shared" si="107"/>
        <v>0.5</v>
      </c>
      <c r="ES55" s="611">
        <f t="shared" si="107"/>
        <v>0.33333333333333331</v>
      </c>
      <c r="ET55" s="609">
        <f t="shared" si="107"/>
        <v>0.33333333333333331</v>
      </c>
      <c r="EU55" s="609">
        <f t="shared" si="107"/>
        <v>0.33333333333333331</v>
      </c>
      <c r="EW55" s="455" t="s">
        <v>367</v>
      </c>
      <c r="EX55" s="459" t="s">
        <v>598</v>
      </c>
      <c r="EY55" s="456" t="s">
        <v>599</v>
      </c>
      <c r="EZ55" s="598">
        <f t="shared" si="108"/>
        <v>0.33333333333333331</v>
      </c>
      <c r="FA55" s="598"/>
      <c r="FB55" s="598"/>
      <c r="FC55" s="598"/>
      <c r="FD55" s="646"/>
      <c r="FE55" s="598"/>
      <c r="FF55" s="598"/>
      <c r="FG55" s="598"/>
      <c r="FH55" s="598"/>
      <c r="FI55" s="598"/>
      <c r="FJ55" s="647"/>
      <c r="FK55" s="598"/>
      <c r="FL55" s="598"/>
    </row>
    <row r="56" spans="2:168">
      <c r="B56" s="732" t="str">
        <f t="shared" si="101"/>
        <v>4.2.2</v>
      </c>
      <c r="C56" s="408" t="str">
        <f t="shared" si="65"/>
        <v>自然換気性能</v>
      </c>
      <c r="D56" s="809" t="e">
        <f t="shared" si="109"/>
        <v>#REF!</v>
      </c>
      <c r="E56" s="730" t="e">
        <f t="shared" si="109"/>
        <v>#REF!</v>
      </c>
      <c r="G56" s="730" t="e">
        <f t="shared" si="67"/>
        <v>#REF!</v>
      </c>
      <c r="H56" s="730" t="e">
        <f t="shared" si="68"/>
        <v>#REF!</v>
      </c>
      <c r="I56" s="730"/>
      <c r="J56" s="730"/>
      <c r="K56" s="730" t="e">
        <f>IF(#REF!=0,0,1)</f>
        <v>#REF!</v>
      </c>
      <c r="L56" s="730" t="e">
        <f>IF(#REF!=0,0,1)</f>
        <v>#REF!</v>
      </c>
      <c r="M56" s="730">
        <f t="shared" si="69"/>
        <v>0.33333333333333331</v>
      </c>
      <c r="N56" s="730">
        <f t="shared" si="70"/>
        <v>0</v>
      </c>
      <c r="P56" s="832"/>
      <c r="Q56" s="810"/>
      <c r="R56" s="414">
        <v>2</v>
      </c>
      <c r="S56" s="579" t="s">
        <v>540</v>
      </c>
      <c r="T56" s="745"/>
      <c r="U56" s="726"/>
      <c r="V56" s="747">
        <f t="shared" si="104"/>
        <v>0</v>
      </c>
      <c r="W56" s="746">
        <f t="shared" si="105"/>
        <v>0</v>
      </c>
      <c r="Y56" s="1">
        <f t="shared" si="88"/>
        <v>0</v>
      </c>
      <c r="Z56" s="1">
        <f t="shared" si="89"/>
        <v>0</v>
      </c>
      <c r="AA56" s="1">
        <f t="shared" si="90"/>
        <v>0</v>
      </c>
      <c r="AB56" s="1">
        <f t="shared" si="91"/>
        <v>0</v>
      </c>
      <c r="AC56" s="1">
        <f t="shared" si="92"/>
        <v>0</v>
      </c>
      <c r="AD56" s="1">
        <f t="shared" si="93"/>
        <v>0</v>
      </c>
      <c r="AE56" s="1">
        <f t="shared" si="94"/>
        <v>0</v>
      </c>
      <c r="AF56" s="1">
        <f t="shared" si="95"/>
        <v>0</v>
      </c>
      <c r="AG56" s="1">
        <f t="shared" si="96"/>
        <v>0</v>
      </c>
      <c r="AH56" s="1">
        <f t="shared" si="97"/>
        <v>0</v>
      </c>
      <c r="AI56" s="1">
        <f t="shared" si="98"/>
        <v>0</v>
      </c>
      <c r="AJ56" s="1">
        <f t="shared" si="99"/>
        <v>0</v>
      </c>
      <c r="AK56" s="1">
        <f t="shared" si="100"/>
        <v>0</v>
      </c>
      <c r="AM56" s="680"/>
      <c r="AN56" s="680"/>
      <c r="AO56" s="680"/>
      <c r="AP56" s="680"/>
      <c r="AQ56" s="680"/>
      <c r="AR56" s="680"/>
      <c r="AS56" s="680"/>
      <c r="AT56" s="680"/>
      <c r="AU56" s="680"/>
      <c r="AV56" s="680"/>
      <c r="AW56" s="680"/>
      <c r="AX56" s="680"/>
      <c r="AY56" s="680"/>
      <c r="BA56" s="723"/>
      <c r="BB56" s="723" t="e">
        <f t="shared" si="71"/>
        <v>#REF!</v>
      </c>
      <c r="BC56" s="723"/>
      <c r="BD56" s="722" t="e">
        <f>BR56*#REF!</f>
        <v>#REF!</v>
      </c>
      <c r="BE56" s="722" t="e">
        <f>BS56*#REF!</f>
        <v>#REF!</v>
      </c>
      <c r="BF56" s="722" t="e">
        <f>BT56*#REF!</f>
        <v>#REF!</v>
      </c>
      <c r="BG56" s="722" t="e">
        <f>BU56*#REF!</f>
        <v>#REF!</v>
      </c>
      <c r="BH56" s="803" t="e">
        <f>BV56*#REF!</f>
        <v>#REF!</v>
      </c>
      <c r="BI56" s="722" t="e">
        <f>BW56*#REF!</f>
        <v>#REF!</v>
      </c>
      <c r="BJ56" s="722" t="e">
        <f>BX56*#REF!</f>
        <v>#REF!</v>
      </c>
      <c r="BK56" s="722" t="e">
        <f>BY56*#REF!</f>
        <v>#REF!</v>
      </c>
      <c r="BL56" s="722" t="e">
        <f>BZ56*#REF!</f>
        <v>#REF!</v>
      </c>
      <c r="BM56" s="722" t="e">
        <f>CA56*#REF!</f>
        <v>#REF!</v>
      </c>
      <c r="BO56" s="749" t="str">
        <f t="shared" si="72"/>
        <v>4.2.2</v>
      </c>
      <c r="BP56" s="749" t="str">
        <f t="shared" si="73"/>
        <v xml:space="preserve"> Q1 4.2</v>
      </c>
      <c r="BQ56" s="408" t="str">
        <f t="shared" si="74"/>
        <v>自然換気性能</v>
      </c>
      <c r="BR56" s="719">
        <f t="shared" si="75"/>
        <v>0.33333333333333331</v>
      </c>
      <c r="BS56" s="719">
        <f t="shared" si="76"/>
        <v>0.33333333333333331</v>
      </c>
      <c r="BT56" s="719">
        <f t="shared" si="77"/>
        <v>0</v>
      </c>
      <c r="BU56" s="719">
        <f t="shared" si="78"/>
        <v>0</v>
      </c>
      <c r="BV56" s="802">
        <f t="shared" si="79"/>
        <v>0.33333333333333331</v>
      </c>
      <c r="BW56" s="719">
        <f t="shared" si="80"/>
        <v>0.33333333333333331</v>
      </c>
      <c r="BX56" s="719">
        <f t="shared" si="81"/>
        <v>0.33333333333333331</v>
      </c>
      <c r="BY56" s="719">
        <f t="shared" si="82"/>
        <v>0</v>
      </c>
      <c r="BZ56" s="719">
        <f t="shared" si="83"/>
        <v>0</v>
      </c>
      <c r="CA56" s="719">
        <f t="shared" si="84"/>
        <v>0</v>
      </c>
      <c r="CB56" s="748">
        <f t="shared" si="85"/>
        <v>0.33333333333333331</v>
      </c>
      <c r="CC56" s="719">
        <f t="shared" si="86"/>
        <v>0.33333333333333331</v>
      </c>
      <c r="CD56" s="719">
        <f t="shared" si="87"/>
        <v>0.33333333333333331</v>
      </c>
      <c r="CF56" s="455" t="s">
        <v>994</v>
      </c>
      <c r="CG56" s="459" t="s">
        <v>598</v>
      </c>
      <c r="CH56" s="456" t="s">
        <v>600</v>
      </c>
      <c r="CI56" s="487">
        <v>0.25</v>
      </c>
      <c r="CJ56" s="487">
        <v>0.25</v>
      </c>
      <c r="CK56" s="487"/>
      <c r="CL56" s="487"/>
      <c r="CM56" s="488"/>
      <c r="CN56" s="487">
        <v>0.25</v>
      </c>
      <c r="CO56" s="461">
        <v>0.25</v>
      </c>
      <c r="CP56" s="487"/>
      <c r="CQ56" s="487"/>
      <c r="CR56" s="487"/>
      <c r="CS56" s="462">
        <v>0.25</v>
      </c>
      <c r="CT56" s="461">
        <v>0.25</v>
      </c>
      <c r="CU56" s="461">
        <v>0.33</v>
      </c>
      <c r="CW56" s="455" t="s">
        <v>368</v>
      </c>
      <c r="CX56" s="459" t="s">
        <v>598</v>
      </c>
      <c r="CY56" s="456" t="s">
        <v>600</v>
      </c>
      <c r="CZ56" s="461">
        <v>0.33333333333333331</v>
      </c>
      <c r="DA56" s="461">
        <v>0.33333333333333331</v>
      </c>
      <c r="DB56" s="461"/>
      <c r="DC56" s="461"/>
      <c r="DD56" s="468"/>
      <c r="DE56" s="461">
        <v>0.33333333333333331</v>
      </c>
      <c r="DF56" s="461">
        <v>0.33333333333333331</v>
      </c>
      <c r="DG56" s="461"/>
      <c r="DH56" s="461"/>
      <c r="DI56" s="461"/>
      <c r="DJ56" s="462">
        <v>0.33333333333333331</v>
      </c>
      <c r="DK56" s="461">
        <v>0.33333333333333331</v>
      </c>
      <c r="DL56" s="461">
        <v>0.33333333333333331</v>
      </c>
      <c r="DN56" s="455" t="s">
        <v>368</v>
      </c>
      <c r="DO56" s="459" t="s">
        <v>598</v>
      </c>
      <c r="DP56" s="456" t="s">
        <v>600</v>
      </c>
      <c r="DQ56" s="668">
        <f t="shared" si="110"/>
        <v>0.33333333333333331</v>
      </c>
      <c r="DR56" s="668">
        <f t="shared" si="110"/>
        <v>0.33333333333333331</v>
      </c>
      <c r="DS56" s="487"/>
      <c r="DT56" s="487"/>
      <c r="DU56" s="668">
        <f t="shared" si="111"/>
        <v>0.33333333333333331</v>
      </c>
      <c r="DV56" s="668">
        <f t="shared" si="111"/>
        <v>0.33333333333333331</v>
      </c>
      <c r="DW56" s="668">
        <f t="shared" si="111"/>
        <v>0.33333333333333331</v>
      </c>
      <c r="DX56" s="487"/>
      <c r="DY56" s="487"/>
      <c r="DZ56" s="487"/>
      <c r="EA56" s="668">
        <f t="shared" si="112"/>
        <v>0.33333333333333331</v>
      </c>
      <c r="EB56" s="668">
        <f t="shared" si="112"/>
        <v>0.33333333333333331</v>
      </c>
      <c r="EC56" s="668">
        <f t="shared" si="112"/>
        <v>0.33333333333333331</v>
      </c>
      <c r="ED56" s="556"/>
      <c r="EF56" s="455" t="s">
        <v>368</v>
      </c>
      <c r="EG56" s="459" t="s">
        <v>598</v>
      </c>
      <c r="EH56" s="456" t="s">
        <v>600</v>
      </c>
      <c r="EI56" s="609">
        <f t="shared" si="107"/>
        <v>0.33333333333333331</v>
      </c>
      <c r="EJ56" s="609">
        <f t="shared" si="107"/>
        <v>0.33333333333333331</v>
      </c>
      <c r="EK56" s="609">
        <f t="shared" si="107"/>
        <v>0</v>
      </c>
      <c r="EL56" s="609">
        <f t="shared" si="107"/>
        <v>0</v>
      </c>
      <c r="EM56" s="612">
        <f t="shared" si="107"/>
        <v>0.33333333333333331</v>
      </c>
      <c r="EN56" s="609">
        <f t="shared" si="107"/>
        <v>0.33333333333333331</v>
      </c>
      <c r="EO56" s="609">
        <f t="shared" si="107"/>
        <v>0.33333333333333331</v>
      </c>
      <c r="EP56" s="609">
        <f t="shared" si="107"/>
        <v>0</v>
      </c>
      <c r="EQ56" s="609">
        <f t="shared" si="107"/>
        <v>0</v>
      </c>
      <c r="ER56" s="609">
        <f t="shared" si="107"/>
        <v>0</v>
      </c>
      <c r="ES56" s="611">
        <f t="shared" si="107"/>
        <v>0.33333333333333331</v>
      </c>
      <c r="ET56" s="609">
        <f t="shared" si="107"/>
        <v>0.33333333333333331</v>
      </c>
      <c r="EU56" s="609">
        <f t="shared" si="107"/>
        <v>0.33333333333333331</v>
      </c>
      <c r="EW56" s="455" t="s">
        <v>368</v>
      </c>
      <c r="EX56" s="459" t="s">
        <v>598</v>
      </c>
      <c r="EY56" s="456" t="s">
        <v>600</v>
      </c>
      <c r="EZ56" s="598">
        <f t="shared" si="108"/>
        <v>0.33333333333333331</v>
      </c>
      <c r="FA56" s="598"/>
      <c r="FB56" s="598"/>
      <c r="FC56" s="598"/>
      <c r="FD56" s="654"/>
      <c r="FE56" s="598"/>
      <c r="FF56" s="598"/>
      <c r="FG56" s="598"/>
      <c r="FH56" s="598"/>
      <c r="FI56" s="598"/>
      <c r="FJ56" s="647"/>
      <c r="FK56" s="598"/>
      <c r="FL56" s="598"/>
    </row>
    <row r="57" spans="2:168" ht="14.25" thickBot="1">
      <c r="B57" s="732" t="str">
        <f t="shared" si="101"/>
        <v>4.2.3</v>
      </c>
      <c r="C57" s="408" t="str">
        <f t="shared" si="65"/>
        <v>取り入れ外気への配慮</v>
      </c>
      <c r="D57" s="809" t="e">
        <f t="shared" si="109"/>
        <v>#REF!</v>
      </c>
      <c r="E57" s="730" t="e">
        <f t="shared" si="109"/>
        <v>#REF!</v>
      </c>
      <c r="G57" s="730" t="e">
        <f t="shared" si="67"/>
        <v>#REF!</v>
      </c>
      <c r="H57" s="730" t="e">
        <f t="shared" si="68"/>
        <v>#REF!</v>
      </c>
      <c r="I57" s="730"/>
      <c r="J57" s="730"/>
      <c r="K57" s="730" t="e">
        <f>IF(#REF!=0,0,1)</f>
        <v>#REF!</v>
      </c>
      <c r="L57" s="730" t="e">
        <f>IF(#REF!=0,0,1)</f>
        <v>#REF!</v>
      </c>
      <c r="M57" s="730">
        <f t="shared" si="69"/>
        <v>0.33333333333333331</v>
      </c>
      <c r="N57" s="730">
        <f t="shared" si="70"/>
        <v>0</v>
      </c>
      <c r="P57" s="832"/>
      <c r="Q57" s="810"/>
      <c r="R57" s="414">
        <v>3</v>
      </c>
      <c r="S57" s="579" t="s">
        <v>541</v>
      </c>
      <c r="T57" s="745"/>
      <c r="U57" s="726"/>
      <c r="V57" s="725">
        <f t="shared" si="104"/>
        <v>0</v>
      </c>
      <c r="W57" s="724">
        <f t="shared" si="105"/>
        <v>0</v>
      </c>
      <c r="Y57" s="1">
        <f t="shared" si="88"/>
        <v>0</v>
      </c>
      <c r="Z57" s="1">
        <f t="shared" si="89"/>
        <v>0</v>
      </c>
      <c r="AA57" s="1">
        <f t="shared" si="90"/>
        <v>0</v>
      </c>
      <c r="AB57" s="1">
        <f t="shared" si="91"/>
        <v>0</v>
      </c>
      <c r="AC57" s="1">
        <f t="shared" si="92"/>
        <v>0</v>
      </c>
      <c r="AD57" s="1">
        <f t="shared" si="93"/>
        <v>0</v>
      </c>
      <c r="AE57" s="1">
        <f t="shared" si="94"/>
        <v>0</v>
      </c>
      <c r="AF57" s="1">
        <f t="shared" si="95"/>
        <v>0</v>
      </c>
      <c r="AG57" s="1">
        <f t="shared" si="96"/>
        <v>0</v>
      </c>
      <c r="AH57" s="1">
        <f t="shared" si="97"/>
        <v>0</v>
      </c>
      <c r="AI57" s="1">
        <f t="shared" si="98"/>
        <v>0</v>
      </c>
      <c r="AJ57" s="1">
        <f t="shared" si="99"/>
        <v>0</v>
      </c>
      <c r="AK57" s="1">
        <f t="shared" si="100"/>
        <v>0</v>
      </c>
      <c r="AM57" s="683"/>
      <c r="AN57" s="683"/>
      <c r="AO57" s="683"/>
      <c r="AP57" s="683"/>
      <c r="AQ57" s="683"/>
      <c r="AR57" s="683"/>
      <c r="AS57" s="683"/>
      <c r="AT57" s="683"/>
      <c r="AU57" s="683"/>
      <c r="AV57" s="683"/>
      <c r="AW57" s="683"/>
      <c r="AX57" s="683"/>
      <c r="AY57" s="683"/>
      <c r="BA57" s="723"/>
      <c r="BB57" s="723" t="e">
        <f t="shared" si="71"/>
        <v>#REF!</v>
      </c>
      <c r="BC57" s="723"/>
      <c r="BD57" s="722" t="e">
        <f>BR57*#REF!</f>
        <v>#REF!</v>
      </c>
      <c r="BE57" s="722" t="e">
        <f>BS57*#REF!</f>
        <v>#REF!</v>
      </c>
      <c r="BF57" s="722" t="e">
        <f>BT57*#REF!</f>
        <v>#REF!</v>
      </c>
      <c r="BG57" s="722" t="e">
        <f>BU57*#REF!</f>
        <v>#REF!</v>
      </c>
      <c r="BH57" s="803" t="e">
        <f>BV57*#REF!</f>
        <v>#REF!</v>
      </c>
      <c r="BI57" s="722" t="e">
        <f>BW57*#REF!</f>
        <v>#REF!</v>
      </c>
      <c r="BJ57" s="722" t="e">
        <f>BX57*#REF!</f>
        <v>#REF!</v>
      </c>
      <c r="BK57" s="722" t="e">
        <f>BY57*#REF!</f>
        <v>#REF!</v>
      </c>
      <c r="BL57" s="722" t="e">
        <f>BZ57*#REF!</f>
        <v>#REF!</v>
      </c>
      <c r="BM57" s="722" t="e">
        <f>CA57*#REF!</f>
        <v>#REF!</v>
      </c>
      <c r="BO57" s="749" t="str">
        <f t="shared" si="72"/>
        <v>4.2.3</v>
      </c>
      <c r="BP57" s="749" t="str">
        <f t="shared" si="73"/>
        <v xml:space="preserve"> Q1 4.2</v>
      </c>
      <c r="BQ57" s="408" t="str">
        <f t="shared" si="74"/>
        <v>取り入れ外気への配慮</v>
      </c>
      <c r="BR57" s="719">
        <f t="shared" si="75"/>
        <v>0.33333333333333331</v>
      </c>
      <c r="BS57" s="719">
        <f t="shared" si="76"/>
        <v>0.33333333333333331</v>
      </c>
      <c r="BT57" s="719">
        <f t="shared" si="77"/>
        <v>0.5</v>
      </c>
      <c r="BU57" s="719">
        <f t="shared" si="78"/>
        <v>0.5</v>
      </c>
      <c r="BV57" s="802">
        <f t="shared" si="79"/>
        <v>0.33333333333333331</v>
      </c>
      <c r="BW57" s="719">
        <f t="shared" si="80"/>
        <v>0.33333333333333331</v>
      </c>
      <c r="BX57" s="719">
        <f t="shared" si="81"/>
        <v>0.33333333333333331</v>
      </c>
      <c r="BY57" s="719">
        <f t="shared" si="82"/>
        <v>0.5</v>
      </c>
      <c r="BZ57" s="719">
        <f t="shared" si="83"/>
        <v>0.5</v>
      </c>
      <c r="CA57" s="719">
        <f t="shared" si="84"/>
        <v>0.5</v>
      </c>
      <c r="CB57" s="748">
        <f t="shared" si="85"/>
        <v>0.33333333333333331</v>
      </c>
      <c r="CC57" s="719">
        <f t="shared" si="86"/>
        <v>0.33333333333333331</v>
      </c>
      <c r="CD57" s="719">
        <f t="shared" si="87"/>
        <v>0.33333333333333331</v>
      </c>
      <c r="CF57" s="455" t="s">
        <v>646</v>
      </c>
      <c r="CG57" s="459" t="s">
        <v>598</v>
      </c>
      <c r="CH57" s="456" t="s">
        <v>601</v>
      </c>
      <c r="CI57" s="487">
        <v>0.25</v>
      </c>
      <c r="CJ57" s="487">
        <v>0.25</v>
      </c>
      <c r="CK57" s="490">
        <v>0.33333333333333331</v>
      </c>
      <c r="CL57" s="490">
        <v>0.33333333333333331</v>
      </c>
      <c r="CM57" s="490">
        <v>0.33333333333333331</v>
      </c>
      <c r="CN57" s="487">
        <v>0.25</v>
      </c>
      <c r="CO57" s="461">
        <v>0.25</v>
      </c>
      <c r="CP57" s="490">
        <v>0.33333333333333331</v>
      </c>
      <c r="CQ57" s="490">
        <v>0.33333333333333331</v>
      </c>
      <c r="CR57" s="487">
        <v>1</v>
      </c>
      <c r="CS57" s="462">
        <v>0.25</v>
      </c>
      <c r="CT57" s="461">
        <v>0.25</v>
      </c>
      <c r="CU57" s="461">
        <v>0.33</v>
      </c>
      <c r="CW57" s="455" t="s">
        <v>993</v>
      </c>
      <c r="CX57" s="459" t="s">
        <v>598</v>
      </c>
      <c r="CY57" s="456" t="s">
        <v>601</v>
      </c>
      <c r="CZ57" s="461">
        <v>0.33333333333333331</v>
      </c>
      <c r="DA57" s="461">
        <v>0.33333333333333331</v>
      </c>
      <c r="DB57" s="461">
        <v>0.5</v>
      </c>
      <c r="DC57" s="461">
        <v>0.5</v>
      </c>
      <c r="DD57" s="468">
        <v>0.5</v>
      </c>
      <c r="DE57" s="461">
        <v>0.33333333333333331</v>
      </c>
      <c r="DF57" s="461">
        <v>0.33333333333333331</v>
      </c>
      <c r="DG57" s="461">
        <v>0.5</v>
      </c>
      <c r="DH57" s="461">
        <v>0.5</v>
      </c>
      <c r="DI57" s="461">
        <v>0.5</v>
      </c>
      <c r="DJ57" s="462">
        <v>0.33333333333333331</v>
      </c>
      <c r="DK57" s="461">
        <v>0.33333333333333331</v>
      </c>
      <c r="DL57" s="461">
        <v>0.33333333333333331</v>
      </c>
      <c r="DN57" s="455" t="s">
        <v>646</v>
      </c>
      <c r="DO57" s="459" t="s">
        <v>598</v>
      </c>
      <c r="DP57" s="456" t="s">
        <v>601</v>
      </c>
      <c r="DQ57" s="668">
        <f t="shared" si="110"/>
        <v>0.33333333333333331</v>
      </c>
      <c r="DR57" s="668">
        <f t="shared" si="110"/>
        <v>0.33333333333333331</v>
      </c>
      <c r="DS57" s="668">
        <f>0.33/(0.33+0.33)</f>
        <v>0.5</v>
      </c>
      <c r="DT57" s="668">
        <f>0.33/(0.33+0.33)</f>
        <v>0.5</v>
      </c>
      <c r="DU57" s="668">
        <f t="shared" si="111"/>
        <v>0.33333333333333331</v>
      </c>
      <c r="DV57" s="668">
        <f t="shared" si="111"/>
        <v>0.33333333333333331</v>
      </c>
      <c r="DW57" s="668">
        <f t="shared" si="111"/>
        <v>0.33333333333333331</v>
      </c>
      <c r="DX57" s="668">
        <f>0.33/(0.33+0.33)</f>
        <v>0.5</v>
      </c>
      <c r="DY57" s="668">
        <f>0.33/(0.33+0.33)</f>
        <v>0.5</v>
      </c>
      <c r="DZ57" s="487">
        <v>0.5</v>
      </c>
      <c r="EA57" s="668">
        <f t="shared" si="112"/>
        <v>0.33333333333333331</v>
      </c>
      <c r="EB57" s="668">
        <f t="shared" si="112"/>
        <v>0.33333333333333331</v>
      </c>
      <c r="EC57" s="668">
        <f t="shared" si="112"/>
        <v>0.33333333333333331</v>
      </c>
      <c r="ED57" s="556"/>
      <c r="EF57" s="455" t="s">
        <v>993</v>
      </c>
      <c r="EG57" s="459" t="s">
        <v>598</v>
      </c>
      <c r="EH57" s="456" t="s">
        <v>601</v>
      </c>
      <c r="EI57" s="609">
        <f t="shared" si="107"/>
        <v>0.33333333333333331</v>
      </c>
      <c r="EJ57" s="609">
        <f t="shared" si="107"/>
        <v>0.33333333333333331</v>
      </c>
      <c r="EK57" s="609">
        <f t="shared" si="107"/>
        <v>0.5</v>
      </c>
      <c r="EL57" s="609">
        <f t="shared" si="107"/>
        <v>0.5</v>
      </c>
      <c r="EM57" s="610">
        <f t="shared" si="107"/>
        <v>0.33333333333333331</v>
      </c>
      <c r="EN57" s="609">
        <f t="shared" si="107"/>
        <v>0.33333333333333331</v>
      </c>
      <c r="EO57" s="609">
        <f t="shared" si="107"/>
        <v>0.33333333333333331</v>
      </c>
      <c r="EP57" s="609">
        <f t="shared" si="107"/>
        <v>0.5</v>
      </c>
      <c r="EQ57" s="609">
        <f t="shared" si="107"/>
        <v>0.5</v>
      </c>
      <c r="ER57" s="609">
        <f t="shared" si="107"/>
        <v>0.5</v>
      </c>
      <c r="ES57" s="611">
        <f t="shared" si="107"/>
        <v>0.33333333333333331</v>
      </c>
      <c r="ET57" s="609">
        <f t="shared" si="107"/>
        <v>0.33333333333333331</v>
      </c>
      <c r="EU57" s="609">
        <f t="shared" si="107"/>
        <v>0.33333333333333331</v>
      </c>
      <c r="EW57" s="455" t="s">
        <v>646</v>
      </c>
      <c r="EX57" s="459" t="s">
        <v>598</v>
      </c>
      <c r="EY57" s="456" t="s">
        <v>601</v>
      </c>
      <c r="EZ57" s="598">
        <f t="shared" si="108"/>
        <v>0.33333333333333331</v>
      </c>
      <c r="FA57" s="598"/>
      <c r="FB57" s="598"/>
      <c r="FC57" s="598"/>
      <c r="FD57" s="646"/>
      <c r="FE57" s="598"/>
      <c r="FF57" s="598"/>
      <c r="FG57" s="598"/>
      <c r="FH57" s="598"/>
      <c r="FI57" s="598"/>
      <c r="FJ57" s="647"/>
      <c r="FK57" s="598"/>
      <c r="FL57" s="598"/>
    </row>
    <row r="58" spans="2:168" ht="14.25" hidden="1" thickBot="1">
      <c r="B58" s="732" t="str">
        <f t="shared" si="101"/>
        <v>4.2.4</v>
      </c>
      <c r="C58" s="948">
        <f t="shared" si="65"/>
        <v>0</v>
      </c>
      <c r="D58" s="958" t="e">
        <f t="shared" si="109"/>
        <v>#REF!</v>
      </c>
      <c r="E58" s="957" t="e">
        <f t="shared" si="109"/>
        <v>#REF!</v>
      </c>
      <c r="G58" s="957" t="e">
        <f t="shared" si="67"/>
        <v>#REF!</v>
      </c>
      <c r="H58" s="957" t="e">
        <f t="shared" si="68"/>
        <v>#REF!</v>
      </c>
      <c r="I58" s="957"/>
      <c r="J58" s="957"/>
      <c r="K58" s="957" t="e">
        <f>IF(#REF!=0,0,1)</f>
        <v>#REF!</v>
      </c>
      <c r="L58" s="957" t="e">
        <f>IF(#REF!=0,0,1)</f>
        <v>#REF!</v>
      </c>
      <c r="M58" s="957">
        <f t="shared" si="69"/>
        <v>0</v>
      </c>
      <c r="N58" s="957">
        <f t="shared" si="70"/>
        <v>0</v>
      </c>
      <c r="P58" s="956"/>
      <c r="Q58" s="955"/>
      <c r="R58" s="954">
        <v>4</v>
      </c>
      <c r="S58" s="953" t="s">
        <v>542</v>
      </c>
      <c r="T58" s="853"/>
      <c r="U58" s="726"/>
      <c r="V58" s="725">
        <f t="shared" si="104"/>
        <v>0</v>
      </c>
      <c r="W58" s="724">
        <f t="shared" si="105"/>
        <v>0</v>
      </c>
      <c r="Y58" s="1">
        <f t="shared" si="88"/>
        <v>0</v>
      </c>
      <c r="Z58" s="1">
        <f t="shared" si="89"/>
        <v>0</v>
      </c>
      <c r="AA58" s="1">
        <f t="shared" si="90"/>
        <v>0</v>
      </c>
      <c r="AB58" s="1">
        <f t="shared" si="91"/>
        <v>0</v>
      </c>
      <c r="AC58" s="1">
        <f t="shared" si="92"/>
        <v>0</v>
      </c>
      <c r="AD58" s="1">
        <f t="shared" si="93"/>
        <v>0</v>
      </c>
      <c r="AE58" s="1">
        <f t="shared" si="94"/>
        <v>0</v>
      </c>
      <c r="AF58" s="1">
        <f t="shared" si="95"/>
        <v>0</v>
      </c>
      <c r="AG58" s="1">
        <f t="shared" si="96"/>
        <v>0</v>
      </c>
      <c r="AH58" s="1">
        <f t="shared" si="97"/>
        <v>0</v>
      </c>
      <c r="AI58" s="1">
        <f t="shared" si="98"/>
        <v>0</v>
      </c>
      <c r="AJ58" s="1">
        <f t="shared" si="99"/>
        <v>0</v>
      </c>
      <c r="AK58" s="1">
        <f t="shared" si="100"/>
        <v>0</v>
      </c>
      <c r="AM58" s="852" t="s">
        <v>969</v>
      </c>
      <c r="AN58" s="852" t="s">
        <v>49</v>
      </c>
      <c r="AO58" s="852" t="s">
        <v>49</v>
      </c>
      <c r="AP58" s="852" t="s">
        <v>49</v>
      </c>
      <c r="AQ58" s="852" t="s">
        <v>969</v>
      </c>
      <c r="AR58" s="852" t="s">
        <v>49</v>
      </c>
      <c r="AS58" s="852" t="s">
        <v>49</v>
      </c>
      <c r="AT58" s="852" t="s">
        <v>969</v>
      </c>
      <c r="AU58" s="852" t="s">
        <v>49</v>
      </c>
      <c r="AV58" s="852" t="s">
        <v>976</v>
      </c>
      <c r="AW58" s="852" t="s">
        <v>49</v>
      </c>
      <c r="AX58" s="852" t="s">
        <v>49</v>
      </c>
      <c r="AY58" s="852" t="s">
        <v>49</v>
      </c>
      <c r="BA58" s="952"/>
      <c r="BB58" s="952" t="e">
        <f t="shared" si="71"/>
        <v>#REF!</v>
      </c>
      <c r="BC58" s="952"/>
      <c r="BD58" s="950" t="e">
        <f>BR58*#REF!</f>
        <v>#REF!</v>
      </c>
      <c r="BE58" s="950" t="e">
        <f>BS58*#REF!</f>
        <v>#REF!</v>
      </c>
      <c r="BF58" s="950" t="e">
        <f>BT58*#REF!</f>
        <v>#REF!</v>
      </c>
      <c r="BG58" s="950" t="e">
        <f>BU58*#REF!</f>
        <v>#REF!</v>
      </c>
      <c r="BH58" s="951" t="e">
        <f>BV58*#REF!</f>
        <v>#REF!</v>
      </c>
      <c r="BI58" s="950" t="e">
        <f>BW58*#REF!</f>
        <v>#REF!</v>
      </c>
      <c r="BJ58" s="950" t="e">
        <f>BX58*#REF!</f>
        <v>#REF!</v>
      </c>
      <c r="BK58" s="950" t="e">
        <f>BY58*#REF!</f>
        <v>#REF!</v>
      </c>
      <c r="BL58" s="950" t="e">
        <f>BZ58*#REF!</f>
        <v>#REF!</v>
      </c>
      <c r="BM58" s="950" t="e">
        <f>CA58*#REF!</f>
        <v>#REF!</v>
      </c>
      <c r="BO58" s="949" t="str">
        <f t="shared" si="72"/>
        <v>4.2.4</v>
      </c>
      <c r="BP58" s="949" t="str">
        <f t="shared" si="73"/>
        <v xml:space="preserve"> Q1 4.2</v>
      </c>
      <c r="BQ58" s="948">
        <f t="shared" si="74"/>
        <v>0</v>
      </c>
      <c r="BR58" s="945">
        <f t="shared" si="75"/>
        <v>0</v>
      </c>
      <c r="BS58" s="945">
        <f t="shared" si="76"/>
        <v>0</v>
      </c>
      <c r="BT58" s="945">
        <f t="shared" si="77"/>
        <v>0</v>
      </c>
      <c r="BU58" s="945">
        <f t="shared" si="78"/>
        <v>0</v>
      </c>
      <c r="BV58" s="947">
        <f t="shared" si="79"/>
        <v>0</v>
      </c>
      <c r="BW58" s="945">
        <f t="shared" si="80"/>
        <v>0</v>
      </c>
      <c r="BX58" s="945">
        <f t="shared" si="81"/>
        <v>0</v>
      </c>
      <c r="BY58" s="945">
        <f t="shared" si="82"/>
        <v>0</v>
      </c>
      <c r="BZ58" s="945">
        <f t="shared" si="83"/>
        <v>0</v>
      </c>
      <c r="CA58" s="945">
        <f t="shared" si="84"/>
        <v>0</v>
      </c>
      <c r="CB58" s="946">
        <f t="shared" si="85"/>
        <v>0</v>
      </c>
      <c r="CC58" s="945">
        <f t="shared" si="86"/>
        <v>0</v>
      </c>
      <c r="CD58" s="945">
        <f t="shared" si="87"/>
        <v>0</v>
      </c>
      <c r="CF58" s="455" t="s">
        <v>990</v>
      </c>
      <c r="CG58" s="459" t="s">
        <v>598</v>
      </c>
      <c r="CH58" s="456" t="s">
        <v>992</v>
      </c>
      <c r="CI58" s="482">
        <v>0.25</v>
      </c>
      <c r="CJ58" s="482">
        <v>0.25</v>
      </c>
      <c r="CK58" s="491">
        <v>0.33333333333333331</v>
      </c>
      <c r="CL58" s="491">
        <v>0.33333333333333331</v>
      </c>
      <c r="CM58" s="491">
        <v>0.33333333333333331</v>
      </c>
      <c r="CN58" s="482">
        <v>0.25</v>
      </c>
      <c r="CO58" s="461">
        <v>0.25</v>
      </c>
      <c r="CP58" s="491">
        <v>0.33333333333333331</v>
      </c>
      <c r="CQ58" s="491">
        <v>0.33333333333333331</v>
      </c>
      <c r="CR58" s="482"/>
      <c r="CS58" s="462">
        <v>0.25</v>
      </c>
      <c r="CT58" s="461">
        <v>0.25</v>
      </c>
      <c r="CU58" s="461">
        <v>0.33</v>
      </c>
      <c r="CW58" s="455" t="s">
        <v>991</v>
      </c>
      <c r="CX58" s="459" t="s">
        <v>598</v>
      </c>
      <c r="CY58" s="456" t="s">
        <v>648</v>
      </c>
      <c r="CZ58" s="461"/>
      <c r="DA58" s="461"/>
      <c r="DB58" s="461"/>
      <c r="DC58" s="461"/>
      <c r="DD58" s="468"/>
      <c r="DE58" s="461"/>
      <c r="DF58" s="461"/>
      <c r="DG58" s="461"/>
      <c r="DH58" s="461"/>
      <c r="DI58" s="461"/>
      <c r="DJ58" s="462"/>
      <c r="DK58" s="461"/>
      <c r="DL58" s="461"/>
      <c r="DN58" s="475" t="s">
        <v>990</v>
      </c>
      <c r="DO58" s="478" t="s">
        <v>598</v>
      </c>
      <c r="DP58" s="476"/>
      <c r="DQ58" s="482"/>
      <c r="DR58" s="482"/>
      <c r="DS58" s="482"/>
      <c r="DT58" s="482"/>
      <c r="DU58" s="482"/>
      <c r="DV58" s="482"/>
      <c r="DW58" s="482"/>
      <c r="DX58" s="482"/>
      <c r="DY58" s="482"/>
      <c r="DZ58" s="482"/>
      <c r="EA58" s="484"/>
      <c r="EB58" s="482"/>
      <c r="EC58" s="482"/>
      <c r="ED58" s="556"/>
      <c r="EF58" s="475" t="s">
        <v>647</v>
      </c>
      <c r="EG58" s="478" t="s">
        <v>598</v>
      </c>
      <c r="EH58" s="476"/>
      <c r="EI58" s="616"/>
      <c r="EJ58" s="616"/>
      <c r="EK58" s="616"/>
      <c r="EL58" s="616"/>
      <c r="EM58" s="616"/>
      <c r="EN58" s="616"/>
      <c r="EO58" s="616"/>
      <c r="EP58" s="616"/>
      <c r="EQ58" s="616"/>
      <c r="ER58" s="616"/>
      <c r="ES58" s="618"/>
      <c r="ET58" s="616"/>
      <c r="EU58" s="616"/>
      <c r="EW58" s="475"/>
      <c r="EX58" s="478"/>
      <c r="EY58" s="476"/>
      <c r="EZ58" s="651"/>
      <c r="FA58" s="651"/>
      <c r="FB58" s="651"/>
      <c r="FC58" s="651"/>
      <c r="FD58" s="651"/>
      <c r="FE58" s="651"/>
      <c r="FF58" s="651"/>
      <c r="FG58" s="651"/>
      <c r="FH58" s="651"/>
      <c r="FI58" s="651"/>
      <c r="FJ58" s="653"/>
      <c r="FK58" s="651"/>
      <c r="FL58" s="651"/>
    </row>
    <row r="59" spans="2:168" ht="14.25" thickBot="1">
      <c r="B59" s="732">
        <f t="shared" si="101"/>
        <v>4.3</v>
      </c>
      <c r="C59" s="408" t="str">
        <f t="shared" si="65"/>
        <v>運用管理</v>
      </c>
      <c r="D59" s="731" t="e">
        <f>IF(I$48=0,0,G59/I$48)</f>
        <v>#REF!</v>
      </c>
      <c r="E59" s="730" t="e">
        <f>IF(J$48=0,0,H59/J$48)</f>
        <v>#REF!</v>
      </c>
      <c r="G59" s="730" t="e">
        <f t="shared" si="67"/>
        <v>#REF!</v>
      </c>
      <c r="H59" s="730" t="e">
        <f t="shared" si="68"/>
        <v>#REF!</v>
      </c>
      <c r="I59" s="730" t="e">
        <f>G60+G61</f>
        <v>#REF!</v>
      </c>
      <c r="J59" s="730" t="e">
        <f>H60+H61</f>
        <v>#REF!</v>
      </c>
      <c r="K59" s="730" t="e">
        <f>IF(#REF!=0,0,1)</f>
        <v>#REF!</v>
      </c>
      <c r="L59" s="730" t="e">
        <f>IF(#REF!=0,0,1)</f>
        <v>#REF!</v>
      </c>
      <c r="M59" s="730">
        <f t="shared" si="69"/>
        <v>0.2</v>
      </c>
      <c r="N59" s="730">
        <f t="shared" si="70"/>
        <v>0</v>
      </c>
      <c r="P59" s="832"/>
      <c r="Q59" s="744">
        <v>4.3</v>
      </c>
      <c r="R59" s="838" t="s">
        <v>543</v>
      </c>
      <c r="S59" s="815"/>
      <c r="T59" s="815"/>
      <c r="U59" s="726"/>
      <c r="V59" s="814">
        <f t="shared" si="104"/>
        <v>0</v>
      </c>
      <c r="W59" s="813">
        <f t="shared" si="105"/>
        <v>0</v>
      </c>
      <c r="Y59" s="1">
        <f t="shared" si="88"/>
        <v>0</v>
      </c>
      <c r="Z59" s="1">
        <f t="shared" si="89"/>
        <v>0</v>
      </c>
      <c r="AA59" s="1">
        <f t="shared" si="90"/>
        <v>0</v>
      </c>
      <c r="AB59" s="1">
        <f t="shared" si="91"/>
        <v>0</v>
      </c>
      <c r="AC59" s="1">
        <f t="shared" si="92"/>
        <v>0</v>
      </c>
      <c r="AD59" s="1">
        <f t="shared" si="93"/>
        <v>0</v>
      </c>
      <c r="AE59" s="1">
        <f t="shared" si="94"/>
        <v>0</v>
      </c>
      <c r="AF59" s="1">
        <f t="shared" si="95"/>
        <v>0</v>
      </c>
      <c r="AG59" s="1">
        <f t="shared" si="96"/>
        <v>0</v>
      </c>
      <c r="AH59" s="1">
        <f t="shared" si="97"/>
        <v>0</v>
      </c>
      <c r="AI59" s="1">
        <f t="shared" si="98"/>
        <v>0</v>
      </c>
      <c r="AJ59" s="1">
        <f t="shared" si="99"/>
        <v>0</v>
      </c>
      <c r="AK59" s="1">
        <f t="shared" si="100"/>
        <v>0</v>
      </c>
      <c r="AM59" s="812" t="s">
        <v>49</v>
      </c>
      <c r="AN59" s="812" t="s">
        <v>49</v>
      </c>
      <c r="AO59" s="812" t="s">
        <v>969</v>
      </c>
      <c r="AP59" s="812" t="s">
        <v>49</v>
      </c>
      <c r="AQ59" s="812" t="s">
        <v>49</v>
      </c>
      <c r="AR59" s="812" t="s">
        <v>969</v>
      </c>
      <c r="AS59" s="812" t="s">
        <v>49</v>
      </c>
      <c r="AT59" s="812" t="s">
        <v>976</v>
      </c>
      <c r="AU59" s="812" t="s">
        <v>49</v>
      </c>
      <c r="AV59" s="812" t="s">
        <v>49</v>
      </c>
      <c r="AW59" s="812" t="s">
        <v>49</v>
      </c>
      <c r="AX59" s="812" t="s">
        <v>976</v>
      </c>
      <c r="AY59" s="812" t="s">
        <v>842</v>
      </c>
      <c r="BA59" s="723"/>
      <c r="BB59" s="723" t="e">
        <f t="shared" si="71"/>
        <v>#REF!</v>
      </c>
      <c r="BC59" s="723"/>
      <c r="BD59" s="722" t="e">
        <f>BR59*#REF!</f>
        <v>#REF!</v>
      </c>
      <c r="BE59" s="722" t="e">
        <f>BS59*#REF!</f>
        <v>#REF!</v>
      </c>
      <c r="BF59" s="722" t="e">
        <f>BT59*#REF!</f>
        <v>#REF!</v>
      </c>
      <c r="BG59" s="722" t="e">
        <f>BU59*#REF!</f>
        <v>#REF!</v>
      </c>
      <c r="BH59" s="803" t="e">
        <f>BV59*#REF!</f>
        <v>#REF!</v>
      </c>
      <c r="BI59" s="722" t="e">
        <f>BW59*#REF!</f>
        <v>#REF!</v>
      </c>
      <c r="BJ59" s="722" t="e">
        <f>BX59*#REF!</f>
        <v>#REF!</v>
      </c>
      <c r="BK59" s="722" t="e">
        <f>BY59*#REF!</f>
        <v>#REF!</v>
      </c>
      <c r="BL59" s="722" t="e">
        <f>BZ59*#REF!</f>
        <v>#REF!</v>
      </c>
      <c r="BM59" s="722" t="e">
        <f>CA59*#REF!</f>
        <v>#REF!</v>
      </c>
      <c r="BO59" s="749">
        <f t="shared" si="72"/>
        <v>4.3</v>
      </c>
      <c r="BP59" s="749" t="str">
        <f t="shared" si="73"/>
        <v xml:space="preserve"> Q1 4</v>
      </c>
      <c r="BQ59" s="408" t="str">
        <f t="shared" si="74"/>
        <v>運用管理</v>
      </c>
      <c r="BR59" s="719">
        <f t="shared" si="75"/>
        <v>0.2</v>
      </c>
      <c r="BS59" s="719">
        <f t="shared" si="76"/>
        <v>0.2</v>
      </c>
      <c r="BT59" s="719">
        <f t="shared" si="77"/>
        <v>0.2</v>
      </c>
      <c r="BU59" s="719">
        <f t="shared" si="78"/>
        <v>0.2</v>
      </c>
      <c r="BV59" s="802">
        <f t="shared" si="79"/>
        <v>0.2</v>
      </c>
      <c r="BW59" s="719">
        <f t="shared" si="80"/>
        <v>0.2</v>
      </c>
      <c r="BX59" s="719">
        <f t="shared" si="81"/>
        <v>0.2</v>
      </c>
      <c r="BY59" s="719">
        <f t="shared" si="82"/>
        <v>0.2</v>
      </c>
      <c r="BZ59" s="719">
        <f t="shared" si="83"/>
        <v>0.2</v>
      </c>
      <c r="CA59" s="719">
        <f t="shared" si="84"/>
        <v>0</v>
      </c>
      <c r="CB59" s="748">
        <f t="shared" si="85"/>
        <v>0</v>
      </c>
      <c r="CC59" s="719">
        <f t="shared" si="86"/>
        <v>0</v>
      </c>
      <c r="CD59" s="719">
        <f t="shared" si="87"/>
        <v>0</v>
      </c>
      <c r="CF59" s="455">
        <v>4.3</v>
      </c>
      <c r="CG59" s="459" t="s">
        <v>593</v>
      </c>
      <c r="CH59" s="456" t="s">
        <v>543</v>
      </c>
      <c r="CI59" s="487">
        <v>0.2</v>
      </c>
      <c r="CJ59" s="487">
        <v>0.2</v>
      </c>
      <c r="CK59" s="487">
        <v>0.2</v>
      </c>
      <c r="CL59" s="487">
        <v>0.2</v>
      </c>
      <c r="CM59" s="488">
        <v>0.2</v>
      </c>
      <c r="CN59" s="487">
        <v>0.2</v>
      </c>
      <c r="CO59" s="461">
        <v>0.2</v>
      </c>
      <c r="CP59" s="487">
        <v>0.2</v>
      </c>
      <c r="CQ59" s="487">
        <v>0.2</v>
      </c>
      <c r="CR59" s="487"/>
      <c r="CS59" s="462"/>
      <c r="CT59" s="461"/>
      <c r="CU59" s="461"/>
      <c r="CW59" s="455">
        <v>4.3</v>
      </c>
      <c r="CX59" s="459" t="s">
        <v>593</v>
      </c>
      <c r="CY59" s="456" t="s">
        <v>543</v>
      </c>
      <c r="CZ59" s="461">
        <v>0.2</v>
      </c>
      <c r="DA59" s="461">
        <v>0.2</v>
      </c>
      <c r="DB59" s="461">
        <v>0.2</v>
      </c>
      <c r="DC59" s="461">
        <v>0.2</v>
      </c>
      <c r="DD59" s="468">
        <v>0.2</v>
      </c>
      <c r="DE59" s="461">
        <v>0.2</v>
      </c>
      <c r="DF59" s="461">
        <v>0.2</v>
      </c>
      <c r="DG59" s="461">
        <v>0.2</v>
      </c>
      <c r="DH59" s="461">
        <v>0.2</v>
      </c>
      <c r="DI59" s="461"/>
      <c r="DJ59" s="462"/>
      <c r="DK59" s="461"/>
      <c r="DL59" s="461"/>
      <c r="DN59" s="455">
        <v>4.3</v>
      </c>
      <c r="DO59" s="459" t="s">
        <v>593</v>
      </c>
      <c r="DP59" s="456" t="s">
        <v>543</v>
      </c>
      <c r="DQ59" s="487">
        <v>0.2</v>
      </c>
      <c r="DR59" s="487">
        <v>0.2</v>
      </c>
      <c r="DS59" s="487">
        <v>0.2</v>
      </c>
      <c r="DT59" s="487">
        <v>0.2</v>
      </c>
      <c r="DU59" s="577">
        <v>0.2</v>
      </c>
      <c r="DV59" s="487">
        <v>0.2</v>
      </c>
      <c r="DW59" s="487">
        <v>0.2</v>
      </c>
      <c r="DX59" s="487">
        <v>0.2</v>
      </c>
      <c r="DY59" s="487">
        <v>0.2</v>
      </c>
      <c r="DZ59" s="487"/>
      <c r="EA59" s="489"/>
      <c r="EB59" s="487"/>
      <c r="EC59" s="487"/>
      <c r="ED59" s="556"/>
      <c r="EF59" s="455">
        <v>4.3</v>
      </c>
      <c r="EG59" s="459" t="s">
        <v>593</v>
      </c>
      <c r="EH59" s="456" t="s">
        <v>543</v>
      </c>
      <c r="EI59" s="609">
        <f t="shared" ref="EI59:EU61" si="113">DQ59</f>
        <v>0.2</v>
      </c>
      <c r="EJ59" s="609">
        <f t="shared" si="113"/>
        <v>0.2</v>
      </c>
      <c r="EK59" s="609">
        <f t="shared" si="113"/>
        <v>0.2</v>
      </c>
      <c r="EL59" s="609">
        <f t="shared" si="113"/>
        <v>0.2</v>
      </c>
      <c r="EM59" s="612">
        <f t="shared" si="113"/>
        <v>0.2</v>
      </c>
      <c r="EN59" s="609">
        <f t="shared" si="113"/>
        <v>0.2</v>
      </c>
      <c r="EO59" s="609">
        <f t="shared" si="113"/>
        <v>0.2</v>
      </c>
      <c r="EP59" s="609">
        <f t="shared" si="113"/>
        <v>0.2</v>
      </c>
      <c r="EQ59" s="609">
        <f t="shared" si="113"/>
        <v>0.2</v>
      </c>
      <c r="ER59" s="609">
        <f t="shared" si="113"/>
        <v>0</v>
      </c>
      <c r="ES59" s="611">
        <f t="shared" si="113"/>
        <v>0</v>
      </c>
      <c r="ET59" s="609">
        <f t="shared" si="113"/>
        <v>0</v>
      </c>
      <c r="EU59" s="609">
        <f t="shared" si="113"/>
        <v>0</v>
      </c>
      <c r="EW59" s="455">
        <v>4.3</v>
      </c>
      <c r="EX59" s="459" t="s">
        <v>593</v>
      </c>
      <c r="EY59" s="456" t="s">
        <v>543</v>
      </c>
      <c r="EZ59" s="598">
        <f>DQ59</f>
        <v>0.2</v>
      </c>
      <c r="FA59" s="598"/>
      <c r="FB59" s="598"/>
      <c r="FC59" s="598"/>
      <c r="FD59" s="654"/>
      <c r="FE59" s="598"/>
      <c r="FF59" s="598"/>
      <c r="FG59" s="598"/>
      <c r="FH59" s="598"/>
      <c r="FI59" s="598"/>
      <c r="FJ59" s="647"/>
      <c r="FK59" s="598"/>
      <c r="FL59" s="598"/>
    </row>
    <row r="60" spans="2:168">
      <c r="B60" s="732" t="str">
        <f t="shared" si="101"/>
        <v>4.3.1</v>
      </c>
      <c r="C60" s="408" t="str">
        <f t="shared" si="65"/>
        <v>CO2の監視</v>
      </c>
      <c r="D60" s="809" t="e">
        <f>IF(I$59&gt;0,G60/I$59,0)</f>
        <v>#REF!</v>
      </c>
      <c r="E60" s="730" t="e">
        <f>IF(J$59&gt;0,H60/J$59,0)</f>
        <v>#REF!</v>
      </c>
      <c r="G60" s="730" t="e">
        <f t="shared" si="67"/>
        <v>#REF!</v>
      </c>
      <c r="H60" s="730" t="e">
        <f t="shared" si="68"/>
        <v>#REF!</v>
      </c>
      <c r="I60" s="730"/>
      <c r="J60" s="730"/>
      <c r="K60" s="730" t="e">
        <f>IF(#REF!=0,0,1)</f>
        <v>#REF!</v>
      </c>
      <c r="L60" s="730" t="e">
        <f>IF(#REF!=0,0,1)</f>
        <v>#REF!</v>
      </c>
      <c r="M60" s="730">
        <f t="shared" si="69"/>
        <v>0.5</v>
      </c>
      <c r="N60" s="730">
        <f t="shared" si="70"/>
        <v>0</v>
      </c>
      <c r="P60" s="832"/>
      <c r="Q60" s="810"/>
      <c r="R60" s="414">
        <v>1</v>
      </c>
      <c r="S60" s="579" t="s">
        <v>544</v>
      </c>
      <c r="T60" s="745"/>
      <c r="U60" s="726"/>
      <c r="V60" s="734">
        <f t="shared" si="104"/>
        <v>0</v>
      </c>
      <c r="W60" s="733">
        <f t="shared" si="105"/>
        <v>0</v>
      </c>
      <c r="Y60" s="1">
        <f t="shared" si="88"/>
        <v>0</v>
      </c>
      <c r="Z60" s="1">
        <f t="shared" si="89"/>
        <v>0</v>
      </c>
      <c r="AA60" s="1">
        <f t="shared" si="90"/>
        <v>0</v>
      </c>
      <c r="AB60" s="1">
        <f t="shared" si="91"/>
        <v>0</v>
      </c>
      <c r="AC60" s="1">
        <f t="shared" si="92"/>
        <v>0</v>
      </c>
      <c r="AD60" s="1">
        <f t="shared" si="93"/>
        <v>0</v>
      </c>
      <c r="AE60" s="1">
        <f t="shared" si="94"/>
        <v>0</v>
      </c>
      <c r="AF60" s="1">
        <f t="shared" si="95"/>
        <v>0</v>
      </c>
      <c r="AG60" s="1">
        <f t="shared" si="96"/>
        <v>0</v>
      </c>
      <c r="AH60" s="1">
        <f t="shared" si="97"/>
        <v>0</v>
      </c>
      <c r="AI60" s="1">
        <f t="shared" si="98"/>
        <v>0</v>
      </c>
      <c r="AJ60" s="1">
        <f t="shared" si="99"/>
        <v>0</v>
      </c>
      <c r="AK60" s="1">
        <f t="shared" si="100"/>
        <v>0</v>
      </c>
      <c r="AM60" s="679"/>
      <c r="AN60" s="679"/>
      <c r="AO60" s="679"/>
      <c r="AP60" s="679"/>
      <c r="AQ60" s="679"/>
      <c r="AR60" s="679"/>
      <c r="AS60" s="679"/>
      <c r="AT60" s="679"/>
      <c r="AU60" s="679"/>
      <c r="AV60" s="679"/>
      <c r="AW60" s="679"/>
      <c r="AX60" s="679"/>
      <c r="AY60" s="679"/>
      <c r="BA60" s="723"/>
      <c r="BB60" s="723" t="e">
        <f t="shared" si="71"/>
        <v>#REF!</v>
      </c>
      <c r="BC60" s="723"/>
      <c r="BD60" s="722" t="e">
        <f>BR60*#REF!</f>
        <v>#REF!</v>
      </c>
      <c r="BE60" s="722" t="e">
        <f>BS60*#REF!</f>
        <v>#REF!</v>
      </c>
      <c r="BF60" s="722" t="e">
        <f>BT60*#REF!</f>
        <v>#REF!</v>
      </c>
      <c r="BG60" s="722" t="e">
        <f>BU60*#REF!</f>
        <v>#REF!</v>
      </c>
      <c r="BH60" s="803" t="e">
        <f>BV60*#REF!</f>
        <v>#REF!</v>
      </c>
      <c r="BI60" s="722" t="e">
        <f>BW60*#REF!</f>
        <v>#REF!</v>
      </c>
      <c r="BJ60" s="722" t="e">
        <f>BX60*#REF!</f>
        <v>#REF!</v>
      </c>
      <c r="BK60" s="722" t="e">
        <f>BY60*#REF!</f>
        <v>#REF!</v>
      </c>
      <c r="BL60" s="722" t="e">
        <f>BZ60*#REF!</f>
        <v>#REF!</v>
      </c>
      <c r="BM60" s="722" t="e">
        <f>CA60*#REF!</f>
        <v>#REF!</v>
      </c>
      <c r="BO60" s="749" t="str">
        <f t="shared" si="72"/>
        <v>4.3.1</v>
      </c>
      <c r="BP60" s="749" t="str">
        <f t="shared" si="73"/>
        <v xml:space="preserve"> Q1 4.3</v>
      </c>
      <c r="BQ60" s="408" t="str">
        <f t="shared" si="74"/>
        <v>CO2の監視</v>
      </c>
      <c r="BR60" s="719">
        <f t="shared" si="75"/>
        <v>0.5</v>
      </c>
      <c r="BS60" s="719">
        <f t="shared" si="76"/>
        <v>0.5</v>
      </c>
      <c r="BT60" s="719">
        <f t="shared" si="77"/>
        <v>0.5</v>
      </c>
      <c r="BU60" s="719">
        <f t="shared" si="78"/>
        <v>0.5</v>
      </c>
      <c r="BV60" s="802">
        <f t="shared" si="79"/>
        <v>0.5</v>
      </c>
      <c r="BW60" s="719">
        <f t="shared" si="80"/>
        <v>0.5</v>
      </c>
      <c r="BX60" s="719">
        <f t="shared" si="81"/>
        <v>0.5</v>
      </c>
      <c r="BY60" s="719">
        <f t="shared" si="82"/>
        <v>0</v>
      </c>
      <c r="BZ60" s="719">
        <f t="shared" si="83"/>
        <v>0</v>
      </c>
      <c r="CA60" s="719">
        <f t="shared" si="84"/>
        <v>0</v>
      </c>
      <c r="CB60" s="748">
        <f t="shared" si="85"/>
        <v>0</v>
      </c>
      <c r="CC60" s="719">
        <f t="shared" si="86"/>
        <v>0</v>
      </c>
      <c r="CD60" s="719">
        <f t="shared" si="87"/>
        <v>0</v>
      </c>
      <c r="CF60" s="455" t="s">
        <v>649</v>
      </c>
      <c r="CG60" s="459" t="s">
        <v>602</v>
      </c>
      <c r="CH60" s="456" t="s">
        <v>650</v>
      </c>
      <c r="CI60" s="487">
        <v>0.5</v>
      </c>
      <c r="CJ60" s="487">
        <v>0.5</v>
      </c>
      <c r="CK60" s="487">
        <v>0.5</v>
      </c>
      <c r="CL60" s="487">
        <v>0.5</v>
      </c>
      <c r="CM60" s="488">
        <v>0.5</v>
      </c>
      <c r="CN60" s="487">
        <v>0.5</v>
      </c>
      <c r="CO60" s="461">
        <v>0.5</v>
      </c>
      <c r="CP60" s="487"/>
      <c r="CQ60" s="487"/>
      <c r="CR60" s="487"/>
      <c r="CS60" s="462"/>
      <c r="CT60" s="461"/>
      <c r="CU60" s="461"/>
      <c r="CW60" s="455" t="s">
        <v>649</v>
      </c>
      <c r="CX60" s="459" t="s">
        <v>602</v>
      </c>
      <c r="CY60" s="456" t="s">
        <v>650</v>
      </c>
      <c r="CZ60" s="461">
        <v>0.5</v>
      </c>
      <c r="DA60" s="461">
        <v>0.5</v>
      </c>
      <c r="DB60" s="461">
        <v>0.5</v>
      </c>
      <c r="DC60" s="461">
        <v>0.5</v>
      </c>
      <c r="DD60" s="468">
        <v>0.5</v>
      </c>
      <c r="DE60" s="461">
        <v>0.5</v>
      </c>
      <c r="DF60" s="461">
        <v>0.5</v>
      </c>
      <c r="DG60" s="461"/>
      <c r="DH60" s="461"/>
      <c r="DI60" s="461"/>
      <c r="DJ60" s="462"/>
      <c r="DK60" s="461"/>
      <c r="DL60" s="461"/>
      <c r="DN60" s="455" t="s">
        <v>989</v>
      </c>
      <c r="DO60" s="459" t="s">
        <v>602</v>
      </c>
      <c r="DP60" s="456" t="s">
        <v>986</v>
      </c>
      <c r="DQ60" s="487">
        <v>0.5</v>
      </c>
      <c r="DR60" s="487">
        <v>0.5</v>
      </c>
      <c r="DS60" s="487">
        <v>0.5</v>
      </c>
      <c r="DT60" s="487">
        <v>0.5</v>
      </c>
      <c r="DU60" s="577">
        <v>0.5</v>
      </c>
      <c r="DV60" s="487">
        <v>0.5</v>
      </c>
      <c r="DW60" s="487">
        <v>0.5</v>
      </c>
      <c r="DX60" s="487"/>
      <c r="DY60" s="487"/>
      <c r="DZ60" s="487"/>
      <c r="EA60" s="489"/>
      <c r="EB60" s="487"/>
      <c r="EC60" s="487"/>
      <c r="ED60" s="556"/>
      <c r="EF60" s="455" t="s">
        <v>988</v>
      </c>
      <c r="EG60" s="459" t="s">
        <v>602</v>
      </c>
      <c r="EH60" s="456" t="s">
        <v>987</v>
      </c>
      <c r="EI60" s="609">
        <f t="shared" si="113"/>
        <v>0.5</v>
      </c>
      <c r="EJ60" s="609">
        <f t="shared" si="113"/>
        <v>0.5</v>
      </c>
      <c r="EK60" s="609">
        <f t="shared" si="113"/>
        <v>0.5</v>
      </c>
      <c r="EL60" s="609">
        <f t="shared" si="113"/>
        <v>0.5</v>
      </c>
      <c r="EM60" s="612">
        <f t="shared" si="113"/>
        <v>0.5</v>
      </c>
      <c r="EN60" s="609">
        <f t="shared" si="113"/>
        <v>0.5</v>
      </c>
      <c r="EO60" s="609">
        <f t="shared" si="113"/>
        <v>0.5</v>
      </c>
      <c r="EP60" s="609">
        <f t="shared" si="113"/>
        <v>0</v>
      </c>
      <c r="EQ60" s="609">
        <f t="shared" si="113"/>
        <v>0</v>
      </c>
      <c r="ER60" s="609">
        <f t="shared" si="113"/>
        <v>0</v>
      </c>
      <c r="ES60" s="611">
        <f t="shared" si="113"/>
        <v>0</v>
      </c>
      <c r="ET60" s="609">
        <f t="shared" si="113"/>
        <v>0</v>
      </c>
      <c r="EU60" s="609">
        <f t="shared" si="113"/>
        <v>0</v>
      </c>
      <c r="EW60" s="455" t="s">
        <v>649</v>
      </c>
      <c r="EX60" s="459" t="s">
        <v>602</v>
      </c>
      <c r="EY60" s="456" t="s">
        <v>986</v>
      </c>
      <c r="EZ60" s="598">
        <f>DQ60</f>
        <v>0.5</v>
      </c>
      <c r="FA60" s="598"/>
      <c r="FB60" s="598"/>
      <c r="FC60" s="598"/>
      <c r="FD60" s="654"/>
      <c r="FE60" s="598"/>
      <c r="FF60" s="598"/>
      <c r="FG60" s="598"/>
      <c r="FH60" s="598"/>
      <c r="FI60" s="598"/>
      <c r="FJ60" s="647"/>
      <c r="FK60" s="598"/>
      <c r="FL60" s="598"/>
    </row>
    <row r="61" spans="2:168" ht="14.25" thickBot="1">
      <c r="B61" s="732" t="str">
        <f t="shared" si="101"/>
        <v>4.3.2</v>
      </c>
      <c r="C61" s="408" t="str">
        <f t="shared" si="65"/>
        <v>喫煙の制御</v>
      </c>
      <c r="D61" s="809" t="e">
        <f>IF(I$59&gt;0,G61/I$59,0)</f>
        <v>#REF!</v>
      </c>
      <c r="E61" s="730" t="e">
        <f>IF(J$59&gt;0,H61/J$59,0)</f>
        <v>#REF!</v>
      </c>
      <c r="G61" s="730" t="e">
        <f t="shared" si="67"/>
        <v>#REF!</v>
      </c>
      <c r="H61" s="730" t="e">
        <f t="shared" si="68"/>
        <v>#REF!</v>
      </c>
      <c r="I61" s="730"/>
      <c r="J61" s="730"/>
      <c r="K61" s="730" t="e">
        <f>IF(#REF!=0,0,1)</f>
        <v>#REF!</v>
      </c>
      <c r="L61" s="730" t="e">
        <f>IF(#REF!=0,0,1)</f>
        <v>#REF!</v>
      </c>
      <c r="M61" s="730">
        <f t="shared" si="69"/>
        <v>0.5</v>
      </c>
      <c r="N61" s="730">
        <f t="shared" si="70"/>
        <v>0</v>
      </c>
      <c r="P61" s="832"/>
      <c r="Q61" s="810"/>
      <c r="R61" s="727">
        <v>2</v>
      </c>
      <c r="S61" s="816" t="s">
        <v>545</v>
      </c>
      <c r="T61" s="815"/>
      <c r="U61" s="726"/>
      <c r="V61" s="725">
        <f t="shared" si="104"/>
        <v>0</v>
      </c>
      <c r="W61" s="724">
        <f t="shared" si="105"/>
        <v>0</v>
      </c>
      <c r="Y61" s="1">
        <f t="shared" si="88"/>
        <v>0</v>
      </c>
      <c r="Z61" s="1">
        <f t="shared" si="89"/>
        <v>0</v>
      </c>
      <c r="AA61" s="1">
        <f t="shared" si="90"/>
        <v>0</v>
      </c>
      <c r="AB61" s="1">
        <f t="shared" si="91"/>
        <v>0</v>
      </c>
      <c r="AC61" s="1">
        <f t="shared" si="92"/>
        <v>0</v>
      </c>
      <c r="AD61" s="1">
        <f t="shared" si="93"/>
        <v>0</v>
      </c>
      <c r="AE61" s="1">
        <f t="shared" si="94"/>
        <v>0</v>
      </c>
      <c r="AF61" s="1">
        <f t="shared" si="95"/>
        <v>0</v>
      </c>
      <c r="AG61" s="1">
        <f t="shared" si="96"/>
        <v>0</v>
      </c>
      <c r="AH61" s="1">
        <f t="shared" si="97"/>
        <v>0</v>
      </c>
      <c r="AI61" s="1">
        <f t="shared" si="98"/>
        <v>0</v>
      </c>
      <c r="AJ61" s="1">
        <f t="shared" si="99"/>
        <v>0</v>
      </c>
      <c r="AK61" s="1">
        <f t="shared" si="100"/>
        <v>0</v>
      </c>
      <c r="AM61" s="680"/>
      <c r="AN61" s="680"/>
      <c r="AO61" s="680"/>
      <c r="AP61" s="680"/>
      <c r="AQ61" s="680"/>
      <c r="AR61" s="680"/>
      <c r="AS61" s="680"/>
      <c r="AT61" s="680"/>
      <c r="AU61" s="680"/>
      <c r="AV61" s="680"/>
      <c r="AW61" s="680"/>
      <c r="AX61" s="680"/>
      <c r="AY61" s="680"/>
      <c r="BA61" s="723"/>
      <c r="BB61" s="723" t="e">
        <f t="shared" si="71"/>
        <v>#REF!</v>
      </c>
      <c r="BC61" s="723"/>
      <c r="BD61" s="722" t="e">
        <f>BR61*#REF!</f>
        <v>#REF!</v>
      </c>
      <c r="BE61" s="722" t="e">
        <f>BS61*#REF!</f>
        <v>#REF!</v>
      </c>
      <c r="BF61" s="722" t="e">
        <f>BT61*#REF!</f>
        <v>#REF!</v>
      </c>
      <c r="BG61" s="722" t="e">
        <f>BU61*#REF!</f>
        <v>#REF!</v>
      </c>
      <c r="BH61" s="803" t="e">
        <f>BV61*#REF!</f>
        <v>#REF!</v>
      </c>
      <c r="BI61" s="722" t="e">
        <f>BW61*#REF!</f>
        <v>#REF!</v>
      </c>
      <c r="BJ61" s="722" t="e">
        <f>BX61*#REF!</f>
        <v>#REF!</v>
      </c>
      <c r="BK61" s="722" t="e">
        <f>BY61*#REF!</f>
        <v>#REF!</v>
      </c>
      <c r="BL61" s="722" t="e">
        <f>BZ61*#REF!</f>
        <v>#REF!</v>
      </c>
      <c r="BM61" s="722" t="e">
        <f>CA61*#REF!</f>
        <v>#REF!</v>
      </c>
      <c r="BO61" s="749" t="str">
        <f t="shared" si="72"/>
        <v>4.3.2</v>
      </c>
      <c r="BP61" s="749" t="str">
        <f t="shared" si="73"/>
        <v xml:space="preserve"> Q1 4.3</v>
      </c>
      <c r="BQ61" s="408" t="str">
        <f t="shared" si="74"/>
        <v>喫煙の制御</v>
      </c>
      <c r="BR61" s="719">
        <f t="shared" si="75"/>
        <v>0.5</v>
      </c>
      <c r="BS61" s="719">
        <f t="shared" si="76"/>
        <v>0.5</v>
      </c>
      <c r="BT61" s="719">
        <f t="shared" si="77"/>
        <v>0.5</v>
      </c>
      <c r="BU61" s="719">
        <f t="shared" si="78"/>
        <v>0.5</v>
      </c>
      <c r="BV61" s="802">
        <f t="shared" si="79"/>
        <v>0.5</v>
      </c>
      <c r="BW61" s="719">
        <f t="shared" si="80"/>
        <v>0.5</v>
      </c>
      <c r="BX61" s="719">
        <f t="shared" si="81"/>
        <v>0.5</v>
      </c>
      <c r="BY61" s="719">
        <f t="shared" si="82"/>
        <v>1</v>
      </c>
      <c r="BZ61" s="719">
        <f t="shared" si="83"/>
        <v>1</v>
      </c>
      <c r="CA61" s="719">
        <f t="shared" si="84"/>
        <v>0</v>
      </c>
      <c r="CB61" s="748">
        <f t="shared" si="85"/>
        <v>0</v>
      </c>
      <c r="CC61" s="719">
        <f t="shared" si="86"/>
        <v>0</v>
      </c>
      <c r="CD61" s="719">
        <f t="shared" si="87"/>
        <v>0</v>
      </c>
      <c r="CF61" s="455" t="s">
        <v>651</v>
      </c>
      <c r="CG61" s="459" t="s">
        <v>602</v>
      </c>
      <c r="CH61" s="456" t="s">
        <v>652</v>
      </c>
      <c r="CI61" s="487">
        <v>0.5</v>
      </c>
      <c r="CJ61" s="487">
        <v>0.5</v>
      </c>
      <c r="CK61" s="487">
        <v>0.5</v>
      </c>
      <c r="CL61" s="487">
        <v>0.5</v>
      </c>
      <c r="CM61" s="488">
        <v>0.5</v>
      </c>
      <c r="CN61" s="487">
        <v>0.5</v>
      </c>
      <c r="CO61" s="461">
        <v>0.5</v>
      </c>
      <c r="CP61" s="487">
        <v>1</v>
      </c>
      <c r="CQ61" s="487">
        <v>1</v>
      </c>
      <c r="CR61" s="487"/>
      <c r="CS61" s="462"/>
      <c r="CT61" s="461"/>
      <c r="CU61" s="461"/>
      <c r="CW61" s="455" t="s">
        <v>651</v>
      </c>
      <c r="CX61" s="459" t="s">
        <v>602</v>
      </c>
      <c r="CY61" s="456" t="s">
        <v>652</v>
      </c>
      <c r="CZ61" s="461">
        <v>0.5</v>
      </c>
      <c r="DA61" s="461">
        <v>0.5</v>
      </c>
      <c r="DB61" s="461">
        <v>0.5</v>
      </c>
      <c r="DC61" s="461">
        <v>0.5</v>
      </c>
      <c r="DD61" s="468">
        <v>0.5</v>
      </c>
      <c r="DE61" s="461">
        <v>0.5</v>
      </c>
      <c r="DF61" s="461">
        <v>0.5</v>
      </c>
      <c r="DG61" s="461">
        <v>1</v>
      </c>
      <c r="DH61" s="461">
        <v>1</v>
      </c>
      <c r="DI61" s="461"/>
      <c r="DJ61" s="462"/>
      <c r="DK61" s="461"/>
      <c r="DL61" s="461"/>
      <c r="DN61" s="455" t="s">
        <v>985</v>
      </c>
      <c r="DO61" s="459" t="s">
        <v>602</v>
      </c>
      <c r="DP61" s="456" t="s">
        <v>652</v>
      </c>
      <c r="DQ61" s="487">
        <v>0.5</v>
      </c>
      <c r="DR61" s="487">
        <v>0.5</v>
      </c>
      <c r="DS61" s="487">
        <v>0.5</v>
      </c>
      <c r="DT61" s="487">
        <v>0.5</v>
      </c>
      <c r="DU61" s="577">
        <v>0.5</v>
      </c>
      <c r="DV61" s="487">
        <v>0.5</v>
      </c>
      <c r="DW61" s="487">
        <v>0.5</v>
      </c>
      <c r="DX61" s="487">
        <v>1</v>
      </c>
      <c r="DY61" s="487">
        <v>1</v>
      </c>
      <c r="DZ61" s="487"/>
      <c r="EA61" s="489"/>
      <c r="EB61" s="487"/>
      <c r="EC61" s="487"/>
      <c r="ED61" s="556"/>
      <c r="EF61" s="455" t="s">
        <v>651</v>
      </c>
      <c r="EG61" s="459" t="s">
        <v>602</v>
      </c>
      <c r="EH61" s="456" t="s">
        <v>652</v>
      </c>
      <c r="EI61" s="609">
        <f t="shared" si="113"/>
        <v>0.5</v>
      </c>
      <c r="EJ61" s="609">
        <f t="shared" si="113"/>
        <v>0.5</v>
      </c>
      <c r="EK61" s="609">
        <f t="shared" si="113"/>
        <v>0.5</v>
      </c>
      <c r="EL61" s="609">
        <f t="shared" si="113"/>
        <v>0.5</v>
      </c>
      <c r="EM61" s="612">
        <f t="shared" si="113"/>
        <v>0.5</v>
      </c>
      <c r="EN61" s="609">
        <f t="shared" si="113"/>
        <v>0.5</v>
      </c>
      <c r="EO61" s="609">
        <f t="shared" si="113"/>
        <v>0.5</v>
      </c>
      <c r="EP61" s="609">
        <f t="shared" si="113"/>
        <v>1</v>
      </c>
      <c r="EQ61" s="609">
        <f t="shared" si="113"/>
        <v>1</v>
      </c>
      <c r="ER61" s="609">
        <f t="shared" si="113"/>
        <v>0</v>
      </c>
      <c r="ES61" s="611">
        <f t="shared" si="113"/>
        <v>0</v>
      </c>
      <c r="ET61" s="609">
        <f t="shared" si="113"/>
        <v>0</v>
      </c>
      <c r="EU61" s="609">
        <f t="shared" si="113"/>
        <v>0</v>
      </c>
      <c r="EW61" s="455" t="s">
        <v>984</v>
      </c>
      <c r="EX61" s="459" t="s">
        <v>602</v>
      </c>
      <c r="EY61" s="456" t="s">
        <v>983</v>
      </c>
      <c r="EZ61" s="598">
        <f>DQ61</f>
        <v>0.5</v>
      </c>
      <c r="FA61" s="598"/>
      <c r="FB61" s="598"/>
      <c r="FC61" s="598"/>
      <c r="FD61" s="654"/>
      <c r="FE61" s="598"/>
      <c r="FF61" s="598"/>
      <c r="FG61" s="598"/>
      <c r="FH61" s="598"/>
      <c r="FI61" s="598"/>
      <c r="FJ61" s="647"/>
      <c r="FK61" s="598"/>
      <c r="FL61" s="598"/>
    </row>
    <row r="62" spans="2:168" ht="14.25" thickBot="1">
      <c r="B62" s="732" t="str">
        <f t="shared" si="101"/>
        <v>Q2</v>
      </c>
      <c r="C62" s="788" t="str">
        <f t="shared" si="65"/>
        <v>サービス性能</v>
      </c>
      <c r="D62" s="916" t="e">
        <f>IF(I$8=0,0,G62/I$8)</f>
        <v>#REF!</v>
      </c>
      <c r="E62" s="798" t="e">
        <f>IF(J$8=0,0,H62/J$8)</f>
        <v>#REF!</v>
      </c>
      <c r="G62" s="798" t="e">
        <f t="shared" si="67"/>
        <v>#REF!</v>
      </c>
      <c r="H62" s="798" t="e">
        <f t="shared" si="68"/>
        <v>#REF!</v>
      </c>
      <c r="I62" s="798" t="e">
        <f>G63+G78+G100</f>
        <v>#REF!</v>
      </c>
      <c r="J62" s="798" t="e">
        <f>H63+H78+H100</f>
        <v>#REF!</v>
      </c>
      <c r="K62" s="798" t="e">
        <f>IF(#REF!=0,0,1)</f>
        <v>#REF!</v>
      </c>
      <c r="L62" s="798" t="e">
        <f>IF(#REF!=0,0,1)</f>
        <v>#REF!</v>
      </c>
      <c r="M62" s="798">
        <f t="shared" si="69"/>
        <v>0.3</v>
      </c>
      <c r="N62" s="798">
        <f t="shared" si="70"/>
        <v>0</v>
      </c>
      <c r="P62" s="797" t="s">
        <v>430</v>
      </c>
      <c r="Q62" s="796" t="s">
        <v>431</v>
      </c>
      <c r="R62" s="944"/>
      <c r="S62" s="944"/>
      <c r="T62" s="943"/>
      <c r="U62" s="726"/>
      <c r="V62" s="794">
        <f t="shared" si="104"/>
        <v>0</v>
      </c>
      <c r="W62" s="793">
        <f t="shared" si="105"/>
        <v>0</v>
      </c>
      <c r="Y62" s="1">
        <f t="shared" si="88"/>
        <v>1</v>
      </c>
      <c r="Z62" s="1">
        <f t="shared" si="89"/>
        <v>1</v>
      </c>
      <c r="AA62" s="1">
        <f t="shared" si="90"/>
        <v>1</v>
      </c>
      <c r="AB62" s="1">
        <f t="shared" si="91"/>
        <v>1</v>
      </c>
      <c r="AC62" s="1">
        <f t="shared" si="92"/>
        <v>1</v>
      </c>
      <c r="AD62" s="1">
        <f t="shared" si="93"/>
        <v>1</v>
      </c>
      <c r="AE62" s="1">
        <f t="shared" si="94"/>
        <v>1</v>
      </c>
      <c r="AF62" s="1">
        <f t="shared" si="95"/>
        <v>1</v>
      </c>
      <c r="AG62" s="1">
        <f t="shared" si="96"/>
        <v>1</v>
      </c>
      <c r="AH62" s="1">
        <f t="shared" si="97"/>
        <v>1</v>
      </c>
      <c r="AI62" s="1">
        <f t="shared" si="98"/>
        <v>1</v>
      </c>
      <c r="AJ62" s="1">
        <f t="shared" si="99"/>
        <v>1</v>
      </c>
      <c r="AK62" s="1">
        <f t="shared" si="100"/>
        <v>1</v>
      </c>
      <c r="AM62" s="792" t="str">
        <f t="shared" ref="AM62:AY62" si="114">AM$6</f>
        <v>事務所</v>
      </c>
      <c r="AN62" s="792" t="str">
        <f t="shared" si="114"/>
        <v>学校</v>
      </c>
      <c r="AO62" s="792" t="str">
        <f t="shared" si="114"/>
        <v>物販店</v>
      </c>
      <c r="AP62" s="792" t="str">
        <f t="shared" si="114"/>
        <v>飲食店</v>
      </c>
      <c r="AQ62" s="792" t="str">
        <f t="shared" si="114"/>
        <v>集会所</v>
      </c>
      <c r="AR62" s="792" t="str">
        <f t="shared" si="114"/>
        <v>工場</v>
      </c>
      <c r="AS62" s="792" t="str">
        <f t="shared" si="114"/>
        <v>小中高</v>
      </c>
      <c r="AT62" s="792" t="str">
        <f t="shared" si="114"/>
        <v>病院</v>
      </c>
      <c r="AU62" s="792" t="str">
        <f t="shared" si="114"/>
        <v>ホテル</v>
      </c>
      <c r="AV62" s="792" t="str">
        <f t="shared" si="114"/>
        <v>集合住宅</v>
      </c>
      <c r="AW62" s="792" t="str">
        <f t="shared" si="114"/>
        <v>病院o</v>
      </c>
      <c r="AX62" s="792" t="str">
        <f t="shared" si="114"/>
        <v>ホテルo</v>
      </c>
      <c r="AY62" s="792" t="str">
        <f t="shared" si="114"/>
        <v>集合住宅o</v>
      </c>
      <c r="BA62" s="791" t="e">
        <f>BB62/$BC$8</f>
        <v>#REF!</v>
      </c>
      <c r="BB62" s="791" t="e">
        <f t="shared" si="71"/>
        <v>#REF!</v>
      </c>
      <c r="BC62" s="791" t="e">
        <f>BB63+BB78+BB100</f>
        <v>#REF!</v>
      </c>
      <c r="BD62" s="790" t="e">
        <f>BR62*#REF!</f>
        <v>#REF!</v>
      </c>
      <c r="BE62" s="790" t="e">
        <f>BS62*#REF!</f>
        <v>#REF!</v>
      </c>
      <c r="BF62" s="790" t="e">
        <f>BT62*#REF!</f>
        <v>#REF!</v>
      </c>
      <c r="BG62" s="790" t="e">
        <f>BU62*#REF!</f>
        <v>#REF!</v>
      </c>
      <c r="BH62" s="790" t="e">
        <f>BV62*#REF!</f>
        <v>#REF!</v>
      </c>
      <c r="BI62" s="790" t="e">
        <f>BW62*#REF!</f>
        <v>#REF!</v>
      </c>
      <c r="BJ62" s="790" t="e">
        <f>BX62*#REF!</f>
        <v>#REF!</v>
      </c>
      <c r="BK62" s="790" t="e">
        <f>BY62*#REF!</f>
        <v>#REF!</v>
      </c>
      <c r="BL62" s="790" t="e">
        <f>BZ62*#REF!</f>
        <v>#REF!</v>
      </c>
      <c r="BM62" s="790" t="e">
        <f>CA62*#REF!</f>
        <v>#REF!</v>
      </c>
      <c r="BO62" s="732" t="str">
        <f t="shared" si="72"/>
        <v>Q2</v>
      </c>
      <c r="BP62" s="732" t="str">
        <f t="shared" si="73"/>
        <v xml:space="preserve"> Q</v>
      </c>
      <c r="BQ62" s="788" t="str">
        <f t="shared" si="74"/>
        <v>サービス性能</v>
      </c>
      <c r="BR62" s="787">
        <f t="shared" si="75"/>
        <v>0.3</v>
      </c>
      <c r="BS62" s="787">
        <f t="shared" si="76"/>
        <v>0.3</v>
      </c>
      <c r="BT62" s="787">
        <f t="shared" si="77"/>
        <v>0.3</v>
      </c>
      <c r="BU62" s="787">
        <f t="shared" si="78"/>
        <v>0.3</v>
      </c>
      <c r="BV62" s="787">
        <f t="shared" si="79"/>
        <v>0.3</v>
      </c>
      <c r="BW62" s="787">
        <f t="shared" si="80"/>
        <v>0.3</v>
      </c>
      <c r="BX62" s="787">
        <f t="shared" si="81"/>
        <v>0.3</v>
      </c>
      <c r="BY62" s="787">
        <f t="shared" si="82"/>
        <v>0.3</v>
      </c>
      <c r="BZ62" s="787">
        <f t="shared" si="83"/>
        <v>0.3</v>
      </c>
      <c r="CA62" s="787">
        <f t="shared" si="84"/>
        <v>0.3</v>
      </c>
      <c r="CB62" s="877">
        <f t="shared" si="85"/>
        <v>0</v>
      </c>
      <c r="CC62" s="787">
        <f t="shared" si="86"/>
        <v>0</v>
      </c>
      <c r="CD62" s="787">
        <f t="shared" si="87"/>
        <v>0</v>
      </c>
      <c r="CF62" s="441" t="s">
        <v>558</v>
      </c>
      <c r="CG62" s="444" t="s">
        <v>178</v>
      </c>
      <c r="CH62" s="442" t="s">
        <v>431</v>
      </c>
      <c r="CI62" s="443">
        <v>0.3</v>
      </c>
      <c r="CJ62" s="443">
        <v>0.3</v>
      </c>
      <c r="CK62" s="443">
        <v>0.3</v>
      </c>
      <c r="CL62" s="443">
        <v>0.3</v>
      </c>
      <c r="CM62" s="443">
        <v>0.3</v>
      </c>
      <c r="CN62" s="443">
        <v>0.3</v>
      </c>
      <c r="CO62" s="445">
        <v>0.3</v>
      </c>
      <c r="CP62" s="443">
        <v>0.3</v>
      </c>
      <c r="CQ62" s="443">
        <v>0.3</v>
      </c>
      <c r="CR62" s="443">
        <v>0.3</v>
      </c>
      <c r="CS62" s="446">
        <v>0</v>
      </c>
      <c r="CT62" s="445">
        <v>0</v>
      </c>
      <c r="CU62" s="445">
        <v>0</v>
      </c>
      <c r="CW62" s="441" t="s">
        <v>982</v>
      </c>
      <c r="CX62" s="444" t="s">
        <v>178</v>
      </c>
      <c r="CY62" s="442" t="s">
        <v>981</v>
      </c>
      <c r="CZ62" s="445">
        <v>0.3</v>
      </c>
      <c r="DA62" s="445">
        <v>0.3</v>
      </c>
      <c r="DB62" s="445">
        <v>0.3</v>
      </c>
      <c r="DC62" s="445">
        <v>0.3</v>
      </c>
      <c r="DD62" s="445">
        <v>0.3</v>
      </c>
      <c r="DE62" s="445">
        <v>0.3</v>
      </c>
      <c r="DF62" s="445">
        <v>0.3</v>
      </c>
      <c r="DG62" s="445">
        <v>0.3</v>
      </c>
      <c r="DH62" s="445">
        <v>0.3</v>
      </c>
      <c r="DI62" s="445">
        <v>0.3</v>
      </c>
      <c r="DJ62" s="446"/>
      <c r="DK62" s="445"/>
      <c r="DL62" s="445"/>
      <c r="DN62" s="441" t="s">
        <v>558</v>
      </c>
      <c r="DO62" s="444" t="s">
        <v>178</v>
      </c>
      <c r="DP62" s="442" t="s">
        <v>980</v>
      </c>
      <c r="DQ62" s="445">
        <v>0.3</v>
      </c>
      <c r="DR62" s="445">
        <v>0.3</v>
      </c>
      <c r="DS62" s="445">
        <v>0.3</v>
      </c>
      <c r="DT62" s="445">
        <v>0.3</v>
      </c>
      <c r="DU62" s="445">
        <v>0.3</v>
      </c>
      <c r="DV62" s="445">
        <v>0.3</v>
      </c>
      <c r="DW62" s="445">
        <v>0.3</v>
      </c>
      <c r="DX62" s="445">
        <v>0.3</v>
      </c>
      <c r="DY62" s="445">
        <v>0.3</v>
      </c>
      <c r="DZ62" s="445">
        <v>0.3</v>
      </c>
      <c r="EA62" s="446"/>
      <c r="EB62" s="445"/>
      <c r="EC62" s="445"/>
      <c r="ED62" s="553"/>
      <c r="EF62" s="441" t="s">
        <v>979</v>
      </c>
      <c r="EG62" s="444" t="s">
        <v>178</v>
      </c>
      <c r="EH62" s="442" t="s">
        <v>431</v>
      </c>
      <c r="EI62" s="594">
        <v>0.15</v>
      </c>
      <c r="EJ62" s="594">
        <v>0.15</v>
      </c>
      <c r="EK62" s="594">
        <v>0.15</v>
      </c>
      <c r="EL62" s="594">
        <v>0.15</v>
      </c>
      <c r="EM62" s="594">
        <v>0.15</v>
      </c>
      <c r="EN62" s="594">
        <v>0.15</v>
      </c>
      <c r="EO62" s="594">
        <v>0.15</v>
      </c>
      <c r="EP62" s="594">
        <v>0.15</v>
      </c>
      <c r="EQ62" s="594">
        <v>0.15</v>
      </c>
      <c r="ER62" s="594">
        <v>0.15</v>
      </c>
      <c r="ES62" s="595">
        <f t="shared" ref="ES62:EU69" si="115">EA62</f>
        <v>0</v>
      </c>
      <c r="ET62" s="594">
        <f t="shared" si="115"/>
        <v>0</v>
      </c>
      <c r="EU62" s="594">
        <f t="shared" si="115"/>
        <v>0</v>
      </c>
      <c r="EW62" s="441" t="s">
        <v>558</v>
      </c>
      <c r="EX62" s="444" t="s">
        <v>178</v>
      </c>
      <c r="EY62" s="442" t="s">
        <v>431</v>
      </c>
      <c r="EZ62" s="665">
        <v>0.4</v>
      </c>
      <c r="FA62" s="594"/>
      <c r="FB62" s="594"/>
      <c r="FC62" s="594"/>
      <c r="FD62" s="594"/>
      <c r="FE62" s="594"/>
      <c r="FF62" s="594"/>
      <c r="FG62" s="594"/>
      <c r="FH62" s="594"/>
      <c r="FI62" s="594"/>
      <c r="FJ62" s="595"/>
      <c r="FK62" s="594"/>
      <c r="FL62" s="594"/>
    </row>
    <row r="63" spans="2:168">
      <c r="B63" s="732">
        <f t="shared" si="101"/>
        <v>1</v>
      </c>
      <c r="C63" s="759" t="str">
        <f t="shared" si="65"/>
        <v>機能性</v>
      </c>
      <c r="D63" s="770" t="e">
        <f>IF(I$62=0,0,G63/I$62)</f>
        <v>#REF!</v>
      </c>
      <c r="E63" s="769" t="e">
        <f>IF(J$62=0,0,H63/J$62)</f>
        <v>#REF!</v>
      </c>
      <c r="G63" s="769" t="e">
        <f t="shared" si="67"/>
        <v>#REF!</v>
      </c>
      <c r="H63" s="769" t="e">
        <f t="shared" si="68"/>
        <v>#REF!</v>
      </c>
      <c r="I63" s="769" t="e">
        <f>G64+G68+G74</f>
        <v>#REF!</v>
      </c>
      <c r="J63" s="769" t="e">
        <f>H64+H68+H74</f>
        <v>#REF!</v>
      </c>
      <c r="K63" s="769" t="e">
        <f>IF(L63&gt;0,1,IF(#REF!=0,0,1))</f>
        <v>#REF!</v>
      </c>
      <c r="L63" s="769" t="e">
        <f>IF(#REF!=0,0,1)</f>
        <v>#REF!</v>
      </c>
      <c r="M63" s="769">
        <f t="shared" si="69"/>
        <v>0.4</v>
      </c>
      <c r="N63" s="769">
        <f t="shared" si="70"/>
        <v>0</v>
      </c>
      <c r="P63" s="775">
        <v>1</v>
      </c>
      <c r="Q63" s="942" t="s">
        <v>546</v>
      </c>
      <c r="R63" s="754"/>
      <c r="S63" s="753"/>
      <c r="T63" s="753"/>
      <c r="U63" s="726"/>
      <c r="V63" s="766">
        <f t="shared" si="104"/>
        <v>0</v>
      </c>
      <c r="W63" s="765">
        <f t="shared" si="105"/>
        <v>0</v>
      </c>
      <c r="Y63" s="1">
        <f t="shared" si="88"/>
        <v>0</v>
      </c>
      <c r="Z63" s="1">
        <f t="shared" si="89"/>
        <v>0</v>
      </c>
      <c r="AA63" s="1">
        <f t="shared" si="90"/>
        <v>0</v>
      </c>
      <c r="AB63" s="1">
        <f t="shared" si="91"/>
        <v>0</v>
      </c>
      <c r="AC63" s="1">
        <f t="shared" si="92"/>
        <v>0</v>
      </c>
      <c r="AD63" s="1">
        <f t="shared" si="93"/>
        <v>0</v>
      </c>
      <c r="AE63" s="1">
        <f t="shared" si="94"/>
        <v>0</v>
      </c>
      <c r="AF63" s="1">
        <f t="shared" si="95"/>
        <v>0</v>
      </c>
      <c r="AG63" s="1">
        <f t="shared" si="96"/>
        <v>0</v>
      </c>
      <c r="AH63" s="1">
        <f t="shared" si="97"/>
        <v>0</v>
      </c>
      <c r="AI63" s="1">
        <f t="shared" si="98"/>
        <v>0</v>
      </c>
      <c r="AJ63" s="1">
        <f t="shared" si="99"/>
        <v>0</v>
      </c>
      <c r="AK63" s="1">
        <f t="shared" si="100"/>
        <v>0</v>
      </c>
      <c r="AM63" s="764" t="s">
        <v>49</v>
      </c>
      <c r="AN63" s="764" t="s">
        <v>977</v>
      </c>
      <c r="AO63" s="764" t="s">
        <v>49</v>
      </c>
      <c r="AP63" s="764" t="s">
        <v>977</v>
      </c>
      <c r="AQ63" s="764" t="s">
        <v>49</v>
      </c>
      <c r="AR63" s="764" t="s">
        <v>978</v>
      </c>
      <c r="AS63" s="764" t="s">
        <v>969</v>
      </c>
      <c r="AT63" s="764" t="s">
        <v>976</v>
      </c>
      <c r="AU63" s="764" t="s">
        <v>969</v>
      </c>
      <c r="AV63" s="764" t="s">
        <v>976</v>
      </c>
      <c r="AW63" s="764" t="s">
        <v>49</v>
      </c>
      <c r="AX63" s="764" t="s">
        <v>976</v>
      </c>
      <c r="AY63" s="764" t="s">
        <v>49</v>
      </c>
      <c r="BA63" s="763" t="e">
        <f>BB63/$BC$62</f>
        <v>#REF!</v>
      </c>
      <c r="BB63" s="848" t="e">
        <f t="shared" si="71"/>
        <v>#REF!</v>
      </c>
      <c r="BC63" s="848"/>
      <c r="BD63" s="846" t="e">
        <f>BR63*#REF!</f>
        <v>#REF!</v>
      </c>
      <c r="BE63" s="846" t="e">
        <f>BS63*#REF!</f>
        <v>#REF!</v>
      </c>
      <c r="BF63" s="846" t="e">
        <f>BT63*#REF!</f>
        <v>#REF!</v>
      </c>
      <c r="BG63" s="846" t="e">
        <f>BU63*#REF!</f>
        <v>#REF!</v>
      </c>
      <c r="BH63" s="941" t="e">
        <f>BV63*#REF!</f>
        <v>#REF!</v>
      </c>
      <c r="BI63" s="941" t="e">
        <f>BW63*#REF!</f>
        <v>#REF!</v>
      </c>
      <c r="BJ63" s="846" t="e">
        <f>BX63*#REF!</f>
        <v>#REF!</v>
      </c>
      <c r="BK63" s="846" t="e">
        <f>BY63*#REF!</f>
        <v>#REF!</v>
      </c>
      <c r="BL63" s="846" t="e">
        <f>BZ63*#REF!</f>
        <v>#REF!</v>
      </c>
      <c r="BM63" s="846" t="e">
        <f>CA63*#REF!</f>
        <v>#REF!</v>
      </c>
      <c r="BO63" s="823">
        <f t="shared" si="72"/>
        <v>1</v>
      </c>
      <c r="BP63" s="823" t="str">
        <f t="shared" si="73"/>
        <v xml:space="preserve"> Q2</v>
      </c>
      <c r="BQ63" s="759" t="str">
        <f t="shared" si="74"/>
        <v>機能性</v>
      </c>
      <c r="BR63" s="844">
        <f t="shared" si="75"/>
        <v>0.4</v>
      </c>
      <c r="BS63" s="844">
        <f t="shared" si="76"/>
        <v>0.4</v>
      </c>
      <c r="BT63" s="844">
        <f t="shared" si="77"/>
        <v>0.4</v>
      </c>
      <c r="BU63" s="844">
        <f t="shared" si="78"/>
        <v>0.4</v>
      </c>
      <c r="BV63" s="940">
        <f t="shared" si="79"/>
        <v>0.4</v>
      </c>
      <c r="BW63" s="940">
        <f t="shared" si="80"/>
        <v>0.4</v>
      </c>
      <c r="BX63" s="844">
        <f t="shared" si="81"/>
        <v>0.4</v>
      </c>
      <c r="BY63" s="844">
        <f t="shared" si="82"/>
        <v>0.4</v>
      </c>
      <c r="BZ63" s="844">
        <f t="shared" si="83"/>
        <v>0.4</v>
      </c>
      <c r="CA63" s="844">
        <f t="shared" si="84"/>
        <v>0.4</v>
      </c>
      <c r="CB63" s="939">
        <f t="shared" si="85"/>
        <v>0</v>
      </c>
      <c r="CC63" s="844">
        <f t="shared" si="86"/>
        <v>0</v>
      </c>
      <c r="CD63" s="844">
        <f t="shared" si="87"/>
        <v>0</v>
      </c>
      <c r="CF63" s="447">
        <v>1</v>
      </c>
      <c r="CG63" s="451" t="s">
        <v>603</v>
      </c>
      <c r="CH63" s="448" t="s">
        <v>604</v>
      </c>
      <c r="CI63" s="492">
        <v>0.4</v>
      </c>
      <c r="CJ63" s="492">
        <v>0.4</v>
      </c>
      <c r="CK63" s="492">
        <v>0.4</v>
      </c>
      <c r="CL63" s="492">
        <v>0.4</v>
      </c>
      <c r="CM63" s="469">
        <v>0.4</v>
      </c>
      <c r="CN63" s="492">
        <v>0.4</v>
      </c>
      <c r="CO63" s="493">
        <v>0.4</v>
      </c>
      <c r="CP63" s="492">
        <v>0.4</v>
      </c>
      <c r="CQ63" s="492">
        <v>0.4</v>
      </c>
      <c r="CR63" s="492">
        <v>0.4</v>
      </c>
      <c r="CS63" s="494"/>
      <c r="CT63" s="493"/>
      <c r="CU63" s="493"/>
      <c r="CW63" s="447">
        <v>1</v>
      </c>
      <c r="CX63" s="451" t="s">
        <v>603</v>
      </c>
      <c r="CY63" s="448" t="s">
        <v>604</v>
      </c>
      <c r="CZ63" s="493">
        <v>0.4</v>
      </c>
      <c r="DA63" s="493">
        <v>0.4</v>
      </c>
      <c r="DB63" s="493">
        <v>0.4</v>
      </c>
      <c r="DC63" s="493">
        <v>0.4</v>
      </c>
      <c r="DD63" s="495">
        <v>0.4</v>
      </c>
      <c r="DE63" s="493">
        <v>0.4</v>
      </c>
      <c r="DF63" s="493">
        <v>0.4</v>
      </c>
      <c r="DG63" s="493">
        <v>0.4</v>
      </c>
      <c r="DH63" s="493">
        <v>0.4</v>
      </c>
      <c r="DI63" s="493">
        <v>0.4</v>
      </c>
      <c r="DJ63" s="494"/>
      <c r="DK63" s="493"/>
      <c r="DL63" s="493"/>
      <c r="DN63" s="447">
        <v>1</v>
      </c>
      <c r="DO63" s="451" t="s">
        <v>603</v>
      </c>
      <c r="DP63" s="448" t="s">
        <v>604</v>
      </c>
      <c r="DQ63" s="493">
        <v>0.4</v>
      </c>
      <c r="DR63" s="493">
        <v>0.4</v>
      </c>
      <c r="DS63" s="493">
        <v>0.4</v>
      </c>
      <c r="DT63" s="493">
        <v>0.4</v>
      </c>
      <c r="DU63" s="495">
        <v>0.4</v>
      </c>
      <c r="DV63" s="493">
        <v>0.4</v>
      </c>
      <c r="DW63" s="493">
        <v>0.4</v>
      </c>
      <c r="DX63" s="493">
        <v>0.4</v>
      </c>
      <c r="DY63" s="493">
        <v>0.4</v>
      </c>
      <c r="DZ63" s="493">
        <v>0.4</v>
      </c>
      <c r="EA63" s="494"/>
      <c r="EB63" s="493"/>
      <c r="EC63" s="493"/>
      <c r="ED63" s="553"/>
      <c r="EF63" s="447">
        <v>1</v>
      </c>
      <c r="EG63" s="451" t="s">
        <v>603</v>
      </c>
      <c r="EH63" s="448" t="s">
        <v>604</v>
      </c>
      <c r="EI63" s="599">
        <v>0.75</v>
      </c>
      <c r="EJ63" s="599">
        <v>0.75</v>
      </c>
      <c r="EK63" s="599">
        <v>0.75</v>
      </c>
      <c r="EL63" s="599">
        <v>0.75</v>
      </c>
      <c r="EM63" s="599">
        <v>0.75</v>
      </c>
      <c r="EN63" s="599">
        <v>0.75</v>
      </c>
      <c r="EO63" s="599">
        <v>0.75</v>
      </c>
      <c r="EP63" s="599">
        <v>0.75</v>
      </c>
      <c r="EQ63" s="599">
        <v>0.75</v>
      </c>
      <c r="ER63" s="599">
        <v>0.75</v>
      </c>
      <c r="ES63" s="600">
        <f t="shared" si="115"/>
        <v>0</v>
      </c>
      <c r="ET63" s="599">
        <f t="shared" si="115"/>
        <v>0</v>
      </c>
      <c r="EU63" s="599">
        <f t="shared" si="115"/>
        <v>0</v>
      </c>
      <c r="EW63" s="447">
        <v>1</v>
      </c>
      <c r="EX63" s="451" t="s">
        <v>603</v>
      </c>
      <c r="EY63" s="448" t="s">
        <v>604</v>
      </c>
      <c r="EZ63" s="669">
        <v>0.6</v>
      </c>
      <c r="FA63" s="599"/>
      <c r="FB63" s="599"/>
      <c r="FC63" s="599"/>
      <c r="FD63" s="599"/>
      <c r="FE63" s="599"/>
      <c r="FF63" s="599"/>
      <c r="FG63" s="599"/>
      <c r="FH63" s="599"/>
      <c r="FI63" s="599"/>
      <c r="FJ63" s="600"/>
      <c r="FK63" s="599"/>
      <c r="FL63" s="599"/>
    </row>
    <row r="64" spans="2:168" ht="14.25" thickBot="1">
      <c r="B64" s="732">
        <f t="shared" si="101"/>
        <v>1.1000000000000001</v>
      </c>
      <c r="C64" s="408" t="str">
        <f t="shared" si="65"/>
        <v>機能性・使いやすさ</v>
      </c>
      <c r="D64" s="731" t="e">
        <f>IF(I$63=0,0,G64/I$63)</f>
        <v>#REF!</v>
      </c>
      <c r="E64" s="730" t="e">
        <f>IF(J$63=0,0,H64/J$63)</f>
        <v>#REF!</v>
      </c>
      <c r="G64" s="730" t="e">
        <f t="shared" si="67"/>
        <v>#REF!</v>
      </c>
      <c r="H64" s="730" t="e">
        <f t="shared" si="68"/>
        <v>#REF!</v>
      </c>
      <c r="I64" s="730" t="e">
        <f>SUM(G65:G67)</f>
        <v>#REF!</v>
      </c>
      <c r="J64" s="730" t="e">
        <f>SUM(H65:H67)</f>
        <v>#REF!</v>
      </c>
      <c r="K64" s="730" t="e">
        <f>IF(#REF!=0,0,1)</f>
        <v>#REF!</v>
      </c>
      <c r="L64" s="730" t="e">
        <f>IF(#REF!=0,0,1)</f>
        <v>#REF!</v>
      </c>
      <c r="M64" s="730">
        <f t="shared" si="69"/>
        <v>0.4</v>
      </c>
      <c r="N64" s="730">
        <f t="shared" si="70"/>
        <v>0</v>
      </c>
      <c r="P64" s="832"/>
      <c r="Q64" s="777">
        <v>1.1000000000000001</v>
      </c>
      <c r="R64" s="816" t="s">
        <v>547</v>
      </c>
      <c r="S64" s="815"/>
      <c r="T64" s="815"/>
      <c r="U64" s="726"/>
      <c r="V64" s="814">
        <f t="shared" si="104"/>
        <v>0</v>
      </c>
      <c r="W64" s="813">
        <f t="shared" si="105"/>
        <v>0</v>
      </c>
      <c r="Y64" s="1">
        <f t="shared" si="88"/>
        <v>0</v>
      </c>
      <c r="Z64" s="1">
        <f t="shared" si="89"/>
        <v>0</v>
      </c>
      <c r="AA64" s="1">
        <f t="shared" si="90"/>
        <v>0</v>
      </c>
      <c r="AB64" s="1">
        <f t="shared" si="91"/>
        <v>0</v>
      </c>
      <c r="AC64" s="1">
        <f t="shared" si="92"/>
        <v>0</v>
      </c>
      <c r="AD64" s="1">
        <f t="shared" si="93"/>
        <v>0</v>
      </c>
      <c r="AE64" s="1">
        <f t="shared" si="94"/>
        <v>0</v>
      </c>
      <c r="AF64" s="1">
        <f t="shared" si="95"/>
        <v>0</v>
      </c>
      <c r="AG64" s="1">
        <f t="shared" si="96"/>
        <v>0</v>
      </c>
      <c r="AH64" s="1">
        <f t="shared" si="97"/>
        <v>0</v>
      </c>
      <c r="AI64" s="1">
        <f t="shared" si="98"/>
        <v>0</v>
      </c>
      <c r="AJ64" s="1">
        <f t="shared" si="99"/>
        <v>0</v>
      </c>
      <c r="AK64" s="1">
        <f t="shared" si="100"/>
        <v>0</v>
      </c>
      <c r="AM64" s="812" t="s">
        <v>976</v>
      </c>
      <c r="AN64" s="812" t="s">
        <v>49</v>
      </c>
      <c r="AO64" s="812" t="s">
        <v>977</v>
      </c>
      <c r="AP64" s="812" t="s">
        <v>977</v>
      </c>
      <c r="AQ64" s="812" t="s">
        <v>49</v>
      </c>
      <c r="AR64" s="812" t="s">
        <v>49</v>
      </c>
      <c r="AS64" s="812" t="s">
        <v>49</v>
      </c>
      <c r="AT64" s="812" t="s">
        <v>969</v>
      </c>
      <c r="AU64" s="812" t="s">
        <v>976</v>
      </c>
      <c r="AV64" s="812" t="s">
        <v>977</v>
      </c>
      <c r="AW64" s="812" t="s">
        <v>977</v>
      </c>
      <c r="AX64" s="812" t="s">
        <v>977</v>
      </c>
      <c r="AY64" s="812" t="s">
        <v>976</v>
      </c>
      <c r="BA64" s="723"/>
      <c r="BB64" s="723" t="e">
        <f t="shared" si="71"/>
        <v>#REF!</v>
      </c>
      <c r="BC64" s="723"/>
      <c r="BD64" s="722" t="e">
        <f>BR64*#REF!</f>
        <v>#REF!</v>
      </c>
      <c r="BE64" s="722" t="e">
        <f>BS64*#REF!</f>
        <v>#REF!</v>
      </c>
      <c r="BF64" s="722" t="e">
        <f>BT64*#REF!</f>
        <v>#REF!</v>
      </c>
      <c r="BG64" s="722" t="e">
        <f>BU64*#REF!</f>
        <v>#REF!</v>
      </c>
      <c r="BH64" s="935" t="e">
        <f>BV64*#REF!</f>
        <v>#REF!</v>
      </c>
      <c r="BI64" s="722" t="e">
        <f>BW64*#REF!</f>
        <v>#REF!</v>
      </c>
      <c r="BJ64" s="722" t="e">
        <f>BX64*#REF!</f>
        <v>#REF!</v>
      </c>
      <c r="BK64" s="722" t="e">
        <f>BY64*#REF!</f>
        <v>#REF!</v>
      </c>
      <c r="BL64" s="722" t="e">
        <f>BZ64*#REF!</f>
        <v>#REF!</v>
      </c>
      <c r="BM64" s="722" t="e">
        <f>CA64*#REF!</f>
        <v>#REF!</v>
      </c>
      <c r="BO64" s="749">
        <f t="shared" si="72"/>
        <v>1.1000000000000001</v>
      </c>
      <c r="BP64" s="749" t="str">
        <f t="shared" si="73"/>
        <v xml:space="preserve"> Q2 1</v>
      </c>
      <c r="BQ64" s="408" t="str">
        <f t="shared" si="74"/>
        <v>機能性・使いやすさ</v>
      </c>
      <c r="BR64" s="719">
        <f t="shared" si="75"/>
        <v>0.4</v>
      </c>
      <c r="BS64" s="719">
        <f t="shared" si="76"/>
        <v>0.4</v>
      </c>
      <c r="BT64" s="719">
        <f t="shared" si="77"/>
        <v>0.4</v>
      </c>
      <c r="BU64" s="719">
        <f t="shared" si="78"/>
        <v>0.4</v>
      </c>
      <c r="BV64" s="934">
        <f t="shared" si="79"/>
        <v>0.4</v>
      </c>
      <c r="BW64" s="719">
        <f t="shared" si="80"/>
        <v>0.4</v>
      </c>
      <c r="BX64" s="719">
        <f t="shared" si="81"/>
        <v>0.4</v>
      </c>
      <c r="BY64" s="719">
        <f t="shared" si="82"/>
        <v>0.4</v>
      </c>
      <c r="BZ64" s="719">
        <f t="shared" si="83"/>
        <v>0.4</v>
      </c>
      <c r="CA64" s="719">
        <f t="shared" si="84"/>
        <v>0.4</v>
      </c>
      <c r="CB64" s="748">
        <f t="shared" si="85"/>
        <v>0.6</v>
      </c>
      <c r="CC64" s="719">
        <f t="shared" si="86"/>
        <v>0.6</v>
      </c>
      <c r="CD64" s="719">
        <f t="shared" si="87"/>
        <v>0.6</v>
      </c>
      <c r="CF64" s="455">
        <v>1.1000000000000001</v>
      </c>
      <c r="CG64" s="459" t="s">
        <v>605</v>
      </c>
      <c r="CH64" s="456" t="s">
        <v>606</v>
      </c>
      <c r="CI64" s="457">
        <v>0.4</v>
      </c>
      <c r="CJ64" s="457">
        <v>0.4</v>
      </c>
      <c r="CK64" s="457">
        <v>0.4</v>
      </c>
      <c r="CL64" s="460">
        <v>0.4</v>
      </c>
      <c r="CM64" s="457">
        <v>0.4</v>
      </c>
      <c r="CN64" s="460">
        <v>0.4</v>
      </c>
      <c r="CO64" s="461">
        <v>0.4</v>
      </c>
      <c r="CP64" s="460">
        <v>0.4</v>
      </c>
      <c r="CQ64" s="457">
        <v>0.4</v>
      </c>
      <c r="CR64" s="460">
        <v>0.4</v>
      </c>
      <c r="CS64" s="461">
        <v>0.6</v>
      </c>
      <c r="CT64" s="461">
        <v>0.6</v>
      </c>
      <c r="CU64" s="461">
        <v>0.6</v>
      </c>
      <c r="CW64" s="455">
        <v>1.1000000000000001</v>
      </c>
      <c r="CX64" s="459" t="s">
        <v>605</v>
      </c>
      <c r="CY64" s="456" t="s">
        <v>606</v>
      </c>
      <c r="CZ64" s="461">
        <v>0.4</v>
      </c>
      <c r="DA64" s="461">
        <v>0.4</v>
      </c>
      <c r="DB64" s="461">
        <v>0.4</v>
      </c>
      <c r="DC64" s="461">
        <v>0.4</v>
      </c>
      <c r="DD64" s="468">
        <v>0.4</v>
      </c>
      <c r="DE64" s="461">
        <v>0.4</v>
      </c>
      <c r="DF64" s="461">
        <v>0.4</v>
      </c>
      <c r="DG64" s="461">
        <v>0.4</v>
      </c>
      <c r="DH64" s="461">
        <v>0.4</v>
      </c>
      <c r="DI64" s="461">
        <v>0.4</v>
      </c>
      <c r="DJ64" s="461">
        <v>0.6</v>
      </c>
      <c r="DK64" s="461">
        <v>0.6</v>
      </c>
      <c r="DL64" s="461">
        <v>0.6</v>
      </c>
      <c r="DN64" s="455">
        <v>1.1000000000000001</v>
      </c>
      <c r="DO64" s="459" t="s">
        <v>605</v>
      </c>
      <c r="DP64" s="456" t="s">
        <v>606</v>
      </c>
      <c r="DQ64" s="461">
        <v>0.4</v>
      </c>
      <c r="DR64" s="461">
        <v>0.4</v>
      </c>
      <c r="DS64" s="461">
        <v>0.4</v>
      </c>
      <c r="DT64" s="461">
        <v>0.4</v>
      </c>
      <c r="DU64" s="468">
        <v>0.4</v>
      </c>
      <c r="DV64" s="461">
        <v>0.4</v>
      </c>
      <c r="DW64" s="461">
        <v>0.4</v>
      </c>
      <c r="DX64" s="461">
        <v>0.4</v>
      </c>
      <c r="DY64" s="461">
        <v>0.4</v>
      </c>
      <c r="DZ64" s="461">
        <v>0.4</v>
      </c>
      <c r="EA64" s="461">
        <v>0.6</v>
      </c>
      <c r="EB64" s="461">
        <v>0.6</v>
      </c>
      <c r="EC64" s="461">
        <v>0.6</v>
      </c>
      <c r="ED64" s="555"/>
      <c r="EF64" s="455">
        <v>1.1000000000000001</v>
      </c>
      <c r="EG64" s="459" t="s">
        <v>605</v>
      </c>
      <c r="EH64" s="456" t="s">
        <v>606</v>
      </c>
      <c r="EI64" s="609">
        <f t="shared" ref="EI64:ER69" si="116">DQ64</f>
        <v>0.4</v>
      </c>
      <c r="EJ64" s="609">
        <f t="shared" si="116"/>
        <v>0.4</v>
      </c>
      <c r="EK64" s="609">
        <f t="shared" si="116"/>
        <v>0.4</v>
      </c>
      <c r="EL64" s="609">
        <f t="shared" si="116"/>
        <v>0.4</v>
      </c>
      <c r="EM64" s="621">
        <f t="shared" si="116"/>
        <v>0.4</v>
      </c>
      <c r="EN64" s="609">
        <f t="shared" si="116"/>
        <v>0.4</v>
      </c>
      <c r="EO64" s="609">
        <f t="shared" si="116"/>
        <v>0.4</v>
      </c>
      <c r="EP64" s="609">
        <f t="shared" si="116"/>
        <v>0.4</v>
      </c>
      <c r="EQ64" s="609">
        <f t="shared" si="116"/>
        <v>0.4</v>
      </c>
      <c r="ER64" s="609">
        <f t="shared" si="116"/>
        <v>0.4</v>
      </c>
      <c r="ES64" s="609">
        <f t="shared" si="115"/>
        <v>0.6</v>
      </c>
      <c r="ET64" s="609">
        <f t="shared" si="115"/>
        <v>0.6</v>
      </c>
      <c r="EU64" s="609">
        <f t="shared" si="115"/>
        <v>0.6</v>
      </c>
      <c r="EW64" s="455">
        <v>1.1000000000000001</v>
      </c>
      <c r="EX64" s="459" t="s">
        <v>605</v>
      </c>
      <c r="EY64" s="456" t="s">
        <v>606</v>
      </c>
      <c r="EZ64" s="598">
        <f>DQ64</f>
        <v>0.4</v>
      </c>
      <c r="FA64" s="598"/>
      <c r="FB64" s="598"/>
      <c r="FC64" s="598"/>
      <c r="FD64" s="641"/>
      <c r="FE64" s="598"/>
      <c r="FF64" s="598"/>
      <c r="FG64" s="598"/>
      <c r="FH64" s="598"/>
      <c r="FI64" s="598"/>
      <c r="FJ64" s="598"/>
      <c r="FK64" s="598"/>
      <c r="FL64" s="598"/>
    </row>
    <row r="65" spans="2:168">
      <c r="B65" s="732" t="str">
        <f t="shared" si="101"/>
        <v>1.1.1</v>
      </c>
      <c r="C65" s="408" t="str">
        <f t="shared" si="65"/>
        <v>広さ・収納性</v>
      </c>
      <c r="D65" s="809" t="e">
        <f t="shared" ref="D65:E67" si="117">IF(I$64&gt;0,G65/I$64,0)</f>
        <v>#REF!</v>
      </c>
      <c r="E65" s="730" t="e">
        <f t="shared" si="117"/>
        <v>#REF!</v>
      </c>
      <c r="G65" s="730" t="e">
        <f t="shared" si="67"/>
        <v>#REF!</v>
      </c>
      <c r="H65" s="730" t="e">
        <f t="shared" si="68"/>
        <v>#REF!</v>
      </c>
      <c r="I65" s="730"/>
      <c r="J65" s="730"/>
      <c r="K65" s="730" t="e">
        <f>IF(#REF!=0,0,1)</f>
        <v>#REF!</v>
      </c>
      <c r="L65" s="730" t="e">
        <f>IF(#REF!=0,0,1)</f>
        <v>#REF!</v>
      </c>
      <c r="M65" s="730">
        <f t="shared" si="69"/>
        <v>0.33333333333333331</v>
      </c>
      <c r="N65" s="730">
        <f t="shared" si="70"/>
        <v>0</v>
      </c>
      <c r="P65" s="832"/>
      <c r="Q65" s="810"/>
      <c r="R65" s="414">
        <v>1</v>
      </c>
      <c r="S65" s="579" t="s">
        <v>509</v>
      </c>
      <c r="T65" s="745"/>
      <c r="U65" s="726"/>
      <c r="V65" s="734">
        <f t="shared" si="104"/>
        <v>0</v>
      </c>
      <c r="W65" s="733">
        <f t="shared" si="105"/>
        <v>0</v>
      </c>
      <c r="Y65" s="1">
        <f t="shared" si="88"/>
        <v>0</v>
      </c>
      <c r="Z65" s="1">
        <f t="shared" si="89"/>
        <v>0</v>
      </c>
      <c r="AA65" s="1">
        <f t="shared" si="90"/>
        <v>0</v>
      </c>
      <c r="AB65" s="1">
        <f t="shared" si="91"/>
        <v>0</v>
      </c>
      <c r="AC65" s="1">
        <f t="shared" si="92"/>
        <v>0</v>
      </c>
      <c r="AD65" s="1">
        <f t="shared" si="93"/>
        <v>0</v>
      </c>
      <c r="AE65" s="1">
        <f t="shared" si="94"/>
        <v>0</v>
      </c>
      <c r="AF65" s="1">
        <f t="shared" si="95"/>
        <v>0</v>
      </c>
      <c r="AG65" s="1">
        <f t="shared" si="96"/>
        <v>0</v>
      </c>
      <c r="AH65" s="1">
        <f t="shared" si="97"/>
        <v>0</v>
      </c>
      <c r="AI65" s="1">
        <f t="shared" si="98"/>
        <v>0</v>
      </c>
      <c r="AJ65" s="1">
        <f t="shared" si="99"/>
        <v>0</v>
      </c>
      <c r="AK65" s="1">
        <f t="shared" si="100"/>
        <v>0</v>
      </c>
      <c r="AM65" s="679"/>
      <c r="AN65" s="679"/>
      <c r="AO65" s="679"/>
      <c r="AP65" s="679"/>
      <c r="AQ65" s="679"/>
      <c r="AR65" s="679"/>
      <c r="AS65" s="679"/>
      <c r="AT65" s="679"/>
      <c r="AU65" s="679"/>
      <c r="AV65" s="679"/>
      <c r="AW65" s="679"/>
      <c r="AX65" s="679"/>
      <c r="AY65" s="679"/>
      <c r="BA65" s="723"/>
      <c r="BB65" s="723" t="e">
        <f t="shared" si="71"/>
        <v>#REF!</v>
      </c>
      <c r="BC65" s="723"/>
      <c r="BD65" s="722" t="e">
        <f>BR65*#REF!</f>
        <v>#REF!</v>
      </c>
      <c r="BE65" s="722" t="e">
        <f>BS65*#REF!</f>
        <v>#REF!</v>
      </c>
      <c r="BF65" s="722" t="e">
        <f>BT65*#REF!</f>
        <v>#REF!</v>
      </c>
      <c r="BG65" s="722" t="e">
        <f>BU65*#REF!</f>
        <v>#REF!</v>
      </c>
      <c r="BH65" s="935" t="e">
        <f>BV65*#REF!</f>
        <v>#REF!</v>
      </c>
      <c r="BI65" s="722" t="e">
        <f>BW65*#REF!</f>
        <v>#REF!</v>
      </c>
      <c r="BJ65" s="722" t="e">
        <f>BX65*#REF!</f>
        <v>#REF!</v>
      </c>
      <c r="BK65" s="722" t="e">
        <f>BY65*#REF!</f>
        <v>#REF!</v>
      </c>
      <c r="BL65" s="722" t="e">
        <f>BZ65*#REF!</f>
        <v>#REF!</v>
      </c>
      <c r="BM65" s="722" t="e">
        <f>CA65*#REF!</f>
        <v>#REF!</v>
      </c>
      <c r="BO65" s="749" t="str">
        <f t="shared" si="72"/>
        <v>1.1.1</v>
      </c>
      <c r="BP65" s="749" t="str">
        <f t="shared" si="73"/>
        <v xml:space="preserve"> Q2 1.1</v>
      </c>
      <c r="BQ65" s="408" t="str">
        <f t="shared" si="74"/>
        <v>広さ・収納性</v>
      </c>
      <c r="BR65" s="719">
        <f t="shared" si="75"/>
        <v>0.33333333333333331</v>
      </c>
      <c r="BS65" s="719">
        <f t="shared" si="76"/>
        <v>0</v>
      </c>
      <c r="BT65" s="719">
        <f t="shared" si="77"/>
        <v>0</v>
      </c>
      <c r="BU65" s="719">
        <f t="shared" si="78"/>
        <v>0</v>
      </c>
      <c r="BV65" s="934">
        <f t="shared" si="79"/>
        <v>0</v>
      </c>
      <c r="BW65" s="719">
        <f t="shared" si="80"/>
        <v>0.33333333333333331</v>
      </c>
      <c r="BX65" s="719">
        <f t="shared" si="81"/>
        <v>0</v>
      </c>
      <c r="BY65" s="719">
        <f t="shared" si="82"/>
        <v>0</v>
      </c>
      <c r="BZ65" s="719">
        <f t="shared" si="83"/>
        <v>0</v>
      </c>
      <c r="CA65" s="719">
        <f t="shared" si="84"/>
        <v>0</v>
      </c>
      <c r="CB65" s="748">
        <f t="shared" si="85"/>
        <v>1</v>
      </c>
      <c r="CC65" s="719">
        <f t="shared" si="86"/>
        <v>0.5</v>
      </c>
      <c r="CD65" s="719">
        <f t="shared" si="87"/>
        <v>0</v>
      </c>
      <c r="CF65" s="455" t="s">
        <v>654</v>
      </c>
      <c r="CG65" s="459" t="s">
        <v>607</v>
      </c>
      <c r="CH65" s="456" t="s">
        <v>608</v>
      </c>
      <c r="CI65" s="490">
        <v>0.33333333333333331</v>
      </c>
      <c r="CJ65" s="457"/>
      <c r="CK65" s="457"/>
      <c r="CL65" s="457"/>
      <c r="CM65" s="471"/>
      <c r="CN65" s="490">
        <v>0.33333333333333331</v>
      </c>
      <c r="CO65" s="474">
        <v>0.5</v>
      </c>
      <c r="CP65" s="457"/>
      <c r="CQ65" s="457"/>
      <c r="CR65" s="457"/>
      <c r="CS65" s="462">
        <v>1</v>
      </c>
      <c r="CT65" s="461">
        <v>0.5</v>
      </c>
      <c r="CU65" s="461"/>
      <c r="CW65" s="455" t="s">
        <v>975</v>
      </c>
      <c r="CX65" s="459" t="s">
        <v>607</v>
      </c>
      <c r="CY65" s="456" t="s">
        <v>608</v>
      </c>
      <c r="CZ65" s="461">
        <v>0.33333333333333331</v>
      </c>
      <c r="DA65" s="461"/>
      <c r="DB65" s="461"/>
      <c r="DC65" s="461"/>
      <c r="DD65" s="468"/>
      <c r="DE65" s="461">
        <v>0.33333333333333331</v>
      </c>
      <c r="DF65" s="461">
        <v>0.5</v>
      </c>
      <c r="DG65" s="461"/>
      <c r="DH65" s="461"/>
      <c r="DI65" s="461"/>
      <c r="DJ65" s="462">
        <v>1</v>
      </c>
      <c r="DK65" s="461">
        <v>0.5</v>
      </c>
      <c r="DL65" s="461"/>
      <c r="DN65" s="455" t="s">
        <v>974</v>
      </c>
      <c r="DO65" s="459" t="s">
        <v>607</v>
      </c>
      <c r="DP65" s="456" t="s">
        <v>608</v>
      </c>
      <c r="DQ65" s="461">
        <v>0.33333333333333331</v>
      </c>
      <c r="DR65" s="461"/>
      <c r="DS65" s="461"/>
      <c r="DT65" s="461"/>
      <c r="DU65" s="468"/>
      <c r="DV65" s="461">
        <v>0.33333333333333331</v>
      </c>
      <c r="DW65" s="461"/>
      <c r="DX65" s="461"/>
      <c r="DY65" s="461"/>
      <c r="DZ65" s="461"/>
      <c r="EA65" s="462">
        <v>1</v>
      </c>
      <c r="EB65" s="461">
        <v>0.5</v>
      </c>
      <c r="EC65" s="461"/>
      <c r="ED65" s="555"/>
      <c r="EF65" s="455" t="s">
        <v>654</v>
      </c>
      <c r="EG65" s="459" t="s">
        <v>607</v>
      </c>
      <c r="EH65" s="456" t="s">
        <v>608</v>
      </c>
      <c r="EI65" s="609">
        <f t="shared" si="116"/>
        <v>0.33333333333333331</v>
      </c>
      <c r="EJ65" s="609">
        <f t="shared" si="116"/>
        <v>0</v>
      </c>
      <c r="EK65" s="609">
        <f t="shared" si="116"/>
        <v>0</v>
      </c>
      <c r="EL65" s="609">
        <f t="shared" si="116"/>
        <v>0</v>
      </c>
      <c r="EM65" s="621">
        <f t="shared" si="116"/>
        <v>0</v>
      </c>
      <c r="EN65" s="609">
        <f t="shared" si="116"/>
        <v>0.33333333333333331</v>
      </c>
      <c r="EO65" s="609">
        <f t="shared" si="116"/>
        <v>0</v>
      </c>
      <c r="EP65" s="609">
        <f t="shared" si="116"/>
        <v>0</v>
      </c>
      <c r="EQ65" s="609">
        <f t="shared" si="116"/>
        <v>0</v>
      </c>
      <c r="ER65" s="609">
        <f t="shared" si="116"/>
        <v>0</v>
      </c>
      <c r="ES65" s="611">
        <f t="shared" si="115"/>
        <v>1</v>
      </c>
      <c r="ET65" s="609">
        <f t="shared" si="115"/>
        <v>0.5</v>
      </c>
      <c r="EU65" s="609">
        <f t="shared" si="115"/>
        <v>0</v>
      </c>
      <c r="EW65" s="455" t="s">
        <v>654</v>
      </c>
      <c r="EX65" s="459" t="s">
        <v>607</v>
      </c>
      <c r="EY65" s="456" t="s">
        <v>608</v>
      </c>
      <c r="EZ65" s="598">
        <f>DQ65</f>
        <v>0.33333333333333331</v>
      </c>
      <c r="FA65" s="598"/>
      <c r="FB65" s="598"/>
      <c r="FC65" s="598"/>
      <c r="FD65" s="641"/>
      <c r="FE65" s="598"/>
      <c r="FF65" s="598"/>
      <c r="FG65" s="598"/>
      <c r="FH65" s="598"/>
      <c r="FI65" s="598"/>
      <c r="FJ65" s="647"/>
      <c r="FK65" s="598"/>
      <c r="FL65" s="598"/>
    </row>
    <row r="66" spans="2:168">
      <c r="B66" s="732" t="str">
        <f t="shared" si="101"/>
        <v>1.1.2</v>
      </c>
      <c r="C66" s="408" t="str">
        <f t="shared" si="65"/>
        <v>高度情報通信設備対応</v>
      </c>
      <c r="D66" s="809" t="e">
        <f t="shared" si="117"/>
        <v>#REF!</v>
      </c>
      <c r="E66" s="730" t="e">
        <f t="shared" si="117"/>
        <v>#REF!</v>
      </c>
      <c r="G66" s="730" t="e">
        <f t="shared" si="67"/>
        <v>#REF!</v>
      </c>
      <c r="H66" s="730" t="e">
        <f t="shared" si="68"/>
        <v>#REF!</v>
      </c>
      <c r="I66" s="730"/>
      <c r="J66" s="730"/>
      <c r="K66" s="730" t="e">
        <f>IF(#REF!=0,0,1)</f>
        <v>#REF!</v>
      </c>
      <c r="L66" s="730" t="e">
        <f>IF(#REF!=0,0,1)</f>
        <v>#REF!</v>
      </c>
      <c r="M66" s="730">
        <f t="shared" si="69"/>
        <v>0.33333333333333331</v>
      </c>
      <c r="N66" s="730">
        <f t="shared" si="70"/>
        <v>0</v>
      </c>
      <c r="P66" s="832"/>
      <c r="Q66" s="810"/>
      <c r="R66" s="414">
        <v>2</v>
      </c>
      <c r="S66" s="579" t="s">
        <v>510</v>
      </c>
      <c r="T66" s="745"/>
      <c r="U66" s="726"/>
      <c r="V66" s="747">
        <f t="shared" si="104"/>
        <v>0</v>
      </c>
      <c r="W66" s="746">
        <f t="shared" si="105"/>
        <v>0</v>
      </c>
      <c r="Y66" s="1">
        <f t="shared" si="88"/>
        <v>0</v>
      </c>
      <c r="Z66" s="1">
        <f t="shared" si="89"/>
        <v>0</v>
      </c>
      <c r="AA66" s="1">
        <f t="shared" si="90"/>
        <v>0</v>
      </c>
      <c r="AB66" s="1">
        <f t="shared" si="91"/>
        <v>0</v>
      </c>
      <c r="AC66" s="1">
        <f t="shared" si="92"/>
        <v>0</v>
      </c>
      <c r="AD66" s="1">
        <f t="shared" si="93"/>
        <v>0</v>
      </c>
      <c r="AE66" s="1">
        <f t="shared" si="94"/>
        <v>0</v>
      </c>
      <c r="AF66" s="1">
        <f t="shared" si="95"/>
        <v>0</v>
      </c>
      <c r="AG66" s="1">
        <f t="shared" si="96"/>
        <v>0</v>
      </c>
      <c r="AH66" s="1">
        <f t="shared" si="97"/>
        <v>0</v>
      </c>
      <c r="AI66" s="1">
        <f t="shared" si="98"/>
        <v>0</v>
      </c>
      <c r="AJ66" s="1">
        <f t="shared" si="99"/>
        <v>0</v>
      </c>
      <c r="AK66" s="1">
        <f t="shared" si="100"/>
        <v>0</v>
      </c>
      <c r="AM66" s="680"/>
      <c r="AN66" s="680"/>
      <c r="AO66" s="680"/>
      <c r="AP66" s="680"/>
      <c r="AQ66" s="680"/>
      <c r="AR66" s="680"/>
      <c r="AS66" s="680"/>
      <c r="AT66" s="680"/>
      <c r="AU66" s="680"/>
      <c r="AV66" s="680"/>
      <c r="AW66" s="680"/>
      <c r="AX66" s="680"/>
      <c r="AY66" s="680"/>
      <c r="BA66" s="723"/>
      <c r="BB66" s="723" t="e">
        <f t="shared" si="71"/>
        <v>#REF!</v>
      </c>
      <c r="BC66" s="723"/>
      <c r="BD66" s="722" t="e">
        <f>BR66*#REF!</f>
        <v>#REF!</v>
      </c>
      <c r="BE66" s="722" t="e">
        <f>BS66*#REF!</f>
        <v>#REF!</v>
      </c>
      <c r="BF66" s="722" t="e">
        <f>BT66*#REF!</f>
        <v>#REF!</v>
      </c>
      <c r="BG66" s="722" t="e">
        <f>BU66*#REF!</f>
        <v>#REF!</v>
      </c>
      <c r="BH66" s="935" t="e">
        <f>BV66*#REF!</f>
        <v>#REF!</v>
      </c>
      <c r="BI66" s="722" t="e">
        <f>BW66*#REF!</f>
        <v>#REF!</v>
      </c>
      <c r="BJ66" s="722" t="e">
        <f>BX66*#REF!</f>
        <v>#REF!</v>
      </c>
      <c r="BK66" s="722" t="e">
        <f>BY66*#REF!</f>
        <v>#REF!</v>
      </c>
      <c r="BL66" s="722" t="e">
        <f>BZ66*#REF!</f>
        <v>#REF!</v>
      </c>
      <c r="BM66" s="722" t="e">
        <f>CA66*#REF!</f>
        <v>#REF!</v>
      </c>
      <c r="BO66" s="749" t="str">
        <f t="shared" si="72"/>
        <v>1.1.2</v>
      </c>
      <c r="BP66" s="749" t="str">
        <f t="shared" si="73"/>
        <v xml:space="preserve"> Q2 1.1</v>
      </c>
      <c r="BQ66" s="408" t="str">
        <f t="shared" si="74"/>
        <v>高度情報通信設備対応</v>
      </c>
      <c r="BR66" s="719">
        <f t="shared" si="75"/>
        <v>0.33333333333333331</v>
      </c>
      <c r="BS66" s="719">
        <f t="shared" si="76"/>
        <v>0</v>
      </c>
      <c r="BT66" s="719">
        <f t="shared" si="77"/>
        <v>0</v>
      </c>
      <c r="BU66" s="719">
        <f t="shared" si="78"/>
        <v>0</v>
      </c>
      <c r="BV66" s="934">
        <f t="shared" si="79"/>
        <v>0</v>
      </c>
      <c r="BW66" s="719">
        <f t="shared" si="80"/>
        <v>0.33333333333333331</v>
      </c>
      <c r="BX66" s="719">
        <f t="shared" si="81"/>
        <v>0</v>
      </c>
      <c r="BY66" s="719">
        <f t="shared" si="82"/>
        <v>0</v>
      </c>
      <c r="BZ66" s="719">
        <f t="shared" si="83"/>
        <v>0</v>
      </c>
      <c r="CA66" s="719">
        <f t="shared" si="84"/>
        <v>0</v>
      </c>
      <c r="CB66" s="748">
        <f t="shared" si="85"/>
        <v>0</v>
      </c>
      <c r="CC66" s="719">
        <f t="shared" si="86"/>
        <v>0.5</v>
      </c>
      <c r="CD66" s="719">
        <f t="shared" si="87"/>
        <v>1</v>
      </c>
      <c r="CF66" s="455" t="s">
        <v>973</v>
      </c>
      <c r="CG66" s="459" t="s">
        <v>607</v>
      </c>
      <c r="CH66" s="456" t="s">
        <v>656</v>
      </c>
      <c r="CI66" s="490">
        <v>0.33333333333333331</v>
      </c>
      <c r="CJ66" s="457"/>
      <c r="CK66" s="457"/>
      <c r="CL66" s="457"/>
      <c r="CM66" s="471"/>
      <c r="CN66" s="490">
        <v>0.33333333333333331</v>
      </c>
      <c r="CO66" s="474"/>
      <c r="CP66" s="457"/>
      <c r="CQ66" s="457"/>
      <c r="CR66" s="457"/>
      <c r="CS66" s="462"/>
      <c r="CT66" s="461">
        <v>0.5</v>
      </c>
      <c r="CU66" s="461">
        <v>1</v>
      </c>
      <c r="CW66" s="455" t="s">
        <v>973</v>
      </c>
      <c r="CX66" s="459" t="s">
        <v>607</v>
      </c>
      <c r="CY66" s="456" t="s">
        <v>656</v>
      </c>
      <c r="CZ66" s="461">
        <v>0.33333333333333331</v>
      </c>
      <c r="DA66" s="461"/>
      <c r="DB66" s="461"/>
      <c r="DC66" s="461"/>
      <c r="DD66" s="468"/>
      <c r="DE66" s="461">
        <v>0.33333333333333331</v>
      </c>
      <c r="DF66" s="461"/>
      <c r="DG66" s="461"/>
      <c r="DH66" s="461"/>
      <c r="DI66" s="461"/>
      <c r="DJ66" s="462"/>
      <c r="DK66" s="461">
        <v>0.5</v>
      </c>
      <c r="DL66" s="461">
        <v>1</v>
      </c>
      <c r="DN66" s="455" t="s">
        <v>655</v>
      </c>
      <c r="DO66" s="459" t="s">
        <v>607</v>
      </c>
      <c r="DP66" s="456" t="s">
        <v>972</v>
      </c>
      <c r="DQ66" s="461">
        <v>0.33333333333333331</v>
      </c>
      <c r="DR66" s="461"/>
      <c r="DS66" s="461"/>
      <c r="DT66" s="461"/>
      <c r="DU66" s="468"/>
      <c r="DV66" s="461">
        <v>0.33333333333333331</v>
      </c>
      <c r="DW66" s="461"/>
      <c r="DX66" s="461"/>
      <c r="DY66" s="461"/>
      <c r="DZ66" s="461"/>
      <c r="EA66" s="462"/>
      <c r="EB66" s="461">
        <v>0.5</v>
      </c>
      <c r="EC66" s="461">
        <v>1</v>
      </c>
      <c r="ED66" s="555"/>
      <c r="EF66" s="455" t="s">
        <v>655</v>
      </c>
      <c r="EG66" s="459" t="s">
        <v>607</v>
      </c>
      <c r="EH66" s="456" t="s">
        <v>972</v>
      </c>
      <c r="EI66" s="609">
        <f t="shared" si="116"/>
        <v>0.33333333333333331</v>
      </c>
      <c r="EJ66" s="609">
        <f t="shared" si="116"/>
        <v>0</v>
      </c>
      <c r="EK66" s="609">
        <f t="shared" si="116"/>
        <v>0</v>
      </c>
      <c r="EL66" s="609">
        <f t="shared" si="116"/>
        <v>0</v>
      </c>
      <c r="EM66" s="621">
        <f t="shared" si="116"/>
        <v>0</v>
      </c>
      <c r="EN66" s="609">
        <f t="shared" si="116"/>
        <v>0.33333333333333331</v>
      </c>
      <c r="EO66" s="609">
        <f t="shared" si="116"/>
        <v>0</v>
      </c>
      <c r="EP66" s="609">
        <f t="shared" si="116"/>
        <v>0</v>
      </c>
      <c r="EQ66" s="609">
        <f t="shared" si="116"/>
        <v>0</v>
      </c>
      <c r="ER66" s="609">
        <f t="shared" si="116"/>
        <v>0</v>
      </c>
      <c r="ES66" s="611">
        <f t="shared" si="115"/>
        <v>0</v>
      </c>
      <c r="ET66" s="609">
        <f t="shared" si="115"/>
        <v>0.5</v>
      </c>
      <c r="EU66" s="609">
        <f t="shared" si="115"/>
        <v>1</v>
      </c>
      <c r="EW66" s="455" t="s">
        <v>655</v>
      </c>
      <c r="EX66" s="459" t="s">
        <v>607</v>
      </c>
      <c r="EY66" s="456" t="s">
        <v>656</v>
      </c>
      <c r="EZ66" s="598">
        <f>DQ66</f>
        <v>0.33333333333333331</v>
      </c>
      <c r="FA66" s="598"/>
      <c r="FB66" s="598"/>
      <c r="FC66" s="598"/>
      <c r="FD66" s="641"/>
      <c r="FE66" s="598"/>
      <c r="FF66" s="598"/>
      <c r="FG66" s="598"/>
      <c r="FH66" s="598"/>
      <c r="FI66" s="598"/>
      <c r="FJ66" s="647"/>
      <c r="FK66" s="598"/>
      <c r="FL66" s="598"/>
    </row>
    <row r="67" spans="2:168" ht="14.25" thickBot="1">
      <c r="B67" s="732" t="str">
        <f t="shared" si="101"/>
        <v>1.1.3</v>
      </c>
      <c r="C67" s="408" t="str">
        <f t="shared" si="65"/>
        <v>バリアフリー計画</v>
      </c>
      <c r="D67" s="809" t="e">
        <f t="shared" si="117"/>
        <v>#REF!</v>
      </c>
      <c r="E67" s="730" t="e">
        <f t="shared" si="117"/>
        <v>#REF!</v>
      </c>
      <c r="G67" s="730" t="e">
        <f t="shared" si="67"/>
        <v>#REF!</v>
      </c>
      <c r="H67" s="730" t="e">
        <f t="shared" si="68"/>
        <v>#REF!</v>
      </c>
      <c r="I67" s="730"/>
      <c r="J67" s="730"/>
      <c r="K67" s="730" t="e">
        <f>IF(#REF!=0,0,1)</f>
        <v>#REF!</v>
      </c>
      <c r="L67" s="730" t="e">
        <f>IF(#REF!=0,0,1)</f>
        <v>#REF!</v>
      </c>
      <c r="M67" s="730">
        <f t="shared" si="69"/>
        <v>0.33333333333333331</v>
      </c>
      <c r="N67" s="730">
        <f t="shared" si="70"/>
        <v>0</v>
      </c>
      <c r="P67" s="832"/>
      <c r="Q67" s="936"/>
      <c r="R67" s="414">
        <v>3</v>
      </c>
      <c r="S67" s="579" t="s">
        <v>511</v>
      </c>
      <c r="T67" s="745"/>
      <c r="U67" s="726"/>
      <c r="V67" s="725">
        <f t="shared" si="104"/>
        <v>0</v>
      </c>
      <c r="W67" s="724">
        <f t="shared" si="105"/>
        <v>0</v>
      </c>
      <c r="Y67" s="1">
        <f t="shared" si="88"/>
        <v>0</v>
      </c>
      <c r="Z67" s="1">
        <f t="shared" si="89"/>
        <v>0</v>
      </c>
      <c r="AA67" s="1">
        <f t="shared" si="90"/>
        <v>0</v>
      </c>
      <c r="AB67" s="1">
        <f t="shared" si="91"/>
        <v>0</v>
      </c>
      <c r="AC67" s="1">
        <f t="shared" si="92"/>
        <v>0</v>
      </c>
      <c r="AD67" s="1">
        <f t="shared" si="93"/>
        <v>0</v>
      </c>
      <c r="AE67" s="1">
        <f t="shared" si="94"/>
        <v>0</v>
      </c>
      <c r="AF67" s="1">
        <f t="shared" si="95"/>
        <v>0</v>
      </c>
      <c r="AG67" s="1">
        <f t="shared" si="96"/>
        <v>0</v>
      </c>
      <c r="AH67" s="1">
        <f t="shared" si="97"/>
        <v>0</v>
      </c>
      <c r="AI67" s="1">
        <f t="shared" si="98"/>
        <v>0</v>
      </c>
      <c r="AJ67" s="1">
        <f t="shared" si="99"/>
        <v>0</v>
      </c>
      <c r="AK67" s="1">
        <f t="shared" si="100"/>
        <v>0</v>
      </c>
      <c r="AM67" s="683"/>
      <c r="AN67" s="683"/>
      <c r="AO67" s="683"/>
      <c r="AP67" s="683"/>
      <c r="AQ67" s="683"/>
      <c r="AR67" s="683"/>
      <c r="AS67" s="683"/>
      <c r="AT67" s="683"/>
      <c r="AU67" s="683"/>
      <c r="AV67" s="683"/>
      <c r="AW67" s="683"/>
      <c r="AX67" s="683"/>
      <c r="AY67" s="683"/>
      <c r="BA67" s="723"/>
      <c r="BB67" s="723" t="e">
        <f t="shared" si="71"/>
        <v>#REF!</v>
      </c>
      <c r="BC67" s="723"/>
      <c r="BD67" s="722" t="e">
        <f>BR67*#REF!</f>
        <v>#REF!</v>
      </c>
      <c r="BE67" s="722" t="e">
        <f>BS67*#REF!</f>
        <v>#REF!</v>
      </c>
      <c r="BF67" s="722" t="e">
        <f>BT67*#REF!</f>
        <v>#REF!</v>
      </c>
      <c r="BG67" s="722" t="e">
        <f>BU67*#REF!</f>
        <v>#REF!</v>
      </c>
      <c r="BH67" s="935" t="e">
        <f>BV67*#REF!</f>
        <v>#REF!</v>
      </c>
      <c r="BI67" s="722" t="e">
        <f>BW67*#REF!</f>
        <v>#REF!</v>
      </c>
      <c r="BJ67" s="722" t="e">
        <f>BX67*#REF!</f>
        <v>#REF!</v>
      </c>
      <c r="BK67" s="722" t="e">
        <f>BY67*#REF!</f>
        <v>#REF!</v>
      </c>
      <c r="BL67" s="722" t="e">
        <f>BZ67*#REF!</f>
        <v>#REF!</v>
      </c>
      <c r="BM67" s="722" t="e">
        <f>CA67*#REF!</f>
        <v>#REF!</v>
      </c>
      <c r="BO67" s="749" t="str">
        <f t="shared" si="72"/>
        <v>1.1.3</v>
      </c>
      <c r="BP67" s="749" t="str">
        <f t="shared" si="73"/>
        <v xml:space="preserve"> Q2 1.1</v>
      </c>
      <c r="BQ67" s="408" t="str">
        <f t="shared" si="74"/>
        <v>バリアフリー計画</v>
      </c>
      <c r="BR67" s="719">
        <f t="shared" si="75"/>
        <v>0.33333333333333331</v>
      </c>
      <c r="BS67" s="719">
        <f t="shared" si="76"/>
        <v>1</v>
      </c>
      <c r="BT67" s="719">
        <f t="shared" si="77"/>
        <v>1</v>
      </c>
      <c r="BU67" s="719">
        <f t="shared" si="78"/>
        <v>1</v>
      </c>
      <c r="BV67" s="934">
        <f t="shared" si="79"/>
        <v>1</v>
      </c>
      <c r="BW67" s="719">
        <f t="shared" si="80"/>
        <v>0.33333333333333331</v>
      </c>
      <c r="BX67" s="719">
        <f t="shared" si="81"/>
        <v>1</v>
      </c>
      <c r="BY67" s="719">
        <f t="shared" si="82"/>
        <v>1</v>
      </c>
      <c r="BZ67" s="719">
        <f t="shared" si="83"/>
        <v>1</v>
      </c>
      <c r="CA67" s="719">
        <f t="shared" si="84"/>
        <v>1</v>
      </c>
      <c r="CB67" s="748">
        <f t="shared" si="85"/>
        <v>0</v>
      </c>
      <c r="CC67" s="719">
        <f t="shared" si="86"/>
        <v>0</v>
      </c>
      <c r="CD67" s="719">
        <f t="shared" si="87"/>
        <v>0</v>
      </c>
      <c r="CF67" s="455" t="s">
        <v>971</v>
      </c>
      <c r="CG67" s="459" t="s">
        <v>607</v>
      </c>
      <c r="CH67" s="456" t="s">
        <v>609</v>
      </c>
      <c r="CI67" s="490">
        <v>0.33333333333333331</v>
      </c>
      <c r="CJ67" s="457">
        <v>1</v>
      </c>
      <c r="CK67" s="457">
        <v>1</v>
      </c>
      <c r="CL67" s="457">
        <v>1</v>
      </c>
      <c r="CM67" s="471">
        <v>1</v>
      </c>
      <c r="CN67" s="490">
        <v>0.33333333333333331</v>
      </c>
      <c r="CO67" s="474">
        <v>0.5</v>
      </c>
      <c r="CP67" s="457">
        <v>1</v>
      </c>
      <c r="CQ67" s="457">
        <v>1</v>
      </c>
      <c r="CR67" s="457">
        <v>1</v>
      </c>
      <c r="CS67" s="462"/>
      <c r="CT67" s="461"/>
      <c r="CU67" s="461"/>
      <c r="CW67" s="455" t="s">
        <v>971</v>
      </c>
      <c r="CX67" s="459" t="s">
        <v>607</v>
      </c>
      <c r="CY67" s="456" t="s">
        <v>609</v>
      </c>
      <c r="CZ67" s="461">
        <v>0.33333333333333331</v>
      </c>
      <c r="DA67" s="461">
        <v>1</v>
      </c>
      <c r="DB67" s="461">
        <v>1</v>
      </c>
      <c r="DC67" s="461">
        <v>1</v>
      </c>
      <c r="DD67" s="468">
        <v>1</v>
      </c>
      <c r="DE67" s="461">
        <v>0.33333333333333331</v>
      </c>
      <c r="DF67" s="461">
        <v>0.5</v>
      </c>
      <c r="DG67" s="461">
        <v>1</v>
      </c>
      <c r="DH67" s="461">
        <v>1</v>
      </c>
      <c r="DI67" s="461">
        <v>1</v>
      </c>
      <c r="DJ67" s="462"/>
      <c r="DK67" s="461"/>
      <c r="DL67" s="461"/>
      <c r="DN67" s="455" t="s">
        <v>657</v>
      </c>
      <c r="DO67" s="459" t="s">
        <v>607</v>
      </c>
      <c r="DP67" s="456" t="s">
        <v>609</v>
      </c>
      <c r="DQ67" s="461">
        <v>0.33333333333333331</v>
      </c>
      <c r="DR67" s="461">
        <v>1</v>
      </c>
      <c r="DS67" s="461">
        <v>1</v>
      </c>
      <c r="DT67" s="461">
        <v>1</v>
      </c>
      <c r="DU67" s="468">
        <v>1</v>
      </c>
      <c r="DV67" s="461">
        <v>0.33333333333333331</v>
      </c>
      <c r="DW67" s="461">
        <v>1</v>
      </c>
      <c r="DX67" s="461">
        <v>1</v>
      </c>
      <c r="DY67" s="461">
        <v>1</v>
      </c>
      <c r="DZ67" s="461">
        <v>1</v>
      </c>
      <c r="EA67" s="462"/>
      <c r="EB67" s="461"/>
      <c r="EC67" s="461"/>
      <c r="ED67" s="555"/>
      <c r="EF67" s="455" t="s">
        <v>971</v>
      </c>
      <c r="EG67" s="459" t="s">
        <v>607</v>
      </c>
      <c r="EH67" s="456" t="s">
        <v>609</v>
      </c>
      <c r="EI67" s="609">
        <f t="shared" si="116"/>
        <v>0.33333333333333331</v>
      </c>
      <c r="EJ67" s="609">
        <f t="shared" si="116"/>
        <v>1</v>
      </c>
      <c r="EK67" s="609">
        <f t="shared" si="116"/>
        <v>1</v>
      </c>
      <c r="EL67" s="609">
        <f t="shared" si="116"/>
        <v>1</v>
      </c>
      <c r="EM67" s="621">
        <f t="shared" si="116"/>
        <v>1</v>
      </c>
      <c r="EN67" s="609">
        <f t="shared" si="116"/>
        <v>0.33333333333333331</v>
      </c>
      <c r="EO67" s="609">
        <f t="shared" si="116"/>
        <v>1</v>
      </c>
      <c r="EP67" s="609">
        <f t="shared" si="116"/>
        <v>1</v>
      </c>
      <c r="EQ67" s="609">
        <f t="shared" si="116"/>
        <v>1</v>
      </c>
      <c r="ER67" s="609">
        <f t="shared" si="116"/>
        <v>1</v>
      </c>
      <c r="ES67" s="611">
        <f t="shared" si="115"/>
        <v>0</v>
      </c>
      <c r="ET67" s="609">
        <f t="shared" si="115"/>
        <v>0</v>
      </c>
      <c r="EU67" s="609">
        <f t="shared" si="115"/>
        <v>0</v>
      </c>
      <c r="EW67" s="455" t="s">
        <v>971</v>
      </c>
      <c r="EX67" s="459" t="s">
        <v>607</v>
      </c>
      <c r="EY67" s="456" t="s">
        <v>609</v>
      </c>
      <c r="EZ67" s="598">
        <f>DQ67</f>
        <v>0.33333333333333331</v>
      </c>
      <c r="FA67" s="598"/>
      <c r="FB67" s="598"/>
      <c r="FC67" s="598"/>
      <c r="FD67" s="641"/>
      <c r="FE67" s="598"/>
      <c r="FF67" s="598"/>
      <c r="FG67" s="598"/>
      <c r="FH67" s="598"/>
      <c r="FI67" s="598"/>
      <c r="FJ67" s="647"/>
      <c r="FK67" s="598"/>
      <c r="FL67" s="598"/>
    </row>
    <row r="68" spans="2:168" ht="14.25" thickBot="1">
      <c r="B68" s="732">
        <f t="shared" si="101"/>
        <v>1.2</v>
      </c>
      <c r="C68" s="408" t="str">
        <f t="shared" si="65"/>
        <v>心理性・快適性</v>
      </c>
      <c r="D68" s="731" t="e">
        <f>IF(I$63=0,0,G68/I$63)</f>
        <v>#REF!</v>
      </c>
      <c r="E68" s="730" t="e">
        <f>IF(J$63=0,0,H68/J$63)</f>
        <v>#REF!</v>
      </c>
      <c r="G68" s="730" t="e">
        <f t="shared" si="67"/>
        <v>#REF!</v>
      </c>
      <c r="H68" s="730" t="e">
        <f t="shared" si="68"/>
        <v>#REF!</v>
      </c>
      <c r="I68" s="730" t="e">
        <f>SUM(G69:G73)</f>
        <v>#REF!</v>
      </c>
      <c r="J68" s="730" t="e">
        <f>SUM(H69:H73)</f>
        <v>#REF!</v>
      </c>
      <c r="K68" s="730" t="e">
        <f>IF(#REF!=0,0,1)</f>
        <v>#REF!</v>
      </c>
      <c r="L68" s="730" t="e">
        <f>IF(#REF!=0,0,1)</f>
        <v>#REF!</v>
      </c>
      <c r="M68" s="730">
        <f t="shared" si="69"/>
        <v>0.3</v>
      </c>
      <c r="N68" s="730">
        <f t="shared" si="70"/>
        <v>0</v>
      </c>
      <c r="P68" s="832"/>
      <c r="Q68" s="744">
        <v>1.2</v>
      </c>
      <c r="R68" s="816" t="s">
        <v>635</v>
      </c>
      <c r="S68" s="815"/>
      <c r="T68" s="815"/>
      <c r="U68" s="726"/>
      <c r="V68" s="814">
        <f t="shared" si="104"/>
        <v>0</v>
      </c>
      <c r="W68" s="813">
        <f t="shared" si="105"/>
        <v>0</v>
      </c>
      <c r="Y68" s="1">
        <f t="shared" si="88"/>
        <v>0</v>
      </c>
      <c r="Z68" s="1">
        <f t="shared" si="89"/>
        <v>0</v>
      </c>
      <c r="AA68" s="1">
        <f t="shared" si="90"/>
        <v>0</v>
      </c>
      <c r="AB68" s="1">
        <f t="shared" si="91"/>
        <v>0</v>
      </c>
      <c r="AC68" s="1">
        <f t="shared" si="92"/>
        <v>0</v>
      </c>
      <c r="AD68" s="1">
        <f t="shared" si="93"/>
        <v>0</v>
      </c>
      <c r="AE68" s="1">
        <f t="shared" si="94"/>
        <v>0</v>
      </c>
      <c r="AF68" s="1">
        <f t="shared" si="95"/>
        <v>0</v>
      </c>
      <c r="AG68" s="1">
        <f t="shared" si="96"/>
        <v>0</v>
      </c>
      <c r="AH68" s="1">
        <f t="shared" si="97"/>
        <v>0</v>
      </c>
      <c r="AI68" s="1">
        <f t="shared" si="98"/>
        <v>0</v>
      </c>
      <c r="AJ68" s="1">
        <f t="shared" si="99"/>
        <v>0</v>
      </c>
      <c r="AK68" s="1">
        <f t="shared" si="100"/>
        <v>0</v>
      </c>
      <c r="AM68" s="812" t="s">
        <v>969</v>
      </c>
      <c r="AN68" s="812" t="s">
        <v>969</v>
      </c>
      <c r="AO68" s="812" t="s">
        <v>969</v>
      </c>
      <c r="AP68" s="812" t="s">
        <v>969</v>
      </c>
      <c r="AQ68" s="812" t="s">
        <v>842</v>
      </c>
      <c r="AR68" s="812" t="s">
        <v>969</v>
      </c>
      <c r="AS68" s="812" t="s">
        <v>970</v>
      </c>
      <c r="AT68" s="812" t="s">
        <v>969</v>
      </c>
      <c r="AU68" s="812" t="s">
        <v>969</v>
      </c>
      <c r="AV68" s="812" t="s">
        <v>49</v>
      </c>
      <c r="AW68" s="812" t="s">
        <v>969</v>
      </c>
      <c r="AX68" s="812" t="s">
        <v>969</v>
      </c>
      <c r="AY68" s="812" t="s">
        <v>49</v>
      </c>
      <c r="BA68" s="723"/>
      <c r="BB68" s="723" t="e">
        <f t="shared" si="71"/>
        <v>#REF!</v>
      </c>
      <c r="BC68" s="723"/>
      <c r="BD68" s="722" t="e">
        <f>BR68*#REF!</f>
        <v>#REF!</v>
      </c>
      <c r="BE68" s="722" t="e">
        <f>BS68*#REF!</f>
        <v>#REF!</v>
      </c>
      <c r="BF68" s="722" t="e">
        <f>BT68*#REF!</f>
        <v>#REF!</v>
      </c>
      <c r="BG68" s="722" t="e">
        <f>BU68*#REF!</f>
        <v>#REF!</v>
      </c>
      <c r="BH68" s="935" t="e">
        <f>BV68*#REF!</f>
        <v>#REF!</v>
      </c>
      <c r="BI68" s="722" t="e">
        <f>BW68*#REF!</f>
        <v>#REF!</v>
      </c>
      <c r="BJ68" s="722" t="e">
        <f>BX68*#REF!</f>
        <v>#REF!</v>
      </c>
      <c r="BK68" s="722" t="e">
        <f>BY68*#REF!</f>
        <v>#REF!</v>
      </c>
      <c r="BL68" s="722" t="e">
        <f>BZ68*#REF!</f>
        <v>#REF!</v>
      </c>
      <c r="BM68" s="722" t="e">
        <f>CA68*#REF!</f>
        <v>#REF!</v>
      </c>
      <c r="BO68" s="749">
        <f t="shared" si="72"/>
        <v>1.2</v>
      </c>
      <c r="BP68" s="749" t="str">
        <f t="shared" si="73"/>
        <v xml:space="preserve"> Q2 1</v>
      </c>
      <c r="BQ68" s="408" t="str">
        <f t="shared" si="74"/>
        <v>心理性・快適性</v>
      </c>
      <c r="BR68" s="719">
        <f t="shared" si="75"/>
        <v>0.3</v>
      </c>
      <c r="BS68" s="719">
        <f t="shared" si="76"/>
        <v>0.3</v>
      </c>
      <c r="BT68" s="719">
        <f t="shared" si="77"/>
        <v>0.3</v>
      </c>
      <c r="BU68" s="719">
        <f t="shared" si="78"/>
        <v>0.3</v>
      </c>
      <c r="BV68" s="934">
        <f t="shared" si="79"/>
        <v>0.3</v>
      </c>
      <c r="BW68" s="719">
        <f t="shared" si="80"/>
        <v>0.3</v>
      </c>
      <c r="BX68" s="719">
        <f t="shared" si="81"/>
        <v>0.3</v>
      </c>
      <c r="BY68" s="719">
        <f t="shared" si="82"/>
        <v>0.3</v>
      </c>
      <c r="BZ68" s="719">
        <f t="shared" si="83"/>
        <v>0.3</v>
      </c>
      <c r="CA68" s="719">
        <f t="shared" si="84"/>
        <v>0.3</v>
      </c>
      <c r="CB68" s="748">
        <f t="shared" si="85"/>
        <v>0.4</v>
      </c>
      <c r="CC68" s="719">
        <f t="shared" si="86"/>
        <v>0.4</v>
      </c>
      <c r="CD68" s="719">
        <f t="shared" si="87"/>
        <v>0.4</v>
      </c>
      <c r="CF68" s="455">
        <v>1.2</v>
      </c>
      <c r="CG68" s="459" t="s">
        <v>605</v>
      </c>
      <c r="CH68" s="456" t="s">
        <v>635</v>
      </c>
      <c r="CI68" s="457">
        <v>0.3</v>
      </c>
      <c r="CJ68" s="457">
        <v>0.3</v>
      </c>
      <c r="CK68" s="457">
        <v>0.3</v>
      </c>
      <c r="CL68" s="460">
        <v>0.3</v>
      </c>
      <c r="CM68" s="457">
        <v>0.3</v>
      </c>
      <c r="CN68" s="460">
        <v>0.3</v>
      </c>
      <c r="CO68" s="461">
        <v>0.3</v>
      </c>
      <c r="CP68" s="460">
        <v>0.3</v>
      </c>
      <c r="CQ68" s="457">
        <v>0.3</v>
      </c>
      <c r="CR68" s="460">
        <v>0.3</v>
      </c>
      <c r="CS68" s="461">
        <v>0.4</v>
      </c>
      <c r="CT68" s="461">
        <v>0.4</v>
      </c>
      <c r="CU68" s="461">
        <v>0.4</v>
      </c>
      <c r="CW68" s="455">
        <v>1.2</v>
      </c>
      <c r="CX68" s="459" t="s">
        <v>605</v>
      </c>
      <c r="CY68" s="456" t="s">
        <v>635</v>
      </c>
      <c r="CZ68" s="461">
        <v>0.3</v>
      </c>
      <c r="DA68" s="461">
        <v>0.3</v>
      </c>
      <c r="DB68" s="461">
        <v>0.3</v>
      </c>
      <c r="DC68" s="461">
        <v>0.3</v>
      </c>
      <c r="DD68" s="468">
        <v>0.3</v>
      </c>
      <c r="DE68" s="461">
        <v>0.3</v>
      </c>
      <c r="DF68" s="461">
        <v>0.3</v>
      </c>
      <c r="DG68" s="461">
        <v>0.3</v>
      </c>
      <c r="DH68" s="461">
        <v>0.3</v>
      </c>
      <c r="DI68" s="461">
        <v>0.3</v>
      </c>
      <c r="DJ68" s="461">
        <v>0.4</v>
      </c>
      <c r="DK68" s="461">
        <v>0.4</v>
      </c>
      <c r="DL68" s="461">
        <v>0.4</v>
      </c>
      <c r="DN68" s="455">
        <v>1.2</v>
      </c>
      <c r="DO68" s="459" t="s">
        <v>605</v>
      </c>
      <c r="DP68" s="456" t="s">
        <v>635</v>
      </c>
      <c r="DQ68" s="461">
        <v>0.3</v>
      </c>
      <c r="DR68" s="461">
        <v>0.3</v>
      </c>
      <c r="DS68" s="461">
        <v>0.3</v>
      </c>
      <c r="DT68" s="461">
        <v>0.3</v>
      </c>
      <c r="DU68" s="468">
        <v>0.3</v>
      </c>
      <c r="DV68" s="461">
        <v>0.3</v>
      </c>
      <c r="DW68" s="461">
        <v>0.3</v>
      </c>
      <c r="DX68" s="461">
        <v>0.3</v>
      </c>
      <c r="DY68" s="461">
        <v>0.3</v>
      </c>
      <c r="DZ68" s="461">
        <v>0.3</v>
      </c>
      <c r="EA68" s="461">
        <v>0.4</v>
      </c>
      <c r="EB68" s="461">
        <v>0.4</v>
      </c>
      <c r="EC68" s="461">
        <v>0.4</v>
      </c>
      <c r="ED68" s="555"/>
      <c r="EF68" s="455">
        <v>1.2</v>
      </c>
      <c r="EG68" s="459" t="s">
        <v>605</v>
      </c>
      <c r="EH68" s="456" t="s">
        <v>635</v>
      </c>
      <c r="EI68" s="609">
        <f t="shared" si="116"/>
        <v>0.3</v>
      </c>
      <c r="EJ68" s="609">
        <f t="shared" si="116"/>
        <v>0.3</v>
      </c>
      <c r="EK68" s="609">
        <f t="shared" si="116"/>
        <v>0.3</v>
      </c>
      <c r="EL68" s="609">
        <f t="shared" si="116"/>
        <v>0.3</v>
      </c>
      <c r="EM68" s="621">
        <f t="shared" si="116"/>
        <v>0.3</v>
      </c>
      <c r="EN68" s="609">
        <f t="shared" si="116"/>
        <v>0.3</v>
      </c>
      <c r="EO68" s="609">
        <f t="shared" si="116"/>
        <v>0.3</v>
      </c>
      <c r="EP68" s="609">
        <f t="shared" si="116"/>
        <v>0.3</v>
      </c>
      <c r="EQ68" s="609">
        <f t="shared" si="116"/>
        <v>0.3</v>
      </c>
      <c r="ER68" s="609">
        <f t="shared" si="116"/>
        <v>0.3</v>
      </c>
      <c r="ES68" s="609">
        <f t="shared" si="115"/>
        <v>0.4</v>
      </c>
      <c r="ET68" s="609">
        <f t="shared" si="115"/>
        <v>0.4</v>
      </c>
      <c r="EU68" s="609">
        <f t="shared" si="115"/>
        <v>0.4</v>
      </c>
      <c r="EW68" s="455">
        <v>1.2</v>
      </c>
      <c r="EX68" s="459" t="s">
        <v>605</v>
      </c>
      <c r="EY68" s="456" t="s">
        <v>635</v>
      </c>
      <c r="EZ68" s="672">
        <v>0.45</v>
      </c>
      <c r="FA68" s="598"/>
      <c r="FB68" s="598"/>
      <c r="FC68" s="598"/>
      <c r="FD68" s="641"/>
      <c r="FE68" s="598"/>
      <c r="FF68" s="598"/>
      <c r="FG68" s="598"/>
      <c r="FH68" s="598"/>
      <c r="FI68" s="598"/>
      <c r="FJ68" s="598"/>
      <c r="FK68" s="598"/>
      <c r="FL68" s="598"/>
    </row>
    <row r="69" spans="2:168">
      <c r="B69" s="732" t="str">
        <f t="shared" si="101"/>
        <v>1.2.1</v>
      </c>
      <c r="C69" s="408" t="str">
        <f t="shared" si="65"/>
        <v>広さ感・景観</v>
      </c>
      <c r="D69" s="809" t="e">
        <f t="shared" ref="D69:E73" si="118">IF(I$68&gt;0,G69/I$68,0)</f>
        <v>#REF!</v>
      </c>
      <c r="E69" s="809" t="e">
        <f t="shared" si="118"/>
        <v>#REF!</v>
      </c>
      <c r="G69" s="730" t="e">
        <f t="shared" si="67"/>
        <v>#REF!</v>
      </c>
      <c r="H69" s="730" t="e">
        <f t="shared" si="68"/>
        <v>#REF!</v>
      </c>
      <c r="I69" s="730"/>
      <c r="J69" s="730"/>
      <c r="K69" s="730" t="e">
        <f>IF(#REF!=0,0,1)</f>
        <v>#REF!</v>
      </c>
      <c r="L69" s="730" t="e">
        <f>IF(#REF!=0,0,1)</f>
        <v>#REF!</v>
      </c>
      <c r="M69" s="730">
        <f t="shared" si="69"/>
        <v>0.33333333333333331</v>
      </c>
      <c r="N69" s="730">
        <f t="shared" si="70"/>
        <v>0</v>
      </c>
      <c r="P69" s="832"/>
      <c r="Q69" s="810"/>
      <c r="R69" s="414">
        <v>1</v>
      </c>
      <c r="S69" s="579" t="s">
        <v>158</v>
      </c>
      <c r="T69" s="909" t="s">
        <v>767</v>
      </c>
      <c r="U69" s="726"/>
      <c r="V69" s="734">
        <f t="shared" si="104"/>
        <v>0</v>
      </c>
      <c r="W69" s="733">
        <f t="shared" si="105"/>
        <v>0</v>
      </c>
      <c r="Y69" s="1">
        <f t="shared" si="88"/>
        <v>0</v>
      </c>
      <c r="Z69" s="1">
        <f t="shared" si="89"/>
        <v>0</v>
      </c>
      <c r="AA69" s="1">
        <f t="shared" si="90"/>
        <v>0</v>
      </c>
      <c r="AB69" s="1">
        <f t="shared" si="91"/>
        <v>0</v>
      </c>
      <c r="AC69" s="1">
        <f t="shared" si="92"/>
        <v>0</v>
      </c>
      <c r="AD69" s="1">
        <f t="shared" si="93"/>
        <v>0</v>
      </c>
      <c r="AE69" s="1">
        <f t="shared" si="94"/>
        <v>0</v>
      </c>
      <c r="AF69" s="1">
        <f t="shared" si="95"/>
        <v>0</v>
      </c>
      <c r="AG69" s="1">
        <f t="shared" si="96"/>
        <v>0</v>
      </c>
      <c r="AH69" s="1">
        <f t="shared" si="97"/>
        <v>0</v>
      </c>
      <c r="AI69" s="1">
        <f t="shared" si="98"/>
        <v>0</v>
      </c>
      <c r="AJ69" s="1">
        <f t="shared" si="99"/>
        <v>0</v>
      </c>
      <c r="AK69" s="1">
        <f t="shared" si="100"/>
        <v>0</v>
      </c>
      <c r="AM69" s="679"/>
      <c r="AN69" s="679"/>
      <c r="AO69" s="679"/>
      <c r="AP69" s="679"/>
      <c r="AQ69" s="679"/>
      <c r="AR69" s="679"/>
      <c r="AS69" s="679"/>
      <c r="AT69" s="679"/>
      <c r="AU69" s="679"/>
      <c r="AV69" s="679"/>
      <c r="AW69" s="679"/>
      <c r="AX69" s="679"/>
      <c r="AY69" s="679"/>
      <c r="BA69" s="723"/>
      <c r="BB69" s="723" t="e">
        <f t="shared" si="71"/>
        <v>#REF!</v>
      </c>
      <c r="BC69" s="723"/>
      <c r="BD69" s="722" t="e">
        <f>BR69*#REF!</f>
        <v>#REF!</v>
      </c>
      <c r="BE69" s="722" t="e">
        <f>BS69*#REF!</f>
        <v>#REF!</v>
      </c>
      <c r="BF69" s="722" t="e">
        <f>BT69*#REF!</f>
        <v>#REF!</v>
      </c>
      <c r="BG69" s="722" t="e">
        <f>BU69*#REF!</f>
        <v>#REF!</v>
      </c>
      <c r="BH69" s="935" t="e">
        <f>BV69*#REF!</f>
        <v>#REF!</v>
      </c>
      <c r="BI69" s="722" t="e">
        <f>BW69*#REF!</f>
        <v>#REF!</v>
      </c>
      <c r="BJ69" s="722" t="e">
        <f>BX69*#REF!</f>
        <v>#REF!</v>
      </c>
      <c r="BK69" s="722" t="e">
        <f>BY69*#REF!</f>
        <v>#REF!</v>
      </c>
      <c r="BL69" s="722" t="e">
        <f>BZ69*#REF!</f>
        <v>#REF!</v>
      </c>
      <c r="BM69" s="722" t="e">
        <f>CA69*#REF!</f>
        <v>#REF!</v>
      </c>
      <c r="BO69" s="749" t="str">
        <f t="shared" si="72"/>
        <v>1.2.1</v>
      </c>
      <c r="BP69" s="749" t="str">
        <f t="shared" si="73"/>
        <v xml:space="preserve"> Q2 1.2</v>
      </c>
      <c r="BQ69" s="408" t="str">
        <f t="shared" si="74"/>
        <v>広さ感・景観</v>
      </c>
      <c r="BR69" s="719">
        <f t="shared" si="75"/>
        <v>0.33333333333333331</v>
      </c>
      <c r="BS69" s="719">
        <f t="shared" si="76"/>
        <v>0.5</v>
      </c>
      <c r="BT69" s="719">
        <f t="shared" si="77"/>
        <v>0.33333333333333331</v>
      </c>
      <c r="BU69" s="719">
        <f t="shared" si="78"/>
        <v>0.5</v>
      </c>
      <c r="BV69" s="934">
        <f t="shared" si="79"/>
        <v>0</v>
      </c>
      <c r="BW69" s="719">
        <f t="shared" si="80"/>
        <v>0.33333333333333331</v>
      </c>
      <c r="BX69" s="719">
        <f t="shared" si="81"/>
        <v>0.5</v>
      </c>
      <c r="BY69" s="719">
        <f t="shared" si="82"/>
        <v>0</v>
      </c>
      <c r="BZ69" s="719">
        <f t="shared" si="83"/>
        <v>0</v>
      </c>
      <c r="CA69" s="719">
        <f t="shared" si="84"/>
        <v>0</v>
      </c>
      <c r="CB69" s="748">
        <f t="shared" si="85"/>
        <v>0.5</v>
      </c>
      <c r="CC69" s="748">
        <f t="shared" si="86"/>
        <v>0.5</v>
      </c>
      <c r="CD69" s="748">
        <f t="shared" si="87"/>
        <v>0.5</v>
      </c>
      <c r="CF69" s="455" t="s">
        <v>54</v>
      </c>
      <c r="CG69" s="459" t="s">
        <v>610</v>
      </c>
      <c r="CH69" s="456" t="s">
        <v>611</v>
      </c>
      <c r="CI69" s="490">
        <v>0.33333333333333331</v>
      </c>
      <c r="CJ69" s="457"/>
      <c r="CK69" s="457"/>
      <c r="CL69" s="457"/>
      <c r="CM69" s="471"/>
      <c r="CN69" s="457"/>
      <c r="CO69" s="461"/>
      <c r="CP69" s="457"/>
      <c r="CQ69" s="457"/>
      <c r="CR69" s="457"/>
      <c r="CS69" s="462"/>
      <c r="CT69" s="462"/>
      <c r="CU69" s="462"/>
      <c r="CW69" s="455" t="s">
        <v>54</v>
      </c>
      <c r="CX69" s="459" t="s">
        <v>610</v>
      </c>
      <c r="CY69" s="456" t="s">
        <v>611</v>
      </c>
      <c r="CZ69" s="461">
        <v>0.33333333333333331</v>
      </c>
      <c r="DA69" s="461">
        <v>0.5</v>
      </c>
      <c r="DB69" s="461">
        <v>0.33333333333333331</v>
      </c>
      <c r="DC69" s="461">
        <v>0.5</v>
      </c>
      <c r="DD69" s="468"/>
      <c r="DE69" s="461">
        <v>0.33333333333333331</v>
      </c>
      <c r="DF69" s="461">
        <v>0.5</v>
      </c>
      <c r="DG69" s="461"/>
      <c r="DH69" s="461"/>
      <c r="DI69" s="461"/>
      <c r="DJ69" s="462">
        <v>0.5</v>
      </c>
      <c r="DK69" s="462">
        <v>0.5</v>
      </c>
      <c r="DL69" s="462">
        <v>0.5</v>
      </c>
      <c r="DN69" s="455" t="s">
        <v>54</v>
      </c>
      <c r="DO69" s="459" t="s">
        <v>610</v>
      </c>
      <c r="DP69" s="456" t="s">
        <v>611</v>
      </c>
      <c r="DQ69" s="461">
        <v>0.33333333333333331</v>
      </c>
      <c r="DR69" s="461">
        <v>0.5</v>
      </c>
      <c r="DS69" s="461">
        <v>0.33333333333333331</v>
      </c>
      <c r="DT69" s="461">
        <v>0.5</v>
      </c>
      <c r="DU69" s="468"/>
      <c r="DV69" s="461">
        <v>0.33333333333333331</v>
      </c>
      <c r="DW69" s="461">
        <v>0.5</v>
      </c>
      <c r="DX69" s="461"/>
      <c r="DY69" s="461"/>
      <c r="DZ69" s="461"/>
      <c r="EA69" s="462">
        <v>0.5</v>
      </c>
      <c r="EB69" s="462">
        <v>0.5</v>
      </c>
      <c r="EC69" s="462">
        <v>0.5</v>
      </c>
      <c r="ED69" s="555"/>
      <c r="EF69" s="455" t="s">
        <v>54</v>
      </c>
      <c r="EG69" s="459" t="s">
        <v>610</v>
      </c>
      <c r="EH69" s="456" t="s">
        <v>611</v>
      </c>
      <c r="EI69" s="609">
        <f t="shared" si="116"/>
        <v>0.33333333333333331</v>
      </c>
      <c r="EJ69" s="609">
        <f t="shared" si="116"/>
        <v>0.5</v>
      </c>
      <c r="EK69" s="609">
        <f t="shared" si="116"/>
        <v>0.33333333333333331</v>
      </c>
      <c r="EL69" s="609">
        <f t="shared" si="116"/>
        <v>0.5</v>
      </c>
      <c r="EM69" s="621">
        <f t="shared" si="116"/>
        <v>0</v>
      </c>
      <c r="EN69" s="609">
        <f t="shared" si="116"/>
        <v>0.33333333333333331</v>
      </c>
      <c r="EO69" s="609">
        <f t="shared" si="116"/>
        <v>0.5</v>
      </c>
      <c r="EP69" s="609">
        <f t="shared" si="116"/>
        <v>0</v>
      </c>
      <c r="EQ69" s="609">
        <f t="shared" si="116"/>
        <v>0</v>
      </c>
      <c r="ER69" s="609">
        <f t="shared" si="116"/>
        <v>0</v>
      </c>
      <c r="ES69" s="611">
        <f t="shared" si="115"/>
        <v>0.5</v>
      </c>
      <c r="ET69" s="611">
        <f t="shared" si="115"/>
        <v>0.5</v>
      </c>
      <c r="EU69" s="611">
        <f t="shared" si="115"/>
        <v>0.5</v>
      </c>
      <c r="EW69" s="455" t="s">
        <v>54</v>
      </c>
      <c r="EX69" s="459" t="s">
        <v>610</v>
      </c>
      <c r="EY69" s="671" t="s">
        <v>769</v>
      </c>
      <c r="EZ69" s="672">
        <v>0.15</v>
      </c>
      <c r="FA69" s="598"/>
      <c r="FB69" s="598"/>
      <c r="FC69" s="598"/>
      <c r="FD69" s="641"/>
      <c r="FE69" s="598"/>
      <c r="FF69" s="598"/>
      <c r="FG69" s="598"/>
      <c r="FH69" s="598"/>
      <c r="FI69" s="598"/>
      <c r="FJ69" s="647"/>
      <c r="FK69" s="647"/>
      <c r="FL69" s="647"/>
    </row>
    <row r="70" spans="2:168" hidden="1">
      <c r="B70" s="732"/>
      <c r="C70" s="408">
        <f t="shared" si="65"/>
        <v>0</v>
      </c>
      <c r="D70" s="809" t="e">
        <f t="shared" si="118"/>
        <v>#REF!</v>
      </c>
      <c r="E70" s="809" t="e">
        <f t="shared" si="118"/>
        <v>#REF!</v>
      </c>
      <c r="G70" s="730" t="e">
        <f t="shared" si="67"/>
        <v>#REF!</v>
      </c>
      <c r="H70" s="730" t="e">
        <f t="shared" si="68"/>
        <v>#REF!</v>
      </c>
      <c r="I70" s="730"/>
      <c r="J70" s="730"/>
      <c r="K70" s="730" t="e">
        <f>IF(#REF!=0,0,1)</f>
        <v>#REF!</v>
      </c>
      <c r="L70" s="730" t="e">
        <f>IF(#REF!=0,0,1)</f>
        <v>#REF!</v>
      </c>
      <c r="M70" s="730">
        <f t="shared" si="69"/>
        <v>0</v>
      </c>
      <c r="N70" s="730">
        <f t="shared" si="70"/>
        <v>0</v>
      </c>
      <c r="P70" s="832"/>
      <c r="Q70" s="810"/>
      <c r="R70" s="938">
        <v>2</v>
      </c>
      <c r="S70" s="909" t="s">
        <v>158</v>
      </c>
      <c r="T70" s="909" t="s">
        <v>768</v>
      </c>
      <c r="U70" s="726"/>
      <c r="V70" s="747">
        <f t="shared" si="104"/>
        <v>0</v>
      </c>
      <c r="W70" s="746">
        <f t="shared" si="105"/>
        <v>0</v>
      </c>
      <c r="Y70" s="1">
        <f t="shared" si="88"/>
        <v>0</v>
      </c>
      <c r="Z70" s="1">
        <f t="shared" si="89"/>
        <v>0</v>
      </c>
      <c r="AA70" s="1">
        <f t="shared" si="90"/>
        <v>0</v>
      </c>
      <c r="AB70" s="1">
        <f t="shared" si="91"/>
        <v>0</v>
      </c>
      <c r="AC70" s="1">
        <f t="shared" si="92"/>
        <v>0</v>
      </c>
      <c r="AD70" s="1">
        <f t="shared" si="93"/>
        <v>0</v>
      </c>
      <c r="AE70" s="1">
        <f t="shared" si="94"/>
        <v>0</v>
      </c>
      <c r="AF70" s="1">
        <f t="shared" si="95"/>
        <v>0</v>
      </c>
      <c r="AG70" s="1">
        <f t="shared" si="96"/>
        <v>0</v>
      </c>
      <c r="AH70" s="1">
        <f t="shared" si="97"/>
        <v>0</v>
      </c>
      <c r="AI70" s="1">
        <f t="shared" si="98"/>
        <v>0</v>
      </c>
      <c r="AJ70" s="1">
        <f t="shared" si="99"/>
        <v>0</v>
      </c>
      <c r="AK70" s="1">
        <f t="shared" si="100"/>
        <v>0</v>
      </c>
      <c r="AM70" s="680"/>
      <c r="AN70" s="680"/>
      <c r="AO70" s="680"/>
      <c r="AP70" s="680"/>
      <c r="AQ70" s="680"/>
      <c r="AR70" s="680"/>
      <c r="AS70" s="680"/>
      <c r="AT70" s="680"/>
      <c r="AU70" s="680"/>
      <c r="AV70" s="680"/>
      <c r="AW70" s="680"/>
      <c r="AX70" s="680"/>
      <c r="AY70" s="680"/>
      <c r="BA70" s="723"/>
      <c r="BB70" s="723" t="e">
        <f t="shared" si="71"/>
        <v>#REF!</v>
      </c>
      <c r="BC70" s="723"/>
      <c r="BD70" s="722" t="e">
        <f>BR70*#REF!</f>
        <v>#REF!</v>
      </c>
      <c r="BE70" s="722" t="e">
        <f>BS70*#REF!</f>
        <v>#REF!</v>
      </c>
      <c r="BF70" s="722" t="e">
        <f>BT70*#REF!</f>
        <v>#REF!</v>
      </c>
      <c r="BG70" s="722" t="e">
        <f>BU70*#REF!</f>
        <v>#REF!</v>
      </c>
      <c r="BH70" s="935" t="e">
        <f>BV70*#REF!</f>
        <v>#REF!</v>
      </c>
      <c r="BI70" s="722" t="e">
        <f>BW70*#REF!</f>
        <v>#REF!</v>
      </c>
      <c r="BJ70" s="722" t="e">
        <f>BX70*#REF!</f>
        <v>#REF!</v>
      </c>
      <c r="BK70" s="722" t="e">
        <f>BY70*#REF!</f>
        <v>#REF!</v>
      </c>
      <c r="BL70" s="722" t="e">
        <f>BZ70*#REF!</f>
        <v>#REF!</v>
      </c>
      <c r="BM70" s="722" t="e">
        <f>CA70*#REF!</f>
        <v>#REF!</v>
      </c>
      <c r="BO70" s="749">
        <f t="shared" si="72"/>
        <v>0</v>
      </c>
      <c r="BP70" s="749">
        <f t="shared" si="73"/>
        <v>0</v>
      </c>
      <c r="BQ70" s="408">
        <f t="shared" si="74"/>
        <v>0</v>
      </c>
      <c r="BR70" s="719">
        <f t="shared" si="75"/>
        <v>0</v>
      </c>
      <c r="BS70" s="719">
        <f t="shared" si="76"/>
        <v>0</v>
      </c>
      <c r="BT70" s="719">
        <f t="shared" si="77"/>
        <v>0</v>
      </c>
      <c r="BU70" s="719">
        <f t="shared" si="78"/>
        <v>0</v>
      </c>
      <c r="BV70" s="934">
        <f t="shared" si="79"/>
        <v>0</v>
      </c>
      <c r="BW70" s="719">
        <f t="shared" si="80"/>
        <v>0</v>
      </c>
      <c r="BX70" s="719">
        <f t="shared" si="81"/>
        <v>0</v>
      </c>
      <c r="BY70" s="719">
        <f t="shared" si="82"/>
        <v>0</v>
      </c>
      <c r="BZ70" s="719">
        <f t="shared" si="83"/>
        <v>0</v>
      </c>
      <c r="CA70" s="719">
        <f t="shared" si="84"/>
        <v>0</v>
      </c>
      <c r="CB70" s="748">
        <f t="shared" si="85"/>
        <v>0</v>
      </c>
      <c r="CC70" s="748">
        <f t="shared" si="86"/>
        <v>0</v>
      </c>
      <c r="CD70" s="748">
        <f t="shared" si="87"/>
        <v>0</v>
      </c>
      <c r="CF70" s="455"/>
      <c r="CG70" s="459"/>
      <c r="CH70" s="456"/>
      <c r="CI70" s="490"/>
      <c r="CJ70" s="457"/>
      <c r="CK70" s="457"/>
      <c r="CL70" s="457"/>
      <c r="CM70" s="471"/>
      <c r="CN70" s="457"/>
      <c r="CO70" s="461"/>
      <c r="CP70" s="457"/>
      <c r="CQ70" s="457"/>
      <c r="CR70" s="457"/>
      <c r="CS70" s="462"/>
      <c r="CT70" s="462"/>
      <c r="CU70" s="462"/>
      <c r="CW70" s="455"/>
      <c r="CX70" s="459"/>
      <c r="CY70" s="456"/>
      <c r="CZ70" s="461"/>
      <c r="DA70" s="461"/>
      <c r="DB70" s="461"/>
      <c r="DC70" s="461"/>
      <c r="DD70" s="468"/>
      <c r="DE70" s="461"/>
      <c r="DF70" s="461"/>
      <c r="DG70" s="461"/>
      <c r="DH70" s="461"/>
      <c r="DI70" s="461"/>
      <c r="DJ70" s="462"/>
      <c r="DK70" s="462"/>
      <c r="DL70" s="462"/>
      <c r="DN70" s="455"/>
      <c r="DO70" s="459"/>
      <c r="DP70" s="456"/>
      <c r="DQ70" s="461"/>
      <c r="DR70" s="461"/>
      <c r="DS70" s="461"/>
      <c r="DT70" s="461"/>
      <c r="DU70" s="468"/>
      <c r="DV70" s="461"/>
      <c r="DW70" s="461"/>
      <c r="DX70" s="461"/>
      <c r="DY70" s="461"/>
      <c r="DZ70" s="461"/>
      <c r="EA70" s="462"/>
      <c r="EB70" s="462"/>
      <c r="EC70" s="462"/>
      <c r="ED70" s="555"/>
      <c r="EF70" s="455"/>
      <c r="EG70" s="459"/>
      <c r="EH70" s="456"/>
      <c r="EI70" s="609"/>
      <c r="EJ70" s="609"/>
      <c r="EK70" s="609"/>
      <c r="EL70" s="609"/>
      <c r="EM70" s="621"/>
      <c r="EN70" s="609"/>
      <c r="EO70" s="609"/>
      <c r="EP70" s="609"/>
      <c r="EQ70" s="609"/>
      <c r="ER70" s="609"/>
      <c r="ES70" s="611"/>
      <c r="ET70" s="611"/>
      <c r="EU70" s="611"/>
      <c r="EW70" s="455" t="s">
        <v>771</v>
      </c>
      <c r="EX70" s="459" t="s">
        <v>610</v>
      </c>
      <c r="EY70" s="671" t="s">
        <v>770</v>
      </c>
      <c r="EZ70" s="672">
        <v>0.15</v>
      </c>
      <c r="FA70" s="598"/>
      <c r="FB70" s="598"/>
      <c r="FC70" s="598"/>
      <c r="FD70" s="641"/>
      <c r="FE70" s="598"/>
      <c r="FF70" s="598"/>
      <c r="FG70" s="598"/>
      <c r="FH70" s="598"/>
      <c r="FI70" s="598"/>
      <c r="FJ70" s="647"/>
      <c r="FK70" s="647"/>
      <c r="FL70" s="647"/>
    </row>
    <row r="71" spans="2:168">
      <c r="B71" s="732" t="str">
        <f>BO71</f>
        <v>1.2.2</v>
      </c>
      <c r="C71" s="408" t="str">
        <f t="shared" si="65"/>
        <v>リフレッシュスペース</v>
      </c>
      <c r="D71" s="809" t="e">
        <f t="shared" si="118"/>
        <v>#REF!</v>
      </c>
      <c r="E71" s="809" t="e">
        <f t="shared" si="118"/>
        <v>#REF!</v>
      </c>
      <c r="G71" s="730" t="e">
        <f t="shared" si="67"/>
        <v>#REF!</v>
      </c>
      <c r="H71" s="730" t="e">
        <f t="shared" si="68"/>
        <v>#REF!</v>
      </c>
      <c r="I71" s="730"/>
      <c r="J71" s="730"/>
      <c r="K71" s="730" t="e">
        <f>IF(#REF!=0,0,1)</f>
        <v>#REF!</v>
      </c>
      <c r="L71" s="730" t="e">
        <f>IF(#REF!=0,0,1)</f>
        <v>#REF!</v>
      </c>
      <c r="M71" s="730">
        <f t="shared" si="69"/>
        <v>0.33333333333333331</v>
      </c>
      <c r="N71" s="730">
        <f t="shared" si="70"/>
        <v>0</v>
      </c>
      <c r="P71" s="832"/>
      <c r="Q71" s="810"/>
      <c r="R71" s="414">
        <v>2</v>
      </c>
      <c r="S71" s="579" t="s">
        <v>968</v>
      </c>
      <c r="T71" s="745"/>
      <c r="U71" s="726"/>
      <c r="V71" s="747">
        <f t="shared" si="104"/>
        <v>0</v>
      </c>
      <c r="W71" s="746">
        <f t="shared" si="105"/>
        <v>0</v>
      </c>
      <c r="Y71" s="1">
        <f t="shared" si="88"/>
        <v>0</v>
      </c>
      <c r="Z71" s="1">
        <f t="shared" si="89"/>
        <v>0</v>
      </c>
      <c r="AA71" s="1">
        <f t="shared" si="90"/>
        <v>0</v>
      </c>
      <c r="AB71" s="1">
        <f t="shared" si="91"/>
        <v>0</v>
      </c>
      <c r="AC71" s="1">
        <f t="shared" si="92"/>
        <v>0</v>
      </c>
      <c r="AD71" s="1">
        <f t="shared" si="93"/>
        <v>0</v>
      </c>
      <c r="AE71" s="1">
        <f t="shared" si="94"/>
        <v>0</v>
      </c>
      <c r="AF71" s="1">
        <f t="shared" si="95"/>
        <v>0</v>
      </c>
      <c r="AG71" s="1">
        <f t="shared" si="96"/>
        <v>0</v>
      </c>
      <c r="AH71" s="1">
        <f t="shared" si="97"/>
        <v>0</v>
      </c>
      <c r="AI71" s="1">
        <f t="shared" si="98"/>
        <v>0</v>
      </c>
      <c r="AJ71" s="1">
        <f t="shared" si="99"/>
        <v>0</v>
      </c>
      <c r="AK71" s="1">
        <f t="shared" si="100"/>
        <v>0</v>
      </c>
      <c r="AM71" s="680"/>
      <c r="AN71" s="680"/>
      <c r="AO71" s="680"/>
      <c r="AP71" s="680"/>
      <c r="AQ71" s="680"/>
      <c r="AR71" s="680"/>
      <c r="AS71" s="680"/>
      <c r="AT71" s="680"/>
      <c r="AU71" s="680"/>
      <c r="AV71" s="680"/>
      <c r="AW71" s="680"/>
      <c r="AX71" s="680"/>
      <c r="AY71" s="680"/>
      <c r="BA71" s="723"/>
      <c r="BB71" s="723" t="e">
        <f t="shared" si="71"/>
        <v>#REF!</v>
      </c>
      <c r="BC71" s="723"/>
      <c r="BD71" s="722" t="e">
        <f>BR71*#REF!</f>
        <v>#REF!</v>
      </c>
      <c r="BE71" s="722" t="e">
        <f>BS71*#REF!</f>
        <v>#REF!</v>
      </c>
      <c r="BF71" s="722" t="e">
        <f>BT71*#REF!</f>
        <v>#REF!</v>
      </c>
      <c r="BG71" s="722" t="e">
        <f>BU71*#REF!</f>
        <v>#REF!</v>
      </c>
      <c r="BH71" s="935" t="e">
        <f>BV71*#REF!</f>
        <v>#REF!</v>
      </c>
      <c r="BI71" s="722" t="e">
        <f>BW71*#REF!</f>
        <v>#REF!</v>
      </c>
      <c r="BJ71" s="722" t="e">
        <f>BX71*#REF!</f>
        <v>#REF!</v>
      </c>
      <c r="BK71" s="722" t="e">
        <f>BY71*#REF!</f>
        <v>#REF!</v>
      </c>
      <c r="BL71" s="722" t="e">
        <f>BZ71*#REF!</f>
        <v>#REF!</v>
      </c>
      <c r="BM71" s="722" t="e">
        <f>CA71*#REF!</f>
        <v>#REF!</v>
      </c>
      <c r="BO71" s="749" t="str">
        <f t="shared" si="72"/>
        <v>1.2.2</v>
      </c>
      <c r="BP71" s="749" t="str">
        <f t="shared" si="73"/>
        <v xml:space="preserve"> Q2 1.2</v>
      </c>
      <c r="BQ71" s="408" t="str">
        <f t="shared" si="74"/>
        <v>リフレッシュスペース</v>
      </c>
      <c r="BR71" s="719">
        <f t="shared" si="75"/>
        <v>0.33333333333333331</v>
      </c>
      <c r="BS71" s="719">
        <f t="shared" si="76"/>
        <v>0</v>
      </c>
      <c r="BT71" s="719">
        <f t="shared" si="77"/>
        <v>0.33333333333333331</v>
      </c>
      <c r="BU71" s="719">
        <f t="shared" si="78"/>
        <v>0</v>
      </c>
      <c r="BV71" s="934">
        <f t="shared" si="79"/>
        <v>0</v>
      </c>
      <c r="BW71" s="719">
        <f t="shared" si="80"/>
        <v>0.33333333333333331</v>
      </c>
      <c r="BX71" s="719">
        <f t="shared" si="81"/>
        <v>0</v>
      </c>
      <c r="BY71" s="719">
        <f t="shared" si="82"/>
        <v>0</v>
      </c>
      <c r="BZ71" s="719">
        <f t="shared" si="83"/>
        <v>0</v>
      </c>
      <c r="CA71" s="719">
        <f t="shared" si="84"/>
        <v>0</v>
      </c>
      <c r="CB71" s="748">
        <f t="shared" si="85"/>
        <v>0</v>
      </c>
      <c r="CC71" s="748">
        <f t="shared" si="86"/>
        <v>0</v>
      </c>
      <c r="CD71" s="748">
        <f t="shared" si="87"/>
        <v>0</v>
      </c>
      <c r="CF71" s="455" t="s">
        <v>55</v>
      </c>
      <c r="CG71" s="459" t="s">
        <v>610</v>
      </c>
      <c r="CH71" s="456" t="s">
        <v>612</v>
      </c>
      <c r="CI71" s="490">
        <v>0.33333333333333331</v>
      </c>
      <c r="CJ71" s="457"/>
      <c r="CK71" s="457">
        <v>0.5</v>
      </c>
      <c r="CL71" s="457"/>
      <c r="CM71" s="471"/>
      <c r="CN71" s="457"/>
      <c r="CO71" s="461"/>
      <c r="CP71" s="457"/>
      <c r="CQ71" s="457"/>
      <c r="CR71" s="457"/>
      <c r="CS71" s="462"/>
      <c r="CT71" s="462"/>
      <c r="CU71" s="462"/>
      <c r="CW71" s="455" t="s">
        <v>55</v>
      </c>
      <c r="CX71" s="459" t="s">
        <v>610</v>
      </c>
      <c r="CY71" s="456" t="s">
        <v>612</v>
      </c>
      <c r="CZ71" s="461">
        <v>0.33333333333333331</v>
      </c>
      <c r="DA71" s="461">
        <v>0</v>
      </c>
      <c r="DB71" s="461">
        <v>0.33333333333333331</v>
      </c>
      <c r="DC71" s="461"/>
      <c r="DD71" s="468"/>
      <c r="DE71" s="461">
        <v>0.33333333333333331</v>
      </c>
      <c r="DF71" s="461">
        <v>0</v>
      </c>
      <c r="DG71" s="461"/>
      <c r="DH71" s="461"/>
      <c r="DI71" s="461"/>
      <c r="DJ71" s="462"/>
      <c r="DK71" s="462"/>
      <c r="DL71" s="462"/>
      <c r="DN71" s="455" t="s">
        <v>55</v>
      </c>
      <c r="DO71" s="459" t="s">
        <v>610</v>
      </c>
      <c r="DP71" s="456" t="s">
        <v>612</v>
      </c>
      <c r="DQ71" s="461">
        <v>0.33333333333333331</v>
      </c>
      <c r="DR71" s="461"/>
      <c r="DS71" s="461">
        <v>0.33333333333333331</v>
      </c>
      <c r="DT71" s="461"/>
      <c r="DU71" s="468"/>
      <c r="DV71" s="461">
        <v>0.33333333333333331</v>
      </c>
      <c r="DW71" s="461"/>
      <c r="DX71" s="461"/>
      <c r="DY71" s="461"/>
      <c r="DZ71" s="461"/>
      <c r="EA71" s="462"/>
      <c r="EB71" s="462"/>
      <c r="EC71" s="462"/>
      <c r="ED71" s="555"/>
      <c r="EF71" s="455" t="s">
        <v>55</v>
      </c>
      <c r="EG71" s="459" t="s">
        <v>610</v>
      </c>
      <c r="EH71" s="456" t="s">
        <v>612</v>
      </c>
      <c r="EI71" s="609">
        <f t="shared" ref="EI71:EU72" si="119">DQ71</f>
        <v>0.33333333333333331</v>
      </c>
      <c r="EJ71" s="609">
        <f t="shared" si="119"/>
        <v>0</v>
      </c>
      <c r="EK71" s="609">
        <f t="shared" si="119"/>
        <v>0.33333333333333331</v>
      </c>
      <c r="EL71" s="609">
        <f t="shared" si="119"/>
        <v>0</v>
      </c>
      <c r="EM71" s="621">
        <f t="shared" si="119"/>
        <v>0</v>
      </c>
      <c r="EN71" s="609">
        <f t="shared" si="119"/>
        <v>0.33333333333333331</v>
      </c>
      <c r="EO71" s="609">
        <f t="shared" si="119"/>
        <v>0</v>
      </c>
      <c r="EP71" s="609">
        <f t="shared" si="119"/>
        <v>0</v>
      </c>
      <c r="EQ71" s="609">
        <f t="shared" si="119"/>
        <v>0</v>
      </c>
      <c r="ER71" s="609">
        <f t="shared" si="119"/>
        <v>0</v>
      </c>
      <c r="ES71" s="611">
        <f t="shared" si="119"/>
        <v>0</v>
      </c>
      <c r="ET71" s="611">
        <f t="shared" si="119"/>
        <v>0</v>
      </c>
      <c r="EU71" s="611">
        <f t="shared" si="119"/>
        <v>0</v>
      </c>
      <c r="EW71" s="455" t="s">
        <v>772</v>
      </c>
      <c r="EX71" s="459" t="s">
        <v>610</v>
      </c>
      <c r="EY71" s="456" t="s">
        <v>612</v>
      </c>
      <c r="EZ71" s="672">
        <v>0.25</v>
      </c>
      <c r="FA71" s="598"/>
      <c r="FB71" s="598"/>
      <c r="FC71" s="598"/>
      <c r="FD71" s="641"/>
      <c r="FE71" s="598"/>
      <c r="FF71" s="598"/>
      <c r="FG71" s="598"/>
      <c r="FH71" s="598"/>
      <c r="FI71" s="598"/>
      <c r="FJ71" s="647"/>
      <c r="FK71" s="647"/>
      <c r="FL71" s="647"/>
    </row>
    <row r="72" spans="2:168" ht="14.25" thickBot="1">
      <c r="B72" s="732" t="str">
        <f>BO72</f>
        <v>1.2.3</v>
      </c>
      <c r="C72" s="408" t="str">
        <f t="shared" si="65"/>
        <v>内装計画</v>
      </c>
      <c r="D72" s="809" t="e">
        <f t="shared" si="118"/>
        <v>#REF!</v>
      </c>
      <c r="E72" s="809" t="e">
        <f t="shared" si="118"/>
        <v>#REF!</v>
      </c>
      <c r="G72" s="730" t="e">
        <f t="shared" si="67"/>
        <v>#REF!</v>
      </c>
      <c r="H72" s="730" t="e">
        <f t="shared" si="68"/>
        <v>#REF!</v>
      </c>
      <c r="I72" s="730"/>
      <c r="J72" s="730"/>
      <c r="K72" s="730" t="e">
        <f>IF(#REF!=0,0,1)</f>
        <v>#REF!</v>
      </c>
      <c r="L72" s="730" t="e">
        <f>IF(#REF!=0,0,1)</f>
        <v>#REF!</v>
      </c>
      <c r="M72" s="730">
        <f t="shared" si="69"/>
        <v>0.33333333333333331</v>
      </c>
      <c r="N72" s="730">
        <f t="shared" si="70"/>
        <v>0</v>
      </c>
      <c r="P72" s="832"/>
      <c r="Q72" s="810"/>
      <c r="R72" s="414">
        <v>3</v>
      </c>
      <c r="S72" s="579" t="s">
        <v>0</v>
      </c>
      <c r="T72" s="745"/>
      <c r="U72" s="726"/>
      <c r="V72" s="725">
        <f t="shared" si="104"/>
        <v>0</v>
      </c>
      <c r="W72" s="724">
        <f t="shared" si="105"/>
        <v>0</v>
      </c>
      <c r="Y72" s="1">
        <f t="shared" si="88"/>
        <v>0</v>
      </c>
      <c r="Z72" s="1">
        <f t="shared" si="89"/>
        <v>0</v>
      </c>
      <c r="AA72" s="1">
        <f t="shared" si="90"/>
        <v>0</v>
      </c>
      <c r="AB72" s="1">
        <f t="shared" si="91"/>
        <v>0</v>
      </c>
      <c r="AC72" s="1">
        <f t="shared" si="92"/>
        <v>0</v>
      </c>
      <c r="AD72" s="1">
        <f t="shared" si="93"/>
        <v>0</v>
      </c>
      <c r="AE72" s="1">
        <f t="shared" si="94"/>
        <v>0</v>
      </c>
      <c r="AF72" s="1">
        <f t="shared" si="95"/>
        <v>0</v>
      </c>
      <c r="AG72" s="1">
        <f t="shared" si="96"/>
        <v>0</v>
      </c>
      <c r="AH72" s="1">
        <f t="shared" si="97"/>
        <v>0</v>
      </c>
      <c r="AI72" s="1">
        <f t="shared" si="98"/>
        <v>0</v>
      </c>
      <c r="AJ72" s="1">
        <f t="shared" si="99"/>
        <v>0</v>
      </c>
      <c r="AK72" s="1">
        <f t="shared" si="100"/>
        <v>0</v>
      </c>
      <c r="AM72" s="683"/>
      <c r="AN72" s="683"/>
      <c r="AO72" s="683"/>
      <c r="AP72" s="683"/>
      <c r="AQ72" s="683"/>
      <c r="AR72" s="683"/>
      <c r="AS72" s="683"/>
      <c r="AT72" s="683"/>
      <c r="AU72" s="683"/>
      <c r="AV72" s="683"/>
      <c r="AW72" s="683"/>
      <c r="AX72" s="683"/>
      <c r="AY72" s="683"/>
      <c r="BA72" s="723"/>
      <c r="BB72" s="723" t="e">
        <f t="shared" si="71"/>
        <v>#REF!</v>
      </c>
      <c r="BC72" s="723"/>
      <c r="BD72" s="722" t="e">
        <f>BR72*#REF!</f>
        <v>#REF!</v>
      </c>
      <c r="BE72" s="722" t="e">
        <f>BS72*#REF!</f>
        <v>#REF!</v>
      </c>
      <c r="BF72" s="722" t="e">
        <f>BT72*#REF!</f>
        <v>#REF!</v>
      </c>
      <c r="BG72" s="722" t="e">
        <f>BU72*#REF!</f>
        <v>#REF!</v>
      </c>
      <c r="BH72" s="935" t="e">
        <f>BV72*#REF!</f>
        <v>#REF!</v>
      </c>
      <c r="BI72" s="722" t="e">
        <f>BW72*#REF!</f>
        <v>#REF!</v>
      </c>
      <c r="BJ72" s="722" t="e">
        <f>BX72*#REF!</f>
        <v>#REF!</v>
      </c>
      <c r="BK72" s="722" t="e">
        <f>BY72*#REF!</f>
        <v>#REF!</v>
      </c>
      <c r="BL72" s="722" t="e">
        <f>BZ72*#REF!</f>
        <v>#REF!</v>
      </c>
      <c r="BM72" s="722" t="e">
        <f>CA72*#REF!</f>
        <v>#REF!</v>
      </c>
      <c r="BO72" s="749" t="str">
        <f t="shared" si="72"/>
        <v>1.2.3</v>
      </c>
      <c r="BP72" s="749" t="str">
        <f t="shared" si="73"/>
        <v xml:space="preserve"> Q2 1.2</v>
      </c>
      <c r="BQ72" s="408" t="str">
        <f t="shared" si="74"/>
        <v>内装計画</v>
      </c>
      <c r="BR72" s="719">
        <f t="shared" si="75"/>
        <v>0.33333333333333331</v>
      </c>
      <c r="BS72" s="719">
        <f t="shared" si="76"/>
        <v>0.5</v>
      </c>
      <c r="BT72" s="719">
        <f t="shared" si="77"/>
        <v>0.33333333333333331</v>
      </c>
      <c r="BU72" s="719">
        <f t="shared" si="78"/>
        <v>0.5</v>
      </c>
      <c r="BV72" s="934">
        <f t="shared" si="79"/>
        <v>1</v>
      </c>
      <c r="BW72" s="719">
        <f t="shared" si="80"/>
        <v>0.33333333333333331</v>
      </c>
      <c r="BX72" s="719">
        <f t="shared" si="81"/>
        <v>0.5</v>
      </c>
      <c r="BY72" s="719">
        <f t="shared" si="82"/>
        <v>1</v>
      </c>
      <c r="BZ72" s="719">
        <f t="shared" si="83"/>
        <v>1</v>
      </c>
      <c r="CA72" s="719">
        <f t="shared" si="84"/>
        <v>1</v>
      </c>
      <c r="CB72" s="748">
        <f t="shared" si="85"/>
        <v>0.5</v>
      </c>
      <c r="CC72" s="748">
        <f t="shared" si="86"/>
        <v>0.5</v>
      </c>
      <c r="CD72" s="748">
        <f t="shared" si="87"/>
        <v>0.5</v>
      </c>
      <c r="CF72" s="455" t="s">
        <v>56</v>
      </c>
      <c r="CG72" s="459" t="s">
        <v>610</v>
      </c>
      <c r="CH72" s="456" t="s">
        <v>613</v>
      </c>
      <c r="CI72" s="490">
        <v>0.33333333333333331</v>
      </c>
      <c r="CJ72" s="457">
        <v>1</v>
      </c>
      <c r="CK72" s="457">
        <v>0.5</v>
      </c>
      <c r="CL72" s="457">
        <v>1</v>
      </c>
      <c r="CM72" s="471">
        <v>1</v>
      </c>
      <c r="CN72" s="457">
        <v>1</v>
      </c>
      <c r="CO72" s="461">
        <v>1</v>
      </c>
      <c r="CP72" s="457">
        <v>1</v>
      </c>
      <c r="CQ72" s="457">
        <v>1</v>
      </c>
      <c r="CR72" s="457">
        <v>1</v>
      </c>
      <c r="CS72" s="462">
        <v>1</v>
      </c>
      <c r="CT72" s="462">
        <v>1</v>
      </c>
      <c r="CU72" s="462">
        <v>1</v>
      </c>
      <c r="CW72" s="455" t="s">
        <v>967</v>
      </c>
      <c r="CX72" s="459" t="s">
        <v>610</v>
      </c>
      <c r="CY72" s="456" t="s">
        <v>613</v>
      </c>
      <c r="CZ72" s="461">
        <v>0.33333333333333331</v>
      </c>
      <c r="DA72" s="461">
        <v>0.5</v>
      </c>
      <c r="DB72" s="461">
        <v>0.33333333333333331</v>
      </c>
      <c r="DC72" s="461">
        <v>0.5</v>
      </c>
      <c r="DD72" s="468">
        <v>1</v>
      </c>
      <c r="DE72" s="461">
        <v>0.33333333333333331</v>
      </c>
      <c r="DF72" s="461">
        <v>0.5</v>
      </c>
      <c r="DG72" s="461">
        <v>1</v>
      </c>
      <c r="DH72" s="461">
        <v>1</v>
      </c>
      <c r="DI72" s="461">
        <v>1</v>
      </c>
      <c r="DJ72" s="462">
        <v>0.5</v>
      </c>
      <c r="DK72" s="462">
        <v>0.5</v>
      </c>
      <c r="DL72" s="462">
        <v>0.5</v>
      </c>
      <c r="DN72" s="455" t="s">
        <v>56</v>
      </c>
      <c r="DO72" s="459" t="s">
        <v>610</v>
      </c>
      <c r="DP72" s="456" t="s">
        <v>613</v>
      </c>
      <c r="DQ72" s="461">
        <v>0.33333333333333331</v>
      </c>
      <c r="DR72" s="461">
        <v>0.5</v>
      </c>
      <c r="DS72" s="461">
        <v>0.33333333333333331</v>
      </c>
      <c r="DT72" s="461">
        <v>0.5</v>
      </c>
      <c r="DU72" s="468">
        <v>1</v>
      </c>
      <c r="DV72" s="461">
        <v>0.33333333333333331</v>
      </c>
      <c r="DW72" s="461">
        <v>0.5</v>
      </c>
      <c r="DX72" s="461">
        <v>1</v>
      </c>
      <c r="DY72" s="461">
        <v>1</v>
      </c>
      <c r="DZ72" s="461">
        <v>1</v>
      </c>
      <c r="EA72" s="462">
        <v>0.5</v>
      </c>
      <c r="EB72" s="462">
        <v>0.5</v>
      </c>
      <c r="EC72" s="462">
        <v>0.5</v>
      </c>
      <c r="ED72" s="555"/>
      <c r="EF72" s="455" t="s">
        <v>966</v>
      </c>
      <c r="EG72" s="459" t="s">
        <v>610</v>
      </c>
      <c r="EH72" s="456" t="s">
        <v>613</v>
      </c>
      <c r="EI72" s="609">
        <f t="shared" si="119"/>
        <v>0.33333333333333331</v>
      </c>
      <c r="EJ72" s="609">
        <f t="shared" si="119"/>
        <v>0.5</v>
      </c>
      <c r="EK72" s="609">
        <f t="shared" si="119"/>
        <v>0.33333333333333331</v>
      </c>
      <c r="EL72" s="609">
        <f t="shared" si="119"/>
        <v>0.5</v>
      </c>
      <c r="EM72" s="621">
        <f t="shared" si="119"/>
        <v>1</v>
      </c>
      <c r="EN72" s="609">
        <f t="shared" si="119"/>
        <v>0.33333333333333331</v>
      </c>
      <c r="EO72" s="609">
        <f t="shared" si="119"/>
        <v>0.5</v>
      </c>
      <c r="EP72" s="609">
        <f t="shared" si="119"/>
        <v>1</v>
      </c>
      <c r="EQ72" s="609">
        <f t="shared" si="119"/>
        <v>1</v>
      </c>
      <c r="ER72" s="609">
        <f t="shared" si="119"/>
        <v>1</v>
      </c>
      <c r="ES72" s="611">
        <f t="shared" si="119"/>
        <v>0.5</v>
      </c>
      <c r="ET72" s="611">
        <f t="shared" si="119"/>
        <v>0.5</v>
      </c>
      <c r="EU72" s="611">
        <f t="shared" si="119"/>
        <v>0.5</v>
      </c>
      <c r="EW72" s="455" t="s">
        <v>773</v>
      </c>
      <c r="EX72" s="459" t="s">
        <v>610</v>
      </c>
      <c r="EY72" s="456" t="s">
        <v>613</v>
      </c>
      <c r="EZ72" s="672">
        <v>0.25</v>
      </c>
      <c r="FA72" s="598"/>
      <c r="FB72" s="598"/>
      <c r="FC72" s="598"/>
      <c r="FD72" s="641"/>
      <c r="FE72" s="598"/>
      <c r="FF72" s="598"/>
      <c r="FG72" s="598"/>
      <c r="FH72" s="598"/>
      <c r="FI72" s="598"/>
      <c r="FJ72" s="647"/>
      <c r="FK72" s="647"/>
      <c r="FL72" s="647"/>
    </row>
    <row r="73" spans="2:168" hidden="1">
      <c r="B73" s="732"/>
      <c r="C73" s="408">
        <f t="shared" ref="C73:C104" si="120">BQ73</f>
        <v>0</v>
      </c>
      <c r="D73" s="809" t="e">
        <f t="shared" si="118"/>
        <v>#REF!</v>
      </c>
      <c r="E73" s="809" t="e">
        <f t="shared" si="118"/>
        <v>#REF!</v>
      </c>
      <c r="G73" s="730" t="e">
        <f t="shared" ref="G73:G104" si="121">K73*M73</f>
        <v>#REF!</v>
      </c>
      <c r="H73" s="730" t="e">
        <f t="shared" ref="H73:H104" si="122">L73*N73</f>
        <v>#REF!</v>
      </c>
      <c r="I73" s="730"/>
      <c r="J73" s="730"/>
      <c r="K73" s="730" t="e">
        <f>IF(#REF!=0,0,1)</f>
        <v>#REF!</v>
      </c>
      <c r="L73" s="730" t="e">
        <f>IF(#REF!=0,0,1)</f>
        <v>#REF!</v>
      </c>
      <c r="M73" s="730">
        <f t="shared" ref="M73:M104" si="123">SUMPRODUCT($BR$7:$CA$7,BR73:CA73)</f>
        <v>0</v>
      </c>
      <c r="N73" s="730">
        <f t="shared" ref="N73:N98" si="124">(CB$7*CB73)+(CC$7*CC73)+(CD$7*CD73)</f>
        <v>0</v>
      </c>
      <c r="P73" s="832"/>
      <c r="Q73" s="810"/>
      <c r="R73" s="938">
        <v>5</v>
      </c>
      <c r="S73" s="909" t="s">
        <v>766</v>
      </c>
      <c r="T73" s="815"/>
      <c r="U73" s="726"/>
      <c r="V73" s="747">
        <f t="shared" si="104"/>
        <v>0</v>
      </c>
      <c r="W73" s="746">
        <f t="shared" si="105"/>
        <v>0</v>
      </c>
      <c r="Y73" s="1">
        <f t="shared" si="88"/>
        <v>0</v>
      </c>
      <c r="Z73" s="1">
        <f t="shared" si="89"/>
        <v>0</v>
      </c>
      <c r="AA73" s="1">
        <f t="shared" si="90"/>
        <v>0</v>
      </c>
      <c r="AB73" s="1">
        <f t="shared" si="91"/>
        <v>0</v>
      </c>
      <c r="AC73" s="1">
        <f t="shared" si="92"/>
        <v>0</v>
      </c>
      <c r="AD73" s="1">
        <f t="shared" si="93"/>
        <v>0</v>
      </c>
      <c r="AE73" s="1">
        <f t="shared" si="94"/>
        <v>0</v>
      </c>
      <c r="AF73" s="1">
        <f t="shared" si="95"/>
        <v>0</v>
      </c>
      <c r="AG73" s="1">
        <f t="shared" si="96"/>
        <v>0</v>
      </c>
      <c r="AH73" s="1">
        <f t="shared" si="97"/>
        <v>0</v>
      </c>
      <c r="AI73" s="1">
        <f t="shared" si="98"/>
        <v>0</v>
      </c>
      <c r="AJ73" s="1">
        <f t="shared" si="99"/>
        <v>0</v>
      </c>
      <c r="AK73" s="1">
        <f t="shared" si="100"/>
        <v>0</v>
      </c>
      <c r="AM73" s="772"/>
      <c r="AN73" s="772"/>
      <c r="AO73" s="772"/>
      <c r="AP73" s="772"/>
      <c r="AQ73" s="772"/>
      <c r="AR73" s="772"/>
      <c r="AS73" s="772"/>
      <c r="AT73" s="772"/>
      <c r="AU73" s="772"/>
      <c r="AV73" s="772"/>
      <c r="AW73" s="772"/>
      <c r="AX73" s="772"/>
      <c r="AY73" s="772"/>
      <c r="BA73" s="723"/>
      <c r="BB73" s="723" t="e">
        <f t="shared" ref="BB73:BB104" si="125">SUMPRODUCT($BD$7:$BM$7,BD73:BM73)</f>
        <v>#REF!</v>
      </c>
      <c r="BC73" s="723"/>
      <c r="BD73" s="722" t="e">
        <f>BR73*#REF!</f>
        <v>#REF!</v>
      </c>
      <c r="BE73" s="722" t="e">
        <f>BS73*#REF!</f>
        <v>#REF!</v>
      </c>
      <c r="BF73" s="722" t="e">
        <f>BT73*#REF!</f>
        <v>#REF!</v>
      </c>
      <c r="BG73" s="722" t="e">
        <f>BU73*#REF!</f>
        <v>#REF!</v>
      </c>
      <c r="BH73" s="935" t="e">
        <f>BV73*#REF!</f>
        <v>#REF!</v>
      </c>
      <c r="BI73" s="722" t="e">
        <f>BW73*#REF!</f>
        <v>#REF!</v>
      </c>
      <c r="BJ73" s="722" t="e">
        <f>BX73*#REF!</f>
        <v>#REF!</v>
      </c>
      <c r="BK73" s="722" t="e">
        <f>BY73*#REF!</f>
        <v>#REF!</v>
      </c>
      <c r="BL73" s="722" t="e">
        <f>BZ73*#REF!</f>
        <v>#REF!</v>
      </c>
      <c r="BM73" s="722" t="e">
        <f>CA73*#REF!</f>
        <v>#REF!</v>
      </c>
      <c r="BO73" s="749">
        <f t="shared" ref="BO73:BO104" si="126">IF($BO$3=1,CW73,IF($BO$3=2,DN73,IF($BO$3=3,EF73,IF($BO$3=4,EW73,CF73))))</f>
        <v>0</v>
      </c>
      <c r="BP73" s="749">
        <f t="shared" ref="BP73:BP104" si="127">IF($BO$3=1,CX73,IF($BO$3=2,DO73,IF($BO$3=3,EG73,IF($BO$3=4,EX73,CG73))))</f>
        <v>0</v>
      </c>
      <c r="BQ73" s="408">
        <f t="shared" ref="BQ73:BQ104" si="128">IF($BO$3=1,CY73,IF($BO$3=2,DP73,IF($BO$3=3,EH73,IF($BO$3=4,EY73,CH73))))</f>
        <v>0</v>
      </c>
      <c r="BR73" s="719">
        <f t="shared" ref="BR73:BR104" si="129">IF($BO$3=1,CZ73,IF($BO$3=2,DQ73,IF($BO$3=3,EI73,IF($BO$3=4,EZ73,CI73))))</f>
        <v>0</v>
      </c>
      <c r="BS73" s="719">
        <f t="shared" ref="BS73:BS104" si="130">IF($BO$3=1,DA73,IF($BO$3=2,DR73,IF($BO$3=3,EJ73,IF($BO$3=4,FA73,CJ73))))</f>
        <v>0</v>
      </c>
      <c r="BT73" s="719">
        <f t="shared" ref="BT73:BT104" si="131">IF($BO$3=1,DB73,IF($BO$3=2,DS73,IF($BO$3=3,EK73,IF($BO$3=4,FB73,CK73))))</f>
        <v>0</v>
      </c>
      <c r="BU73" s="719">
        <f t="shared" ref="BU73:BU104" si="132">IF($BO$3=1,DC73,IF($BO$3=2,DT73,IF($BO$3=3,EL73,IF($BO$3=4,FC73,CL73))))</f>
        <v>0</v>
      </c>
      <c r="BV73" s="934">
        <f t="shared" ref="BV73:BV104" si="133">IF($BO$3=1,DD73,IF($BO$3=2,DU73,IF($BO$3=3,EM73,IF($BO$3=4,FD73,CM73))))</f>
        <v>0</v>
      </c>
      <c r="BW73" s="719">
        <f t="shared" ref="BW73:BW104" si="134">IF($BO$3=1,DE73,IF($BO$3=2,DV73,IF($BO$3=3,EN73,IF($BO$3=4,FE73,CN73))))</f>
        <v>0</v>
      </c>
      <c r="BX73" s="719">
        <f t="shared" ref="BX73:BX104" si="135">IF($BO$3=1,DF73,IF($BO$3=2,DW73,IF($BO$3=3,EO73,IF($BO$3=4,FF73,CO73))))</f>
        <v>0</v>
      </c>
      <c r="BY73" s="719">
        <f t="shared" ref="BY73:BY104" si="136">IF($BO$3=1,DG73,IF($BO$3=2,DX73,IF($BO$3=3,EP73,IF($BO$3=4,FG73,CP73))))</f>
        <v>0</v>
      </c>
      <c r="BZ73" s="719">
        <f t="shared" ref="BZ73:BZ104" si="137">IF($BO$3=1,DH73,IF($BO$3=2,DY73,IF($BO$3=3,EQ73,IF($BO$3=4,FH73,CQ73))))</f>
        <v>0</v>
      </c>
      <c r="CA73" s="719">
        <f t="shared" ref="CA73:CA104" si="138">IF($BO$3=1,DI73,IF($BO$3=2,DZ73,IF($BO$3=3,ER73,IF($BO$3=4,FI73,CR73))))</f>
        <v>0</v>
      </c>
      <c r="CB73" s="748">
        <f t="shared" ref="CB73:CB104" si="139">IF($BO$3=1,DJ73,IF($BO$3=2,EA73,IF($BO$3=3,ES73,IF($BO$3=4,FJ73,CS73))))</f>
        <v>0</v>
      </c>
      <c r="CC73" s="748">
        <f t="shared" ref="CC73:CC104" si="140">IF($BO$3=1,DK73,IF($BO$3=2,EB73,IF($BO$3=3,ET73,IF($BO$3=4,FK73,CT73))))</f>
        <v>0</v>
      </c>
      <c r="CD73" s="748">
        <f t="shared" ref="CD73:CD104" si="141">IF($BO$3=1,DL73,IF($BO$3=2,EC73,IF($BO$3=3,EU73,IF($BO$3=4,FL73,CU73))))</f>
        <v>0</v>
      </c>
      <c r="CF73" s="455"/>
      <c r="CG73" s="459"/>
      <c r="CH73" s="456"/>
      <c r="CI73" s="490"/>
      <c r="CJ73" s="457"/>
      <c r="CK73" s="457"/>
      <c r="CL73" s="457"/>
      <c r="CM73" s="471"/>
      <c r="CN73" s="457"/>
      <c r="CO73" s="461"/>
      <c r="CP73" s="457"/>
      <c r="CQ73" s="457"/>
      <c r="CR73" s="457"/>
      <c r="CS73" s="462"/>
      <c r="CT73" s="462"/>
      <c r="CU73" s="462"/>
      <c r="CW73" s="455"/>
      <c r="CX73" s="459"/>
      <c r="CY73" s="456"/>
      <c r="CZ73" s="461"/>
      <c r="DA73" s="461"/>
      <c r="DB73" s="461"/>
      <c r="DC73" s="461"/>
      <c r="DD73" s="468"/>
      <c r="DE73" s="461"/>
      <c r="DF73" s="461"/>
      <c r="DG73" s="461"/>
      <c r="DH73" s="461"/>
      <c r="DI73" s="461"/>
      <c r="DJ73" s="462"/>
      <c r="DK73" s="462"/>
      <c r="DL73" s="462"/>
      <c r="DN73" s="455"/>
      <c r="DO73" s="459"/>
      <c r="DP73" s="456"/>
      <c r="DQ73" s="461"/>
      <c r="DR73" s="461"/>
      <c r="DS73" s="461"/>
      <c r="DT73" s="461"/>
      <c r="DU73" s="468"/>
      <c r="DV73" s="461"/>
      <c r="DW73" s="461"/>
      <c r="DX73" s="461"/>
      <c r="DY73" s="461"/>
      <c r="DZ73" s="461"/>
      <c r="EA73" s="462"/>
      <c r="EB73" s="462"/>
      <c r="EC73" s="462"/>
      <c r="ED73" s="555"/>
      <c r="EF73" s="455"/>
      <c r="EG73" s="459"/>
      <c r="EH73" s="456"/>
      <c r="EI73" s="609"/>
      <c r="EJ73" s="609"/>
      <c r="EK73" s="609"/>
      <c r="EL73" s="609"/>
      <c r="EM73" s="621"/>
      <c r="EN73" s="609"/>
      <c r="EO73" s="609"/>
      <c r="EP73" s="609"/>
      <c r="EQ73" s="609"/>
      <c r="ER73" s="609"/>
      <c r="ES73" s="611"/>
      <c r="ET73" s="611"/>
      <c r="EU73" s="611"/>
      <c r="EW73" s="455" t="s">
        <v>774</v>
      </c>
      <c r="EX73" s="670" t="s">
        <v>610</v>
      </c>
      <c r="EY73" s="671" t="s">
        <v>766</v>
      </c>
      <c r="EZ73" s="672">
        <v>0.2</v>
      </c>
      <c r="FA73" s="598"/>
      <c r="FB73" s="598"/>
      <c r="FC73" s="598"/>
      <c r="FD73" s="641"/>
      <c r="FE73" s="598"/>
      <c r="FF73" s="598"/>
      <c r="FG73" s="598"/>
      <c r="FH73" s="598"/>
      <c r="FI73" s="598"/>
      <c r="FJ73" s="647"/>
      <c r="FK73" s="647"/>
      <c r="FL73" s="647"/>
    </row>
    <row r="74" spans="2:168" ht="14.25" thickBot="1">
      <c r="B74" s="732">
        <f t="shared" ref="B74:B113" si="142">BO74</f>
        <v>1.3</v>
      </c>
      <c r="C74" s="408" t="str">
        <f t="shared" si="120"/>
        <v>維持管理</v>
      </c>
      <c r="D74" s="731" t="e">
        <f>IF(I$63=0,0,G74/I$63)</f>
        <v>#REF!</v>
      </c>
      <c r="E74" s="730" t="e">
        <f>IF(J$63=0,0,H74/J$63)</f>
        <v>#REF!</v>
      </c>
      <c r="G74" s="730" t="e">
        <f t="shared" si="121"/>
        <v>#REF!</v>
      </c>
      <c r="H74" s="730" t="e">
        <f t="shared" si="122"/>
        <v>#REF!</v>
      </c>
      <c r="I74" s="730" t="e">
        <f>G75+G76+G77</f>
        <v>#REF!</v>
      </c>
      <c r="J74" s="730" t="e">
        <f>H75+H76+H77</f>
        <v>#REF!</v>
      </c>
      <c r="K74" s="730" t="e">
        <f>IF(#REF!=0,0,1)</f>
        <v>#REF!</v>
      </c>
      <c r="L74" s="730" t="e">
        <f>IF(#REF!=0,0,1)</f>
        <v>#REF!</v>
      </c>
      <c r="M74" s="730">
        <f t="shared" si="123"/>
        <v>0.3</v>
      </c>
      <c r="N74" s="730">
        <f t="shared" si="124"/>
        <v>0</v>
      </c>
      <c r="P74" s="937"/>
      <c r="Q74" s="744">
        <v>1.3</v>
      </c>
      <c r="R74" s="816" t="s">
        <v>1</v>
      </c>
      <c r="S74" s="815"/>
      <c r="T74" s="815"/>
      <c r="U74" s="726"/>
      <c r="V74" s="814">
        <f t="shared" si="104"/>
        <v>0</v>
      </c>
      <c r="W74" s="813">
        <f t="shared" si="105"/>
        <v>0</v>
      </c>
      <c r="Y74" s="1">
        <f t="shared" ref="Y74:Y105" si="143">IF(OR(AM74=0,AM74="-"),0,1)</f>
        <v>0</v>
      </c>
      <c r="Z74" s="1">
        <f t="shared" ref="Z74:Z105" si="144">IF(OR(AN74=0,AN74="-"),0,1)</f>
        <v>0</v>
      </c>
      <c r="AA74" s="1">
        <f t="shared" ref="AA74:AA105" si="145">IF(OR(AO74=0,AO74="-"),0,1)</f>
        <v>0</v>
      </c>
      <c r="AB74" s="1">
        <f t="shared" ref="AB74:AB105" si="146">IF(OR(AP74=0,AP74="-"),0,1)</f>
        <v>0</v>
      </c>
      <c r="AC74" s="1">
        <f t="shared" ref="AC74:AC105" si="147">IF(OR(AQ74=0,AQ74="-"),0,1)</f>
        <v>0</v>
      </c>
      <c r="AD74" s="1">
        <f t="shared" ref="AD74:AD105" si="148">IF(OR(AR74=0,AR74="-"),0,1)</f>
        <v>0</v>
      </c>
      <c r="AE74" s="1">
        <f t="shared" ref="AE74:AE105" si="149">IF(OR(AS74=0,AS74="-"),0,1)</f>
        <v>0</v>
      </c>
      <c r="AF74" s="1">
        <f t="shared" ref="AF74:AF105" si="150">IF(OR(AT74=0,AT74="-"),0,1)</f>
        <v>0</v>
      </c>
      <c r="AG74" s="1">
        <f t="shared" ref="AG74:AG105" si="151">IF(OR(AU74=0,AU74="-"),0,1)</f>
        <v>0</v>
      </c>
      <c r="AH74" s="1">
        <f t="shared" ref="AH74:AH105" si="152">IF(OR(AV74=0,AV74="-"),0,1)</f>
        <v>0</v>
      </c>
      <c r="AI74" s="1">
        <f t="shared" ref="AI74:AI105" si="153">IF(OR(AW74=0,AW74="-"),0,1)</f>
        <v>0</v>
      </c>
      <c r="AJ74" s="1">
        <f t="shared" ref="AJ74:AJ105" si="154">IF(OR(AX74=0,AX74="-"),0,1)</f>
        <v>0</v>
      </c>
      <c r="AK74" s="1">
        <f t="shared" ref="AK74:AK105" si="155">IF(OR(AY74=0,AY74="-"),0,1)</f>
        <v>0</v>
      </c>
      <c r="AM74" s="812" t="s">
        <v>49</v>
      </c>
      <c r="AN74" s="812" t="s">
        <v>49</v>
      </c>
      <c r="AO74" s="812" t="s">
        <v>49</v>
      </c>
      <c r="AP74" s="812" t="s">
        <v>49</v>
      </c>
      <c r="AQ74" s="812" t="s">
        <v>49</v>
      </c>
      <c r="AR74" s="812" t="s">
        <v>965</v>
      </c>
      <c r="AS74" s="812" t="s">
        <v>49</v>
      </c>
      <c r="AT74" s="812" t="s">
        <v>49</v>
      </c>
      <c r="AU74" s="812" t="s">
        <v>49</v>
      </c>
      <c r="AV74" s="812" t="s">
        <v>951</v>
      </c>
      <c r="AW74" s="812" t="s">
        <v>49</v>
      </c>
      <c r="AX74" s="812" t="s">
        <v>842</v>
      </c>
      <c r="AY74" s="812" t="s">
        <v>964</v>
      </c>
      <c r="BA74" s="723"/>
      <c r="BB74" s="723" t="e">
        <f t="shared" si="125"/>
        <v>#REF!</v>
      </c>
      <c r="BC74" s="723"/>
      <c r="BD74" s="722" t="e">
        <f>BR74*#REF!</f>
        <v>#REF!</v>
      </c>
      <c r="BE74" s="722" t="e">
        <f>BS74*#REF!</f>
        <v>#REF!</v>
      </c>
      <c r="BF74" s="722" t="e">
        <f>BT74*#REF!</f>
        <v>#REF!</v>
      </c>
      <c r="BG74" s="722" t="e">
        <f>BU74*#REF!</f>
        <v>#REF!</v>
      </c>
      <c r="BH74" s="935" t="e">
        <f>BV74*#REF!</f>
        <v>#REF!</v>
      </c>
      <c r="BI74" s="722" t="e">
        <f>BW74*#REF!</f>
        <v>#REF!</v>
      </c>
      <c r="BJ74" s="722" t="e">
        <f>BX74*#REF!</f>
        <v>#REF!</v>
      </c>
      <c r="BK74" s="722" t="e">
        <f>BY74*#REF!</f>
        <v>#REF!</v>
      </c>
      <c r="BL74" s="722" t="e">
        <f>BZ74*#REF!</f>
        <v>#REF!</v>
      </c>
      <c r="BM74" s="722" t="e">
        <f>CA74*#REF!</f>
        <v>#REF!</v>
      </c>
      <c r="BO74" s="749">
        <f t="shared" si="126"/>
        <v>1.3</v>
      </c>
      <c r="BP74" s="749" t="str">
        <f t="shared" si="127"/>
        <v xml:space="preserve"> Q2 1</v>
      </c>
      <c r="BQ74" s="408" t="str">
        <f t="shared" si="128"/>
        <v>維持管理</v>
      </c>
      <c r="BR74" s="719">
        <f t="shared" si="129"/>
        <v>0.3</v>
      </c>
      <c r="BS74" s="719">
        <f t="shared" si="130"/>
        <v>0.3</v>
      </c>
      <c r="BT74" s="719">
        <f t="shared" si="131"/>
        <v>0.3</v>
      </c>
      <c r="BU74" s="719">
        <f t="shared" si="132"/>
        <v>0.3</v>
      </c>
      <c r="BV74" s="934">
        <f t="shared" si="133"/>
        <v>0.3</v>
      </c>
      <c r="BW74" s="719">
        <f t="shared" si="134"/>
        <v>0.3</v>
      </c>
      <c r="BX74" s="719">
        <f t="shared" si="135"/>
        <v>0.3</v>
      </c>
      <c r="BY74" s="719">
        <f t="shared" si="136"/>
        <v>0.3</v>
      </c>
      <c r="BZ74" s="719">
        <f t="shared" si="137"/>
        <v>0.3</v>
      </c>
      <c r="CA74" s="719">
        <f t="shared" si="138"/>
        <v>0.3</v>
      </c>
      <c r="CB74" s="748">
        <f t="shared" si="139"/>
        <v>0</v>
      </c>
      <c r="CC74" s="748">
        <f t="shared" si="140"/>
        <v>0</v>
      </c>
      <c r="CD74" s="748">
        <f t="shared" si="141"/>
        <v>0</v>
      </c>
      <c r="CF74" s="455">
        <v>1.3</v>
      </c>
      <c r="CG74" s="459" t="s">
        <v>605</v>
      </c>
      <c r="CH74" s="456" t="s">
        <v>1</v>
      </c>
      <c r="CI74" s="490">
        <v>0.3</v>
      </c>
      <c r="CJ74" s="490">
        <v>0.3</v>
      </c>
      <c r="CK74" s="490">
        <v>0.3</v>
      </c>
      <c r="CL74" s="460">
        <v>0.3</v>
      </c>
      <c r="CM74" s="490">
        <v>0.3</v>
      </c>
      <c r="CN74" s="460">
        <v>0.3</v>
      </c>
      <c r="CO74" s="461">
        <v>0.3</v>
      </c>
      <c r="CP74" s="460">
        <v>0.3</v>
      </c>
      <c r="CQ74" s="490">
        <v>0.3</v>
      </c>
      <c r="CR74" s="460">
        <v>0.3</v>
      </c>
      <c r="CS74" s="462">
        <v>0</v>
      </c>
      <c r="CT74" s="462">
        <v>0</v>
      </c>
      <c r="CU74" s="462">
        <v>0</v>
      </c>
      <c r="CW74" s="455">
        <v>1.3</v>
      </c>
      <c r="CX74" s="459" t="s">
        <v>605</v>
      </c>
      <c r="CY74" s="456" t="s">
        <v>1</v>
      </c>
      <c r="CZ74" s="461">
        <v>0.3</v>
      </c>
      <c r="DA74" s="461">
        <v>0.3</v>
      </c>
      <c r="DB74" s="461">
        <v>0.3</v>
      </c>
      <c r="DC74" s="461">
        <v>0.3</v>
      </c>
      <c r="DD74" s="468">
        <v>0.3</v>
      </c>
      <c r="DE74" s="461">
        <v>0.3</v>
      </c>
      <c r="DF74" s="461">
        <v>0.3</v>
      </c>
      <c r="DG74" s="461">
        <v>0.3</v>
      </c>
      <c r="DH74" s="461">
        <v>0.3</v>
      </c>
      <c r="DI74" s="461">
        <v>0.3</v>
      </c>
      <c r="DJ74" s="462"/>
      <c r="DK74" s="462"/>
      <c r="DL74" s="462"/>
      <c r="DN74" s="455">
        <v>1.3</v>
      </c>
      <c r="DO74" s="459" t="s">
        <v>605</v>
      </c>
      <c r="DP74" s="456" t="s">
        <v>1</v>
      </c>
      <c r="DQ74" s="461">
        <v>0.3</v>
      </c>
      <c r="DR74" s="461">
        <v>0.3</v>
      </c>
      <c r="DS74" s="461">
        <v>0.3</v>
      </c>
      <c r="DT74" s="461">
        <v>0.3</v>
      </c>
      <c r="DU74" s="468">
        <v>0.3</v>
      </c>
      <c r="DV74" s="461">
        <v>0.3</v>
      </c>
      <c r="DW74" s="461">
        <v>0.3</v>
      </c>
      <c r="DX74" s="461">
        <v>0.3</v>
      </c>
      <c r="DY74" s="461">
        <v>0.3</v>
      </c>
      <c r="DZ74" s="461">
        <v>0.3</v>
      </c>
      <c r="EA74" s="462"/>
      <c r="EB74" s="462"/>
      <c r="EC74" s="462"/>
      <c r="ED74" s="555"/>
      <c r="EF74" s="455">
        <v>1.3</v>
      </c>
      <c r="EG74" s="459" t="s">
        <v>605</v>
      </c>
      <c r="EH74" s="456" t="s">
        <v>1</v>
      </c>
      <c r="EI74" s="609">
        <f t="shared" ref="EI74:EU77" si="156">DQ74</f>
        <v>0.3</v>
      </c>
      <c r="EJ74" s="609">
        <f t="shared" si="156"/>
        <v>0.3</v>
      </c>
      <c r="EK74" s="609">
        <f t="shared" si="156"/>
        <v>0.3</v>
      </c>
      <c r="EL74" s="609">
        <f t="shared" si="156"/>
        <v>0.3</v>
      </c>
      <c r="EM74" s="621">
        <f t="shared" si="156"/>
        <v>0.3</v>
      </c>
      <c r="EN74" s="609">
        <f t="shared" si="156"/>
        <v>0.3</v>
      </c>
      <c r="EO74" s="609">
        <f t="shared" si="156"/>
        <v>0.3</v>
      </c>
      <c r="EP74" s="609">
        <f t="shared" si="156"/>
        <v>0.3</v>
      </c>
      <c r="EQ74" s="609">
        <f t="shared" si="156"/>
        <v>0.3</v>
      </c>
      <c r="ER74" s="609">
        <f t="shared" si="156"/>
        <v>0.3</v>
      </c>
      <c r="ES74" s="611">
        <f t="shared" si="156"/>
        <v>0</v>
      </c>
      <c r="ET74" s="611">
        <f t="shared" si="156"/>
        <v>0</v>
      </c>
      <c r="EU74" s="611">
        <f t="shared" si="156"/>
        <v>0</v>
      </c>
      <c r="EW74" s="455">
        <v>1.3</v>
      </c>
      <c r="EX74" s="459" t="s">
        <v>605</v>
      </c>
      <c r="EY74" s="456" t="s">
        <v>1</v>
      </c>
      <c r="EZ74" s="666">
        <v>0.15</v>
      </c>
      <c r="FA74" s="598"/>
      <c r="FB74" s="598"/>
      <c r="FC74" s="598"/>
      <c r="FD74" s="641"/>
      <c r="FE74" s="598"/>
      <c r="FF74" s="598"/>
      <c r="FG74" s="598"/>
      <c r="FH74" s="598"/>
      <c r="FI74" s="598"/>
      <c r="FJ74" s="647"/>
      <c r="FK74" s="647"/>
      <c r="FL74" s="647"/>
    </row>
    <row r="75" spans="2:168">
      <c r="B75" s="732" t="str">
        <f t="shared" si="142"/>
        <v>1.3.1</v>
      </c>
      <c r="C75" s="408" t="str">
        <f t="shared" si="120"/>
        <v>維持管理に配慮した設計</v>
      </c>
      <c r="D75" s="809" t="e">
        <f t="shared" ref="D75:E77" si="157">IF(I$74&gt;0,G75/I$74,0)</f>
        <v>#REF!</v>
      </c>
      <c r="E75" s="809" t="e">
        <f t="shared" si="157"/>
        <v>#REF!</v>
      </c>
      <c r="G75" s="730" t="e">
        <f t="shared" si="121"/>
        <v>#REF!</v>
      </c>
      <c r="H75" s="730" t="e">
        <f t="shared" si="122"/>
        <v>#REF!</v>
      </c>
      <c r="I75" s="730"/>
      <c r="J75" s="730"/>
      <c r="K75" s="730" t="e">
        <f>IF(#REF!=0,0,1)</f>
        <v>#REF!</v>
      </c>
      <c r="L75" s="730" t="e">
        <f>IF(#REF!=0,0,1)</f>
        <v>#REF!</v>
      </c>
      <c r="M75" s="730">
        <f t="shared" si="123"/>
        <v>0.5</v>
      </c>
      <c r="N75" s="730">
        <f t="shared" si="124"/>
        <v>0</v>
      </c>
      <c r="P75" s="937"/>
      <c r="Q75" s="810"/>
      <c r="R75" s="414">
        <v>1</v>
      </c>
      <c r="S75" s="579" t="s">
        <v>2</v>
      </c>
      <c r="T75" s="745"/>
      <c r="U75" s="726"/>
      <c r="V75" s="734">
        <f t="shared" si="104"/>
        <v>0</v>
      </c>
      <c r="W75" s="733">
        <f t="shared" si="105"/>
        <v>0</v>
      </c>
      <c r="Y75" s="1">
        <f t="shared" si="143"/>
        <v>0</v>
      </c>
      <c r="Z75" s="1">
        <f t="shared" si="144"/>
        <v>0</v>
      </c>
      <c r="AA75" s="1">
        <f t="shared" si="145"/>
        <v>0</v>
      </c>
      <c r="AB75" s="1">
        <f t="shared" si="146"/>
        <v>0</v>
      </c>
      <c r="AC75" s="1">
        <f t="shared" si="147"/>
        <v>0</v>
      </c>
      <c r="AD75" s="1">
        <f t="shared" si="148"/>
        <v>0</v>
      </c>
      <c r="AE75" s="1">
        <f t="shared" si="149"/>
        <v>0</v>
      </c>
      <c r="AF75" s="1">
        <f t="shared" si="150"/>
        <v>0</v>
      </c>
      <c r="AG75" s="1">
        <f t="shared" si="151"/>
        <v>0</v>
      </c>
      <c r="AH75" s="1">
        <f t="shared" si="152"/>
        <v>0</v>
      </c>
      <c r="AI75" s="1">
        <f t="shared" si="153"/>
        <v>0</v>
      </c>
      <c r="AJ75" s="1">
        <f t="shared" si="154"/>
        <v>0</v>
      </c>
      <c r="AK75" s="1">
        <f t="shared" si="155"/>
        <v>0</v>
      </c>
      <c r="AM75" s="679"/>
      <c r="AN75" s="679"/>
      <c r="AO75" s="679"/>
      <c r="AP75" s="679"/>
      <c r="AQ75" s="679"/>
      <c r="AR75" s="679"/>
      <c r="AS75" s="679"/>
      <c r="AT75" s="679"/>
      <c r="AU75" s="679"/>
      <c r="AV75" s="679"/>
      <c r="AW75" s="679"/>
      <c r="AX75" s="679"/>
      <c r="AY75" s="679"/>
      <c r="BA75" s="723"/>
      <c r="BB75" s="723" t="e">
        <f t="shared" si="125"/>
        <v>#REF!</v>
      </c>
      <c r="BC75" s="723"/>
      <c r="BD75" s="722" t="e">
        <f>BR75*#REF!</f>
        <v>#REF!</v>
      </c>
      <c r="BE75" s="722" t="e">
        <f>BS75*#REF!</f>
        <v>#REF!</v>
      </c>
      <c r="BF75" s="722" t="e">
        <f>BT75*#REF!</f>
        <v>#REF!</v>
      </c>
      <c r="BG75" s="722" t="e">
        <f>BU75*#REF!</f>
        <v>#REF!</v>
      </c>
      <c r="BH75" s="935" t="e">
        <f>BV75*#REF!</f>
        <v>#REF!</v>
      </c>
      <c r="BI75" s="722" t="e">
        <f>BW75*#REF!</f>
        <v>#REF!</v>
      </c>
      <c r="BJ75" s="722" t="e">
        <f>BX75*#REF!</f>
        <v>#REF!</v>
      </c>
      <c r="BK75" s="722" t="e">
        <f>BY75*#REF!</f>
        <v>#REF!</v>
      </c>
      <c r="BL75" s="722" t="e">
        <f>BZ75*#REF!</f>
        <v>#REF!</v>
      </c>
      <c r="BM75" s="722" t="e">
        <f>CA75*#REF!</f>
        <v>#REF!</v>
      </c>
      <c r="BO75" s="749" t="str">
        <f t="shared" si="126"/>
        <v>1.3.1</v>
      </c>
      <c r="BP75" s="749" t="str">
        <f t="shared" si="127"/>
        <v xml:space="preserve"> Q2 1.3</v>
      </c>
      <c r="BQ75" s="408" t="str">
        <f t="shared" si="128"/>
        <v>維持管理に配慮した設計</v>
      </c>
      <c r="BR75" s="719">
        <f t="shared" si="129"/>
        <v>0.5</v>
      </c>
      <c r="BS75" s="719">
        <f t="shared" si="130"/>
        <v>0.5</v>
      </c>
      <c r="BT75" s="719">
        <f t="shared" si="131"/>
        <v>0.5</v>
      </c>
      <c r="BU75" s="719">
        <f t="shared" si="132"/>
        <v>0.5</v>
      </c>
      <c r="BV75" s="934">
        <f t="shared" si="133"/>
        <v>0.5</v>
      </c>
      <c r="BW75" s="719">
        <f t="shared" si="134"/>
        <v>0.5</v>
      </c>
      <c r="BX75" s="719">
        <f t="shared" si="135"/>
        <v>0.5</v>
      </c>
      <c r="BY75" s="719">
        <f t="shared" si="136"/>
        <v>0.5</v>
      </c>
      <c r="BZ75" s="719">
        <f t="shared" si="137"/>
        <v>0.5</v>
      </c>
      <c r="CA75" s="719">
        <f t="shared" si="138"/>
        <v>0.5</v>
      </c>
      <c r="CB75" s="748">
        <f t="shared" si="139"/>
        <v>0</v>
      </c>
      <c r="CC75" s="748">
        <f t="shared" si="140"/>
        <v>0</v>
      </c>
      <c r="CD75" s="748">
        <f t="shared" si="141"/>
        <v>0</v>
      </c>
      <c r="CF75" s="455" t="s">
        <v>614</v>
      </c>
      <c r="CG75" s="459" t="s">
        <v>466</v>
      </c>
      <c r="CH75" s="361" t="s">
        <v>467</v>
      </c>
      <c r="CI75" s="490">
        <v>0.5</v>
      </c>
      <c r="CJ75" s="490">
        <v>0.5</v>
      </c>
      <c r="CK75" s="490">
        <v>0.5</v>
      </c>
      <c r="CL75" s="467">
        <v>0.5</v>
      </c>
      <c r="CM75" s="490">
        <v>0.5</v>
      </c>
      <c r="CN75" s="467">
        <v>0.5</v>
      </c>
      <c r="CO75" s="461">
        <v>0.5</v>
      </c>
      <c r="CP75" s="467">
        <v>0.5</v>
      </c>
      <c r="CQ75" s="490">
        <v>0.5</v>
      </c>
      <c r="CR75" s="467">
        <v>0.5</v>
      </c>
      <c r="CS75" s="462">
        <v>0</v>
      </c>
      <c r="CT75" s="462">
        <v>0</v>
      </c>
      <c r="CU75" s="462">
        <v>0</v>
      </c>
      <c r="CW75" s="455" t="s">
        <v>614</v>
      </c>
      <c r="CX75" s="459" t="s">
        <v>466</v>
      </c>
      <c r="CY75" s="456" t="s">
        <v>468</v>
      </c>
      <c r="CZ75" s="461">
        <v>0.5</v>
      </c>
      <c r="DA75" s="461">
        <v>0.5</v>
      </c>
      <c r="DB75" s="461">
        <v>0.5</v>
      </c>
      <c r="DC75" s="461">
        <v>0.5</v>
      </c>
      <c r="DD75" s="468">
        <v>0.5</v>
      </c>
      <c r="DE75" s="461">
        <v>0.5</v>
      </c>
      <c r="DF75" s="461">
        <v>0.5</v>
      </c>
      <c r="DG75" s="461">
        <v>0.5</v>
      </c>
      <c r="DH75" s="461">
        <v>0.5</v>
      </c>
      <c r="DI75" s="461">
        <v>0.5</v>
      </c>
      <c r="DJ75" s="462"/>
      <c r="DK75" s="462"/>
      <c r="DL75" s="462"/>
      <c r="DN75" s="455" t="s">
        <v>614</v>
      </c>
      <c r="DO75" s="459" t="s">
        <v>466</v>
      </c>
      <c r="DP75" s="456" t="s">
        <v>468</v>
      </c>
      <c r="DQ75" s="461">
        <v>0.5</v>
      </c>
      <c r="DR75" s="461">
        <v>0.5</v>
      </c>
      <c r="DS75" s="461">
        <v>0.5</v>
      </c>
      <c r="DT75" s="461">
        <v>0.5</v>
      </c>
      <c r="DU75" s="468">
        <v>0.5</v>
      </c>
      <c r="DV75" s="461">
        <v>0.5</v>
      </c>
      <c r="DW75" s="461">
        <v>0.5</v>
      </c>
      <c r="DX75" s="461">
        <v>0.5</v>
      </c>
      <c r="DY75" s="461">
        <v>0.5</v>
      </c>
      <c r="DZ75" s="461">
        <v>0.5</v>
      </c>
      <c r="EA75" s="462"/>
      <c r="EB75" s="462"/>
      <c r="EC75" s="462"/>
      <c r="ED75" s="555"/>
      <c r="EF75" s="455" t="s">
        <v>614</v>
      </c>
      <c r="EG75" s="459" t="s">
        <v>466</v>
      </c>
      <c r="EH75" s="456" t="s">
        <v>468</v>
      </c>
      <c r="EI75" s="609">
        <f t="shared" si="156"/>
        <v>0.5</v>
      </c>
      <c r="EJ75" s="609">
        <f t="shared" si="156"/>
        <v>0.5</v>
      </c>
      <c r="EK75" s="609">
        <f t="shared" si="156"/>
        <v>0.5</v>
      </c>
      <c r="EL75" s="609">
        <f t="shared" si="156"/>
        <v>0.5</v>
      </c>
      <c r="EM75" s="621">
        <f t="shared" si="156"/>
        <v>0.5</v>
      </c>
      <c r="EN75" s="609">
        <f t="shared" si="156"/>
        <v>0.5</v>
      </c>
      <c r="EO75" s="609">
        <f t="shared" si="156"/>
        <v>0.5</v>
      </c>
      <c r="EP75" s="609">
        <f t="shared" si="156"/>
        <v>0.5</v>
      </c>
      <c r="EQ75" s="609">
        <f t="shared" si="156"/>
        <v>0.5</v>
      </c>
      <c r="ER75" s="609">
        <f t="shared" si="156"/>
        <v>0.5</v>
      </c>
      <c r="ES75" s="611">
        <f t="shared" si="156"/>
        <v>0</v>
      </c>
      <c r="ET75" s="611">
        <f t="shared" si="156"/>
        <v>0</v>
      </c>
      <c r="EU75" s="611">
        <f t="shared" si="156"/>
        <v>0</v>
      </c>
      <c r="EW75" s="455" t="s">
        <v>614</v>
      </c>
      <c r="EX75" s="459" t="s">
        <v>466</v>
      </c>
      <c r="EY75" s="456" t="s">
        <v>468</v>
      </c>
      <c r="EZ75" s="666">
        <v>1</v>
      </c>
      <c r="FA75" s="598"/>
      <c r="FB75" s="598"/>
      <c r="FC75" s="598"/>
      <c r="FD75" s="641"/>
      <c r="FE75" s="598"/>
      <c r="FF75" s="598"/>
      <c r="FG75" s="598"/>
      <c r="FH75" s="598"/>
      <c r="FI75" s="598"/>
      <c r="FJ75" s="647"/>
      <c r="FK75" s="647"/>
      <c r="FL75" s="647"/>
    </row>
    <row r="76" spans="2:168" ht="14.25" thickBot="1">
      <c r="B76" s="732" t="str">
        <f t="shared" si="142"/>
        <v>1.3.2</v>
      </c>
      <c r="C76" s="408" t="str">
        <f t="shared" si="120"/>
        <v>維持管理用機能の確保</v>
      </c>
      <c r="D76" s="809" t="e">
        <f t="shared" si="157"/>
        <v>#REF!</v>
      </c>
      <c r="E76" s="809" t="e">
        <f t="shared" si="157"/>
        <v>#REF!</v>
      </c>
      <c r="G76" s="730" t="e">
        <f t="shared" si="121"/>
        <v>#REF!</v>
      </c>
      <c r="H76" s="730" t="e">
        <f t="shared" si="122"/>
        <v>#REF!</v>
      </c>
      <c r="I76" s="730"/>
      <c r="J76" s="730"/>
      <c r="K76" s="730" t="e">
        <f>IF(#REF!=0,0,1)</f>
        <v>#REF!</v>
      </c>
      <c r="L76" s="730" t="e">
        <f>IF(#REF!=0,0,1)</f>
        <v>#REF!</v>
      </c>
      <c r="M76" s="730">
        <f t="shared" si="123"/>
        <v>0.5</v>
      </c>
      <c r="N76" s="730">
        <f t="shared" si="124"/>
        <v>0</v>
      </c>
      <c r="P76" s="832"/>
      <c r="Q76" s="810"/>
      <c r="R76" s="414">
        <v>2</v>
      </c>
      <c r="S76" s="579" t="s">
        <v>3</v>
      </c>
      <c r="T76" s="745"/>
      <c r="U76" s="726"/>
      <c r="V76" s="747">
        <f t="shared" si="104"/>
        <v>0</v>
      </c>
      <c r="W76" s="746">
        <f t="shared" si="105"/>
        <v>0</v>
      </c>
      <c r="Y76" s="1">
        <f t="shared" si="143"/>
        <v>0</v>
      </c>
      <c r="Z76" s="1">
        <f t="shared" si="144"/>
        <v>0</v>
      </c>
      <c r="AA76" s="1">
        <f t="shared" si="145"/>
        <v>0</v>
      </c>
      <c r="AB76" s="1">
        <f t="shared" si="146"/>
        <v>0</v>
      </c>
      <c r="AC76" s="1">
        <f t="shared" si="147"/>
        <v>0</v>
      </c>
      <c r="AD76" s="1">
        <f t="shared" si="148"/>
        <v>0</v>
      </c>
      <c r="AE76" s="1">
        <f t="shared" si="149"/>
        <v>0</v>
      </c>
      <c r="AF76" s="1">
        <f t="shared" si="150"/>
        <v>0</v>
      </c>
      <c r="AG76" s="1">
        <f t="shared" si="151"/>
        <v>0</v>
      </c>
      <c r="AH76" s="1">
        <f t="shared" si="152"/>
        <v>0</v>
      </c>
      <c r="AI76" s="1">
        <f t="shared" si="153"/>
        <v>0</v>
      </c>
      <c r="AJ76" s="1">
        <f t="shared" si="154"/>
        <v>0</v>
      </c>
      <c r="AK76" s="1">
        <f t="shared" si="155"/>
        <v>0</v>
      </c>
      <c r="AM76" s="680"/>
      <c r="AN76" s="680"/>
      <c r="AO76" s="680"/>
      <c r="AP76" s="680"/>
      <c r="AQ76" s="680"/>
      <c r="AR76" s="680"/>
      <c r="AS76" s="680"/>
      <c r="AT76" s="680"/>
      <c r="AU76" s="680"/>
      <c r="AV76" s="680"/>
      <c r="AW76" s="680"/>
      <c r="AX76" s="680"/>
      <c r="AY76" s="680"/>
      <c r="BA76" s="723"/>
      <c r="BB76" s="723" t="e">
        <f t="shared" si="125"/>
        <v>#REF!</v>
      </c>
      <c r="BC76" s="723"/>
      <c r="BD76" s="722" t="e">
        <f>BR76*#REF!</f>
        <v>#REF!</v>
      </c>
      <c r="BE76" s="722" t="e">
        <f>BS76*#REF!</f>
        <v>#REF!</v>
      </c>
      <c r="BF76" s="722" t="e">
        <f>BT76*#REF!</f>
        <v>#REF!</v>
      </c>
      <c r="BG76" s="722" t="e">
        <f>BU76*#REF!</f>
        <v>#REF!</v>
      </c>
      <c r="BH76" s="935" t="e">
        <f>BV76*#REF!</f>
        <v>#REF!</v>
      </c>
      <c r="BI76" s="722" t="e">
        <f>BW76*#REF!</f>
        <v>#REF!</v>
      </c>
      <c r="BJ76" s="722" t="e">
        <f>BX76*#REF!</f>
        <v>#REF!</v>
      </c>
      <c r="BK76" s="722" t="e">
        <f>BY76*#REF!</f>
        <v>#REF!</v>
      </c>
      <c r="BL76" s="722" t="e">
        <f>BZ76*#REF!</f>
        <v>#REF!</v>
      </c>
      <c r="BM76" s="722" t="e">
        <f>CA76*#REF!</f>
        <v>#REF!</v>
      </c>
      <c r="BO76" s="749" t="str">
        <f t="shared" si="126"/>
        <v>1.3.2</v>
      </c>
      <c r="BP76" s="749" t="str">
        <f t="shared" si="127"/>
        <v xml:space="preserve"> Q2 1.3</v>
      </c>
      <c r="BQ76" s="408" t="str">
        <f t="shared" si="128"/>
        <v>維持管理用機能の確保</v>
      </c>
      <c r="BR76" s="719">
        <f t="shared" si="129"/>
        <v>0.5</v>
      </c>
      <c r="BS76" s="719">
        <f t="shared" si="130"/>
        <v>0.5</v>
      </c>
      <c r="BT76" s="719">
        <f t="shared" si="131"/>
        <v>0.5</v>
      </c>
      <c r="BU76" s="719">
        <f t="shared" si="132"/>
        <v>0.5</v>
      </c>
      <c r="BV76" s="934">
        <f t="shared" si="133"/>
        <v>0.5</v>
      </c>
      <c r="BW76" s="719">
        <f t="shared" si="134"/>
        <v>0.5</v>
      </c>
      <c r="BX76" s="719">
        <f t="shared" si="135"/>
        <v>0.5</v>
      </c>
      <c r="BY76" s="719">
        <f t="shared" si="136"/>
        <v>0.5</v>
      </c>
      <c r="BZ76" s="719">
        <f t="shared" si="137"/>
        <v>0.5</v>
      </c>
      <c r="CA76" s="719">
        <f t="shared" si="138"/>
        <v>0.5</v>
      </c>
      <c r="CB76" s="748">
        <f t="shared" si="139"/>
        <v>0</v>
      </c>
      <c r="CC76" s="748">
        <f t="shared" si="140"/>
        <v>0</v>
      </c>
      <c r="CD76" s="748">
        <f t="shared" si="141"/>
        <v>0</v>
      </c>
      <c r="CF76" s="455" t="s">
        <v>469</v>
      </c>
      <c r="CG76" s="459" t="s">
        <v>466</v>
      </c>
      <c r="CH76" s="361" t="s">
        <v>470</v>
      </c>
      <c r="CI76" s="490">
        <v>0.3</v>
      </c>
      <c r="CJ76" s="490">
        <v>0.3</v>
      </c>
      <c r="CK76" s="490">
        <v>0.3</v>
      </c>
      <c r="CL76" s="467">
        <v>0.3</v>
      </c>
      <c r="CM76" s="490">
        <v>0.3</v>
      </c>
      <c r="CN76" s="467">
        <v>0.3</v>
      </c>
      <c r="CO76" s="461">
        <v>0.3</v>
      </c>
      <c r="CP76" s="467">
        <v>0.3</v>
      </c>
      <c r="CQ76" s="490">
        <v>0.3</v>
      </c>
      <c r="CR76" s="467">
        <v>0.3</v>
      </c>
      <c r="CS76" s="462">
        <v>0</v>
      </c>
      <c r="CT76" s="462">
        <v>0</v>
      </c>
      <c r="CU76" s="462">
        <v>0</v>
      </c>
      <c r="CW76" s="455" t="s">
        <v>469</v>
      </c>
      <c r="CX76" s="459" t="s">
        <v>466</v>
      </c>
      <c r="CY76" s="456" t="s">
        <v>471</v>
      </c>
      <c r="CZ76" s="461">
        <v>0.5</v>
      </c>
      <c r="DA76" s="461">
        <v>0.5</v>
      </c>
      <c r="DB76" s="461">
        <v>0.5</v>
      </c>
      <c r="DC76" s="461">
        <v>0.5</v>
      </c>
      <c r="DD76" s="468">
        <v>0.5</v>
      </c>
      <c r="DE76" s="461">
        <v>0.5</v>
      </c>
      <c r="DF76" s="461">
        <v>0.5</v>
      </c>
      <c r="DG76" s="461">
        <v>0.5</v>
      </c>
      <c r="DH76" s="461">
        <v>0.5</v>
      </c>
      <c r="DI76" s="461">
        <v>0.5</v>
      </c>
      <c r="DJ76" s="462"/>
      <c r="DK76" s="462"/>
      <c r="DL76" s="462"/>
      <c r="DN76" s="455" t="s">
        <v>469</v>
      </c>
      <c r="DO76" s="459" t="s">
        <v>466</v>
      </c>
      <c r="DP76" s="456" t="s">
        <v>471</v>
      </c>
      <c r="DQ76" s="461">
        <v>0.5</v>
      </c>
      <c r="DR76" s="461">
        <v>0.5</v>
      </c>
      <c r="DS76" s="461">
        <v>0.5</v>
      </c>
      <c r="DT76" s="461">
        <v>0.5</v>
      </c>
      <c r="DU76" s="468">
        <v>0.5</v>
      </c>
      <c r="DV76" s="461">
        <v>0.5</v>
      </c>
      <c r="DW76" s="461">
        <v>0.5</v>
      </c>
      <c r="DX76" s="461">
        <v>0.5</v>
      </c>
      <c r="DY76" s="461">
        <v>0.5</v>
      </c>
      <c r="DZ76" s="461">
        <v>0.5</v>
      </c>
      <c r="EA76" s="462"/>
      <c r="EB76" s="462"/>
      <c r="EC76" s="462"/>
      <c r="ED76" s="555"/>
      <c r="EF76" s="455" t="s">
        <v>469</v>
      </c>
      <c r="EG76" s="459" t="s">
        <v>466</v>
      </c>
      <c r="EH76" s="456" t="s">
        <v>471</v>
      </c>
      <c r="EI76" s="609">
        <f t="shared" si="156"/>
        <v>0.5</v>
      </c>
      <c r="EJ76" s="609">
        <f t="shared" si="156"/>
        <v>0.5</v>
      </c>
      <c r="EK76" s="609">
        <f t="shared" si="156"/>
        <v>0.5</v>
      </c>
      <c r="EL76" s="609">
        <f t="shared" si="156"/>
        <v>0.5</v>
      </c>
      <c r="EM76" s="621">
        <f t="shared" si="156"/>
        <v>0.5</v>
      </c>
      <c r="EN76" s="609">
        <f t="shared" si="156"/>
        <v>0.5</v>
      </c>
      <c r="EO76" s="609">
        <f t="shared" si="156"/>
        <v>0.5</v>
      </c>
      <c r="EP76" s="609">
        <f t="shared" si="156"/>
        <v>0.5</v>
      </c>
      <c r="EQ76" s="609">
        <f t="shared" si="156"/>
        <v>0.5</v>
      </c>
      <c r="ER76" s="609">
        <f t="shared" si="156"/>
        <v>0.5</v>
      </c>
      <c r="ES76" s="611">
        <f t="shared" si="156"/>
        <v>0</v>
      </c>
      <c r="ET76" s="611">
        <f t="shared" si="156"/>
        <v>0</v>
      </c>
      <c r="EU76" s="611">
        <f t="shared" si="156"/>
        <v>0</v>
      </c>
      <c r="EW76" s="455" t="s">
        <v>469</v>
      </c>
      <c r="EX76" s="459" t="s">
        <v>466</v>
      </c>
      <c r="EY76" s="456" t="s">
        <v>471</v>
      </c>
      <c r="EZ76" s="666">
        <v>0</v>
      </c>
      <c r="FA76" s="598"/>
      <c r="FB76" s="598"/>
      <c r="FC76" s="598"/>
      <c r="FD76" s="641"/>
      <c r="FE76" s="598"/>
      <c r="FF76" s="598"/>
      <c r="FG76" s="598"/>
      <c r="FH76" s="598"/>
      <c r="FI76" s="598"/>
      <c r="FJ76" s="647"/>
      <c r="FK76" s="647"/>
      <c r="FL76" s="647"/>
    </row>
    <row r="77" spans="2:168" ht="14.25" hidden="1" thickBot="1">
      <c r="B77" s="732">
        <f t="shared" si="142"/>
        <v>0</v>
      </c>
      <c r="C77" s="408">
        <f t="shared" si="120"/>
        <v>0</v>
      </c>
      <c r="D77" s="809" t="e">
        <f t="shared" si="157"/>
        <v>#REF!</v>
      </c>
      <c r="E77" s="809" t="e">
        <f t="shared" si="157"/>
        <v>#REF!</v>
      </c>
      <c r="G77" s="730" t="e">
        <f t="shared" si="121"/>
        <v>#REF!</v>
      </c>
      <c r="H77" s="730" t="e">
        <f t="shared" si="122"/>
        <v>#REF!</v>
      </c>
      <c r="I77" s="730"/>
      <c r="J77" s="730"/>
      <c r="K77" s="730" t="e">
        <f>IF(#REF!=0,0,1)</f>
        <v>#REF!</v>
      </c>
      <c r="L77" s="730" t="e">
        <f>IF(#REF!=0,0,1)</f>
        <v>#REF!</v>
      </c>
      <c r="M77" s="730">
        <f t="shared" si="123"/>
        <v>0</v>
      </c>
      <c r="N77" s="730">
        <f t="shared" si="124"/>
        <v>0</v>
      </c>
      <c r="P77" s="832"/>
      <c r="Q77" s="936"/>
      <c r="R77" s="927">
        <v>3</v>
      </c>
      <c r="S77" s="926" t="s">
        <v>4</v>
      </c>
      <c r="T77" s="925"/>
      <c r="U77" s="726"/>
      <c r="V77" s="725">
        <f t="shared" si="104"/>
        <v>0</v>
      </c>
      <c r="W77" s="724">
        <f t="shared" si="105"/>
        <v>0</v>
      </c>
      <c r="Y77" s="1">
        <f t="shared" si="143"/>
        <v>0</v>
      </c>
      <c r="Z77" s="1">
        <f t="shared" si="144"/>
        <v>0</v>
      </c>
      <c r="AA77" s="1">
        <f t="shared" si="145"/>
        <v>0</v>
      </c>
      <c r="AB77" s="1">
        <f t="shared" si="146"/>
        <v>0</v>
      </c>
      <c r="AC77" s="1">
        <f t="shared" si="147"/>
        <v>0</v>
      </c>
      <c r="AD77" s="1">
        <f t="shared" si="148"/>
        <v>0</v>
      </c>
      <c r="AE77" s="1">
        <f t="shared" si="149"/>
        <v>0</v>
      </c>
      <c r="AF77" s="1">
        <f t="shared" si="150"/>
        <v>0</v>
      </c>
      <c r="AG77" s="1">
        <f t="shared" si="151"/>
        <v>0</v>
      </c>
      <c r="AH77" s="1">
        <f t="shared" si="152"/>
        <v>0</v>
      </c>
      <c r="AI77" s="1">
        <f t="shared" si="153"/>
        <v>0</v>
      </c>
      <c r="AJ77" s="1">
        <f t="shared" si="154"/>
        <v>0</v>
      </c>
      <c r="AK77" s="1">
        <f t="shared" si="155"/>
        <v>0</v>
      </c>
      <c r="AM77" s="852" t="s">
        <v>952</v>
      </c>
      <c r="AN77" s="852" t="s">
        <v>954</v>
      </c>
      <c r="AO77" s="852" t="s">
        <v>954</v>
      </c>
      <c r="AP77" s="852" t="s">
        <v>952</v>
      </c>
      <c r="AQ77" s="852" t="s">
        <v>952</v>
      </c>
      <c r="AR77" s="852" t="s">
        <v>952</v>
      </c>
      <c r="AS77" s="852" t="s">
        <v>952</v>
      </c>
      <c r="AT77" s="852" t="s">
        <v>952</v>
      </c>
      <c r="AU77" s="852" t="s">
        <v>954</v>
      </c>
      <c r="AV77" s="852" t="s">
        <v>952</v>
      </c>
      <c r="AW77" s="852" t="s">
        <v>952</v>
      </c>
      <c r="AX77" s="852" t="s">
        <v>952</v>
      </c>
      <c r="AY77" s="852" t="s">
        <v>952</v>
      </c>
      <c r="BA77" s="723"/>
      <c r="BB77" s="723" t="e">
        <f t="shared" si="125"/>
        <v>#REF!</v>
      </c>
      <c r="BC77" s="723"/>
      <c r="BD77" s="722" t="e">
        <f>BR77*#REF!</f>
        <v>#REF!</v>
      </c>
      <c r="BE77" s="722" t="e">
        <f>BS77*#REF!</f>
        <v>#REF!</v>
      </c>
      <c r="BF77" s="722" t="e">
        <f>BT77*#REF!</f>
        <v>#REF!</v>
      </c>
      <c r="BG77" s="722" t="e">
        <f>BU77*#REF!</f>
        <v>#REF!</v>
      </c>
      <c r="BH77" s="935" t="e">
        <f>BV77*#REF!</f>
        <v>#REF!</v>
      </c>
      <c r="BI77" s="722" t="e">
        <f>BW77*#REF!</f>
        <v>#REF!</v>
      </c>
      <c r="BJ77" s="722" t="e">
        <f>BX77*#REF!</f>
        <v>#REF!</v>
      </c>
      <c r="BK77" s="722" t="e">
        <f>BY77*#REF!</f>
        <v>#REF!</v>
      </c>
      <c r="BL77" s="722" t="e">
        <f>BZ77*#REF!</f>
        <v>#REF!</v>
      </c>
      <c r="BM77" s="722" t="e">
        <f>CA77*#REF!</f>
        <v>#REF!</v>
      </c>
      <c r="BO77" s="749">
        <f t="shared" si="126"/>
        <v>0</v>
      </c>
      <c r="BP77" s="749" t="str">
        <f t="shared" si="127"/>
        <v>0</v>
      </c>
      <c r="BQ77" s="408">
        <f t="shared" si="128"/>
        <v>0</v>
      </c>
      <c r="BR77" s="719">
        <f t="shared" si="129"/>
        <v>0</v>
      </c>
      <c r="BS77" s="719">
        <f t="shared" si="130"/>
        <v>0</v>
      </c>
      <c r="BT77" s="719">
        <f t="shared" si="131"/>
        <v>0</v>
      </c>
      <c r="BU77" s="719">
        <f t="shared" si="132"/>
        <v>0</v>
      </c>
      <c r="BV77" s="934">
        <f t="shared" si="133"/>
        <v>0</v>
      </c>
      <c r="BW77" s="719">
        <f t="shared" si="134"/>
        <v>0</v>
      </c>
      <c r="BX77" s="719">
        <f t="shared" si="135"/>
        <v>0</v>
      </c>
      <c r="BY77" s="719">
        <f t="shared" si="136"/>
        <v>0</v>
      </c>
      <c r="BZ77" s="719">
        <f t="shared" si="137"/>
        <v>0</v>
      </c>
      <c r="CA77" s="719">
        <f t="shared" si="138"/>
        <v>0</v>
      </c>
      <c r="CB77" s="748">
        <f t="shared" si="139"/>
        <v>0</v>
      </c>
      <c r="CC77" s="748">
        <f t="shared" si="140"/>
        <v>0</v>
      </c>
      <c r="CD77" s="748">
        <f t="shared" si="141"/>
        <v>0</v>
      </c>
      <c r="CF77" s="455" t="s">
        <v>472</v>
      </c>
      <c r="CG77" s="459" t="s">
        <v>963</v>
      </c>
      <c r="CH77" s="361" t="s">
        <v>4</v>
      </c>
      <c r="CI77" s="490">
        <v>0.2</v>
      </c>
      <c r="CJ77" s="490">
        <v>0.2</v>
      </c>
      <c r="CK77" s="490">
        <v>0.2</v>
      </c>
      <c r="CL77" s="467">
        <v>0.2</v>
      </c>
      <c r="CM77" s="490">
        <v>0.2</v>
      </c>
      <c r="CN77" s="467">
        <v>0.2</v>
      </c>
      <c r="CO77" s="461">
        <v>0.2</v>
      </c>
      <c r="CP77" s="467">
        <v>0.2</v>
      </c>
      <c r="CQ77" s="490">
        <v>0.2</v>
      </c>
      <c r="CR77" s="467">
        <v>0.2</v>
      </c>
      <c r="CS77" s="462">
        <v>0</v>
      </c>
      <c r="CT77" s="462">
        <v>0</v>
      </c>
      <c r="CU77" s="462">
        <v>0</v>
      </c>
      <c r="CW77" s="455">
        <v>0</v>
      </c>
      <c r="CX77" s="459" t="s">
        <v>961</v>
      </c>
      <c r="CY77" s="456"/>
      <c r="CZ77" s="461"/>
      <c r="DA77" s="461"/>
      <c r="DB77" s="461"/>
      <c r="DC77" s="461"/>
      <c r="DD77" s="496"/>
      <c r="DE77" s="461"/>
      <c r="DF77" s="461"/>
      <c r="DG77" s="461"/>
      <c r="DH77" s="461"/>
      <c r="DI77" s="461"/>
      <c r="DJ77" s="462"/>
      <c r="DK77" s="462"/>
      <c r="DL77" s="462"/>
      <c r="DN77" s="455">
        <v>0</v>
      </c>
      <c r="DO77" s="459" t="s">
        <v>962</v>
      </c>
      <c r="DP77" s="456"/>
      <c r="DQ77" s="461"/>
      <c r="DR77" s="461"/>
      <c r="DS77" s="461"/>
      <c r="DT77" s="461"/>
      <c r="DU77" s="496"/>
      <c r="DV77" s="461"/>
      <c r="DW77" s="461"/>
      <c r="DX77" s="461"/>
      <c r="DY77" s="461"/>
      <c r="DZ77" s="461"/>
      <c r="EA77" s="462"/>
      <c r="EB77" s="462"/>
      <c r="EC77" s="462"/>
      <c r="ED77" s="555"/>
      <c r="EF77" s="455">
        <v>0</v>
      </c>
      <c r="EG77" s="459" t="s">
        <v>962</v>
      </c>
      <c r="EH77" s="456"/>
      <c r="EI77" s="609">
        <f t="shared" si="156"/>
        <v>0</v>
      </c>
      <c r="EJ77" s="609">
        <f t="shared" si="156"/>
        <v>0</v>
      </c>
      <c r="EK77" s="609">
        <f t="shared" si="156"/>
        <v>0</v>
      </c>
      <c r="EL77" s="609">
        <f t="shared" si="156"/>
        <v>0</v>
      </c>
      <c r="EM77" s="622">
        <f t="shared" si="156"/>
        <v>0</v>
      </c>
      <c r="EN77" s="609">
        <f t="shared" si="156"/>
        <v>0</v>
      </c>
      <c r="EO77" s="609">
        <f t="shared" si="156"/>
        <v>0</v>
      </c>
      <c r="EP77" s="609">
        <f t="shared" si="156"/>
        <v>0</v>
      </c>
      <c r="EQ77" s="609">
        <f t="shared" si="156"/>
        <v>0</v>
      </c>
      <c r="ER77" s="609">
        <f t="shared" si="156"/>
        <v>0</v>
      </c>
      <c r="ES77" s="611">
        <f t="shared" si="156"/>
        <v>0</v>
      </c>
      <c r="ET77" s="611">
        <f t="shared" si="156"/>
        <v>0</v>
      </c>
      <c r="EU77" s="611">
        <f t="shared" si="156"/>
        <v>0</v>
      </c>
      <c r="EW77" s="455">
        <v>0</v>
      </c>
      <c r="EX77" s="459" t="s">
        <v>961</v>
      </c>
      <c r="EY77" s="456"/>
      <c r="EZ77" s="598">
        <f>DQ77</f>
        <v>0</v>
      </c>
      <c r="FA77" s="598"/>
      <c r="FB77" s="598"/>
      <c r="FC77" s="598"/>
      <c r="FD77" s="655"/>
      <c r="FE77" s="598"/>
      <c r="FF77" s="598"/>
      <c r="FG77" s="598"/>
      <c r="FH77" s="598"/>
      <c r="FI77" s="598"/>
      <c r="FJ77" s="647"/>
      <c r="FK77" s="647"/>
      <c r="FL77" s="647"/>
    </row>
    <row r="78" spans="2:168">
      <c r="B78" s="732">
        <f t="shared" si="142"/>
        <v>2</v>
      </c>
      <c r="C78" s="759" t="str">
        <f t="shared" si="120"/>
        <v>耐用性・信頼性</v>
      </c>
      <c r="D78" s="770" t="e">
        <f>IF(I$62=0,0,G78/I$62)</f>
        <v>#REF!</v>
      </c>
      <c r="E78" s="769" t="e">
        <f>IF(J$62=0,0,H78/J$62)</f>
        <v>#REF!</v>
      </c>
      <c r="G78" s="769" t="e">
        <f t="shared" si="121"/>
        <v>#REF!</v>
      </c>
      <c r="H78" s="769" t="e">
        <f t="shared" si="122"/>
        <v>#REF!</v>
      </c>
      <c r="I78" s="769" t="e">
        <f>G79+G82++G89+G93</f>
        <v>#REF!</v>
      </c>
      <c r="J78" s="769" t="e">
        <f>H79+H82++H89+H93</f>
        <v>#REF!</v>
      </c>
      <c r="K78" s="769" t="e">
        <f>IF(#REF!=0,0,1)</f>
        <v>#REF!</v>
      </c>
      <c r="L78" s="769" t="e">
        <f>IF(#REF!=0,0,1)</f>
        <v>#REF!</v>
      </c>
      <c r="M78" s="769">
        <f t="shared" si="123"/>
        <v>0.3</v>
      </c>
      <c r="N78" s="769">
        <f t="shared" si="124"/>
        <v>0</v>
      </c>
      <c r="P78" s="779">
        <v>2</v>
      </c>
      <c r="Q78" s="767" t="s">
        <v>5</v>
      </c>
      <c r="R78" s="825"/>
      <c r="S78" s="825"/>
      <c r="T78" s="815"/>
      <c r="U78" s="726"/>
      <c r="V78" s="851">
        <f t="shared" ref="V78:V109" si="158">IF(SUMPRODUCT($AM$7:$AV$7,Y78:AH78)=0,0,SUMPRODUCT($AM$7:$AV$7,AM78:AV78)/SUMPRODUCT($AM$7:$AV$7,Y78:AH78))</f>
        <v>0</v>
      </c>
      <c r="W78" s="850">
        <f t="shared" ref="W78:W109" si="159">IF(SUMPRODUCT($AW$7:$AY$7,AI78:AK78)=0,0,SUMPRODUCT($AW$7:$AY$7,AW78:AY78)/SUMPRODUCT($AW$7:$AY$7,AI78:AK78))</f>
        <v>0</v>
      </c>
      <c r="Y78" s="1">
        <f t="shared" si="143"/>
        <v>0</v>
      </c>
      <c r="Z78" s="1">
        <f t="shared" si="144"/>
        <v>0</v>
      </c>
      <c r="AA78" s="1">
        <f t="shared" si="145"/>
        <v>0</v>
      </c>
      <c r="AB78" s="1">
        <f t="shared" si="146"/>
        <v>0</v>
      </c>
      <c r="AC78" s="1">
        <f t="shared" si="147"/>
        <v>0</v>
      </c>
      <c r="AD78" s="1">
        <f t="shared" si="148"/>
        <v>0</v>
      </c>
      <c r="AE78" s="1">
        <f t="shared" si="149"/>
        <v>0</v>
      </c>
      <c r="AF78" s="1">
        <f t="shared" si="150"/>
        <v>0</v>
      </c>
      <c r="AG78" s="1">
        <f t="shared" si="151"/>
        <v>0</v>
      </c>
      <c r="AH78" s="1">
        <f t="shared" si="152"/>
        <v>0</v>
      </c>
      <c r="AI78" s="1">
        <f t="shared" si="153"/>
        <v>0</v>
      </c>
      <c r="AJ78" s="1">
        <f t="shared" si="154"/>
        <v>0</v>
      </c>
      <c r="AK78" s="1">
        <f t="shared" si="155"/>
        <v>0</v>
      </c>
      <c r="AM78" s="849" t="s">
        <v>952</v>
      </c>
      <c r="AN78" s="849" t="s">
        <v>952</v>
      </c>
      <c r="AO78" s="849" t="s">
        <v>952</v>
      </c>
      <c r="AP78" s="849" t="s">
        <v>951</v>
      </c>
      <c r="AQ78" s="849" t="s">
        <v>952</v>
      </c>
      <c r="AR78" s="849" t="s">
        <v>954</v>
      </c>
      <c r="AS78" s="849" t="s">
        <v>960</v>
      </c>
      <c r="AT78" s="849" t="s">
        <v>952</v>
      </c>
      <c r="AU78" s="849" t="s">
        <v>952</v>
      </c>
      <c r="AV78" s="849" t="s">
        <v>952</v>
      </c>
      <c r="AW78" s="849" t="s">
        <v>952</v>
      </c>
      <c r="AX78" s="849" t="s">
        <v>952</v>
      </c>
      <c r="AY78" s="849" t="s">
        <v>952</v>
      </c>
      <c r="BA78" s="763" t="e">
        <f>BB78/$BC$62</f>
        <v>#REF!</v>
      </c>
      <c r="BB78" s="763" t="e">
        <f t="shared" si="125"/>
        <v>#REF!</v>
      </c>
      <c r="BC78" s="763"/>
      <c r="BD78" s="762" t="e">
        <f>BR78*#REF!</f>
        <v>#REF!</v>
      </c>
      <c r="BE78" s="762" t="e">
        <f>BS78*#REF!</f>
        <v>#REF!</v>
      </c>
      <c r="BF78" s="762" t="e">
        <f>BT78*#REF!</f>
        <v>#REF!</v>
      </c>
      <c r="BG78" s="762" t="e">
        <f>BU78*#REF!</f>
        <v>#REF!</v>
      </c>
      <c r="BH78" s="824" t="e">
        <f>BV78*#REF!</f>
        <v>#REF!</v>
      </c>
      <c r="BI78" s="762" t="e">
        <f>BW78*#REF!</f>
        <v>#REF!</v>
      </c>
      <c r="BJ78" s="762" t="e">
        <f>BX78*#REF!</f>
        <v>#REF!</v>
      </c>
      <c r="BK78" s="762" t="e">
        <f>BY78*#REF!</f>
        <v>#REF!</v>
      </c>
      <c r="BL78" s="762" t="e">
        <f>BZ78*#REF!</f>
        <v>#REF!</v>
      </c>
      <c r="BM78" s="762" t="e">
        <f>CA78*#REF!</f>
        <v>#REF!</v>
      </c>
      <c r="BO78" s="823">
        <f t="shared" si="126"/>
        <v>2</v>
      </c>
      <c r="BP78" s="823" t="str">
        <f t="shared" si="127"/>
        <v xml:space="preserve"> Q2</v>
      </c>
      <c r="BQ78" s="759" t="str">
        <f t="shared" si="128"/>
        <v>耐用性・信頼性</v>
      </c>
      <c r="BR78" s="757">
        <f t="shared" si="129"/>
        <v>0.3</v>
      </c>
      <c r="BS78" s="757">
        <f t="shared" si="130"/>
        <v>0.3</v>
      </c>
      <c r="BT78" s="757">
        <f t="shared" si="131"/>
        <v>0.3</v>
      </c>
      <c r="BU78" s="757">
        <f t="shared" si="132"/>
        <v>0.3</v>
      </c>
      <c r="BV78" s="822">
        <f t="shared" si="133"/>
        <v>0.3</v>
      </c>
      <c r="BW78" s="757">
        <f t="shared" si="134"/>
        <v>0.3</v>
      </c>
      <c r="BX78" s="757">
        <f t="shared" si="135"/>
        <v>0.3</v>
      </c>
      <c r="BY78" s="757">
        <f t="shared" si="136"/>
        <v>0.3</v>
      </c>
      <c r="BZ78" s="757">
        <f t="shared" si="137"/>
        <v>0.3</v>
      </c>
      <c r="CA78" s="757">
        <f t="shared" si="138"/>
        <v>0.3</v>
      </c>
      <c r="CB78" s="758">
        <f t="shared" si="139"/>
        <v>0</v>
      </c>
      <c r="CC78" s="757">
        <f t="shared" si="140"/>
        <v>0</v>
      </c>
      <c r="CD78" s="757">
        <f t="shared" si="141"/>
        <v>0</v>
      </c>
      <c r="CF78" s="447">
        <v>2</v>
      </c>
      <c r="CG78" s="451" t="s">
        <v>603</v>
      </c>
      <c r="CH78" s="448" t="s">
        <v>473</v>
      </c>
      <c r="CI78" s="449">
        <v>0.3</v>
      </c>
      <c r="CJ78" s="449">
        <v>0.3</v>
      </c>
      <c r="CK78" s="449">
        <v>0.3</v>
      </c>
      <c r="CL78" s="449">
        <v>0.3</v>
      </c>
      <c r="CM78" s="497">
        <v>0.3</v>
      </c>
      <c r="CN78" s="449">
        <v>0.3</v>
      </c>
      <c r="CO78" s="452">
        <v>0.3</v>
      </c>
      <c r="CP78" s="449">
        <v>0.3</v>
      </c>
      <c r="CQ78" s="449">
        <v>0.3</v>
      </c>
      <c r="CR78" s="449">
        <v>0.3</v>
      </c>
      <c r="CS78" s="453">
        <v>0</v>
      </c>
      <c r="CT78" s="452">
        <v>0</v>
      </c>
      <c r="CU78" s="452">
        <v>0</v>
      </c>
      <c r="CW78" s="447">
        <v>2</v>
      </c>
      <c r="CX78" s="451" t="s">
        <v>603</v>
      </c>
      <c r="CY78" s="448" t="s">
        <v>453</v>
      </c>
      <c r="CZ78" s="452">
        <v>0.3</v>
      </c>
      <c r="DA78" s="452">
        <v>0.3</v>
      </c>
      <c r="DB78" s="452">
        <v>0.3</v>
      </c>
      <c r="DC78" s="452">
        <v>0.3</v>
      </c>
      <c r="DD78" s="498">
        <v>0.3</v>
      </c>
      <c r="DE78" s="452">
        <v>0.3</v>
      </c>
      <c r="DF78" s="452">
        <v>0.3</v>
      </c>
      <c r="DG78" s="452">
        <v>0.3</v>
      </c>
      <c r="DH78" s="452">
        <v>0.3</v>
      </c>
      <c r="DI78" s="452">
        <v>0.3</v>
      </c>
      <c r="DJ78" s="453"/>
      <c r="DK78" s="452"/>
      <c r="DL78" s="452"/>
      <c r="DN78" s="447">
        <v>2</v>
      </c>
      <c r="DO78" s="451" t="s">
        <v>603</v>
      </c>
      <c r="DP78" s="448" t="s">
        <v>473</v>
      </c>
      <c r="DQ78" s="452">
        <v>0.3</v>
      </c>
      <c r="DR78" s="452">
        <v>0.3</v>
      </c>
      <c r="DS78" s="452">
        <v>0.3</v>
      </c>
      <c r="DT78" s="452">
        <v>0.3</v>
      </c>
      <c r="DU78" s="452">
        <v>0.3</v>
      </c>
      <c r="DV78" s="452">
        <v>0.3</v>
      </c>
      <c r="DW78" s="452">
        <v>0.3</v>
      </c>
      <c r="DX78" s="452">
        <v>0.3</v>
      </c>
      <c r="DY78" s="452">
        <v>0.3</v>
      </c>
      <c r="DZ78" s="452">
        <v>0.3</v>
      </c>
      <c r="EA78" s="453"/>
      <c r="EB78" s="452"/>
      <c r="EC78" s="452"/>
      <c r="ED78" s="554"/>
      <c r="EF78" s="447">
        <v>2</v>
      </c>
      <c r="EG78" s="451" t="s">
        <v>603</v>
      </c>
      <c r="EH78" s="448" t="s">
        <v>473</v>
      </c>
      <c r="EI78" s="596">
        <v>0.25</v>
      </c>
      <c r="EJ78" s="596">
        <v>0.25</v>
      </c>
      <c r="EK78" s="596">
        <v>0.25</v>
      </c>
      <c r="EL78" s="596">
        <v>0.25</v>
      </c>
      <c r="EM78" s="596">
        <v>0.25</v>
      </c>
      <c r="EN78" s="596">
        <v>0.25</v>
      </c>
      <c r="EO78" s="596">
        <v>0.25</v>
      </c>
      <c r="EP78" s="596">
        <v>0.25</v>
      </c>
      <c r="EQ78" s="596">
        <v>0.25</v>
      </c>
      <c r="ER78" s="596">
        <v>0.25</v>
      </c>
      <c r="ES78" s="597">
        <f t="shared" ref="ES78:EU82" si="160">EA78</f>
        <v>0</v>
      </c>
      <c r="ET78" s="596">
        <f t="shared" si="160"/>
        <v>0</v>
      </c>
      <c r="EU78" s="596">
        <f t="shared" si="160"/>
        <v>0</v>
      </c>
      <c r="EW78" s="447">
        <v>2</v>
      </c>
      <c r="EX78" s="451" t="s">
        <v>603</v>
      </c>
      <c r="EY78" s="448" t="s">
        <v>473</v>
      </c>
      <c r="EZ78" s="673">
        <v>0.2</v>
      </c>
      <c r="FA78" s="596"/>
      <c r="FB78" s="596"/>
      <c r="FC78" s="596"/>
      <c r="FD78" s="596"/>
      <c r="FE78" s="596"/>
      <c r="FF78" s="596"/>
      <c r="FG78" s="596"/>
      <c r="FH78" s="596"/>
      <c r="FI78" s="596"/>
      <c r="FJ78" s="597"/>
      <c r="FK78" s="596"/>
      <c r="FL78" s="596"/>
    </row>
    <row r="79" spans="2:168" ht="14.25" thickBot="1">
      <c r="B79" s="732">
        <f t="shared" si="142"/>
        <v>2.1</v>
      </c>
      <c r="C79" s="408" t="str">
        <f t="shared" si="120"/>
        <v>耐震･免震・制震・制振</v>
      </c>
      <c r="D79" s="731" t="e">
        <f>IF(I$78=0,0,G79/I$78)</f>
        <v>#REF!</v>
      </c>
      <c r="E79" s="730" t="e">
        <f>IF(J$78=0,0,H79/J$78)</f>
        <v>#REF!</v>
      </c>
      <c r="G79" s="730" t="e">
        <f t="shared" si="121"/>
        <v>#REF!</v>
      </c>
      <c r="H79" s="730" t="e">
        <f t="shared" si="122"/>
        <v>#REF!</v>
      </c>
      <c r="I79" s="730" t="e">
        <f>SUM(G80:G81)</f>
        <v>#REF!</v>
      </c>
      <c r="J79" s="730" t="e">
        <f>SUM(H80:H81)</f>
        <v>#REF!</v>
      </c>
      <c r="K79" s="730" t="e">
        <f>IF(#REF!=0,0,1)</f>
        <v>#REF!</v>
      </c>
      <c r="L79" s="730" t="e">
        <f>IF(#REF!=0,0,1)</f>
        <v>#REF!</v>
      </c>
      <c r="M79" s="730">
        <f t="shared" si="123"/>
        <v>0.5</v>
      </c>
      <c r="N79" s="730">
        <f t="shared" si="124"/>
        <v>0</v>
      </c>
      <c r="P79" s="832"/>
      <c r="Q79" s="744">
        <v>2.1</v>
      </c>
      <c r="R79" s="838" t="s">
        <v>753</v>
      </c>
      <c r="S79" s="815"/>
      <c r="T79" s="815"/>
      <c r="U79" s="726"/>
      <c r="V79" s="752">
        <f t="shared" si="158"/>
        <v>0</v>
      </c>
      <c r="W79" s="751">
        <f t="shared" si="159"/>
        <v>0</v>
      </c>
      <c r="Y79" s="1">
        <f t="shared" si="143"/>
        <v>0</v>
      </c>
      <c r="Z79" s="1">
        <f t="shared" si="144"/>
        <v>0</v>
      </c>
      <c r="AA79" s="1">
        <f t="shared" si="145"/>
        <v>0</v>
      </c>
      <c r="AB79" s="1">
        <f t="shared" si="146"/>
        <v>0</v>
      </c>
      <c r="AC79" s="1">
        <f t="shared" si="147"/>
        <v>0</v>
      </c>
      <c r="AD79" s="1">
        <f t="shared" si="148"/>
        <v>0</v>
      </c>
      <c r="AE79" s="1">
        <f t="shared" si="149"/>
        <v>0</v>
      </c>
      <c r="AF79" s="1">
        <f t="shared" si="150"/>
        <v>0</v>
      </c>
      <c r="AG79" s="1">
        <f t="shared" si="151"/>
        <v>0</v>
      </c>
      <c r="AH79" s="1">
        <f t="shared" si="152"/>
        <v>0</v>
      </c>
      <c r="AI79" s="1">
        <f t="shared" si="153"/>
        <v>0</v>
      </c>
      <c r="AJ79" s="1">
        <f t="shared" si="154"/>
        <v>0</v>
      </c>
      <c r="AK79" s="1">
        <f t="shared" si="155"/>
        <v>0</v>
      </c>
      <c r="AM79" s="750" t="s">
        <v>952</v>
      </c>
      <c r="AN79" s="750" t="s">
        <v>952</v>
      </c>
      <c r="AO79" s="750" t="s">
        <v>952</v>
      </c>
      <c r="AP79" s="750" t="s">
        <v>954</v>
      </c>
      <c r="AQ79" s="750" t="s">
        <v>952</v>
      </c>
      <c r="AR79" s="750" t="s">
        <v>952</v>
      </c>
      <c r="AS79" s="750" t="s">
        <v>952</v>
      </c>
      <c r="AT79" s="750" t="s">
        <v>952</v>
      </c>
      <c r="AU79" s="750" t="s">
        <v>960</v>
      </c>
      <c r="AV79" s="750" t="s">
        <v>954</v>
      </c>
      <c r="AW79" s="750" t="s">
        <v>954</v>
      </c>
      <c r="AX79" s="750" t="s">
        <v>952</v>
      </c>
      <c r="AY79" s="750" t="s">
        <v>954</v>
      </c>
      <c r="BA79" s="723"/>
      <c r="BB79" s="723" t="e">
        <f t="shared" si="125"/>
        <v>#REF!</v>
      </c>
      <c r="BC79" s="723"/>
      <c r="BD79" s="722" t="e">
        <f>BR79*#REF!</f>
        <v>#REF!</v>
      </c>
      <c r="BE79" s="722" t="e">
        <f>BS79*#REF!</f>
        <v>#REF!</v>
      </c>
      <c r="BF79" s="722" t="e">
        <f>BT79*#REF!</f>
        <v>#REF!</v>
      </c>
      <c r="BG79" s="722" t="e">
        <f>BU79*#REF!</f>
        <v>#REF!</v>
      </c>
      <c r="BH79" s="803" t="e">
        <f>BV79*#REF!</f>
        <v>#REF!</v>
      </c>
      <c r="BI79" s="722" t="e">
        <f>BW79*#REF!</f>
        <v>#REF!</v>
      </c>
      <c r="BJ79" s="722" t="e">
        <f>BX79*#REF!</f>
        <v>#REF!</v>
      </c>
      <c r="BK79" s="722" t="e">
        <f>BY79*#REF!</f>
        <v>#REF!</v>
      </c>
      <c r="BL79" s="722" t="e">
        <f>BZ79*#REF!</f>
        <v>#REF!</v>
      </c>
      <c r="BM79" s="722" t="e">
        <f>CA79*#REF!</f>
        <v>#REF!</v>
      </c>
      <c r="BO79" s="749">
        <f t="shared" si="126"/>
        <v>2.1</v>
      </c>
      <c r="BP79" s="749" t="str">
        <f t="shared" si="127"/>
        <v xml:space="preserve"> Q2 2</v>
      </c>
      <c r="BQ79" s="408" t="str">
        <f t="shared" si="128"/>
        <v>耐震･免震・制震・制振</v>
      </c>
      <c r="BR79" s="719">
        <f t="shared" si="129"/>
        <v>0.5</v>
      </c>
      <c r="BS79" s="719">
        <f t="shared" si="130"/>
        <v>0.5</v>
      </c>
      <c r="BT79" s="719">
        <f t="shared" si="131"/>
        <v>0.5</v>
      </c>
      <c r="BU79" s="719">
        <f t="shared" si="132"/>
        <v>0.5</v>
      </c>
      <c r="BV79" s="802">
        <f t="shared" si="133"/>
        <v>0.5</v>
      </c>
      <c r="BW79" s="719">
        <f t="shared" si="134"/>
        <v>0.5</v>
      </c>
      <c r="BX79" s="719">
        <f t="shared" si="135"/>
        <v>0.5</v>
      </c>
      <c r="BY79" s="719">
        <f t="shared" si="136"/>
        <v>0.5</v>
      </c>
      <c r="BZ79" s="719">
        <f t="shared" si="137"/>
        <v>0.5</v>
      </c>
      <c r="CA79" s="719">
        <f t="shared" si="138"/>
        <v>0.5</v>
      </c>
      <c r="CB79" s="748">
        <f t="shared" si="139"/>
        <v>0</v>
      </c>
      <c r="CC79" s="719">
        <f t="shared" si="140"/>
        <v>0</v>
      </c>
      <c r="CD79" s="719">
        <f t="shared" si="141"/>
        <v>0</v>
      </c>
      <c r="CF79" s="455">
        <v>2.1</v>
      </c>
      <c r="CG79" s="459" t="s">
        <v>474</v>
      </c>
      <c r="CH79" s="456" t="s">
        <v>518</v>
      </c>
      <c r="CI79" s="457">
        <v>0.25</v>
      </c>
      <c r="CJ79" s="457">
        <v>0.25</v>
      </c>
      <c r="CK79" s="457">
        <v>0.25</v>
      </c>
      <c r="CL79" s="457">
        <v>0.25</v>
      </c>
      <c r="CM79" s="465">
        <v>0.25</v>
      </c>
      <c r="CN79" s="457">
        <v>0.25</v>
      </c>
      <c r="CO79" s="461">
        <v>0.25</v>
      </c>
      <c r="CP79" s="457">
        <v>0.25</v>
      </c>
      <c r="CQ79" s="457">
        <v>0.25</v>
      </c>
      <c r="CR79" s="457">
        <v>0.25</v>
      </c>
      <c r="CS79" s="462">
        <v>0</v>
      </c>
      <c r="CT79" s="461">
        <v>0</v>
      </c>
      <c r="CU79" s="461">
        <v>0</v>
      </c>
      <c r="CW79" s="455">
        <v>2.1</v>
      </c>
      <c r="CX79" s="459" t="s">
        <v>474</v>
      </c>
      <c r="CY79" s="456" t="s">
        <v>454</v>
      </c>
      <c r="CZ79" s="461">
        <v>0.5</v>
      </c>
      <c r="DA79" s="461">
        <v>0.5</v>
      </c>
      <c r="DB79" s="461">
        <v>0.5</v>
      </c>
      <c r="DC79" s="461">
        <v>0.5</v>
      </c>
      <c r="DD79" s="468">
        <v>0.5</v>
      </c>
      <c r="DE79" s="461">
        <v>0.5</v>
      </c>
      <c r="DF79" s="461">
        <v>0.5</v>
      </c>
      <c r="DG79" s="461">
        <v>0.5</v>
      </c>
      <c r="DH79" s="461">
        <v>0.5</v>
      </c>
      <c r="DI79" s="461">
        <v>0.5</v>
      </c>
      <c r="DJ79" s="462"/>
      <c r="DK79" s="461"/>
      <c r="DL79" s="461"/>
      <c r="DN79" s="455">
        <v>2.1</v>
      </c>
      <c r="DO79" s="459" t="s">
        <v>474</v>
      </c>
      <c r="DP79" s="456" t="s">
        <v>753</v>
      </c>
      <c r="DQ79" s="461">
        <v>0.5</v>
      </c>
      <c r="DR79" s="461">
        <v>0.5</v>
      </c>
      <c r="DS79" s="461">
        <v>0.5</v>
      </c>
      <c r="DT79" s="461">
        <v>0.5</v>
      </c>
      <c r="DU79" s="468">
        <v>0.5</v>
      </c>
      <c r="DV79" s="461">
        <v>0.5</v>
      </c>
      <c r="DW79" s="461">
        <v>0.5</v>
      </c>
      <c r="DX79" s="461">
        <v>0.5</v>
      </c>
      <c r="DY79" s="461">
        <v>0.5</v>
      </c>
      <c r="DZ79" s="461">
        <v>0.5</v>
      </c>
      <c r="EA79" s="462"/>
      <c r="EB79" s="461"/>
      <c r="EC79" s="461"/>
      <c r="ED79" s="555"/>
      <c r="EF79" s="455">
        <v>2.1</v>
      </c>
      <c r="EG79" s="459" t="s">
        <v>474</v>
      </c>
      <c r="EH79" s="456" t="s">
        <v>753</v>
      </c>
      <c r="EI79" s="598">
        <v>0.9</v>
      </c>
      <c r="EJ79" s="598">
        <v>0.9</v>
      </c>
      <c r="EK79" s="598">
        <v>0.9</v>
      </c>
      <c r="EL79" s="598">
        <v>0.9</v>
      </c>
      <c r="EM79" s="598">
        <v>0.9</v>
      </c>
      <c r="EN79" s="598">
        <v>0.9</v>
      </c>
      <c r="EO79" s="598">
        <v>0.9</v>
      </c>
      <c r="EP79" s="598">
        <v>0.9</v>
      </c>
      <c r="EQ79" s="598">
        <v>0.9</v>
      </c>
      <c r="ER79" s="598">
        <v>0.9</v>
      </c>
      <c r="ES79" s="611">
        <f t="shared" si="160"/>
        <v>0</v>
      </c>
      <c r="ET79" s="609">
        <f t="shared" si="160"/>
        <v>0</v>
      </c>
      <c r="EU79" s="609">
        <f t="shared" si="160"/>
        <v>0</v>
      </c>
      <c r="EW79" s="455">
        <v>2.1</v>
      </c>
      <c r="EX79" s="459" t="s">
        <v>474</v>
      </c>
      <c r="EY79" s="456" t="s">
        <v>753</v>
      </c>
      <c r="EZ79" s="666">
        <v>0.4</v>
      </c>
      <c r="FA79" s="598"/>
      <c r="FB79" s="598"/>
      <c r="FC79" s="598"/>
      <c r="FD79" s="598"/>
      <c r="FE79" s="598"/>
      <c r="FF79" s="598"/>
      <c r="FG79" s="598"/>
      <c r="FH79" s="598"/>
      <c r="FI79" s="598"/>
      <c r="FJ79" s="647"/>
      <c r="FK79" s="598"/>
      <c r="FL79" s="598"/>
    </row>
    <row r="80" spans="2:168">
      <c r="B80" s="732" t="str">
        <f t="shared" si="142"/>
        <v>2.1.1</v>
      </c>
      <c r="C80" s="408" t="str">
        <f t="shared" si="120"/>
        <v>耐震性</v>
      </c>
      <c r="D80" s="809" t="e">
        <f>IF(I$79&gt;0,G80/I$79,0)</f>
        <v>#REF!</v>
      </c>
      <c r="E80" s="730" t="e">
        <f>IF(J$79&gt;0,H80/J$79,0)</f>
        <v>#REF!</v>
      </c>
      <c r="G80" s="730" t="e">
        <f t="shared" si="121"/>
        <v>#REF!</v>
      </c>
      <c r="H80" s="730" t="e">
        <f t="shared" si="122"/>
        <v>#REF!</v>
      </c>
      <c r="I80" s="730"/>
      <c r="J80" s="730"/>
      <c r="K80" s="730" t="e">
        <f>IF(#REF!=0,0,1)</f>
        <v>#REF!</v>
      </c>
      <c r="L80" s="730" t="e">
        <f>IF(#REF!=0,0,1)</f>
        <v>#REF!</v>
      </c>
      <c r="M80" s="730">
        <f t="shared" si="123"/>
        <v>0.8</v>
      </c>
      <c r="N80" s="730">
        <f t="shared" si="124"/>
        <v>0</v>
      </c>
      <c r="P80" s="832"/>
      <c r="Q80" s="728"/>
      <c r="R80" s="414">
        <v>1</v>
      </c>
      <c r="S80" s="579" t="s">
        <v>756</v>
      </c>
      <c r="T80" s="745"/>
      <c r="U80" s="726"/>
      <c r="V80" s="734">
        <f t="shared" si="158"/>
        <v>0</v>
      </c>
      <c r="W80" s="733">
        <f t="shared" si="159"/>
        <v>0</v>
      </c>
      <c r="Y80" s="1">
        <f t="shared" si="143"/>
        <v>0</v>
      </c>
      <c r="Z80" s="1">
        <f t="shared" si="144"/>
        <v>0</v>
      </c>
      <c r="AA80" s="1">
        <f t="shared" si="145"/>
        <v>0</v>
      </c>
      <c r="AB80" s="1">
        <f t="shared" si="146"/>
        <v>0</v>
      </c>
      <c r="AC80" s="1">
        <f t="shared" si="147"/>
        <v>0</v>
      </c>
      <c r="AD80" s="1">
        <f t="shared" si="148"/>
        <v>0</v>
      </c>
      <c r="AE80" s="1">
        <f t="shared" si="149"/>
        <v>0</v>
      </c>
      <c r="AF80" s="1">
        <f t="shared" si="150"/>
        <v>0</v>
      </c>
      <c r="AG80" s="1">
        <f t="shared" si="151"/>
        <v>0</v>
      </c>
      <c r="AH80" s="1">
        <f t="shared" si="152"/>
        <v>0</v>
      </c>
      <c r="AI80" s="1">
        <f t="shared" si="153"/>
        <v>0</v>
      </c>
      <c r="AJ80" s="1">
        <f t="shared" si="154"/>
        <v>0</v>
      </c>
      <c r="AK80" s="1">
        <f t="shared" si="155"/>
        <v>0</v>
      </c>
      <c r="AM80" s="679"/>
      <c r="AN80" s="679"/>
      <c r="AO80" s="679"/>
      <c r="AP80" s="679"/>
      <c r="AQ80" s="679"/>
      <c r="AR80" s="679"/>
      <c r="AS80" s="679"/>
      <c r="AT80" s="679"/>
      <c r="AU80" s="679"/>
      <c r="AV80" s="679"/>
      <c r="AW80" s="679"/>
      <c r="AX80" s="679"/>
      <c r="AY80" s="679"/>
      <c r="BA80" s="723"/>
      <c r="BB80" s="723" t="e">
        <f t="shared" si="125"/>
        <v>#REF!</v>
      </c>
      <c r="BC80" s="723"/>
      <c r="BD80" s="722" t="e">
        <f>BR80*#REF!</f>
        <v>#REF!</v>
      </c>
      <c r="BE80" s="722" t="e">
        <f>BS80*#REF!</f>
        <v>#REF!</v>
      </c>
      <c r="BF80" s="722" t="e">
        <f>BT80*#REF!</f>
        <v>#REF!</v>
      </c>
      <c r="BG80" s="722" t="e">
        <f>BU80*#REF!</f>
        <v>#REF!</v>
      </c>
      <c r="BH80" s="803" t="e">
        <f>BV80*#REF!</f>
        <v>#REF!</v>
      </c>
      <c r="BI80" s="722" t="e">
        <f>BW80*#REF!</f>
        <v>#REF!</v>
      </c>
      <c r="BJ80" s="722" t="e">
        <f>BX80*#REF!</f>
        <v>#REF!</v>
      </c>
      <c r="BK80" s="722" t="e">
        <f>BY80*#REF!</f>
        <v>#REF!</v>
      </c>
      <c r="BL80" s="722" t="e">
        <f>BZ80*#REF!</f>
        <v>#REF!</v>
      </c>
      <c r="BM80" s="722" t="e">
        <f>CA80*#REF!</f>
        <v>#REF!</v>
      </c>
      <c r="BO80" s="749" t="str">
        <f t="shared" si="126"/>
        <v>2.1.1</v>
      </c>
      <c r="BP80" s="749" t="str">
        <f t="shared" si="127"/>
        <v xml:space="preserve"> Q2 2.1</v>
      </c>
      <c r="BQ80" s="408" t="str">
        <f t="shared" si="128"/>
        <v>耐震性</v>
      </c>
      <c r="BR80" s="719">
        <f t="shared" si="129"/>
        <v>0.8</v>
      </c>
      <c r="BS80" s="719">
        <f t="shared" si="130"/>
        <v>0.8</v>
      </c>
      <c r="BT80" s="719">
        <f t="shared" si="131"/>
        <v>0.8</v>
      </c>
      <c r="BU80" s="719">
        <f t="shared" si="132"/>
        <v>0.8</v>
      </c>
      <c r="BV80" s="802">
        <f t="shared" si="133"/>
        <v>0.8</v>
      </c>
      <c r="BW80" s="719">
        <f t="shared" si="134"/>
        <v>0.8</v>
      </c>
      <c r="BX80" s="719">
        <f t="shared" si="135"/>
        <v>0.8</v>
      </c>
      <c r="BY80" s="719">
        <f t="shared" si="136"/>
        <v>0.8</v>
      </c>
      <c r="BZ80" s="719">
        <f t="shared" si="137"/>
        <v>0.8</v>
      </c>
      <c r="CA80" s="719">
        <f t="shared" si="138"/>
        <v>0.8</v>
      </c>
      <c r="CB80" s="748">
        <f t="shared" si="139"/>
        <v>0</v>
      </c>
      <c r="CC80" s="719">
        <f t="shared" si="140"/>
        <v>0</v>
      </c>
      <c r="CD80" s="719">
        <f t="shared" si="141"/>
        <v>0</v>
      </c>
      <c r="CF80" s="455" t="s">
        <v>959</v>
      </c>
      <c r="CG80" s="459" t="s">
        <v>475</v>
      </c>
      <c r="CH80" s="456" t="s">
        <v>476</v>
      </c>
      <c r="CI80" s="457">
        <v>0.8</v>
      </c>
      <c r="CJ80" s="457">
        <v>0.8</v>
      </c>
      <c r="CK80" s="457">
        <v>0.8</v>
      </c>
      <c r="CL80" s="457">
        <v>0.8</v>
      </c>
      <c r="CM80" s="465">
        <v>0.8</v>
      </c>
      <c r="CN80" s="457">
        <v>0.8</v>
      </c>
      <c r="CO80" s="461">
        <v>0.8</v>
      </c>
      <c r="CP80" s="457">
        <v>0.8</v>
      </c>
      <c r="CQ80" s="457">
        <v>0.8</v>
      </c>
      <c r="CR80" s="457">
        <v>0.8</v>
      </c>
      <c r="CS80" s="462">
        <v>0</v>
      </c>
      <c r="CT80" s="461">
        <v>0</v>
      </c>
      <c r="CU80" s="461">
        <v>0</v>
      </c>
      <c r="CW80" s="455" t="s">
        <v>958</v>
      </c>
      <c r="CX80" s="459" t="s">
        <v>475</v>
      </c>
      <c r="CY80" s="456" t="s">
        <v>476</v>
      </c>
      <c r="CZ80" s="461">
        <v>0.8</v>
      </c>
      <c r="DA80" s="461">
        <v>0.8</v>
      </c>
      <c r="DB80" s="461">
        <v>0.8</v>
      </c>
      <c r="DC80" s="461">
        <v>0.8</v>
      </c>
      <c r="DD80" s="468">
        <v>0.8</v>
      </c>
      <c r="DE80" s="461">
        <v>0.8</v>
      </c>
      <c r="DF80" s="461">
        <v>0.8</v>
      </c>
      <c r="DG80" s="461">
        <v>0.8</v>
      </c>
      <c r="DH80" s="461">
        <v>0.8</v>
      </c>
      <c r="DI80" s="461">
        <v>0.8</v>
      </c>
      <c r="DJ80" s="462"/>
      <c r="DK80" s="461"/>
      <c r="DL80" s="461"/>
      <c r="DN80" s="455" t="s">
        <v>959</v>
      </c>
      <c r="DO80" s="459" t="s">
        <v>475</v>
      </c>
      <c r="DP80" s="456" t="s">
        <v>476</v>
      </c>
      <c r="DQ80" s="461">
        <v>0.8</v>
      </c>
      <c r="DR80" s="461">
        <v>0.8</v>
      </c>
      <c r="DS80" s="461">
        <v>0.8</v>
      </c>
      <c r="DT80" s="461">
        <v>0.8</v>
      </c>
      <c r="DU80" s="468">
        <v>0.8</v>
      </c>
      <c r="DV80" s="461">
        <v>0.8</v>
      </c>
      <c r="DW80" s="461">
        <v>0.8</v>
      </c>
      <c r="DX80" s="461">
        <v>0.8</v>
      </c>
      <c r="DY80" s="461">
        <v>0.8</v>
      </c>
      <c r="DZ80" s="461">
        <v>0.8</v>
      </c>
      <c r="EA80" s="462"/>
      <c r="EB80" s="461"/>
      <c r="EC80" s="461"/>
      <c r="ED80" s="555"/>
      <c r="EF80" s="455" t="s">
        <v>958</v>
      </c>
      <c r="EG80" s="459" t="s">
        <v>475</v>
      </c>
      <c r="EH80" s="456" t="s">
        <v>476</v>
      </c>
      <c r="EI80" s="598">
        <v>1</v>
      </c>
      <c r="EJ80" s="598">
        <v>1</v>
      </c>
      <c r="EK80" s="598">
        <v>1</v>
      </c>
      <c r="EL80" s="598">
        <v>1</v>
      </c>
      <c r="EM80" s="598">
        <v>1</v>
      </c>
      <c r="EN80" s="598">
        <v>1</v>
      </c>
      <c r="EO80" s="598">
        <v>1</v>
      </c>
      <c r="EP80" s="598">
        <v>1</v>
      </c>
      <c r="EQ80" s="598">
        <v>1</v>
      </c>
      <c r="ER80" s="598">
        <v>1</v>
      </c>
      <c r="ES80" s="611">
        <f t="shared" si="160"/>
        <v>0</v>
      </c>
      <c r="ET80" s="609">
        <f t="shared" si="160"/>
        <v>0</v>
      </c>
      <c r="EU80" s="609">
        <f t="shared" si="160"/>
        <v>0</v>
      </c>
      <c r="EW80" s="455" t="s">
        <v>957</v>
      </c>
      <c r="EX80" s="459" t="s">
        <v>475</v>
      </c>
      <c r="EY80" s="456" t="s">
        <v>476</v>
      </c>
      <c r="EZ80" s="598">
        <f>DQ80</f>
        <v>0.8</v>
      </c>
      <c r="FA80" s="598"/>
      <c r="FB80" s="598"/>
      <c r="FC80" s="598"/>
      <c r="FD80" s="598"/>
      <c r="FE80" s="598"/>
      <c r="FF80" s="598"/>
      <c r="FG80" s="598"/>
      <c r="FH80" s="598"/>
      <c r="FI80" s="598"/>
      <c r="FJ80" s="647"/>
      <c r="FK80" s="598"/>
      <c r="FL80" s="598"/>
    </row>
    <row r="81" spans="2:168" ht="14.25" thickBot="1">
      <c r="B81" s="732" t="str">
        <f t="shared" si="142"/>
        <v>2.1.2</v>
      </c>
      <c r="C81" s="408" t="str">
        <f t="shared" si="120"/>
        <v>免震・制震・制振性能</v>
      </c>
      <c r="D81" s="809" t="e">
        <f>IF(I$79&gt;0,G81/I$79,0)</f>
        <v>#REF!</v>
      </c>
      <c r="E81" s="730" t="e">
        <f>IF(J$79&gt;0,H81/J$79,0)</f>
        <v>#REF!</v>
      </c>
      <c r="G81" s="730" t="e">
        <f t="shared" si="121"/>
        <v>#REF!</v>
      </c>
      <c r="H81" s="730" t="e">
        <f t="shared" si="122"/>
        <v>#REF!</v>
      </c>
      <c r="I81" s="730"/>
      <c r="J81" s="730"/>
      <c r="K81" s="730" t="e">
        <f>IF(#REF!=0,0,1)</f>
        <v>#REF!</v>
      </c>
      <c r="L81" s="730" t="e">
        <f>IF(#REF!=0,0,1)</f>
        <v>#REF!</v>
      </c>
      <c r="M81" s="730">
        <f t="shared" si="123"/>
        <v>0.2</v>
      </c>
      <c r="N81" s="730">
        <f t="shared" si="124"/>
        <v>0</v>
      </c>
      <c r="P81" s="832"/>
      <c r="Q81" s="776"/>
      <c r="R81" s="414">
        <v>2</v>
      </c>
      <c r="S81" s="579" t="s">
        <v>755</v>
      </c>
      <c r="T81" s="745"/>
      <c r="U81" s="726"/>
      <c r="V81" s="725">
        <f t="shared" si="158"/>
        <v>0</v>
      </c>
      <c r="W81" s="724">
        <f t="shared" si="159"/>
        <v>0</v>
      </c>
      <c r="Y81" s="1">
        <f t="shared" si="143"/>
        <v>0</v>
      </c>
      <c r="Z81" s="1">
        <f t="shared" si="144"/>
        <v>0</v>
      </c>
      <c r="AA81" s="1">
        <f t="shared" si="145"/>
        <v>0</v>
      </c>
      <c r="AB81" s="1">
        <f t="shared" si="146"/>
        <v>0</v>
      </c>
      <c r="AC81" s="1">
        <f t="shared" si="147"/>
        <v>0</v>
      </c>
      <c r="AD81" s="1">
        <f t="shared" si="148"/>
        <v>0</v>
      </c>
      <c r="AE81" s="1">
        <f t="shared" si="149"/>
        <v>0</v>
      </c>
      <c r="AF81" s="1">
        <f t="shared" si="150"/>
        <v>0</v>
      </c>
      <c r="AG81" s="1">
        <f t="shared" si="151"/>
        <v>0</v>
      </c>
      <c r="AH81" s="1">
        <f t="shared" si="152"/>
        <v>0</v>
      </c>
      <c r="AI81" s="1">
        <f t="shared" si="153"/>
        <v>0</v>
      </c>
      <c r="AJ81" s="1">
        <f t="shared" si="154"/>
        <v>0</v>
      </c>
      <c r="AK81" s="1">
        <f t="shared" si="155"/>
        <v>0</v>
      </c>
      <c r="AM81" s="683"/>
      <c r="AN81" s="683"/>
      <c r="AO81" s="683"/>
      <c r="AP81" s="683"/>
      <c r="AQ81" s="683"/>
      <c r="AR81" s="683"/>
      <c r="AS81" s="683"/>
      <c r="AT81" s="683"/>
      <c r="AU81" s="683"/>
      <c r="AV81" s="683"/>
      <c r="AW81" s="683"/>
      <c r="AX81" s="683"/>
      <c r="AY81" s="683"/>
      <c r="BA81" s="723"/>
      <c r="BB81" s="723" t="e">
        <f t="shared" si="125"/>
        <v>#REF!</v>
      </c>
      <c r="BC81" s="723"/>
      <c r="BD81" s="722" t="e">
        <f>BR81*#REF!</f>
        <v>#REF!</v>
      </c>
      <c r="BE81" s="722" t="e">
        <f>BS81*#REF!</f>
        <v>#REF!</v>
      </c>
      <c r="BF81" s="722" t="e">
        <f>BT81*#REF!</f>
        <v>#REF!</v>
      </c>
      <c r="BG81" s="722" t="e">
        <f>BU81*#REF!</f>
        <v>#REF!</v>
      </c>
      <c r="BH81" s="803" t="e">
        <f>BV81*#REF!</f>
        <v>#REF!</v>
      </c>
      <c r="BI81" s="722" t="e">
        <f>BW81*#REF!</f>
        <v>#REF!</v>
      </c>
      <c r="BJ81" s="722" t="e">
        <f>BX81*#REF!</f>
        <v>#REF!</v>
      </c>
      <c r="BK81" s="722" t="e">
        <f>BY81*#REF!</f>
        <v>#REF!</v>
      </c>
      <c r="BL81" s="722" t="e">
        <f>BZ81*#REF!</f>
        <v>#REF!</v>
      </c>
      <c r="BM81" s="722" t="e">
        <f>CA81*#REF!</f>
        <v>#REF!</v>
      </c>
      <c r="BO81" s="749" t="str">
        <f t="shared" si="126"/>
        <v>2.1.2</v>
      </c>
      <c r="BP81" s="749" t="str">
        <f t="shared" si="127"/>
        <v xml:space="preserve"> Q2 2.1</v>
      </c>
      <c r="BQ81" s="408" t="str">
        <f t="shared" si="128"/>
        <v>免震・制震・制振性能</v>
      </c>
      <c r="BR81" s="719">
        <f t="shared" si="129"/>
        <v>0.2</v>
      </c>
      <c r="BS81" s="719">
        <f t="shared" si="130"/>
        <v>0.2</v>
      </c>
      <c r="BT81" s="719">
        <f t="shared" si="131"/>
        <v>0.2</v>
      </c>
      <c r="BU81" s="719">
        <f t="shared" si="132"/>
        <v>0.2</v>
      </c>
      <c r="BV81" s="802">
        <f t="shared" si="133"/>
        <v>0.2</v>
      </c>
      <c r="BW81" s="719">
        <f t="shared" si="134"/>
        <v>0.2</v>
      </c>
      <c r="BX81" s="719">
        <f t="shared" si="135"/>
        <v>0.2</v>
      </c>
      <c r="BY81" s="719">
        <f t="shared" si="136"/>
        <v>0.2</v>
      </c>
      <c r="BZ81" s="719">
        <f t="shared" si="137"/>
        <v>0.2</v>
      </c>
      <c r="CA81" s="719">
        <f t="shared" si="138"/>
        <v>0.2</v>
      </c>
      <c r="CB81" s="748">
        <f t="shared" si="139"/>
        <v>0</v>
      </c>
      <c r="CC81" s="719">
        <f t="shared" si="140"/>
        <v>0</v>
      </c>
      <c r="CD81" s="719">
        <f t="shared" si="141"/>
        <v>0</v>
      </c>
      <c r="CF81" s="455" t="s">
        <v>664</v>
      </c>
      <c r="CG81" s="459" t="s">
        <v>475</v>
      </c>
      <c r="CH81" s="456" t="s">
        <v>477</v>
      </c>
      <c r="CI81" s="457">
        <v>0.2</v>
      </c>
      <c r="CJ81" s="457">
        <v>0.2</v>
      </c>
      <c r="CK81" s="457">
        <v>0.2</v>
      </c>
      <c r="CL81" s="457">
        <v>0.2</v>
      </c>
      <c r="CM81" s="465">
        <v>0.2</v>
      </c>
      <c r="CN81" s="457">
        <v>0.2</v>
      </c>
      <c r="CO81" s="461">
        <v>0.2</v>
      </c>
      <c r="CP81" s="457">
        <v>0.2</v>
      </c>
      <c r="CQ81" s="457">
        <v>0.2</v>
      </c>
      <c r="CR81" s="457">
        <v>0.2</v>
      </c>
      <c r="CS81" s="462">
        <v>0</v>
      </c>
      <c r="CT81" s="461">
        <v>0</v>
      </c>
      <c r="CU81" s="461">
        <v>0</v>
      </c>
      <c r="CW81" s="455" t="s">
        <v>664</v>
      </c>
      <c r="CX81" s="459" t="s">
        <v>475</v>
      </c>
      <c r="CY81" s="456" t="s">
        <v>455</v>
      </c>
      <c r="CZ81" s="461">
        <v>0.2</v>
      </c>
      <c r="DA81" s="461">
        <v>0.2</v>
      </c>
      <c r="DB81" s="461">
        <v>0.2</v>
      </c>
      <c r="DC81" s="461">
        <v>0.2</v>
      </c>
      <c r="DD81" s="468">
        <v>0.2</v>
      </c>
      <c r="DE81" s="461">
        <v>0.2</v>
      </c>
      <c r="DF81" s="461">
        <v>0.2</v>
      </c>
      <c r="DG81" s="461">
        <v>0.2</v>
      </c>
      <c r="DH81" s="461">
        <v>0.2</v>
      </c>
      <c r="DI81" s="461">
        <v>0.2</v>
      </c>
      <c r="DJ81" s="462"/>
      <c r="DK81" s="461"/>
      <c r="DL81" s="461"/>
      <c r="DN81" s="455" t="s">
        <v>956</v>
      </c>
      <c r="DO81" s="459" t="s">
        <v>475</v>
      </c>
      <c r="DP81" s="456" t="s">
        <v>754</v>
      </c>
      <c r="DQ81" s="461">
        <v>0.2</v>
      </c>
      <c r="DR81" s="461">
        <v>0.2</v>
      </c>
      <c r="DS81" s="461">
        <v>0.2</v>
      </c>
      <c r="DT81" s="461">
        <v>0.2</v>
      </c>
      <c r="DU81" s="468">
        <v>0.2</v>
      </c>
      <c r="DV81" s="461">
        <v>0.2</v>
      </c>
      <c r="DW81" s="461">
        <v>0.2</v>
      </c>
      <c r="DX81" s="461">
        <v>0.2</v>
      </c>
      <c r="DY81" s="461">
        <v>0.2</v>
      </c>
      <c r="DZ81" s="461">
        <v>0.2</v>
      </c>
      <c r="EA81" s="462"/>
      <c r="EB81" s="461"/>
      <c r="EC81" s="461"/>
      <c r="ED81" s="555"/>
      <c r="EF81" s="455" t="s">
        <v>664</v>
      </c>
      <c r="EG81" s="459" t="s">
        <v>475</v>
      </c>
      <c r="EH81" s="456" t="s">
        <v>754</v>
      </c>
      <c r="EI81" s="609">
        <v>0</v>
      </c>
      <c r="EJ81" s="609">
        <v>0</v>
      </c>
      <c r="EK81" s="609">
        <v>0</v>
      </c>
      <c r="EL81" s="609">
        <v>0</v>
      </c>
      <c r="EM81" s="609">
        <v>0</v>
      </c>
      <c r="EN81" s="609">
        <v>0</v>
      </c>
      <c r="EO81" s="609">
        <v>0</v>
      </c>
      <c r="EP81" s="609">
        <v>0</v>
      </c>
      <c r="EQ81" s="609">
        <v>0</v>
      </c>
      <c r="ER81" s="609">
        <v>0</v>
      </c>
      <c r="ES81" s="611">
        <f t="shared" si="160"/>
        <v>0</v>
      </c>
      <c r="ET81" s="609">
        <f t="shared" si="160"/>
        <v>0</v>
      </c>
      <c r="EU81" s="609">
        <f t="shared" si="160"/>
        <v>0</v>
      </c>
      <c r="EW81" s="455" t="s">
        <v>955</v>
      </c>
      <c r="EX81" s="459" t="s">
        <v>475</v>
      </c>
      <c r="EY81" s="456" t="s">
        <v>754</v>
      </c>
      <c r="EZ81" s="598">
        <f>DQ81</f>
        <v>0.2</v>
      </c>
      <c r="FA81" s="598"/>
      <c r="FB81" s="598"/>
      <c r="FC81" s="598"/>
      <c r="FD81" s="598"/>
      <c r="FE81" s="598"/>
      <c r="FF81" s="598"/>
      <c r="FG81" s="598"/>
      <c r="FH81" s="598"/>
      <c r="FI81" s="598"/>
      <c r="FJ81" s="647"/>
      <c r="FK81" s="598"/>
      <c r="FL81" s="598"/>
    </row>
    <row r="82" spans="2:168" ht="14.25" thickBot="1">
      <c r="B82" s="732">
        <f t="shared" si="142"/>
        <v>2.2000000000000002</v>
      </c>
      <c r="C82" s="408" t="str">
        <f t="shared" si="120"/>
        <v>部品・部材の耐用年数</v>
      </c>
      <c r="D82" s="731" t="e">
        <f>IF(I$78=0,0,G82/I$78)</f>
        <v>#REF!</v>
      </c>
      <c r="E82" s="730" t="e">
        <f>IF(J$78=0,0,H82/J$78)</f>
        <v>#REF!</v>
      </c>
      <c r="G82" s="730" t="e">
        <f t="shared" si="121"/>
        <v>#REF!</v>
      </c>
      <c r="H82" s="730" t="e">
        <f t="shared" si="122"/>
        <v>#REF!</v>
      </c>
      <c r="I82" s="730" t="e">
        <f>SUM(G83:G88)</f>
        <v>#REF!</v>
      </c>
      <c r="J82" s="730" t="e">
        <f>SUM(H83:H88)</f>
        <v>#REF!</v>
      </c>
      <c r="K82" s="730" t="e">
        <f>IF(#REF!=0,0,1)</f>
        <v>#REF!</v>
      </c>
      <c r="L82" s="730" t="e">
        <f>IF(#REF!=0,0,1)</f>
        <v>#REF!</v>
      </c>
      <c r="M82" s="730">
        <f t="shared" si="123"/>
        <v>0.3</v>
      </c>
      <c r="N82" s="730">
        <f t="shared" si="124"/>
        <v>0</v>
      </c>
      <c r="P82" s="832"/>
      <c r="Q82" s="777">
        <v>2.2000000000000002</v>
      </c>
      <c r="R82" s="838" t="s">
        <v>519</v>
      </c>
      <c r="S82" s="815"/>
      <c r="T82" s="815"/>
      <c r="U82" s="726"/>
      <c r="V82" s="814">
        <f t="shared" si="158"/>
        <v>0</v>
      </c>
      <c r="W82" s="813">
        <f t="shared" si="159"/>
        <v>0</v>
      </c>
      <c r="Y82" s="1">
        <f t="shared" si="143"/>
        <v>0</v>
      </c>
      <c r="Z82" s="1">
        <f t="shared" si="144"/>
        <v>0</v>
      </c>
      <c r="AA82" s="1">
        <f t="shared" si="145"/>
        <v>0</v>
      </c>
      <c r="AB82" s="1">
        <f t="shared" si="146"/>
        <v>0</v>
      </c>
      <c r="AC82" s="1">
        <f t="shared" si="147"/>
        <v>0</v>
      </c>
      <c r="AD82" s="1">
        <f t="shared" si="148"/>
        <v>0</v>
      </c>
      <c r="AE82" s="1">
        <f t="shared" si="149"/>
        <v>0</v>
      </c>
      <c r="AF82" s="1">
        <f t="shared" si="150"/>
        <v>0</v>
      </c>
      <c r="AG82" s="1">
        <f t="shared" si="151"/>
        <v>0</v>
      </c>
      <c r="AH82" s="1">
        <f t="shared" si="152"/>
        <v>0</v>
      </c>
      <c r="AI82" s="1">
        <f t="shared" si="153"/>
        <v>0</v>
      </c>
      <c r="AJ82" s="1">
        <f t="shared" si="154"/>
        <v>0</v>
      </c>
      <c r="AK82" s="1">
        <f t="shared" si="155"/>
        <v>0</v>
      </c>
      <c r="AM82" s="812" t="s">
        <v>953</v>
      </c>
      <c r="AN82" s="812" t="s">
        <v>49</v>
      </c>
      <c r="AO82" s="812" t="s">
        <v>954</v>
      </c>
      <c r="AP82" s="812" t="s">
        <v>953</v>
      </c>
      <c r="AQ82" s="812" t="s">
        <v>953</v>
      </c>
      <c r="AR82" s="812" t="s">
        <v>49</v>
      </c>
      <c r="AS82" s="812" t="s">
        <v>953</v>
      </c>
      <c r="AT82" s="812" t="s">
        <v>952</v>
      </c>
      <c r="AU82" s="812" t="s">
        <v>952</v>
      </c>
      <c r="AV82" s="812" t="s">
        <v>951</v>
      </c>
      <c r="AW82" s="812" t="s">
        <v>49</v>
      </c>
      <c r="AX82" s="812" t="s">
        <v>951</v>
      </c>
      <c r="AY82" s="812" t="s">
        <v>951</v>
      </c>
      <c r="BA82" s="723"/>
      <c r="BB82" s="723" t="e">
        <f t="shared" si="125"/>
        <v>#REF!</v>
      </c>
      <c r="BC82" s="723"/>
      <c r="BD82" s="722" t="e">
        <f>BR82*#REF!</f>
        <v>#REF!</v>
      </c>
      <c r="BE82" s="722" t="e">
        <f>BS82*#REF!</f>
        <v>#REF!</v>
      </c>
      <c r="BF82" s="722" t="e">
        <f>BT82*#REF!</f>
        <v>#REF!</v>
      </c>
      <c r="BG82" s="722" t="e">
        <f>BU82*#REF!</f>
        <v>#REF!</v>
      </c>
      <c r="BH82" s="803" t="e">
        <f>BV82*#REF!</f>
        <v>#REF!</v>
      </c>
      <c r="BI82" s="722" t="e">
        <f>BW82*#REF!</f>
        <v>#REF!</v>
      </c>
      <c r="BJ82" s="722" t="e">
        <f>BX82*#REF!</f>
        <v>#REF!</v>
      </c>
      <c r="BK82" s="722" t="e">
        <f>BY82*#REF!</f>
        <v>#REF!</v>
      </c>
      <c r="BL82" s="722" t="e">
        <f>BZ82*#REF!</f>
        <v>#REF!</v>
      </c>
      <c r="BM82" s="722" t="e">
        <f>CA82*#REF!</f>
        <v>#REF!</v>
      </c>
      <c r="BO82" s="749">
        <f t="shared" si="126"/>
        <v>2.2000000000000002</v>
      </c>
      <c r="BP82" s="749" t="str">
        <f t="shared" si="127"/>
        <v xml:space="preserve"> Q2 2</v>
      </c>
      <c r="BQ82" s="408" t="str">
        <f t="shared" si="128"/>
        <v>部品・部材の耐用年数</v>
      </c>
      <c r="BR82" s="719">
        <f t="shared" si="129"/>
        <v>0.3</v>
      </c>
      <c r="BS82" s="719">
        <f t="shared" si="130"/>
        <v>0.3</v>
      </c>
      <c r="BT82" s="719">
        <f t="shared" si="131"/>
        <v>0.3</v>
      </c>
      <c r="BU82" s="719">
        <f t="shared" si="132"/>
        <v>0.3</v>
      </c>
      <c r="BV82" s="802">
        <f t="shared" si="133"/>
        <v>0.3</v>
      </c>
      <c r="BW82" s="719">
        <f t="shared" si="134"/>
        <v>0.3</v>
      </c>
      <c r="BX82" s="719">
        <f t="shared" si="135"/>
        <v>0.3</v>
      </c>
      <c r="BY82" s="719">
        <f t="shared" si="136"/>
        <v>0.3</v>
      </c>
      <c r="BZ82" s="719">
        <f t="shared" si="137"/>
        <v>0.3</v>
      </c>
      <c r="CA82" s="719">
        <f t="shared" si="138"/>
        <v>0.3</v>
      </c>
      <c r="CB82" s="748">
        <f t="shared" si="139"/>
        <v>0</v>
      </c>
      <c r="CC82" s="719">
        <f t="shared" si="140"/>
        <v>0</v>
      </c>
      <c r="CD82" s="719">
        <f t="shared" si="141"/>
        <v>0</v>
      </c>
      <c r="CF82" s="455">
        <v>2.2000000000000002</v>
      </c>
      <c r="CG82" s="459" t="s">
        <v>474</v>
      </c>
      <c r="CH82" s="456" t="s">
        <v>519</v>
      </c>
      <c r="CI82" s="457">
        <v>0.25</v>
      </c>
      <c r="CJ82" s="457">
        <v>0.25</v>
      </c>
      <c r="CK82" s="457">
        <v>0.25</v>
      </c>
      <c r="CL82" s="457">
        <v>0.25</v>
      </c>
      <c r="CM82" s="465">
        <v>0.25</v>
      </c>
      <c r="CN82" s="457">
        <v>0.25</v>
      </c>
      <c r="CO82" s="461">
        <v>0.25</v>
      </c>
      <c r="CP82" s="457">
        <v>0.25</v>
      </c>
      <c r="CQ82" s="457">
        <v>0.25</v>
      </c>
      <c r="CR82" s="457">
        <v>0.25</v>
      </c>
      <c r="CS82" s="462">
        <v>0</v>
      </c>
      <c r="CT82" s="461">
        <v>0</v>
      </c>
      <c r="CU82" s="461">
        <v>0</v>
      </c>
      <c r="CW82" s="455">
        <v>2.2000000000000002</v>
      </c>
      <c r="CX82" s="459" t="s">
        <v>474</v>
      </c>
      <c r="CY82" s="456" t="s">
        <v>456</v>
      </c>
      <c r="CZ82" s="461">
        <v>0.3</v>
      </c>
      <c r="DA82" s="461">
        <v>0.3</v>
      </c>
      <c r="DB82" s="461">
        <v>0.3</v>
      </c>
      <c r="DC82" s="461">
        <v>0.3</v>
      </c>
      <c r="DD82" s="468">
        <v>0.3</v>
      </c>
      <c r="DE82" s="461">
        <v>0.3</v>
      </c>
      <c r="DF82" s="461">
        <v>0.3</v>
      </c>
      <c r="DG82" s="461">
        <v>0.3</v>
      </c>
      <c r="DH82" s="461">
        <v>0.3</v>
      </c>
      <c r="DI82" s="461">
        <v>0.3</v>
      </c>
      <c r="DJ82" s="462"/>
      <c r="DK82" s="461"/>
      <c r="DL82" s="461"/>
      <c r="DN82" s="455">
        <v>2.2000000000000002</v>
      </c>
      <c r="DO82" s="459" t="s">
        <v>474</v>
      </c>
      <c r="DP82" s="456" t="s">
        <v>519</v>
      </c>
      <c r="DQ82" s="461">
        <v>0.3</v>
      </c>
      <c r="DR82" s="461">
        <v>0.3</v>
      </c>
      <c r="DS82" s="461">
        <v>0.3</v>
      </c>
      <c r="DT82" s="461">
        <v>0.3</v>
      </c>
      <c r="DU82" s="468">
        <v>0.3</v>
      </c>
      <c r="DV82" s="461">
        <v>0.3</v>
      </c>
      <c r="DW82" s="461">
        <v>0.3</v>
      </c>
      <c r="DX82" s="461">
        <v>0.3</v>
      </c>
      <c r="DY82" s="461">
        <v>0.3</v>
      </c>
      <c r="DZ82" s="461">
        <v>0.3</v>
      </c>
      <c r="EA82" s="462"/>
      <c r="EB82" s="461"/>
      <c r="EC82" s="461"/>
      <c r="ED82" s="555"/>
      <c r="EF82" s="455">
        <v>2.2000000000000002</v>
      </c>
      <c r="EG82" s="459" t="s">
        <v>474</v>
      </c>
      <c r="EH82" s="456" t="s">
        <v>519</v>
      </c>
      <c r="EI82" s="609">
        <v>0</v>
      </c>
      <c r="EJ82" s="609">
        <v>0</v>
      </c>
      <c r="EK82" s="609">
        <v>0</v>
      </c>
      <c r="EL82" s="609">
        <v>0</v>
      </c>
      <c r="EM82" s="609">
        <v>0</v>
      </c>
      <c r="EN82" s="609">
        <v>0</v>
      </c>
      <c r="EO82" s="609">
        <v>0</v>
      </c>
      <c r="EP82" s="609">
        <v>0</v>
      </c>
      <c r="EQ82" s="609">
        <v>0</v>
      </c>
      <c r="ER82" s="609">
        <v>0</v>
      </c>
      <c r="ES82" s="611">
        <f t="shared" si="160"/>
        <v>0</v>
      </c>
      <c r="ET82" s="609">
        <f t="shared" si="160"/>
        <v>0</v>
      </c>
      <c r="EU82" s="609">
        <f t="shared" si="160"/>
        <v>0</v>
      </c>
      <c r="EW82" s="455">
        <v>2.2000000000000002</v>
      </c>
      <c r="EX82" s="459" t="s">
        <v>474</v>
      </c>
      <c r="EY82" s="456" t="s">
        <v>519</v>
      </c>
      <c r="EZ82" s="666">
        <v>0</v>
      </c>
      <c r="FA82" s="598"/>
      <c r="FB82" s="598"/>
      <c r="FC82" s="598"/>
      <c r="FD82" s="598"/>
      <c r="FE82" s="598"/>
      <c r="FF82" s="598"/>
      <c r="FG82" s="598"/>
      <c r="FH82" s="598"/>
      <c r="FI82" s="598"/>
      <c r="FJ82" s="647"/>
      <c r="FK82" s="598"/>
      <c r="FL82" s="598"/>
    </row>
    <row r="83" spans="2:168">
      <c r="B83" s="732" t="str">
        <f t="shared" si="142"/>
        <v>2.2.1</v>
      </c>
      <c r="C83" s="408" t="str">
        <f t="shared" si="120"/>
        <v>躯体材料の耐用年数</v>
      </c>
      <c r="D83" s="809" t="e">
        <f t="shared" ref="D83:E88" si="161">IF(I$82&gt;0,G83/I$82,0)</f>
        <v>#REF!</v>
      </c>
      <c r="E83" s="730" t="e">
        <f t="shared" si="161"/>
        <v>#REF!</v>
      </c>
      <c r="G83" s="730" t="e">
        <f t="shared" si="121"/>
        <v>#REF!</v>
      </c>
      <c r="H83" s="730" t="e">
        <f t="shared" si="122"/>
        <v>#REF!</v>
      </c>
      <c r="I83" s="730"/>
      <c r="J83" s="730"/>
      <c r="K83" s="730" t="e">
        <f>IF(#REF!=0,0,1)</f>
        <v>#REF!</v>
      </c>
      <c r="L83" s="730" t="e">
        <f>IF(#REF!=0,0,1)</f>
        <v>#REF!</v>
      </c>
      <c r="M83" s="730">
        <f t="shared" si="123"/>
        <v>0.2</v>
      </c>
      <c r="N83" s="730">
        <f t="shared" si="124"/>
        <v>0</v>
      </c>
      <c r="P83" s="832"/>
      <c r="Q83" s="728"/>
      <c r="R83" s="414">
        <v>1</v>
      </c>
      <c r="S83" s="579" t="s">
        <v>151</v>
      </c>
      <c r="T83" s="745"/>
      <c r="U83" s="726"/>
      <c r="V83" s="734">
        <f t="shared" si="158"/>
        <v>0</v>
      </c>
      <c r="W83" s="733">
        <f t="shared" si="159"/>
        <v>0</v>
      </c>
      <c r="Y83" s="1">
        <f t="shared" si="143"/>
        <v>0</v>
      </c>
      <c r="Z83" s="1">
        <f t="shared" si="144"/>
        <v>0</v>
      </c>
      <c r="AA83" s="1">
        <f t="shared" si="145"/>
        <v>0</v>
      </c>
      <c r="AB83" s="1">
        <f t="shared" si="146"/>
        <v>0</v>
      </c>
      <c r="AC83" s="1">
        <f t="shared" si="147"/>
        <v>0</v>
      </c>
      <c r="AD83" s="1">
        <f t="shared" si="148"/>
        <v>0</v>
      </c>
      <c r="AE83" s="1">
        <f t="shared" si="149"/>
        <v>0</v>
      </c>
      <c r="AF83" s="1">
        <f t="shared" si="150"/>
        <v>0</v>
      </c>
      <c r="AG83" s="1">
        <f t="shared" si="151"/>
        <v>0</v>
      </c>
      <c r="AH83" s="1">
        <f t="shared" si="152"/>
        <v>0</v>
      </c>
      <c r="AI83" s="1">
        <f t="shared" si="153"/>
        <v>0</v>
      </c>
      <c r="AJ83" s="1">
        <f t="shared" si="154"/>
        <v>0</v>
      </c>
      <c r="AK83" s="1">
        <f t="shared" si="155"/>
        <v>0</v>
      </c>
      <c r="AM83" s="679"/>
      <c r="AN83" s="679"/>
      <c r="AO83" s="679"/>
      <c r="AP83" s="679"/>
      <c r="AQ83" s="679"/>
      <c r="AR83" s="679"/>
      <c r="AS83" s="679"/>
      <c r="AT83" s="679"/>
      <c r="AU83" s="679"/>
      <c r="AV83" s="679"/>
      <c r="AW83" s="679"/>
      <c r="AX83" s="679"/>
      <c r="AY83" s="679"/>
      <c r="BA83" s="723"/>
      <c r="BB83" s="723" t="e">
        <f t="shared" si="125"/>
        <v>#REF!</v>
      </c>
      <c r="BC83" s="723"/>
      <c r="BD83" s="722" t="e">
        <f>BR83*#REF!</f>
        <v>#REF!</v>
      </c>
      <c r="BE83" s="722" t="e">
        <f>BS83*#REF!</f>
        <v>#REF!</v>
      </c>
      <c r="BF83" s="722" t="e">
        <f>BT83*#REF!</f>
        <v>#REF!</v>
      </c>
      <c r="BG83" s="722" t="e">
        <f>BU83*#REF!</f>
        <v>#REF!</v>
      </c>
      <c r="BH83" s="803" t="e">
        <f>BV83*#REF!</f>
        <v>#REF!</v>
      </c>
      <c r="BI83" s="722" t="e">
        <f>BW83*#REF!</f>
        <v>#REF!</v>
      </c>
      <c r="BJ83" s="722" t="e">
        <f>BX83*#REF!</f>
        <v>#REF!</v>
      </c>
      <c r="BK83" s="722" t="e">
        <f>BY83*#REF!</f>
        <v>#REF!</v>
      </c>
      <c r="BL83" s="722" t="e">
        <f>BZ83*#REF!</f>
        <v>#REF!</v>
      </c>
      <c r="BM83" s="722" t="e">
        <f>CA83*#REF!</f>
        <v>#REF!</v>
      </c>
      <c r="BO83" s="749" t="str">
        <f t="shared" si="126"/>
        <v>2.2.1</v>
      </c>
      <c r="BP83" s="749" t="str">
        <f t="shared" si="127"/>
        <v xml:space="preserve"> Q2 2.2</v>
      </c>
      <c r="BQ83" s="408" t="str">
        <f t="shared" si="128"/>
        <v>躯体材料の耐用年数</v>
      </c>
      <c r="BR83" s="719">
        <f t="shared" si="129"/>
        <v>0.2</v>
      </c>
      <c r="BS83" s="719">
        <f t="shared" si="130"/>
        <v>0.2</v>
      </c>
      <c r="BT83" s="719">
        <f t="shared" si="131"/>
        <v>0.2</v>
      </c>
      <c r="BU83" s="719">
        <f t="shared" si="132"/>
        <v>0.2</v>
      </c>
      <c r="BV83" s="802">
        <f t="shared" si="133"/>
        <v>0.2</v>
      </c>
      <c r="BW83" s="719">
        <f t="shared" si="134"/>
        <v>0.2</v>
      </c>
      <c r="BX83" s="719">
        <f t="shared" si="135"/>
        <v>0.2</v>
      </c>
      <c r="BY83" s="719">
        <f t="shared" si="136"/>
        <v>0.2</v>
      </c>
      <c r="BZ83" s="719">
        <f t="shared" si="137"/>
        <v>0.2</v>
      </c>
      <c r="CA83" s="719">
        <f t="shared" si="138"/>
        <v>0.2</v>
      </c>
      <c r="CB83" s="748">
        <f t="shared" si="139"/>
        <v>0</v>
      </c>
      <c r="CC83" s="719">
        <f t="shared" si="140"/>
        <v>0</v>
      </c>
      <c r="CD83" s="719">
        <f t="shared" si="141"/>
        <v>0</v>
      </c>
      <c r="CF83" s="455" t="s">
        <v>950</v>
      </c>
      <c r="CG83" s="459" t="s">
        <v>478</v>
      </c>
      <c r="CH83" s="456" t="s">
        <v>151</v>
      </c>
      <c r="CI83" s="458">
        <v>0.2</v>
      </c>
      <c r="CJ83" s="458">
        <v>0.2</v>
      </c>
      <c r="CK83" s="458">
        <v>0.2</v>
      </c>
      <c r="CL83" s="458">
        <v>0.2</v>
      </c>
      <c r="CM83" s="458">
        <v>0.2</v>
      </c>
      <c r="CN83" s="458">
        <v>0.2</v>
      </c>
      <c r="CO83" s="461">
        <v>0.25</v>
      </c>
      <c r="CP83" s="458">
        <v>0.2</v>
      </c>
      <c r="CQ83" s="458">
        <v>0.2</v>
      </c>
      <c r="CR83" s="458">
        <v>0.2</v>
      </c>
      <c r="CS83" s="462">
        <v>0</v>
      </c>
      <c r="CT83" s="461">
        <v>0</v>
      </c>
      <c r="CU83" s="461">
        <v>0</v>
      </c>
      <c r="CW83" s="455" t="s">
        <v>950</v>
      </c>
      <c r="CX83" s="459" t="s">
        <v>478</v>
      </c>
      <c r="CY83" s="456" t="s">
        <v>457</v>
      </c>
      <c r="CZ83" s="461">
        <v>0.2</v>
      </c>
      <c r="DA83" s="461">
        <v>0.2</v>
      </c>
      <c r="DB83" s="461">
        <v>0.2</v>
      </c>
      <c r="DC83" s="461">
        <v>0.2</v>
      </c>
      <c r="DD83" s="461">
        <v>0.2</v>
      </c>
      <c r="DE83" s="461">
        <v>0.2</v>
      </c>
      <c r="DF83" s="461">
        <v>0.2</v>
      </c>
      <c r="DG83" s="461">
        <v>0.2</v>
      </c>
      <c r="DH83" s="461">
        <v>0.2</v>
      </c>
      <c r="DI83" s="461">
        <v>0.2</v>
      </c>
      <c r="DJ83" s="462"/>
      <c r="DK83" s="461"/>
      <c r="DL83" s="461"/>
      <c r="DN83" s="455" t="s">
        <v>950</v>
      </c>
      <c r="DO83" s="459" t="s">
        <v>478</v>
      </c>
      <c r="DP83" s="456" t="s">
        <v>151</v>
      </c>
      <c r="DQ83" s="461">
        <v>0.2</v>
      </c>
      <c r="DR83" s="461">
        <v>0.2</v>
      </c>
      <c r="DS83" s="461">
        <v>0.2</v>
      </c>
      <c r="DT83" s="461">
        <v>0.2</v>
      </c>
      <c r="DU83" s="461">
        <v>0.2</v>
      </c>
      <c r="DV83" s="461">
        <v>0.2</v>
      </c>
      <c r="DW83" s="461">
        <v>0.2</v>
      </c>
      <c r="DX83" s="461">
        <v>0.2</v>
      </c>
      <c r="DY83" s="461">
        <v>0.2</v>
      </c>
      <c r="DZ83" s="461">
        <v>0.2</v>
      </c>
      <c r="EA83" s="462"/>
      <c r="EB83" s="461"/>
      <c r="EC83" s="461"/>
      <c r="ED83" s="555"/>
      <c r="EF83" s="455" t="s">
        <v>950</v>
      </c>
      <c r="EG83" s="459" t="s">
        <v>478</v>
      </c>
      <c r="EH83" s="456" t="s">
        <v>151</v>
      </c>
      <c r="EI83" s="609">
        <v>0</v>
      </c>
      <c r="EJ83" s="609">
        <v>0</v>
      </c>
      <c r="EK83" s="609">
        <v>0</v>
      </c>
      <c r="EL83" s="609">
        <v>0</v>
      </c>
      <c r="EM83" s="609">
        <v>0</v>
      </c>
      <c r="EN83" s="609">
        <v>0</v>
      </c>
      <c r="EO83" s="609">
        <v>0</v>
      </c>
      <c r="EP83" s="609">
        <v>0</v>
      </c>
      <c r="EQ83" s="609">
        <v>0</v>
      </c>
      <c r="ER83" s="609">
        <v>0</v>
      </c>
      <c r="ES83" s="609">
        <v>0</v>
      </c>
      <c r="ET83" s="609">
        <f t="shared" ref="ET83:ET100" si="162">EB83</f>
        <v>0</v>
      </c>
      <c r="EU83" s="609">
        <f t="shared" ref="EU83:EU100" si="163">EC83</f>
        <v>0</v>
      </c>
      <c r="EW83" s="455" t="s">
        <v>949</v>
      </c>
      <c r="EX83" s="459" t="s">
        <v>478</v>
      </c>
      <c r="EY83" s="456" t="s">
        <v>151</v>
      </c>
      <c r="EZ83" s="666">
        <v>0</v>
      </c>
      <c r="FA83" s="598"/>
      <c r="FB83" s="598"/>
      <c r="FC83" s="598"/>
      <c r="FD83" s="598"/>
      <c r="FE83" s="598"/>
      <c r="FF83" s="598"/>
      <c r="FG83" s="598"/>
      <c r="FH83" s="598"/>
      <c r="FI83" s="598"/>
      <c r="FJ83" s="598"/>
      <c r="FK83" s="598"/>
      <c r="FL83" s="598"/>
    </row>
    <row r="84" spans="2:168">
      <c r="B84" s="732" t="str">
        <f t="shared" si="142"/>
        <v>2.2.2</v>
      </c>
      <c r="C84" s="408" t="str">
        <f t="shared" si="120"/>
        <v>外壁仕上げ材の補修必要間隔</v>
      </c>
      <c r="D84" s="809" t="e">
        <f t="shared" si="161"/>
        <v>#REF!</v>
      </c>
      <c r="E84" s="730" t="e">
        <f t="shared" si="161"/>
        <v>#REF!</v>
      </c>
      <c r="G84" s="730" t="e">
        <f t="shared" si="121"/>
        <v>#REF!</v>
      </c>
      <c r="H84" s="730" t="e">
        <f t="shared" si="122"/>
        <v>#REF!</v>
      </c>
      <c r="I84" s="730"/>
      <c r="J84" s="730"/>
      <c r="K84" s="730" t="e">
        <f>IF(#REF!=0,0,1)</f>
        <v>#REF!</v>
      </c>
      <c r="L84" s="730" t="e">
        <f>IF(#REF!=0,0,1)</f>
        <v>#REF!</v>
      </c>
      <c r="M84" s="730">
        <f t="shared" si="123"/>
        <v>0.2</v>
      </c>
      <c r="N84" s="730">
        <f t="shared" si="124"/>
        <v>0</v>
      </c>
      <c r="P84" s="832"/>
      <c r="Q84" s="728"/>
      <c r="R84" s="414">
        <v>2</v>
      </c>
      <c r="S84" s="579" t="s">
        <v>152</v>
      </c>
      <c r="T84" s="745"/>
      <c r="U84" s="726"/>
      <c r="V84" s="747">
        <f t="shared" si="158"/>
        <v>0</v>
      </c>
      <c r="W84" s="746">
        <f t="shared" si="159"/>
        <v>0</v>
      </c>
      <c r="Y84" s="1">
        <f t="shared" si="143"/>
        <v>0</v>
      </c>
      <c r="Z84" s="1">
        <f t="shared" si="144"/>
        <v>0</v>
      </c>
      <c r="AA84" s="1">
        <f t="shared" si="145"/>
        <v>0</v>
      </c>
      <c r="AB84" s="1">
        <f t="shared" si="146"/>
        <v>0</v>
      </c>
      <c r="AC84" s="1">
        <f t="shared" si="147"/>
        <v>0</v>
      </c>
      <c r="AD84" s="1">
        <f t="shared" si="148"/>
        <v>0</v>
      </c>
      <c r="AE84" s="1">
        <f t="shared" si="149"/>
        <v>0</v>
      </c>
      <c r="AF84" s="1">
        <f t="shared" si="150"/>
        <v>0</v>
      </c>
      <c r="AG84" s="1">
        <f t="shared" si="151"/>
        <v>0</v>
      </c>
      <c r="AH84" s="1">
        <f t="shared" si="152"/>
        <v>0</v>
      </c>
      <c r="AI84" s="1">
        <f t="shared" si="153"/>
        <v>0</v>
      </c>
      <c r="AJ84" s="1">
        <f t="shared" si="154"/>
        <v>0</v>
      </c>
      <c r="AK84" s="1">
        <f t="shared" si="155"/>
        <v>0</v>
      </c>
      <c r="AM84" s="680"/>
      <c r="AN84" s="680"/>
      <c r="AO84" s="680"/>
      <c r="AP84" s="680"/>
      <c r="AQ84" s="680"/>
      <c r="AR84" s="680"/>
      <c r="AS84" s="680"/>
      <c r="AT84" s="680"/>
      <c r="AU84" s="680"/>
      <c r="AV84" s="680"/>
      <c r="AW84" s="680"/>
      <c r="AX84" s="680"/>
      <c r="AY84" s="680"/>
      <c r="BA84" s="723"/>
      <c r="BB84" s="723" t="e">
        <f t="shared" si="125"/>
        <v>#REF!</v>
      </c>
      <c r="BC84" s="723"/>
      <c r="BD84" s="722" t="e">
        <f>BR84*#REF!</f>
        <v>#REF!</v>
      </c>
      <c r="BE84" s="722" t="e">
        <f>BS84*#REF!</f>
        <v>#REF!</v>
      </c>
      <c r="BF84" s="722" t="e">
        <f>BT84*#REF!</f>
        <v>#REF!</v>
      </c>
      <c r="BG84" s="722" t="e">
        <f>BU84*#REF!</f>
        <v>#REF!</v>
      </c>
      <c r="BH84" s="803" t="e">
        <f>BV84*#REF!</f>
        <v>#REF!</v>
      </c>
      <c r="BI84" s="722" t="e">
        <f>BW84*#REF!</f>
        <v>#REF!</v>
      </c>
      <c r="BJ84" s="722" t="e">
        <f>BX84*#REF!</f>
        <v>#REF!</v>
      </c>
      <c r="BK84" s="722" t="e">
        <f>BY84*#REF!</f>
        <v>#REF!</v>
      </c>
      <c r="BL84" s="722" t="e">
        <f>BZ84*#REF!</f>
        <v>#REF!</v>
      </c>
      <c r="BM84" s="722" t="e">
        <f>CA84*#REF!</f>
        <v>#REF!</v>
      </c>
      <c r="BO84" s="749" t="str">
        <f t="shared" si="126"/>
        <v>2.2.2</v>
      </c>
      <c r="BP84" s="749" t="str">
        <f t="shared" si="127"/>
        <v xml:space="preserve"> Q2 2.2</v>
      </c>
      <c r="BQ84" s="408" t="str">
        <f t="shared" si="128"/>
        <v>外壁仕上げ材の補修必要間隔</v>
      </c>
      <c r="BR84" s="719">
        <f t="shared" si="129"/>
        <v>0.2</v>
      </c>
      <c r="BS84" s="719">
        <f t="shared" si="130"/>
        <v>0.2</v>
      </c>
      <c r="BT84" s="719">
        <f t="shared" si="131"/>
        <v>0.2</v>
      </c>
      <c r="BU84" s="719">
        <f t="shared" si="132"/>
        <v>0.2</v>
      </c>
      <c r="BV84" s="802">
        <f t="shared" si="133"/>
        <v>0.2</v>
      </c>
      <c r="BW84" s="719">
        <f t="shared" si="134"/>
        <v>0.2</v>
      </c>
      <c r="BX84" s="719">
        <f t="shared" si="135"/>
        <v>0.2</v>
      </c>
      <c r="BY84" s="719">
        <f t="shared" si="136"/>
        <v>0.2</v>
      </c>
      <c r="BZ84" s="719">
        <f t="shared" si="137"/>
        <v>0.2</v>
      </c>
      <c r="CA84" s="719">
        <f t="shared" si="138"/>
        <v>0.2</v>
      </c>
      <c r="CB84" s="748">
        <f t="shared" si="139"/>
        <v>0</v>
      </c>
      <c r="CC84" s="719">
        <f t="shared" si="140"/>
        <v>0</v>
      </c>
      <c r="CD84" s="719">
        <f t="shared" si="141"/>
        <v>0</v>
      </c>
      <c r="CF84" s="455" t="s">
        <v>948</v>
      </c>
      <c r="CG84" s="459" t="s">
        <v>478</v>
      </c>
      <c r="CH84" s="456" t="s">
        <v>479</v>
      </c>
      <c r="CI84" s="458">
        <v>0.2</v>
      </c>
      <c r="CJ84" s="458">
        <v>0.2</v>
      </c>
      <c r="CK84" s="458">
        <v>0.2</v>
      </c>
      <c r="CL84" s="458">
        <v>0.2</v>
      </c>
      <c r="CM84" s="458">
        <v>0.2</v>
      </c>
      <c r="CN84" s="458">
        <v>0.2</v>
      </c>
      <c r="CO84" s="461">
        <v>0.25</v>
      </c>
      <c r="CP84" s="458">
        <v>0.2</v>
      </c>
      <c r="CQ84" s="458">
        <v>0.2</v>
      </c>
      <c r="CR84" s="458">
        <v>0.2</v>
      </c>
      <c r="CS84" s="462">
        <v>0</v>
      </c>
      <c r="CT84" s="461">
        <v>0</v>
      </c>
      <c r="CU84" s="461">
        <v>0</v>
      </c>
      <c r="CW84" s="455" t="s">
        <v>947</v>
      </c>
      <c r="CX84" s="459" t="s">
        <v>478</v>
      </c>
      <c r="CY84" s="456" t="s">
        <v>479</v>
      </c>
      <c r="CZ84" s="461">
        <v>0.2</v>
      </c>
      <c r="DA84" s="461">
        <v>0.2</v>
      </c>
      <c r="DB84" s="461">
        <v>0.2</v>
      </c>
      <c r="DC84" s="461">
        <v>0.2</v>
      </c>
      <c r="DD84" s="461">
        <v>0.2</v>
      </c>
      <c r="DE84" s="461">
        <v>0.2</v>
      </c>
      <c r="DF84" s="461">
        <v>0.2</v>
      </c>
      <c r="DG84" s="461">
        <v>0.2</v>
      </c>
      <c r="DH84" s="461">
        <v>0.2</v>
      </c>
      <c r="DI84" s="461">
        <v>0.2</v>
      </c>
      <c r="DJ84" s="462"/>
      <c r="DK84" s="461"/>
      <c r="DL84" s="461"/>
      <c r="DN84" s="455" t="s">
        <v>947</v>
      </c>
      <c r="DO84" s="459" t="s">
        <v>478</v>
      </c>
      <c r="DP84" s="456" t="s">
        <v>479</v>
      </c>
      <c r="DQ84" s="461">
        <v>0.2</v>
      </c>
      <c r="DR84" s="461">
        <v>0.2</v>
      </c>
      <c r="DS84" s="461">
        <v>0.2</v>
      </c>
      <c r="DT84" s="461">
        <v>0.2</v>
      </c>
      <c r="DU84" s="461">
        <v>0.2</v>
      </c>
      <c r="DV84" s="461">
        <v>0.2</v>
      </c>
      <c r="DW84" s="461">
        <v>0.2</v>
      </c>
      <c r="DX84" s="461">
        <v>0.2</v>
      </c>
      <c r="DY84" s="461">
        <v>0.2</v>
      </c>
      <c r="DZ84" s="461">
        <v>0.2</v>
      </c>
      <c r="EA84" s="462"/>
      <c r="EB84" s="461"/>
      <c r="EC84" s="461"/>
      <c r="ED84" s="555"/>
      <c r="EF84" s="455" t="s">
        <v>668</v>
      </c>
      <c r="EG84" s="459" t="s">
        <v>478</v>
      </c>
      <c r="EH84" s="456" t="s">
        <v>479</v>
      </c>
      <c r="EI84" s="609">
        <v>0</v>
      </c>
      <c r="EJ84" s="609">
        <v>0</v>
      </c>
      <c r="EK84" s="609">
        <v>0</v>
      </c>
      <c r="EL84" s="609">
        <v>0</v>
      </c>
      <c r="EM84" s="609">
        <v>0</v>
      </c>
      <c r="EN84" s="609">
        <v>0</v>
      </c>
      <c r="EO84" s="609">
        <v>0</v>
      </c>
      <c r="EP84" s="609">
        <v>0</v>
      </c>
      <c r="EQ84" s="609">
        <v>0</v>
      </c>
      <c r="ER84" s="609">
        <v>0</v>
      </c>
      <c r="ES84" s="609">
        <v>0</v>
      </c>
      <c r="ET84" s="609">
        <f t="shared" si="162"/>
        <v>0</v>
      </c>
      <c r="EU84" s="609">
        <f t="shared" si="163"/>
        <v>0</v>
      </c>
      <c r="EW84" s="455" t="s">
        <v>946</v>
      </c>
      <c r="EX84" s="459" t="s">
        <v>478</v>
      </c>
      <c r="EY84" s="456" t="s">
        <v>479</v>
      </c>
      <c r="EZ84" s="666">
        <v>0</v>
      </c>
      <c r="FA84" s="598"/>
      <c r="FB84" s="598"/>
      <c r="FC84" s="598"/>
      <c r="FD84" s="598"/>
      <c r="FE84" s="598"/>
      <c r="FF84" s="598"/>
      <c r="FG84" s="598"/>
      <c r="FH84" s="598"/>
      <c r="FI84" s="598"/>
      <c r="FJ84" s="598"/>
      <c r="FK84" s="598"/>
      <c r="FL84" s="598"/>
    </row>
    <row r="85" spans="2:168">
      <c r="B85" s="732" t="str">
        <f t="shared" si="142"/>
        <v>2.2.3</v>
      </c>
      <c r="C85" s="408" t="str">
        <f t="shared" si="120"/>
        <v>主要内装仕上げ材の更新必要間隔</v>
      </c>
      <c r="D85" s="809" t="e">
        <f t="shared" si="161"/>
        <v>#REF!</v>
      </c>
      <c r="E85" s="730" t="e">
        <f t="shared" si="161"/>
        <v>#REF!</v>
      </c>
      <c r="G85" s="730" t="e">
        <f t="shared" si="121"/>
        <v>#REF!</v>
      </c>
      <c r="H85" s="730" t="e">
        <f t="shared" si="122"/>
        <v>#REF!</v>
      </c>
      <c r="I85" s="730"/>
      <c r="J85" s="730"/>
      <c r="K85" s="730" t="e">
        <f>IF(#REF!=0,0,1)</f>
        <v>#REF!</v>
      </c>
      <c r="L85" s="730" t="e">
        <f>IF(#REF!=0,0,1)</f>
        <v>#REF!</v>
      </c>
      <c r="M85" s="730">
        <f t="shared" si="123"/>
        <v>0.1</v>
      </c>
      <c r="N85" s="730">
        <f t="shared" si="124"/>
        <v>0</v>
      </c>
      <c r="P85" s="832"/>
      <c r="Q85" s="728"/>
      <c r="R85" s="414">
        <v>3</v>
      </c>
      <c r="S85" s="3875" t="s">
        <v>153</v>
      </c>
      <c r="T85" s="3867"/>
      <c r="U85" s="726"/>
      <c r="V85" s="747">
        <f t="shared" si="158"/>
        <v>0</v>
      </c>
      <c r="W85" s="746">
        <f t="shared" si="159"/>
        <v>0</v>
      </c>
      <c r="Y85" s="1">
        <f t="shared" si="143"/>
        <v>0</v>
      </c>
      <c r="Z85" s="1">
        <f t="shared" si="144"/>
        <v>0</v>
      </c>
      <c r="AA85" s="1">
        <f t="shared" si="145"/>
        <v>0</v>
      </c>
      <c r="AB85" s="1">
        <f t="shared" si="146"/>
        <v>0</v>
      </c>
      <c r="AC85" s="1">
        <f t="shared" si="147"/>
        <v>0</v>
      </c>
      <c r="AD85" s="1">
        <f t="shared" si="148"/>
        <v>0</v>
      </c>
      <c r="AE85" s="1">
        <f t="shared" si="149"/>
        <v>0</v>
      </c>
      <c r="AF85" s="1">
        <f t="shared" si="150"/>
        <v>0</v>
      </c>
      <c r="AG85" s="1">
        <f t="shared" si="151"/>
        <v>0</v>
      </c>
      <c r="AH85" s="1">
        <f t="shared" si="152"/>
        <v>0</v>
      </c>
      <c r="AI85" s="1">
        <f t="shared" si="153"/>
        <v>0</v>
      </c>
      <c r="AJ85" s="1">
        <f t="shared" si="154"/>
        <v>0</v>
      </c>
      <c r="AK85" s="1">
        <f t="shared" si="155"/>
        <v>0</v>
      </c>
      <c r="AM85" s="680"/>
      <c r="AN85" s="680"/>
      <c r="AO85" s="680"/>
      <c r="AP85" s="680"/>
      <c r="AQ85" s="680"/>
      <c r="AR85" s="680"/>
      <c r="AS85" s="680"/>
      <c r="AT85" s="680"/>
      <c r="AU85" s="680"/>
      <c r="AV85" s="680"/>
      <c r="AW85" s="680"/>
      <c r="AX85" s="680"/>
      <c r="AY85" s="680"/>
      <c r="BA85" s="723"/>
      <c r="BB85" s="723" t="e">
        <f t="shared" si="125"/>
        <v>#REF!</v>
      </c>
      <c r="BC85" s="723"/>
      <c r="BD85" s="722" t="e">
        <f>BR85*#REF!</f>
        <v>#REF!</v>
      </c>
      <c r="BE85" s="722" t="e">
        <f>BS85*#REF!</f>
        <v>#REF!</v>
      </c>
      <c r="BF85" s="722" t="e">
        <f>BT85*#REF!</f>
        <v>#REF!</v>
      </c>
      <c r="BG85" s="722" t="e">
        <f>BU85*#REF!</f>
        <v>#REF!</v>
      </c>
      <c r="BH85" s="803" t="e">
        <f>BV85*#REF!</f>
        <v>#REF!</v>
      </c>
      <c r="BI85" s="722" t="e">
        <f>BW85*#REF!</f>
        <v>#REF!</v>
      </c>
      <c r="BJ85" s="722" t="e">
        <f>BX85*#REF!</f>
        <v>#REF!</v>
      </c>
      <c r="BK85" s="722" t="e">
        <f>BY85*#REF!</f>
        <v>#REF!</v>
      </c>
      <c r="BL85" s="722" t="e">
        <f>BZ85*#REF!</f>
        <v>#REF!</v>
      </c>
      <c r="BM85" s="722" t="e">
        <f>CA85*#REF!</f>
        <v>#REF!</v>
      </c>
      <c r="BO85" s="749" t="str">
        <f t="shared" si="126"/>
        <v>2.2.3</v>
      </c>
      <c r="BP85" s="749" t="str">
        <f t="shared" si="127"/>
        <v xml:space="preserve"> Q2 2.2</v>
      </c>
      <c r="BQ85" s="408" t="str">
        <f t="shared" si="128"/>
        <v>主要内装仕上げ材の更新必要間隔</v>
      </c>
      <c r="BR85" s="719">
        <f t="shared" si="129"/>
        <v>0.1</v>
      </c>
      <c r="BS85" s="719">
        <f t="shared" si="130"/>
        <v>0.1</v>
      </c>
      <c r="BT85" s="719">
        <f t="shared" si="131"/>
        <v>0.1</v>
      </c>
      <c r="BU85" s="719">
        <f t="shared" si="132"/>
        <v>0.1</v>
      </c>
      <c r="BV85" s="802">
        <f t="shared" si="133"/>
        <v>0.1</v>
      </c>
      <c r="BW85" s="719">
        <f t="shared" si="134"/>
        <v>0.1</v>
      </c>
      <c r="BX85" s="719">
        <f t="shared" si="135"/>
        <v>0.1</v>
      </c>
      <c r="BY85" s="719">
        <f t="shared" si="136"/>
        <v>0.1</v>
      </c>
      <c r="BZ85" s="719">
        <f t="shared" si="137"/>
        <v>0.1</v>
      </c>
      <c r="CA85" s="719">
        <f t="shared" si="138"/>
        <v>0.1</v>
      </c>
      <c r="CB85" s="748">
        <f t="shared" si="139"/>
        <v>0</v>
      </c>
      <c r="CC85" s="719">
        <f t="shared" si="140"/>
        <v>0</v>
      </c>
      <c r="CD85" s="719">
        <f t="shared" si="141"/>
        <v>0</v>
      </c>
      <c r="CF85" s="455" t="s">
        <v>944</v>
      </c>
      <c r="CG85" s="459" t="s">
        <v>478</v>
      </c>
      <c r="CH85" s="456" t="s">
        <v>480</v>
      </c>
      <c r="CI85" s="466">
        <v>0</v>
      </c>
      <c r="CJ85" s="466">
        <v>0</v>
      </c>
      <c r="CK85" s="466">
        <v>0</v>
      </c>
      <c r="CL85" s="466">
        <v>0</v>
      </c>
      <c r="CM85" s="466">
        <v>0</v>
      </c>
      <c r="CN85" s="466">
        <v>0</v>
      </c>
      <c r="CO85" s="461">
        <v>0</v>
      </c>
      <c r="CP85" s="466">
        <v>0</v>
      </c>
      <c r="CQ85" s="466">
        <v>0</v>
      </c>
      <c r="CR85" s="466">
        <v>0</v>
      </c>
      <c r="CS85" s="462">
        <v>0</v>
      </c>
      <c r="CT85" s="461">
        <v>0</v>
      </c>
      <c r="CU85" s="461">
        <v>0</v>
      </c>
      <c r="CW85" s="455" t="s">
        <v>945</v>
      </c>
      <c r="CX85" s="459" t="s">
        <v>478</v>
      </c>
      <c r="CY85" s="456" t="s">
        <v>480</v>
      </c>
      <c r="CZ85" s="461">
        <v>0.1</v>
      </c>
      <c r="DA85" s="461">
        <v>0.1</v>
      </c>
      <c r="DB85" s="461">
        <v>0.1</v>
      </c>
      <c r="DC85" s="461">
        <v>0.1</v>
      </c>
      <c r="DD85" s="461">
        <v>0.1</v>
      </c>
      <c r="DE85" s="461">
        <v>0.1</v>
      </c>
      <c r="DF85" s="461">
        <v>0.1</v>
      </c>
      <c r="DG85" s="461">
        <v>0.1</v>
      </c>
      <c r="DH85" s="461">
        <v>0.1</v>
      </c>
      <c r="DI85" s="461">
        <v>0.1</v>
      </c>
      <c r="DJ85" s="462"/>
      <c r="DK85" s="461"/>
      <c r="DL85" s="461"/>
      <c r="DN85" s="455" t="s">
        <v>944</v>
      </c>
      <c r="DO85" s="459" t="s">
        <v>478</v>
      </c>
      <c r="DP85" s="456" t="s">
        <v>480</v>
      </c>
      <c r="DQ85" s="461">
        <v>0.1</v>
      </c>
      <c r="DR85" s="461">
        <v>0.1</v>
      </c>
      <c r="DS85" s="461">
        <v>0.1</v>
      </c>
      <c r="DT85" s="461">
        <v>0.1</v>
      </c>
      <c r="DU85" s="461">
        <v>0.1</v>
      </c>
      <c r="DV85" s="461">
        <v>0.1</v>
      </c>
      <c r="DW85" s="461">
        <v>0.1</v>
      </c>
      <c r="DX85" s="461">
        <v>0.1</v>
      </c>
      <c r="DY85" s="461">
        <v>0.1</v>
      </c>
      <c r="DZ85" s="461">
        <v>0.1</v>
      </c>
      <c r="EA85" s="462"/>
      <c r="EB85" s="461"/>
      <c r="EC85" s="461"/>
      <c r="ED85" s="555"/>
      <c r="EF85" s="455" t="s">
        <v>669</v>
      </c>
      <c r="EG85" s="459" t="s">
        <v>478</v>
      </c>
      <c r="EH85" s="456" t="s">
        <v>480</v>
      </c>
      <c r="EI85" s="609">
        <v>0</v>
      </c>
      <c r="EJ85" s="609">
        <v>0</v>
      </c>
      <c r="EK85" s="609">
        <v>0</v>
      </c>
      <c r="EL85" s="609">
        <v>0</v>
      </c>
      <c r="EM85" s="609">
        <v>0</v>
      </c>
      <c r="EN85" s="609">
        <v>0</v>
      </c>
      <c r="EO85" s="609">
        <v>0</v>
      </c>
      <c r="EP85" s="609">
        <v>0</v>
      </c>
      <c r="EQ85" s="609">
        <v>0</v>
      </c>
      <c r="ER85" s="609">
        <v>0</v>
      </c>
      <c r="ES85" s="609">
        <v>0</v>
      </c>
      <c r="ET85" s="609">
        <f t="shared" si="162"/>
        <v>0</v>
      </c>
      <c r="EU85" s="609">
        <f t="shared" si="163"/>
        <v>0</v>
      </c>
      <c r="EW85" s="455" t="s">
        <v>669</v>
      </c>
      <c r="EX85" s="459" t="s">
        <v>478</v>
      </c>
      <c r="EY85" s="456" t="s">
        <v>480</v>
      </c>
      <c r="EZ85" s="666">
        <v>0</v>
      </c>
      <c r="FA85" s="598"/>
      <c r="FB85" s="598"/>
      <c r="FC85" s="598"/>
      <c r="FD85" s="598"/>
      <c r="FE85" s="598"/>
      <c r="FF85" s="598"/>
      <c r="FG85" s="598"/>
      <c r="FH85" s="598"/>
      <c r="FI85" s="598"/>
      <c r="FJ85" s="598"/>
      <c r="FK85" s="598"/>
      <c r="FL85" s="598"/>
    </row>
    <row r="86" spans="2:168">
      <c r="B86" s="732" t="str">
        <f t="shared" si="142"/>
        <v>2.2.4</v>
      </c>
      <c r="C86" s="408" t="str">
        <f t="shared" si="120"/>
        <v>空調換気ダクトの更新必要間隔</v>
      </c>
      <c r="D86" s="809" t="e">
        <f t="shared" si="161"/>
        <v>#REF!</v>
      </c>
      <c r="E86" s="730" t="e">
        <f t="shared" si="161"/>
        <v>#REF!</v>
      </c>
      <c r="G86" s="730" t="e">
        <f t="shared" si="121"/>
        <v>#REF!</v>
      </c>
      <c r="H86" s="730" t="e">
        <f t="shared" si="122"/>
        <v>#REF!</v>
      </c>
      <c r="I86" s="730"/>
      <c r="J86" s="730"/>
      <c r="K86" s="730" t="e">
        <f>IF(#REF!=0,0,1)</f>
        <v>#REF!</v>
      </c>
      <c r="L86" s="730" t="e">
        <f>IF(#REF!=0,0,1)</f>
        <v>#REF!</v>
      </c>
      <c r="M86" s="730">
        <f t="shared" si="123"/>
        <v>0.1</v>
      </c>
      <c r="N86" s="730">
        <f t="shared" si="124"/>
        <v>0</v>
      </c>
      <c r="P86" s="832"/>
      <c r="Q86" s="728"/>
      <c r="R86" s="414">
        <v>4</v>
      </c>
      <c r="S86" s="579" t="s">
        <v>154</v>
      </c>
      <c r="T86" s="745"/>
      <c r="U86" s="726"/>
      <c r="V86" s="747">
        <f t="shared" si="158"/>
        <v>0</v>
      </c>
      <c r="W86" s="746">
        <f t="shared" si="159"/>
        <v>0</v>
      </c>
      <c r="Y86" s="1">
        <f t="shared" si="143"/>
        <v>0</v>
      </c>
      <c r="Z86" s="1">
        <f t="shared" si="144"/>
        <v>0</v>
      </c>
      <c r="AA86" s="1">
        <f t="shared" si="145"/>
        <v>0</v>
      </c>
      <c r="AB86" s="1">
        <f t="shared" si="146"/>
        <v>0</v>
      </c>
      <c r="AC86" s="1">
        <f t="shared" si="147"/>
        <v>0</v>
      </c>
      <c r="AD86" s="1">
        <f t="shared" si="148"/>
        <v>0</v>
      </c>
      <c r="AE86" s="1">
        <f t="shared" si="149"/>
        <v>0</v>
      </c>
      <c r="AF86" s="1">
        <f t="shared" si="150"/>
        <v>0</v>
      </c>
      <c r="AG86" s="1">
        <f t="shared" si="151"/>
        <v>0</v>
      </c>
      <c r="AH86" s="1">
        <f t="shared" si="152"/>
        <v>0</v>
      </c>
      <c r="AI86" s="1">
        <f t="shared" si="153"/>
        <v>0</v>
      </c>
      <c r="AJ86" s="1">
        <f t="shared" si="154"/>
        <v>0</v>
      </c>
      <c r="AK86" s="1">
        <f t="shared" si="155"/>
        <v>0</v>
      </c>
      <c r="AM86" s="680"/>
      <c r="AN86" s="680"/>
      <c r="AO86" s="680"/>
      <c r="AP86" s="680"/>
      <c r="AQ86" s="680"/>
      <c r="AR86" s="680"/>
      <c r="AS86" s="680"/>
      <c r="AT86" s="680"/>
      <c r="AU86" s="680"/>
      <c r="AV86" s="680"/>
      <c r="AW86" s="680"/>
      <c r="AX86" s="680"/>
      <c r="AY86" s="680"/>
      <c r="BA86" s="723"/>
      <c r="BB86" s="723" t="e">
        <f t="shared" si="125"/>
        <v>#REF!</v>
      </c>
      <c r="BC86" s="723"/>
      <c r="BD86" s="722" t="e">
        <f>BR86*#REF!</f>
        <v>#REF!</v>
      </c>
      <c r="BE86" s="722" t="e">
        <f>BS86*#REF!</f>
        <v>#REF!</v>
      </c>
      <c r="BF86" s="722" t="e">
        <f>BT86*#REF!</f>
        <v>#REF!</v>
      </c>
      <c r="BG86" s="722" t="e">
        <f>BU86*#REF!</f>
        <v>#REF!</v>
      </c>
      <c r="BH86" s="803" t="e">
        <f>BV86*#REF!</f>
        <v>#REF!</v>
      </c>
      <c r="BI86" s="722" t="e">
        <f>BW86*#REF!</f>
        <v>#REF!</v>
      </c>
      <c r="BJ86" s="722" t="e">
        <f>BX86*#REF!</f>
        <v>#REF!</v>
      </c>
      <c r="BK86" s="722" t="e">
        <f>BY86*#REF!</f>
        <v>#REF!</v>
      </c>
      <c r="BL86" s="722" t="e">
        <f>BZ86*#REF!</f>
        <v>#REF!</v>
      </c>
      <c r="BM86" s="722" t="e">
        <f>CA86*#REF!</f>
        <v>#REF!</v>
      </c>
      <c r="BO86" s="749" t="str">
        <f t="shared" si="126"/>
        <v>2.2.4</v>
      </c>
      <c r="BP86" s="749" t="str">
        <f t="shared" si="127"/>
        <v xml:space="preserve"> Q2 2.2</v>
      </c>
      <c r="BQ86" s="408" t="str">
        <f t="shared" si="128"/>
        <v>空調換気ダクトの更新必要間隔</v>
      </c>
      <c r="BR86" s="719">
        <f t="shared" si="129"/>
        <v>0.1</v>
      </c>
      <c r="BS86" s="719">
        <f t="shared" si="130"/>
        <v>0.1</v>
      </c>
      <c r="BT86" s="719">
        <f t="shared" si="131"/>
        <v>0.1</v>
      </c>
      <c r="BU86" s="719">
        <f t="shared" si="132"/>
        <v>0.1</v>
      </c>
      <c r="BV86" s="802">
        <f t="shared" si="133"/>
        <v>0.1</v>
      </c>
      <c r="BW86" s="719">
        <f t="shared" si="134"/>
        <v>0.1</v>
      </c>
      <c r="BX86" s="719">
        <f t="shared" si="135"/>
        <v>0.1</v>
      </c>
      <c r="BY86" s="719">
        <f t="shared" si="136"/>
        <v>0.1</v>
      </c>
      <c r="BZ86" s="719">
        <f t="shared" si="137"/>
        <v>0.1</v>
      </c>
      <c r="CA86" s="719">
        <f t="shared" si="138"/>
        <v>0.1</v>
      </c>
      <c r="CB86" s="748">
        <f t="shared" si="139"/>
        <v>0</v>
      </c>
      <c r="CC86" s="719">
        <f t="shared" si="140"/>
        <v>0</v>
      </c>
      <c r="CD86" s="719">
        <f t="shared" si="141"/>
        <v>0</v>
      </c>
      <c r="CF86" s="455" t="s">
        <v>942</v>
      </c>
      <c r="CG86" s="459" t="s">
        <v>478</v>
      </c>
      <c r="CH86" s="456" t="s">
        <v>481</v>
      </c>
      <c r="CI86" s="458">
        <v>0.1</v>
      </c>
      <c r="CJ86" s="458">
        <v>0.1</v>
      </c>
      <c r="CK86" s="458">
        <v>0.1</v>
      </c>
      <c r="CL86" s="458">
        <v>0.1</v>
      </c>
      <c r="CM86" s="458">
        <v>0.1</v>
      </c>
      <c r="CN86" s="458">
        <v>0.1</v>
      </c>
      <c r="CO86" s="461">
        <v>0.1</v>
      </c>
      <c r="CP86" s="458">
        <v>0.1</v>
      </c>
      <c r="CQ86" s="458">
        <v>0.1</v>
      </c>
      <c r="CR86" s="458">
        <v>0.1</v>
      </c>
      <c r="CS86" s="462">
        <v>0</v>
      </c>
      <c r="CT86" s="461">
        <v>0</v>
      </c>
      <c r="CU86" s="461">
        <v>0</v>
      </c>
      <c r="CW86" s="455" t="s">
        <v>943</v>
      </c>
      <c r="CX86" s="459" t="s">
        <v>478</v>
      </c>
      <c r="CY86" s="456" t="s">
        <v>458</v>
      </c>
      <c r="CZ86" s="461">
        <v>0.1</v>
      </c>
      <c r="DA86" s="461">
        <v>0.1</v>
      </c>
      <c r="DB86" s="461">
        <v>0.1</v>
      </c>
      <c r="DC86" s="461">
        <v>0.1</v>
      </c>
      <c r="DD86" s="461">
        <v>0.1</v>
      </c>
      <c r="DE86" s="461">
        <v>0.1</v>
      </c>
      <c r="DF86" s="461">
        <v>0.1</v>
      </c>
      <c r="DG86" s="461">
        <v>0.1</v>
      </c>
      <c r="DH86" s="461">
        <v>0.1</v>
      </c>
      <c r="DI86" s="461">
        <v>0.1</v>
      </c>
      <c r="DJ86" s="462"/>
      <c r="DK86" s="461"/>
      <c r="DL86" s="461"/>
      <c r="DN86" s="455" t="s">
        <v>942</v>
      </c>
      <c r="DO86" s="459" t="s">
        <v>478</v>
      </c>
      <c r="DP86" s="456" t="s">
        <v>481</v>
      </c>
      <c r="DQ86" s="461">
        <v>0.1</v>
      </c>
      <c r="DR86" s="461">
        <v>0.1</v>
      </c>
      <c r="DS86" s="461">
        <v>0.1</v>
      </c>
      <c r="DT86" s="461">
        <v>0.1</v>
      </c>
      <c r="DU86" s="461">
        <v>0.1</v>
      </c>
      <c r="DV86" s="461">
        <v>0.1</v>
      </c>
      <c r="DW86" s="461">
        <v>0.1</v>
      </c>
      <c r="DX86" s="461">
        <v>0.1</v>
      </c>
      <c r="DY86" s="461">
        <v>0.1</v>
      </c>
      <c r="DZ86" s="461">
        <v>0.1</v>
      </c>
      <c r="EA86" s="462"/>
      <c r="EB86" s="461"/>
      <c r="EC86" s="461"/>
      <c r="ED86" s="555"/>
      <c r="EF86" s="455" t="s">
        <v>941</v>
      </c>
      <c r="EG86" s="459" t="s">
        <v>478</v>
      </c>
      <c r="EH86" s="456" t="s">
        <v>481</v>
      </c>
      <c r="EI86" s="609">
        <v>0</v>
      </c>
      <c r="EJ86" s="609">
        <v>0</v>
      </c>
      <c r="EK86" s="609">
        <v>0</v>
      </c>
      <c r="EL86" s="609">
        <v>0</v>
      </c>
      <c r="EM86" s="609">
        <v>0</v>
      </c>
      <c r="EN86" s="609">
        <v>0</v>
      </c>
      <c r="EO86" s="609">
        <v>0</v>
      </c>
      <c r="EP86" s="609">
        <v>0</v>
      </c>
      <c r="EQ86" s="609">
        <v>0</v>
      </c>
      <c r="ER86" s="609">
        <v>0</v>
      </c>
      <c r="ES86" s="609">
        <v>0</v>
      </c>
      <c r="ET86" s="609">
        <f t="shared" si="162"/>
        <v>0</v>
      </c>
      <c r="EU86" s="609">
        <f t="shared" si="163"/>
        <v>0</v>
      </c>
      <c r="EW86" s="455" t="s">
        <v>670</v>
      </c>
      <c r="EX86" s="459" t="s">
        <v>478</v>
      </c>
      <c r="EY86" s="456" t="s">
        <v>481</v>
      </c>
      <c r="EZ86" s="666">
        <v>0</v>
      </c>
      <c r="FA86" s="598"/>
      <c r="FB86" s="598"/>
      <c r="FC86" s="598"/>
      <c r="FD86" s="598"/>
      <c r="FE86" s="598"/>
      <c r="FF86" s="598"/>
      <c r="FG86" s="598"/>
      <c r="FH86" s="598"/>
      <c r="FI86" s="598"/>
      <c r="FJ86" s="598"/>
      <c r="FK86" s="598"/>
      <c r="FL86" s="598"/>
    </row>
    <row r="87" spans="2:168">
      <c r="B87" s="732" t="str">
        <f t="shared" si="142"/>
        <v>2.2.5</v>
      </c>
      <c r="C87" s="408" t="str">
        <f t="shared" si="120"/>
        <v>空調・給排水配管の更新必要間隔</v>
      </c>
      <c r="D87" s="809" t="e">
        <f t="shared" si="161"/>
        <v>#REF!</v>
      </c>
      <c r="E87" s="730" t="e">
        <f t="shared" si="161"/>
        <v>#REF!</v>
      </c>
      <c r="G87" s="730" t="e">
        <f t="shared" si="121"/>
        <v>#REF!</v>
      </c>
      <c r="H87" s="730" t="e">
        <f t="shared" si="122"/>
        <v>#REF!</v>
      </c>
      <c r="I87" s="730"/>
      <c r="J87" s="730"/>
      <c r="K87" s="730" t="e">
        <f>IF(#REF!=0,0,1)</f>
        <v>#REF!</v>
      </c>
      <c r="L87" s="730" t="e">
        <f>IF(#REF!=0,0,1)</f>
        <v>#REF!</v>
      </c>
      <c r="M87" s="730">
        <f t="shared" si="123"/>
        <v>0.2</v>
      </c>
      <c r="N87" s="730">
        <f t="shared" si="124"/>
        <v>0</v>
      </c>
      <c r="P87" s="832"/>
      <c r="Q87" s="728"/>
      <c r="R87" s="414">
        <v>5</v>
      </c>
      <c r="S87" s="3875" t="s">
        <v>155</v>
      </c>
      <c r="T87" s="3867"/>
      <c r="U87" s="726"/>
      <c r="V87" s="747">
        <f t="shared" si="158"/>
        <v>0</v>
      </c>
      <c r="W87" s="746">
        <f t="shared" si="159"/>
        <v>0</v>
      </c>
      <c r="Y87" s="1">
        <f t="shared" si="143"/>
        <v>0</v>
      </c>
      <c r="Z87" s="1">
        <f t="shared" si="144"/>
        <v>0</v>
      </c>
      <c r="AA87" s="1">
        <f t="shared" si="145"/>
        <v>0</v>
      </c>
      <c r="AB87" s="1">
        <f t="shared" si="146"/>
        <v>0</v>
      </c>
      <c r="AC87" s="1">
        <f t="shared" si="147"/>
        <v>0</v>
      </c>
      <c r="AD87" s="1">
        <f t="shared" si="148"/>
        <v>0</v>
      </c>
      <c r="AE87" s="1">
        <f t="shared" si="149"/>
        <v>0</v>
      </c>
      <c r="AF87" s="1">
        <f t="shared" si="150"/>
        <v>0</v>
      </c>
      <c r="AG87" s="1">
        <f t="shared" si="151"/>
        <v>0</v>
      </c>
      <c r="AH87" s="1">
        <f t="shared" si="152"/>
        <v>0</v>
      </c>
      <c r="AI87" s="1">
        <f t="shared" si="153"/>
        <v>0</v>
      </c>
      <c r="AJ87" s="1">
        <f t="shared" si="154"/>
        <v>0</v>
      </c>
      <c r="AK87" s="1">
        <f t="shared" si="155"/>
        <v>0</v>
      </c>
      <c r="AM87" s="680"/>
      <c r="AN87" s="680"/>
      <c r="AO87" s="680"/>
      <c r="AP87" s="680"/>
      <c r="AQ87" s="680"/>
      <c r="AR87" s="680"/>
      <c r="AS87" s="680"/>
      <c r="AT87" s="680"/>
      <c r="AU87" s="680"/>
      <c r="AV87" s="680"/>
      <c r="AW87" s="680"/>
      <c r="AX87" s="680"/>
      <c r="AY87" s="680"/>
      <c r="BA87" s="723"/>
      <c r="BB87" s="723" t="e">
        <f t="shared" si="125"/>
        <v>#REF!</v>
      </c>
      <c r="BC87" s="723"/>
      <c r="BD87" s="722" t="e">
        <f>BR87*#REF!</f>
        <v>#REF!</v>
      </c>
      <c r="BE87" s="722" t="e">
        <f>BS87*#REF!</f>
        <v>#REF!</v>
      </c>
      <c r="BF87" s="722" t="e">
        <f>BT87*#REF!</f>
        <v>#REF!</v>
      </c>
      <c r="BG87" s="722" t="e">
        <f>BU87*#REF!</f>
        <v>#REF!</v>
      </c>
      <c r="BH87" s="803" t="e">
        <f>BV87*#REF!</f>
        <v>#REF!</v>
      </c>
      <c r="BI87" s="722" t="e">
        <f>BW87*#REF!</f>
        <v>#REF!</v>
      </c>
      <c r="BJ87" s="722" t="e">
        <f>BX87*#REF!</f>
        <v>#REF!</v>
      </c>
      <c r="BK87" s="722" t="e">
        <f>BY87*#REF!</f>
        <v>#REF!</v>
      </c>
      <c r="BL87" s="722" t="e">
        <f>BZ87*#REF!</f>
        <v>#REF!</v>
      </c>
      <c r="BM87" s="722" t="e">
        <f>CA87*#REF!</f>
        <v>#REF!</v>
      </c>
      <c r="BO87" s="749" t="str">
        <f t="shared" si="126"/>
        <v>2.2.5</v>
      </c>
      <c r="BP87" s="749" t="str">
        <f t="shared" si="127"/>
        <v xml:space="preserve"> Q2 2.2</v>
      </c>
      <c r="BQ87" s="408" t="str">
        <f t="shared" si="128"/>
        <v>空調・給排水配管の更新必要間隔</v>
      </c>
      <c r="BR87" s="719">
        <f t="shared" si="129"/>
        <v>0.2</v>
      </c>
      <c r="BS87" s="719">
        <f t="shared" si="130"/>
        <v>0.2</v>
      </c>
      <c r="BT87" s="719">
        <f t="shared" si="131"/>
        <v>0.2</v>
      </c>
      <c r="BU87" s="719">
        <f t="shared" si="132"/>
        <v>0.2</v>
      </c>
      <c r="BV87" s="802">
        <f t="shared" si="133"/>
        <v>0.2</v>
      </c>
      <c r="BW87" s="719">
        <f t="shared" si="134"/>
        <v>0.2</v>
      </c>
      <c r="BX87" s="719">
        <f t="shared" si="135"/>
        <v>0.2</v>
      </c>
      <c r="BY87" s="719">
        <f t="shared" si="136"/>
        <v>0.2</v>
      </c>
      <c r="BZ87" s="719">
        <f t="shared" si="137"/>
        <v>0.2</v>
      </c>
      <c r="CA87" s="719">
        <f t="shared" si="138"/>
        <v>0.2</v>
      </c>
      <c r="CB87" s="748">
        <f t="shared" si="139"/>
        <v>0</v>
      </c>
      <c r="CC87" s="719">
        <f t="shared" si="140"/>
        <v>0</v>
      </c>
      <c r="CD87" s="719">
        <f t="shared" si="141"/>
        <v>0</v>
      </c>
      <c r="CF87" s="455" t="s">
        <v>940</v>
      </c>
      <c r="CG87" s="459" t="s">
        <v>478</v>
      </c>
      <c r="CH87" s="456" t="s">
        <v>482</v>
      </c>
      <c r="CI87" s="458">
        <v>0.1</v>
      </c>
      <c r="CJ87" s="458">
        <v>0.1</v>
      </c>
      <c r="CK87" s="458">
        <v>0.1</v>
      </c>
      <c r="CL87" s="458">
        <v>0.1</v>
      </c>
      <c r="CM87" s="458">
        <v>0.1</v>
      </c>
      <c r="CN87" s="458">
        <v>0.1</v>
      </c>
      <c r="CO87" s="461">
        <v>0.1</v>
      </c>
      <c r="CP87" s="458">
        <v>0.1</v>
      </c>
      <c r="CQ87" s="458">
        <v>0.1</v>
      </c>
      <c r="CR87" s="458">
        <v>0.1</v>
      </c>
      <c r="CS87" s="462"/>
      <c r="CT87" s="461"/>
      <c r="CU87" s="461"/>
      <c r="CW87" s="455" t="s">
        <v>940</v>
      </c>
      <c r="CX87" s="459" t="s">
        <v>478</v>
      </c>
      <c r="CY87" s="456" t="s">
        <v>459</v>
      </c>
      <c r="CZ87" s="461">
        <v>0.2</v>
      </c>
      <c r="DA87" s="461">
        <v>0.2</v>
      </c>
      <c r="DB87" s="461">
        <v>0.2</v>
      </c>
      <c r="DC87" s="461">
        <v>0.2</v>
      </c>
      <c r="DD87" s="461">
        <v>0.2</v>
      </c>
      <c r="DE87" s="461">
        <v>0.2</v>
      </c>
      <c r="DF87" s="461">
        <v>0.2</v>
      </c>
      <c r="DG87" s="461">
        <v>0.2</v>
      </c>
      <c r="DH87" s="461">
        <v>0.2</v>
      </c>
      <c r="DI87" s="461">
        <v>0.2</v>
      </c>
      <c r="DJ87" s="462"/>
      <c r="DK87" s="461"/>
      <c r="DL87" s="461"/>
      <c r="DN87" s="455" t="s">
        <v>672</v>
      </c>
      <c r="DO87" s="459" t="s">
        <v>478</v>
      </c>
      <c r="DP87" s="456" t="s">
        <v>482</v>
      </c>
      <c r="DQ87" s="461">
        <v>0.2</v>
      </c>
      <c r="DR87" s="461">
        <v>0.2</v>
      </c>
      <c r="DS87" s="461">
        <v>0.2</v>
      </c>
      <c r="DT87" s="461">
        <v>0.2</v>
      </c>
      <c r="DU87" s="461">
        <v>0.2</v>
      </c>
      <c r="DV87" s="461">
        <v>0.2</v>
      </c>
      <c r="DW87" s="461">
        <v>0.2</v>
      </c>
      <c r="DX87" s="461">
        <v>0.2</v>
      </c>
      <c r="DY87" s="461">
        <v>0.2</v>
      </c>
      <c r="DZ87" s="461">
        <v>0.2</v>
      </c>
      <c r="EA87" s="462"/>
      <c r="EB87" s="461"/>
      <c r="EC87" s="461"/>
      <c r="ED87" s="555"/>
      <c r="EF87" s="455" t="s">
        <v>939</v>
      </c>
      <c r="EG87" s="459" t="s">
        <v>478</v>
      </c>
      <c r="EH87" s="456" t="s">
        <v>482</v>
      </c>
      <c r="EI87" s="609">
        <v>0</v>
      </c>
      <c r="EJ87" s="609">
        <v>0</v>
      </c>
      <c r="EK87" s="609">
        <v>0</v>
      </c>
      <c r="EL87" s="609">
        <v>0</v>
      </c>
      <c r="EM87" s="609">
        <v>0</v>
      </c>
      <c r="EN87" s="609">
        <v>0</v>
      </c>
      <c r="EO87" s="609">
        <v>0</v>
      </c>
      <c r="EP87" s="609">
        <v>0</v>
      </c>
      <c r="EQ87" s="609">
        <v>0</v>
      </c>
      <c r="ER87" s="609">
        <v>0</v>
      </c>
      <c r="ES87" s="609">
        <v>0</v>
      </c>
      <c r="ET87" s="609">
        <f t="shared" si="162"/>
        <v>0</v>
      </c>
      <c r="EU87" s="609">
        <f t="shared" si="163"/>
        <v>0</v>
      </c>
      <c r="EW87" s="455" t="s">
        <v>672</v>
      </c>
      <c r="EX87" s="459" t="s">
        <v>478</v>
      </c>
      <c r="EY87" s="456" t="s">
        <v>482</v>
      </c>
      <c r="EZ87" s="666">
        <v>0</v>
      </c>
      <c r="FA87" s="598"/>
      <c r="FB87" s="598"/>
      <c r="FC87" s="598"/>
      <c r="FD87" s="598"/>
      <c r="FE87" s="598"/>
      <c r="FF87" s="598"/>
      <c r="FG87" s="598"/>
      <c r="FH87" s="598"/>
      <c r="FI87" s="598"/>
      <c r="FJ87" s="598"/>
      <c r="FK87" s="598"/>
      <c r="FL87" s="598"/>
    </row>
    <row r="88" spans="2:168" ht="14.25" thickBot="1">
      <c r="B88" s="732" t="str">
        <f t="shared" si="142"/>
        <v>2.2.6</v>
      </c>
      <c r="C88" s="929" t="str">
        <f t="shared" si="120"/>
        <v>主要設備機器の更新必要間隔</v>
      </c>
      <c r="D88" s="809" t="e">
        <f t="shared" si="161"/>
        <v>#REF!</v>
      </c>
      <c r="E88" s="730" t="e">
        <f t="shared" si="161"/>
        <v>#REF!</v>
      </c>
      <c r="G88" s="730" t="e">
        <f t="shared" si="121"/>
        <v>#REF!</v>
      </c>
      <c r="H88" s="730" t="e">
        <f t="shared" si="122"/>
        <v>#REF!</v>
      </c>
      <c r="I88" s="730"/>
      <c r="J88" s="730"/>
      <c r="K88" s="730" t="e">
        <f>IF(#REF!=0,0,1)</f>
        <v>#REF!</v>
      </c>
      <c r="L88" s="730" t="e">
        <f>IF(#REF!=0,0,1)</f>
        <v>#REF!</v>
      </c>
      <c r="M88" s="730">
        <f t="shared" si="123"/>
        <v>0.2</v>
      </c>
      <c r="N88" s="730">
        <f t="shared" si="124"/>
        <v>0</v>
      </c>
      <c r="P88" s="832"/>
      <c r="Q88" s="776"/>
      <c r="R88" s="414">
        <v>6</v>
      </c>
      <c r="S88" s="579" t="s">
        <v>156</v>
      </c>
      <c r="T88" s="745"/>
      <c r="U88" s="726"/>
      <c r="V88" s="725">
        <f t="shared" si="158"/>
        <v>0</v>
      </c>
      <c r="W88" s="724">
        <f t="shared" si="159"/>
        <v>0</v>
      </c>
      <c r="Y88" s="1">
        <f t="shared" si="143"/>
        <v>0</v>
      </c>
      <c r="Z88" s="1">
        <f t="shared" si="144"/>
        <v>0</v>
      </c>
      <c r="AA88" s="1">
        <f t="shared" si="145"/>
        <v>0</v>
      </c>
      <c r="AB88" s="1">
        <f t="shared" si="146"/>
        <v>0</v>
      </c>
      <c r="AC88" s="1">
        <f t="shared" si="147"/>
        <v>0</v>
      </c>
      <c r="AD88" s="1">
        <f t="shared" si="148"/>
        <v>0</v>
      </c>
      <c r="AE88" s="1">
        <f t="shared" si="149"/>
        <v>0</v>
      </c>
      <c r="AF88" s="1">
        <f t="shared" si="150"/>
        <v>0</v>
      </c>
      <c r="AG88" s="1">
        <f t="shared" si="151"/>
        <v>0</v>
      </c>
      <c r="AH88" s="1">
        <f t="shared" si="152"/>
        <v>0</v>
      </c>
      <c r="AI88" s="1">
        <f t="shared" si="153"/>
        <v>0</v>
      </c>
      <c r="AJ88" s="1">
        <f t="shared" si="154"/>
        <v>0</v>
      </c>
      <c r="AK88" s="1">
        <f t="shared" si="155"/>
        <v>0</v>
      </c>
      <c r="AM88" s="683"/>
      <c r="AN88" s="683"/>
      <c r="AO88" s="683"/>
      <c r="AP88" s="683"/>
      <c r="AQ88" s="683"/>
      <c r="AR88" s="683"/>
      <c r="AS88" s="683"/>
      <c r="AT88" s="683"/>
      <c r="AU88" s="683"/>
      <c r="AV88" s="683"/>
      <c r="AW88" s="683"/>
      <c r="AX88" s="683"/>
      <c r="AY88" s="683"/>
      <c r="BA88" s="723"/>
      <c r="BB88" s="723" t="e">
        <f t="shared" si="125"/>
        <v>#REF!</v>
      </c>
      <c r="BC88" s="723"/>
      <c r="BD88" s="722" t="e">
        <f>BR88*#REF!</f>
        <v>#REF!</v>
      </c>
      <c r="BE88" s="722" t="e">
        <f>BS88*#REF!</f>
        <v>#REF!</v>
      </c>
      <c r="BF88" s="722" t="e">
        <f>BT88*#REF!</f>
        <v>#REF!</v>
      </c>
      <c r="BG88" s="722" t="e">
        <f>BU88*#REF!</f>
        <v>#REF!</v>
      </c>
      <c r="BH88" s="803" t="e">
        <f>BV88*#REF!</f>
        <v>#REF!</v>
      </c>
      <c r="BI88" s="722" t="e">
        <f>BW88*#REF!</f>
        <v>#REF!</v>
      </c>
      <c r="BJ88" s="722" t="e">
        <f>BX88*#REF!</f>
        <v>#REF!</v>
      </c>
      <c r="BK88" s="722" t="e">
        <f>BY88*#REF!</f>
        <v>#REF!</v>
      </c>
      <c r="BL88" s="722" t="e">
        <f>BZ88*#REF!</f>
        <v>#REF!</v>
      </c>
      <c r="BM88" s="722" t="e">
        <f>CA88*#REF!</f>
        <v>#REF!</v>
      </c>
      <c r="BO88" s="749" t="str">
        <f t="shared" si="126"/>
        <v>2.2.6</v>
      </c>
      <c r="BP88" s="749" t="str">
        <f t="shared" si="127"/>
        <v xml:space="preserve"> Q2 2.2</v>
      </c>
      <c r="BQ88" s="408" t="str">
        <f t="shared" si="128"/>
        <v>主要設備機器の更新必要間隔</v>
      </c>
      <c r="BR88" s="719">
        <f t="shared" si="129"/>
        <v>0.2</v>
      </c>
      <c r="BS88" s="719">
        <f t="shared" si="130"/>
        <v>0.2</v>
      </c>
      <c r="BT88" s="719">
        <f t="shared" si="131"/>
        <v>0.2</v>
      </c>
      <c r="BU88" s="719">
        <f t="shared" si="132"/>
        <v>0.2</v>
      </c>
      <c r="BV88" s="802">
        <f t="shared" si="133"/>
        <v>0.2</v>
      </c>
      <c r="BW88" s="719">
        <f t="shared" si="134"/>
        <v>0.2</v>
      </c>
      <c r="BX88" s="719">
        <f t="shared" si="135"/>
        <v>0.2</v>
      </c>
      <c r="BY88" s="719">
        <f t="shared" si="136"/>
        <v>0.2</v>
      </c>
      <c r="BZ88" s="719">
        <f t="shared" si="137"/>
        <v>0.2</v>
      </c>
      <c r="CA88" s="719">
        <f t="shared" si="138"/>
        <v>0.2</v>
      </c>
      <c r="CB88" s="748">
        <f t="shared" si="139"/>
        <v>0</v>
      </c>
      <c r="CC88" s="719">
        <f t="shared" si="140"/>
        <v>0</v>
      </c>
      <c r="CD88" s="719">
        <f t="shared" si="141"/>
        <v>0</v>
      </c>
      <c r="CF88" s="455" t="s">
        <v>937</v>
      </c>
      <c r="CG88" s="459" t="s">
        <v>478</v>
      </c>
      <c r="CH88" s="456" t="s">
        <v>483</v>
      </c>
      <c r="CI88" s="458">
        <v>0.2</v>
      </c>
      <c r="CJ88" s="458">
        <v>0.2</v>
      </c>
      <c r="CK88" s="458">
        <v>0.2</v>
      </c>
      <c r="CL88" s="458">
        <v>0.2</v>
      </c>
      <c r="CM88" s="458">
        <v>0.2</v>
      </c>
      <c r="CN88" s="458">
        <v>0.2</v>
      </c>
      <c r="CO88" s="461">
        <v>0.25</v>
      </c>
      <c r="CP88" s="458">
        <v>0.2</v>
      </c>
      <c r="CQ88" s="458">
        <v>0.2</v>
      </c>
      <c r="CR88" s="458">
        <v>0.2</v>
      </c>
      <c r="CS88" s="462">
        <v>0</v>
      </c>
      <c r="CT88" s="461">
        <v>0</v>
      </c>
      <c r="CU88" s="461">
        <v>0</v>
      </c>
      <c r="CW88" s="455" t="s">
        <v>937</v>
      </c>
      <c r="CX88" s="459" t="s">
        <v>478</v>
      </c>
      <c r="CY88" s="456" t="s">
        <v>483</v>
      </c>
      <c r="CZ88" s="461">
        <v>0.2</v>
      </c>
      <c r="DA88" s="461">
        <v>0.2</v>
      </c>
      <c r="DB88" s="461">
        <v>0.2</v>
      </c>
      <c r="DC88" s="461">
        <v>0.2</v>
      </c>
      <c r="DD88" s="461">
        <v>0.2</v>
      </c>
      <c r="DE88" s="461">
        <v>0.2</v>
      </c>
      <c r="DF88" s="461">
        <v>0.2</v>
      </c>
      <c r="DG88" s="461">
        <v>0.2</v>
      </c>
      <c r="DH88" s="461">
        <v>0.2</v>
      </c>
      <c r="DI88" s="461">
        <v>0.2</v>
      </c>
      <c r="DJ88" s="462"/>
      <c r="DK88" s="461"/>
      <c r="DL88" s="461"/>
      <c r="DN88" s="455" t="s">
        <v>938</v>
      </c>
      <c r="DO88" s="459" t="s">
        <v>478</v>
      </c>
      <c r="DP88" s="456" t="s">
        <v>483</v>
      </c>
      <c r="DQ88" s="461">
        <v>0.2</v>
      </c>
      <c r="DR88" s="461">
        <v>0.2</v>
      </c>
      <c r="DS88" s="461">
        <v>0.2</v>
      </c>
      <c r="DT88" s="461">
        <v>0.2</v>
      </c>
      <c r="DU88" s="461">
        <v>0.2</v>
      </c>
      <c r="DV88" s="461">
        <v>0.2</v>
      </c>
      <c r="DW88" s="461">
        <v>0.2</v>
      </c>
      <c r="DX88" s="461">
        <v>0.2</v>
      </c>
      <c r="DY88" s="461">
        <v>0.2</v>
      </c>
      <c r="DZ88" s="461">
        <v>0.2</v>
      </c>
      <c r="EA88" s="462"/>
      <c r="EB88" s="461"/>
      <c r="EC88" s="461"/>
      <c r="ED88" s="555"/>
      <c r="EF88" s="455" t="s">
        <v>937</v>
      </c>
      <c r="EG88" s="459" t="s">
        <v>478</v>
      </c>
      <c r="EH88" s="456" t="s">
        <v>483</v>
      </c>
      <c r="EI88" s="609">
        <v>0</v>
      </c>
      <c r="EJ88" s="609">
        <v>0</v>
      </c>
      <c r="EK88" s="609">
        <v>0</v>
      </c>
      <c r="EL88" s="609">
        <v>0</v>
      </c>
      <c r="EM88" s="609">
        <v>0</v>
      </c>
      <c r="EN88" s="609">
        <v>0</v>
      </c>
      <c r="EO88" s="609">
        <v>0</v>
      </c>
      <c r="EP88" s="609">
        <v>0</v>
      </c>
      <c r="EQ88" s="609">
        <v>0</v>
      </c>
      <c r="ER88" s="609">
        <v>0</v>
      </c>
      <c r="ES88" s="609">
        <v>0</v>
      </c>
      <c r="ET88" s="609">
        <f t="shared" si="162"/>
        <v>0</v>
      </c>
      <c r="EU88" s="609">
        <f t="shared" si="163"/>
        <v>0</v>
      </c>
      <c r="EW88" s="455" t="s">
        <v>936</v>
      </c>
      <c r="EX88" s="459" t="s">
        <v>478</v>
      </c>
      <c r="EY88" s="456" t="s">
        <v>483</v>
      </c>
      <c r="EZ88" s="666">
        <v>0</v>
      </c>
      <c r="FA88" s="598"/>
      <c r="FB88" s="598"/>
      <c r="FC88" s="598"/>
      <c r="FD88" s="598"/>
      <c r="FE88" s="598"/>
      <c r="FF88" s="598"/>
      <c r="FG88" s="598"/>
      <c r="FH88" s="598"/>
      <c r="FI88" s="598"/>
      <c r="FJ88" s="598"/>
      <c r="FK88" s="598"/>
      <c r="FL88" s="598"/>
    </row>
    <row r="89" spans="2:168" hidden="1">
      <c r="B89" s="732">
        <f t="shared" si="142"/>
        <v>2.2999999999999998</v>
      </c>
      <c r="C89" s="929" t="str">
        <f t="shared" si="120"/>
        <v>適切な更新</v>
      </c>
      <c r="D89" s="731" t="e">
        <f>IF(I$78=0,0,G89/I$78)</f>
        <v>#REF!</v>
      </c>
      <c r="E89" s="730" t="e">
        <f>IF(J$78=0,0,H89/J$78)</f>
        <v>#REF!</v>
      </c>
      <c r="G89" s="730" t="e">
        <f t="shared" si="121"/>
        <v>#REF!</v>
      </c>
      <c r="H89" s="730" t="e">
        <f t="shared" si="122"/>
        <v>#REF!</v>
      </c>
      <c r="I89" s="730" t="e">
        <f>G90+G91+G92</f>
        <v>#REF!</v>
      </c>
      <c r="J89" s="730" t="e">
        <f>H90+H91+H92</f>
        <v>#REF!</v>
      </c>
      <c r="K89" s="730" t="e">
        <f>IF(#REF!=0,0,1)</f>
        <v>#REF!</v>
      </c>
      <c r="L89" s="730" t="e">
        <f>IF(#REF!=0,0,1)</f>
        <v>#REF!</v>
      </c>
      <c r="M89" s="730">
        <f t="shared" si="123"/>
        <v>0</v>
      </c>
      <c r="N89" s="730">
        <f t="shared" si="124"/>
        <v>0</v>
      </c>
      <c r="P89" s="832"/>
      <c r="Q89" s="933">
        <v>2.2999999999999998</v>
      </c>
      <c r="R89" s="932" t="s">
        <v>157</v>
      </c>
      <c r="S89" s="931"/>
      <c r="T89" s="931"/>
      <c r="U89" s="726"/>
      <c r="V89" s="814">
        <f t="shared" si="158"/>
        <v>0</v>
      </c>
      <c r="W89" s="813">
        <f t="shared" si="159"/>
        <v>0</v>
      </c>
      <c r="Y89" s="1">
        <f t="shared" si="143"/>
        <v>0</v>
      </c>
      <c r="Z89" s="1">
        <f t="shared" si="144"/>
        <v>0</v>
      </c>
      <c r="AA89" s="1">
        <f t="shared" si="145"/>
        <v>0</v>
      </c>
      <c r="AB89" s="1">
        <f t="shared" si="146"/>
        <v>0</v>
      </c>
      <c r="AC89" s="1">
        <f t="shared" si="147"/>
        <v>0</v>
      </c>
      <c r="AD89" s="1">
        <f t="shared" si="148"/>
        <v>0</v>
      </c>
      <c r="AE89" s="1">
        <f t="shared" si="149"/>
        <v>0</v>
      </c>
      <c r="AF89" s="1">
        <f t="shared" si="150"/>
        <v>0</v>
      </c>
      <c r="AG89" s="1">
        <f t="shared" si="151"/>
        <v>0</v>
      </c>
      <c r="AH89" s="1">
        <f t="shared" si="152"/>
        <v>0</v>
      </c>
      <c r="AI89" s="1">
        <f t="shared" si="153"/>
        <v>0</v>
      </c>
      <c r="AJ89" s="1">
        <f t="shared" si="154"/>
        <v>0</v>
      </c>
      <c r="AK89" s="1">
        <f t="shared" si="155"/>
        <v>0</v>
      </c>
      <c r="AM89" s="812" t="s">
        <v>933</v>
      </c>
      <c r="AN89" s="812" t="s">
        <v>934</v>
      </c>
      <c r="AO89" s="812" t="s">
        <v>934</v>
      </c>
      <c r="AP89" s="812" t="s">
        <v>933</v>
      </c>
      <c r="AQ89" s="812" t="s">
        <v>933</v>
      </c>
      <c r="AR89" s="812" t="s">
        <v>933</v>
      </c>
      <c r="AS89" s="812" t="s">
        <v>935</v>
      </c>
      <c r="AT89" s="812" t="s">
        <v>933</v>
      </c>
      <c r="AU89" s="812" t="s">
        <v>934</v>
      </c>
      <c r="AV89" s="812" t="s">
        <v>933</v>
      </c>
      <c r="AW89" s="812" t="s">
        <v>935</v>
      </c>
      <c r="AX89" s="812" t="s">
        <v>934</v>
      </c>
      <c r="AY89" s="812" t="s">
        <v>933</v>
      </c>
      <c r="BA89" s="723"/>
      <c r="BB89" s="723" t="e">
        <f t="shared" si="125"/>
        <v>#REF!</v>
      </c>
      <c r="BC89" s="723"/>
      <c r="BD89" s="722" t="e">
        <f>BR89*#REF!</f>
        <v>#REF!</v>
      </c>
      <c r="BE89" s="722" t="e">
        <f>BS89*#REF!</f>
        <v>#REF!</v>
      </c>
      <c r="BF89" s="722" t="e">
        <f>BT89*#REF!</f>
        <v>#REF!</v>
      </c>
      <c r="BG89" s="722" t="e">
        <f>BU89*#REF!</f>
        <v>#REF!</v>
      </c>
      <c r="BH89" s="803" t="e">
        <f>BV89*#REF!</f>
        <v>#REF!</v>
      </c>
      <c r="BI89" s="722" t="e">
        <f>BW89*#REF!</f>
        <v>#REF!</v>
      </c>
      <c r="BJ89" s="722" t="e">
        <f>BX89*#REF!</f>
        <v>#REF!</v>
      </c>
      <c r="BK89" s="722" t="e">
        <f>BY89*#REF!</f>
        <v>#REF!</v>
      </c>
      <c r="BL89" s="722" t="e">
        <f>BZ89*#REF!</f>
        <v>#REF!</v>
      </c>
      <c r="BM89" s="722" t="e">
        <f>CA89*#REF!</f>
        <v>#REF!</v>
      </c>
      <c r="BO89" s="749">
        <f t="shared" si="126"/>
        <v>2.2999999999999998</v>
      </c>
      <c r="BP89" s="749" t="str">
        <f t="shared" si="127"/>
        <v xml:space="preserve"> Q2 2</v>
      </c>
      <c r="BQ89" s="408" t="str">
        <f t="shared" si="128"/>
        <v>適切な更新</v>
      </c>
      <c r="BR89" s="719">
        <f t="shared" si="129"/>
        <v>0</v>
      </c>
      <c r="BS89" s="719">
        <f t="shared" si="130"/>
        <v>0</v>
      </c>
      <c r="BT89" s="719">
        <f t="shared" si="131"/>
        <v>0</v>
      </c>
      <c r="BU89" s="719">
        <f t="shared" si="132"/>
        <v>0</v>
      </c>
      <c r="BV89" s="802">
        <f t="shared" si="133"/>
        <v>0</v>
      </c>
      <c r="BW89" s="719">
        <f t="shared" si="134"/>
        <v>0</v>
      </c>
      <c r="BX89" s="719">
        <f t="shared" si="135"/>
        <v>0</v>
      </c>
      <c r="BY89" s="719">
        <f t="shared" si="136"/>
        <v>0</v>
      </c>
      <c r="BZ89" s="719">
        <f t="shared" si="137"/>
        <v>0</v>
      </c>
      <c r="CA89" s="719">
        <f t="shared" si="138"/>
        <v>0</v>
      </c>
      <c r="CB89" s="748">
        <f t="shared" si="139"/>
        <v>0</v>
      </c>
      <c r="CC89" s="719">
        <f t="shared" si="140"/>
        <v>0</v>
      </c>
      <c r="CD89" s="719">
        <f t="shared" si="141"/>
        <v>0</v>
      </c>
      <c r="CF89" s="455">
        <v>2.2999999999999998</v>
      </c>
      <c r="CG89" s="455" t="s">
        <v>932</v>
      </c>
      <c r="CH89" s="459" t="s">
        <v>157</v>
      </c>
      <c r="CI89" s="457">
        <v>0.25</v>
      </c>
      <c r="CJ89" s="457">
        <v>0.25</v>
      </c>
      <c r="CK89" s="457">
        <v>0.25</v>
      </c>
      <c r="CL89" s="457">
        <v>0.25</v>
      </c>
      <c r="CM89" s="465">
        <v>0.25</v>
      </c>
      <c r="CN89" s="457">
        <v>0.25</v>
      </c>
      <c r="CO89" s="461">
        <v>0.25</v>
      </c>
      <c r="CP89" s="457">
        <v>0.25</v>
      </c>
      <c r="CQ89" s="457">
        <v>0.25</v>
      </c>
      <c r="CR89" s="457">
        <v>0.25</v>
      </c>
      <c r="CS89" s="461"/>
      <c r="CT89" s="462"/>
      <c r="CU89" s="461"/>
      <c r="CW89" s="475">
        <v>2.2999999999999998</v>
      </c>
      <c r="CX89" s="499" t="s">
        <v>474</v>
      </c>
      <c r="CY89" s="476" t="s">
        <v>460</v>
      </c>
      <c r="CZ89" s="479">
        <v>0</v>
      </c>
      <c r="DA89" s="479">
        <v>0</v>
      </c>
      <c r="DB89" s="479">
        <v>0</v>
      </c>
      <c r="DC89" s="479">
        <v>0</v>
      </c>
      <c r="DD89" s="479">
        <v>0</v>
      </c>
      <c r="DE89" s="479">
        <v>0</v>
      </c>
      <c r="DF89" s="479">
        <v>0</v>
      </c>
      <c r="DG89" s="479">
        <v>0</v>
      </c>
      <c r="DH89" s="479">
        <v>0</v>
      </c>
      <c r="DI89" s="479">
        <v>0</v>
      </c>
      <c r="DJ89" s="481"/>
      <c r="DK89" s="479"/>
      <c r="DL89" s="479"/>
      <c r="DN89" s="475">
        <v>2.2999999999999998</v>
      </c>
      <c r="DO89" s="499" t="s">
        <v>474</v>
      </c>
      <c r="DP89" s="476" t="s">
        <v>157</v>
      </c>
      <c r="DQ89" s="479">
        <v>0</v>
      </c>
      <c r="DR89" s="479">
        <v>0</v>
      </c>
      <c r="DS89" s="479">
        <v>0</v>
      </c>
      <c r="DT89" s="479">
        <v>0</v>
      </c>
      <c r="DU89" s="479">
        <v>0</v>
      </c>
      <c r="DV89" s="479">
        <v>0</v>
      </c>
      <c r="DW89" s="479">
        <v>0</v>
      </c>
      <c r="DX89" s="479">
        <v>0</v>
      </c>
      <c r="DY89" s="479">
        <v>0</v>
      </c>
      <c r="DZ89" s="479">
        <v>0</v>
      </c>
      <c r="EA89" s="479"/>
      <c r="EB89" s="479"/>
      <c r="EC89" s="479"/>
      <c r="ED89" s="555"/>
      <c r="EF89" s="475">
        <v>2.2999999999999998</v>
      </c>
      <c r="EG89" s="499" t="s">
        <v>474</v>
      </c>
      <c r="EH89" s="476" t="s">
        <v>157</v>
      </c>
      <c r="EI89" s="616">
        <f t="shared" ref="EI89:ES92" si="164">DQ89</f>
        <v>0</v>
      </c>
      <c r="EJ89" s="616">
        <f t="shared" si="164"/>
        <v>0</v>
      </c>
      <c r="EK89" s="616">
        <f t="shared" si="164"/>
        <v>0</v>
      </c>
      <c r="EL89" s="616">
        <f t="shared" si="164"/>
        <v>0</v>
      </c>
      <c r="EM89" s="616">
        <f t="shared" si="164"/>
        <v>0</v>
      </c>
      <c r="EN89" s="616">
        <f t="shared" si="164"/>
        <v>0</v>
      </c>
      <c r="EO89" s="616">
        <f t="shared" si="164"/>
        <v>0</v>
      </c>
      <c r="EP89" s="616">
        <f t="shared" si="164"/>
        <v>0</v>
      </c>
      <c r="EQ89" s="616">
        <f t="shared" si="164"/>
        <v>0</v>
      </c>
      <c r="ER89" s="616">
        <f t="shared" si="164"/>
        <v>0</v>
      </c>
      <c r="ES89" s="616">
        <f t="shared" si="164"/>
        <v>0</v>
      </c>
      <c r="ET89" s="616">
        <f t="shared" si="162"/>
        <v>0</v>
      </c>
      <c r="EU89" s="616">
        <f t="shared" si="163"/>
        <v>0</v>
      </c>
      <c r="EW89" s="475">
        <v>2.2999999999999998</v>
      </c>
      <c r="EX89" s="499" t="s">
        <v>474</v>
      </c>
      <c r="EY89" s="476" t="s">
        <v>157</v>
      </c>
      <c r="EZ89" s="651">
        <f>DQ89</f>
        <v>0</v>
      </c>
      <c r="FA89" s="651"/>
      <c r="FB89" s="651"/>
      <c r="FC89" s="651"/>
      <c r="FD89" s="651"/>
      <c r="FE89" s="651"/>
      <c r="FF89" s="651"/>
      <c r="FG89" s="651"/>
      <c r="FH89" s="651"/>
      <c r="FI89" s="651"/>
      <c r="FJ89" s="651"/>
      <c r="FK89" s="651"/>
      <c r="FL89" s="651"/>
    </row>
    <row r="90" spans="2:168" hidden="1">
      <c r="B90" s="732" t="str">
        <f t="shared" si="142"/>
        <v>2.3.1</v>
      </c>
      <c r="C90" s="929">
        <f t="shared" si="120"/>
        <v>0</v>
      </c>
      <c r="D90" s="809" t="e">
        <f t="shared" ref="D90:E92" si="165">IF(I$89&gt;0,G90/I$89,0)</f>
        <v>#REF!</v>
      </c>
      <c r="E90" s="809" t="e">
        <f t="shared" si="165"/>
        <v>#REF!</v>
      </c>
      <c r="G90" s="730" t="e">
        <f t="shared" si="121"/>
        <v>#REF!</v>
      </c>
      <c r="H90" s="730" t="e">
        <f t="shared" si="122"/>
        <v>#REF!</v>
      </c>
      <c r="I90" s="730"/>
      <c r="J90" s="730"/>
      <c r="K90" s="730" t="e">
        <f>IF(#REF!=0,0,1)</f>
        <v>#REF!</v>
      </c>
      <c r="L90" s="730" t="e">
        <f>IF(#REF!=0,0,1)</f>
        <v>#REF!</v>
      </c>
      <c r="M90" s="730">
        <f t="shared" si="123"/>
        <v>0</v>
      </c>
      <c r="N90" s="730">
        <f t="shared" si="124"/>
        <v>0</v>
      </c>
      <c r="P90" s="832"/>
      <c r="Q90" s="930"/>
      <c r="R90" s="927">
        <v>1</v>
      </c>
      <c r="S90" s="926" t="s">
        <v>7</v>
      </c>
      <c r="T90" s="925"/>
      <c r="U90" s="726"/>
      <c r="V90" s="734">
        <f t="shared" si="158"/>
        <v>0</v>
      </c>
      <c r="W90" s="733">
        <f t="shared" si="159"/>
        <v>0</v>
      </c>
      <c r="Y90" s="1">
        <f t="shared" si="143"/>
        <v>0</v>
      </c>
      <c r="Z90" s="1">
        <f t="shared" si="144"/>
        <v>0</v>
      </c>
      <c r="AA90" s="1">
        <f t="shared" si="145"/>
        <v>0</v>
      </c>
      <c r="AB90" s="1">
        <f t="shared" si="146"/>
        <v>0</v>
      </c>
      <c r="AC90" s="1">
        <f t="shared" si="147"/>
        <v>0</v>
      </c>
      <c r="AD90" s="1">
        <f t="shared" si="148"/>
        <v>0</v>
      </c>
      <c r="AE90" s="1">
        <f t="shared" si="149"/>
        <v>0</v>
      </c>
      <c r="AF90" s="1">
        <f t="shared" si="150"/>
        <v>0</v>
      </c>
      <c r="AG90" s="1">
        <f t="shared" si="151"/>
        <v>0</v>
      </c>
      <c r="AH90" s="1">
        <f t="shared" si="152"/>
        <v>0</v>
      </c>
      <c r="AI90" s="1">
        <f t="shared" si="153"/>
        <v>0</v>
      </c>
      <c r="AJ90" s="1">
        <f t="shared" si="154"/>
        <v>0</v>
      </c>
      <c r="AK90" s="1">
        <f t="shared" si="155"/>
        <v>0</v>
      </c>
      <c r="AM90" s="858"/>
      <c r="AN90" s="858"/>
      <c r="AO90" s="858"/>
      <c r="AP90" s="858"/>
      <c r="AQ90" s="858"/>
      <c r="AR90" s="858"/>
      <c r="AS90" s="858"/>
      <c r="AT90" s="858"/>
      <c r="AU90" s="858"/>
      <c r="AV90" s="858"/>
      <c r="AW90" s="858"/>
      <c r="AX90" s="858"/>
      <c r="AY90" s="858"/>
      <c r="BA90" s="723"/>
      <c r="BB90" s="723" t="e">
        <f t="shared" si="125"/>
        <v>#REF!</v>
      </c>
      <c r="BC90" s="723"/>
      <c r="BD90" s="722" t="e">
        <f>BR90*#REF!</f>
        <v>#REF!</v>
      </c>
      <c r="BE90" s="722" t="e">
        <f>BS90*#REF!</f>
        <v>#REF!</v>
      </c>
      <c r="BF90" s="722" t="e">
        <f>BT90*#REF!</f>
        <v>#REF!</v>
      </c>
      <c r="BG90" s="722" t="e">
        <f>BU90*#REF!</f>
        <v>#REF!</v>
      </c>
      <c r="BH90" s="803" t="e">
        <f>BV90*#REF!</f>
        <v>#REF!</v>
      </c>
      <c r="BI90" s="722" t="e">
        <f>BW90*#REF!</f>
        <v>#REF!</v>
      </c>
      <c r="BJ90" s="722" t="e">
        <f>BX90*#REF!</f>
        <v>#REF!</v>
      </c>
      <c r="BK90" s="722" t="e">
        <f>BY90*#REF!</f>
        <v>#REF!</v>
      </c>
      <c r="BL90" s="722" t="e">
        <f>BZ90*#REF!</f>
        <v>#REF!</v>
      </c>
      <c r="BM90" s="722" t="e">
        <f>CA90*#REF!</f>
        <v>#REF!</v>
      </c>
      <c r="BO90" s="749" t="str">
        <f t="shared" si="126"/>
        <v>2.3.1</v>
      </c>
      <c r="BP90" s="749" t="str">
        <f t="shared" si="127"/>
        <v xml:space="preserve"> Q2 2.3</v>
      </c>
      <c r="BQ90" s="408">
        <f t="shared" si="128"/>
        <v>0</v>
      </c>
      <c r="BR90" s="719">
        <f t="shared" si="129"/>
        <v>0</v>
      </c>
      <c r="BS90" s="719">
        <f t="shared" si="130"/>
        <v>0</v>
      </c>
      <c r="BT90" s="719">
        <f t="shared" si="131"/>
        <v>0</v>
      </c>
      <c r="BU90" s="719">
        <f t="shared" si="132"/>
        <v>0</v>
      </c>
      <c r="BV90" s="802">
        <f t="shared" si="133"/>
        <v>0</v>
      </c>
      <c r="BW90" s="719">
        <f t="shared" si="134"/>
        <v>0</v>
      </c>
      <c r="BX90" s="719">
        <f t="shared" si="135"/>
        <v>0</v>
      </c>
      <c r="BY90" s="719">
        <f t="shared" si="136"/>
        <v>0</v>
      </c>
      <c r="BZ90" s="719">
        <f t="shared" si="137"/>
        <v>0</v>
      </c>
      <c r="CA90" s="719">
        <f t="shared" si="138"/>
        <v>0</v>
      </c>
      <c r="CB90" s="748">
        <f t="shared" si="139"/>
        <v>0</v>
      </c>
      <c r="CC90" s="719">
        <f t="shared" si="140"/>
        <v>0</v>
      </c>
      <c r="CD90" s="719">
        <f t="shared" si="141"/>
        <v>0</v>
      </c>
      <c r="CF90" s="455" t="s">
        <v>59</v>
      </c>
      <c r="CG90" s="455" t="s">
        <v>931</v>
      </c>
      <c r="CH90" s="459" t="s">
        <v>7</v>
      </c>
      <c r="CI90" s="490">
        <v>0.33333333333333331</v>
      </c>
      <c r="CJ90" s="490">
        <v>0.33333333333333331</v>
      </c>
      <c r="CK90" s="490">
        <v>0.33333333333333331</v>
      </c>
      <c r="CL90" s="490">
        <v>0.33333333333333331</v>
      </c>
      <c r="CM90" s="490">
        <v>0.33333333333333331</v>
      </c>
      <c r="CN90" s="490">
        <v>0.33333333333333331</v>
      </c>
      <c r="CO90" s="461">
        <v>0.33333333333333331</v>
      </c>
      <c r="CP90" s="490">
        <v>0.33333333333333331</v>
      </c>
      <c r="CQ90" s="490">
        <v>0.33333333333333331</v>
      </c>
      <c r="CR90" s="490">
        <v>0.33333333333333331</v>
      </c>
      <c r="CS90" s="461"/>
      <c r="CT90" s="462"/>
      <c r="CU90" s="461"/>
      <c r="CW90" s="475" t="s">
        <v>59</v>
      </c>
      <c r="CX90" s="364" t="s">
        <v>484</v>
      </c>
      <c r="CY90" s="476" t="s">
        <v>461</v>
      </c>
      <c r="CZ90" s="479">
        <v>0</v>
      </c>
      <c r="DA90" s="479">
        <v>0</v>
      </c>
      <c r="DB90" s="479">
        <v>0</v>
      </c>
      <c r="DC90" s="479">
        <v>0</v>
      </c>
      <c r="DD90" s="479">
        <v>0</v>
      </c>
      <c r="DE90" s="479">
        <v>0</v>
      </c>
      <c r="DF90" s="479">
        <v>0</v>
      </c>
      <c r="DG90" s="479">
        <v>0</v>
      </c>
      <c r="DH90" s="479">
        <v>0</v>
      </c>
      <c r="DI90" s="479">
        <v>0</v>
      </c>
      <c r="DJ90" s="481"/>
      <c r="DK90" s="479"/>
      <c r="DL90" s="479"/>
      <c r="DN90" s="475" t="s">
        <v>59</v>
      </c>
      <c r="DO90" s="364" t="s">
        <v>484</v>
      </c>
      <c r="DP90" s="476"/>
      <c r="DQ90" s="479">
        <v>0</v>
      </c>
      <c r="DR90" s="479">
        <v>0</v>
      </c>
      <c r="DS90" s="479">
        <v>0</v>
      </c>
      <c r="DT90" s="479">
        <v>0</v>
      </c>
      <c r="DU90" s="479">
        <v>0</v>
      </c>
      <c r="DV90" s="479">
        <v>0</v>
      </c>
      <c r="DW90" s="479">
        <v>0</v>
      </c>
      <c r="DX90" s="479">
        <v>0</v>
      </c>
      <c r="DY90" s="479">
        <v>0</v>
      </c>
      <c r="DZ90" s="479">
        <v>0</v>
      </c>
      <c r="EA90" s="479"/>
      <c r="EB90" s="479"/>
      <c r="EC90" s="479"/>
      <c r="ED90" s="555"/>
      <c r="EF90" s="475" t="s">
        <v>930</v>
      </c>
      <c r="EG90" s="364" t="s">
        <v>484</v>
      </c>
      <c r="EH90" s="476"/>
      <c r="EI90" s="616">
        <f t="shared" si="164"/>
        <v>0</v>
      </c>
      <c r="EJ90" s="616">
        <f t="shared" si="164"/>
        <v>0</v>
      </c>
      <c r="EK90" s="616">
        <f t="shared" si="164"/>
        <v>0</v>
      </c>
      <c r="EL90" s="616">
        <f t="shared" si="164"/>
        <v>0</v>
      </c>
      <c r="EM90" s="616">
        <f t="shared" si="164"/>
        <v>0</v>
      </c>
      <c r="EN90" s="616">
        <f t="shared" si="164"/>
        <v>0</v>
      </c>
      <c r="EO90" s="616">
        <f t="shared" si="164"/>
        <v>0</v>
      </c>
      <c r="EP90" s="616">
        <f t="shared" si="164"/>
        <v>0</v>
      </c>
      <c r="EQ90" s="616">
        <f t="shared" si="164"/>
        <v>0</v>
      </c>
      <c r="ER90" s="616">
        <f t="shared" si="164"/>
        <v>0</v>
      </c>
      <c r="ES90" s="616">
        <f t="shared" si="164"/>
        <v>0</v>
      </c>
      <c r="ET90" s="616">
        <f t="shared" si="162"/>
        <v>0</v>
      </c>
      <c r="EU90" s="616">
        <f t="shared" si="163"/>
        <v>0</v>
      </c>
      <c r="EW90" s="475" t="s">
        <v>929</v>
      </c>
      <c r="EX90" s="364" t="s">
        <v>484</v>
      </c>
      <c r="EY90" s="476" t="s">
        <v>7</v>
      </c>
      <c r="EZ90" s="651">
        <f>DQ90</f>
        <v>0</v>
      </c>
      <c r="FA90" s="651"/>
      <c r="FB90" s="651"/>
      <c r="FC90" s="651"/>
      <c r="FD90" s="651"/>
      <c r="FE90" s="651"/>
      <c r="FF90" s="651"/>
      <c r="FG90" s="651"/>
      <c r="FH90" s="651"/>
      <c r="FI90" s="651"/>
      <c r="FJ90" s="651"/>
      <c r="FK90" s="651"/>
      <c r="FL90" s="651"/>
    </row>
    <row r="91" spans="2:168" hidden="1">
      <c r="B91" s="732" t="str">
        <f t="shared" si="142"/>
        <v>2.3.2</v>
      </c>
      <c r="C91" s="929">
        <f t="shared" si="120"/>
        <v>0</v>
      </c>
      <c r="D91" s="809" t="e">
        <f t="shared" si="165"/>
        <v>#REF!</v>
      </c>
      <c r="E91" s="809" t="e">
        <f t="shared" si="165"/>
        <v>#REF!</v>
      </c>
      <c r="G91" s="730" t="e">
        <f t="shared" si="121"/>
        <v>#REF!</v>
      </c>
      <c r="H91" s="730" t="e">
        <f t="shared" si="122"/>
        <v>#REF!</v>
      </c>
      <c r="I91" s="730"/>
      <c r="J91" s="730"/>
      <c r="K91" s="730" t="e">
        <f>IF(#REF!=0,0,1)</f>
        <v>#REF!</v>
      </c>
      <c r="L91" s="730" t="e">
        <f>IF(#REF!=0,0,1)</f>
        <v>#REF!</v>
      </c>
      <c r="M91" s="730">
        <f t="shared" si="123"/>
        <v>0</v>
      </c>
      <c r="N91" s="730">
        <f t="shared" si="124"/>
        <v>0</v>
      </c>
      <c r="P91" s="832"/>
      <c r="Q91" s="930"/>
      <c r="R91" s="927">
        <v>2</v>
      </c>
      <c r="S91" s="926" t="s">
        <v>8</v>
      </c>
      <c r="T91" s="925"/>
      <c r="U91" s="726"/>
      <c r="V91" s="747">
        <f t="shared" si="158"/>
        <v>0</v>
      </c>
      <c r="W91" s="746">
        <f t="shared" si="159"/>
        <v>0</v>
      </c>
      <c r="Y91" s="1">
        <f t="shared" si="143"/>
        <v>0</v>
      </c>
      <c r="Z91" s="1">
        <f t="shared" si="144"/>
        <v>0</v>
      </c>
      <c r="AA91" s="1">
        <f t="shared" si="145"/>
        <v>0</v>
      </c>
      <c r="AB91" s="1">
        <f t="shared" si="146"/>
        <v>0</v>
      </c>
      <c r="AC91" s="1">
        <f t="shared" si="147"/>
        <v>0</v>
      </c>
      <c r="AD91" s="1">
        <f t="shared" si="148"/>
        <v>0</v>
      </c>
      <c r="AE91" s="1">
        <f t="shared" si="149"/>
        <v>0</v>
      </c>
      <c r="AF91" s="1">
        <f t="shared" si="150"/>
        <v>0</v>
      </c>
      <c r="AG91" s="1">
        <f t="shared" si="151"/>
        <v>0</v>
      </c>
      <c r="AH91" s="1">
        <f t="shared" si="152"/>
        <v>0</v>
      </c>
      <c r="AI91" s="1">
        <f t="shared" si="153"/>
        <v>0</v>
      </c>
      <c r="AJ91" s="1">
        <f t="shared" si="154"/>
        <v>0</v>
      </c>
      <c r="AK91" s="1">
        <f t="shared" si="155"/>
        <v>0</v>
      </c>
      <c r="AM91" s="772"/>
      <c r="AN91" s="772"/>
      <c r="AO91" s="772"/>
      <c r="AP91" s="772"/>
      <c r="AQ91" s="772"/>
      <c r="AR91" s="772"/>
      <c r="AS91" s="772"/>
      <c r="AT91" s="772"/>
      <c r="AU91" s="772"/>
      <c r="AV91" s="772"/>
      <c r="AW91" s="772"/>
      <c r="AX91" s="772"/>
      <c r="AY91" s="772"/>
      <c r="BA91" s="723"/>
      <c r="BB91" s="723" t="e">
        <f t="shared" si="125"/>
        <v>#REF!</v>
      </c>
      <c r="BC91" s="723"/>
      <c r="BD91" s="722" t="e">
        <f>BR91*#REF!</f>
        <v>#REF!</v>
      </c>
      <c r="BE91" s="722" t="e">
        <f>BS91*#REF!</f>
        <v>#REF!</v>
      </c>
      <c r="BF91" s="722" t="e">
        <f>BT91*#REF!</f>
        <v>#REF!</v>
      </c>
      <c r="BG91" s="722" t="e">
        <f>BU91*#REF!</f>
        <v>#REF!</v>
      </c>
      <c r="BH91" s="803" t="e">
        <f>BV91*#REF!</f>
        <v>#REF!</v>
      </c>
      <c r="BI91" s="722" t="e">
        <f>BW91*#REF!</f>
        <v>#REF!</v>
      </c>
      <c r="BJ91" s="722" t="e">
        <f>BX91*#REF!</f>
        <v>#REF!</v>
      </c>
      <c r="BK91" s="722" t="e">
        <f>BY91*#REF!</f>
        <v>#REF!</v>
      </c>
      <c r="BL91" s="722" t="e">
        <f>BZ91*#REF!</f>
        <v>#REF!</v>
      </c>
      <c r="BM91" s="722" t="e">
        <f>CA91*#REF!</f>
        <v>#REF!</v>
      </c>
      <c r="BO91" s="749" t="str">
        <f t="shared" si="126"/>
        <v>2.3.2</v>
      </c>
      <c r="BP91" s="749" t="str">
        <f t="shared" si="127"/>
        <v xml:space="preserve"> Q2 2.3</v>
      </c>
      <c r="BQ91" s="408">
        <f t="shared" si="128"/>
        <v>0</v>
      </c>
      <c r="BR91" s="719">
        <f t="shared" si="129"/>
        <v>0</v>
      </c>
      <c r="BS91" s="719">
        <f t="shared" si="130"/>
        <v>0</v>
      </c>
      <c r="BT91" s="719">
        <f t="shared" si="131"/>
        <v>0</v>
      </c>
      <c r="BU91" s="719">
        <f t="shared" si="132"/>
        <v>0</v>
      </c>
      <c r="BV91" s="802">
        <f t="shared" si="133"/>
        <v>0</v>
      </c>
      <c r="BW91" s="719">
        <f t="shared" si="134"/>
        <v>0</v>
      </c>
      <c r="BX91" s="719">
        <f t="shared" si="135"/>
        <v>0</v>
      </c>
      <c r="BY91" s="719">
        <f t="shared" si="136"/>
        <v>0</v>
      </c>
      <c r="BZ91" s="719">
        <f t="shared" si="137"/>
        <v>0</v>
      </c>
      <c r="CA91" s="719">
        <f t="shared" si="138"/>
        <v>0</v>
      </c>
      <c r="CB91" s="748">
        <f t="shared" si="139"/>
        <v>0</v>
      </c>
      <c r="CC91" s="719">
        <f t="shared" si="140"/>
        <v>0</v>
      </c>
      <c r="CD91" s="719">
        <f t="shared" si="141"/>
        <v>0</v>
      </c>
      <c r="CF91" s="455" t="s">
        <v>927</v>
      </c>
      <c r="CG91" s="455" t="s">
        <v>928</v>
      </c>
      <c r="CH91" s="459" t="s">
        <v>8</v>
      </c>
      <c r="CI91" s="490">
        <v>0.33333333333333331</v>
      </c>
      <c r="CJ91" s="490">
        <v>0.33333333333333331</v>
      </c>
      <c r="CK91" s="490">
        <v>0.33333333333333331</v>
      </c>
      <c r="CL91" s="490">
        <v>0.33333333333333331</v>
      </c>
      <c r="CM91" s="490">
        <v>0.33333333333333331</v>
      </c>
      <c r="CN91" s="490">
        <v>0.33333333333333331</v>
      </c>
      <c r="CO91" s="461">
        <v>0.33333333333333331</v>
      </c>
      <c r="CP91" s="490">
        <v>0.33333333333333331</v>
      </c>
      <c r="CQ91" s="490">
        <v>0.33333333333333331</v>
      </c>
      <c r="CR91" s="490">
        <v>0.33333333333333331</v>
      </c>
      <c r="CS91" s="461"/>
      <c r="CT91" s="462"/>
      <c r="CU91" s="461"/>
      <c r="CW91" s="475" t="s">
        <v>927</v>
      </c>
      <c r="CX91" s="364" t="s">
        <v>484</v>
      </c>
      <c r="CY91" s="476" t="s">
        <v>462</v>
      </c>
      <c r="CZ91" s="479">
        <v>0</v>
      </c>
      <c r="DA91" s="479">
        <v>0</v>
      </c>
      <c r="DB91" s="479">
        <v>0</v>
      </c>
      <c r="DC91" s="479">
        <v>0</v>
      </c>
      <c r="DD91" s="479">
        <v>0</v>
      </c>
      <c r="DE91" s="479">
        <v>0</v>
      </c>
      <c r="DF91" s="479">
        <v>0</v>
      </c>
      <c r="DG91" s="479">
        <v>0</v>
      </c>
      <c r="DH91" s="479">
        <v>0</v>
      </c>
      <c r="DI91" s="479">
        <v>0</v>
      </c>
      <c r="DJ91" s="481"/>
      <c r="DK91" s="479"/>
      <c r="DL91" s="479"/>
      <c r="DN91" s="475" t="s">
        <v>927</v>
      </c>
      <c r="DO91" s="364" t="s">
        <v>484</v>
      </c>
      <c r="DP91" s="476"/>
      <c r="DQ91" s="479">
        <v>0</v>
      </c>
      <c r="DR91" s="479">
        <v>0</v>
      </c>
      <c r="DS91" s="479">
        <v>0</v>
      </c>
      <c r="DT91" s="479">
        <v>0</v>
      </c>
      <c r="DU91" s="479">
        <v>0</v>
      </c>
      <c r="DV91" s="479">
        <v>0</v>
      </c>
      <c r="DW91" s="479">
        <v>0</v>
      </c>
      <c r="DX91" s="479">
        <v>0</v>
      </c>
      <c r="DY91" s="479">
        <v>0</v>
      </c>
      <c r="DZ91" s="479">
        <v>0</v>
      </c>
      <c r="EA91" s="479"/>
      <c r="EB91" s="479"/>
      <c r="EC91" s="479"/>
      <c r="ED91" s="555"/>
      <c r="EF91" s="475" t="s">
        <v>927</v>
      </c>
      <c r="EG91" s="364" t="s">
        <v>484</v>
      </c>
      <c r="EH91" s="476"/>
      <c r="EI91" s="616">
        <f t="shared" si="164"/>
        <v>0</v>
      </c>
      <c r="EJ91" s="616">
        <f t="shared" si="164"/>
        <v>0</v>
      </c>
      <c r="EK91" s="616">
        <f t="shared" si="164"/>
        <v>0</v>
      </c>
      <c r="EL91" s="616">
        <f t="shared" si="164"/>
        <v>0</v>
      </c>
      <c r="EM91" s="616">
        <f t="shared" si="164"/>
        <v>0</v>
      </c>
      <c r="EN91" s="616">
        <f t="shared" si="164"/>
        <v>0</v>
      </c>
      <c r="EO91" s="616">
        <f t="shared" si="164"/>
        <v>0</v>
      </c>
      <c r="EP91" s="616">
        <f t="shared" si="164"/>
        <v>0</v>
      </c>
      <c r="EQ91" s="616">
        <f t="shared" si="164"/>
        <v>0</v>
      </c>
      <c r="ER91" s="616">
        <f t="shared" si="164"/>
        <v>0</v>
      </c>
      <c r="ES91" s="616">
        <f t="shared" si="164"/>
        <v>0</v>
      </c>
      <c r="ET91" s="616">
        <f t="shared" si="162"/>
        <v>0</v>
      </c>
      <c r="EU91" s="616">
        <f t="shared" si="163"/>
        <v>0</v>
      </c>
      <c r="EW91" s="475" t="s">
        <v>61</v>
      </c>
      <c r="EX91" s="364" t="s">
        <v>484</v>
      </c>
      <c r="EY91" s="476" t="s">
        <v>8</v>
      </c>
      <c r="EZ91" s="651">
        <f>DQ91</f>
        <v>0</v>
      </c>
      <c r="FA91" s="651"/>
      <c r="FB91" s="651"/>
      <c r="FC91" s="651"/>
      <c r="FD91" s="651"/>
      <c r="FE91" s="651"/>
      <c r="FF91" s="651"/>
      <c r="FG91" s="651"/>
      <c r="FH91" s="651"/>
      <c r="FI91" s="651"/>
      <c r="FJ91" s="651"/>
      <c r="FK91" s="651"/>
      <c r="FL91" s="651"/>
    </row>
    <row r="92" spans="2:168" ht="14.25" hidden="1" thickBot="1">
      <c r="B92" s="732" t="str">
        <f t="shared" si="142"/>
        <v>2.3.3</v>
      </c>
      <c r="C92" s="929">
        <f t="shared" si="120"/>
        <v>0</v>
      </c>
      <c r="D92" s="809" t="e">
        <f t="shared" si="165"/>
        <v>#REF!</v>
      </c>
      <c r="E92" s="809" t="e">
        <f t="shared" si="165"/>
        <v>#REF!</v>
      </c>
      <c r="G92" s="730" t="e">
        <f t="shared" si="121"/>
        <v>#REF!</v>
      </c>
      <c r="H92" s="730" t="e">
        <f t="shared" si="122"/>
        <v>#REF!</v>
      </c>
      <c r="I92" s="730"/>
      <c r="J92" s="730"/>
      <c r="K92" s="730" t="e">
        <f>IF(#REF!=0,0,1)</f>
        <v>#REF!</v>
      </c>
      <c r="L92" s="730" t="e">
        <f>IF(#REF!=0,0,1)</f>
        <v>#REF!</v>
      </c>
      <c r="M92" s="730">
        <f t="shared" si="123"/>
        <v>0</v>
      </c>
      <c r="N92" s="730">
        <f t="shared" si="124"/>
        <v>0</v>
      </c>
      <c r="P92" s="832"/>
      <c r="Q92" s="928"/>
      <c r="R92" s="927">
        <v>3</v>
      </c>
      <c r="S92" s="926" t="s">
        <v>9</v>
      </c>
      <c r="T92" s="925"/>
      <c r="U92" s="726"/>
      <c r="V92" s="725">
        <f t="shared" si="158"/>
        <v>0</v>
      </c>
      <c r="W92" s="724">
        <f t="shared" si="159"/>
        <v>0</v>
      </c>
      <c r="Y92" s="1">
        <f t="shared" si="143"/>
        <v>0</v>
      </c>
      <c r="Z92" s="1">
        <f t="shared" si="144"/>
        <v>0</v>
      </c>
      <c r="AA92" s="1">
        <f t="shared" si="145"/>
        <v>0</v>
      </c>
      <c r="AB92" s="1">
        <f t="shared" si="146"/>
        <v>0</v>
      </c>
      <c r="AC92" s="1">
        <f t="shared" si="147"/>
        <v>0</v>
      </c>
      <c r="AD92" s="1">
        <f t="shared" si="148"/>
        <v>0</v>
      </c>
      <c r="AE92" s="1">
        <f t="shared" si="149"/>
        <v>0</v>
      </c>
      <c r="AF92" s="1">
        <f t="shared" si="150"/>
        <v>0</v>
      </c>
      <c r="AG92" s="1">
        <f t="shared" si="151"/>
        <v>0</v>
      </c>
      <c r="AH92" s="1">
        <f t="shared" si="152"/>
        <v>0</v>
      </c>
      <c r="AI92" s="1">
        <f t="shared" si="153"/>
        <v>0</v>
      </c>
      <c r="AJ92" s="1">
        <f t="shared" si="154"/>
        <v>0</v>
      </c>
      <c r="AK92" s="1">
        <f t="shared" si="155"/>
        <v>0</v>
      </c>
      <c r="AM92" s="852"/>
      <c r="AN92" s="852"/>
      <c r="AO92" s="852"/>
      <c r="AP92" s="852"/>
      <c r="AQ92" s="852"/>
      <c r="AR92" s="852"/>
      <c r="AS92" s="852"/>
      <c r="AT92" s="852"/>
      <c r="AU92" s="852"/>
      <c r="AV92" s="852"/>
      <c r="AW92" s="852"/>
      <c r="AX92" s="852"/>
      <c r="AY92" s="852"/>
      <c r="BA92" s="723"/>
      <c r="BB92" s="723" t="e">
        <f t="shared" si="125"/>
        <v>#REF!</v>
      </c>
      <c r="BC92" s="723"/>
      <c r="BD92" s="722" t="e">
        <f>BR92*#REF!</f>
        <v>#REF!</v>
      </c>
      <c r="BE92" s="722" t="e">
        <f>BS92*#REF!</f>
        <v>#REF!</v>
      </c>
      <c r="BF92" s="722" t="e">
        <f>BT92*#REF!</f>
        <v>#REF!</v>
      </c>
      <c r="BG92" s="722" t="e">
        <f>BU92*#REF!</f>
        <v>#REF!</v>
      </c>
      <c r="BH92" s="803" t="e">
        <f>BV92*#REF!</f>
        <v>#REF!</v>
      </c>
      <c r="BI92" s="722" t="e">
        <f>BW92*#REF!</f>
        <v>#REF!</v>
      </c>
      <c r="BJ92" s="722" t="e">
        <f>BX92*#REF!</f>
        <v>#REF!</v>
      </c>
      <c r="BK92" s="722" t="e">
        <f>BY92*#REF!</f>
        <v>#REF!</v>
      </c>
      <c r="BL92" s="722" t="e">
        <f>BZ92*#REF!</f>
        <v>#REF!</v>
      </c>
      <c r="BM92" s="722" t="e">
        <f>CA92*#REF!</f>
        <v>#REF!</v>
      </c>
      <c r="BO92" s="749" t="str">
        <f t="shared" si="126"/>
        <v>2.3.3</v>
      </c>
      <c r="BP92" s="749" t="str">
        <f t="shared" si="127"/>
        <v xml:space="preserve"> Q2 2.3</v>
      </c>
      <c r="BQ92" s="408">
        <f t="shared" si="128"/>
        <v>0</v>
      </c>
      <c r="BR92" s="719">
        <f t="shared" si="129"/>
        <v>0</v>
      </c>
      <c r="BS92" s="719">
        <f t="shared" si="130"/>
        <v>0</v>
      </c>
      <c r="BT92" s="719">
        <f t="shared" si="131"/>
        <v>0</v>
      </c>
      <c r="BU92" s="719">
        <f t="shared" si="132"/>
        <v>0</v>
      </c>
      <c r="BV92" s="802">
        <f t="shared" si="133"/>
        <v>0</v>
      </c>
      <c r="BW92" s="719">
        <f t="shared" si="134"/>
        <v>0</v>
      </c>
      <c r="BX92" s="719">
        <f t="shared" si="135"/>
        <v>0</v>
      </c>
      <c r="BY92" s="719">
        <f t="shared" si="136"/>
        <v>0</v>
      </c>
      <c r="BZ92" s="719">
        <f t="shared" si="137"/>
        <v>0</v>
      </c>
      <c r="CA92" s="719">
        <f t="shared" si="138"/>
        <v>0</v>
      </c>
      <c r="CB92" s="748">
        <f t="shared" si="139"/>
        <v>0</v>
      </c>
      <c r="CC92" s="719">
        <f t="shared" si="140"/>
        <v>0</v>
      </c>
      <c r="CD92" s="719">
        <f t="shared" si="141"/>
        <v>0</v>
      </c>
      <c r="CF92" s="455" t="s">
        <v>926</v>
      </c>
      <c r="CG92" s="455" t="s">
        <v>318</v>
      </c>
      <c r="CH92" s="459" t="s">
        <v>485</v>
      </c>
      <c r="CI92" s="490">
        <v>0.33333333333333331</v>
      </c>
      <c r="CJ92" s="490">
        <v>0.33333333333333331</v>
      </c>
      <c r="CK92" s="490">
        <v>0.33333333333333331</v>
      </c>
      <c r="CL92" s="490">
        <v>0.33333333333333331</v>
      </c>
      <c r="CM92" s="490">
        <v>0.33333333333333331</v>
      </c>
      <c r="CN92" s="490">
        <v>0.33333333333333331</v>
      </c>
      <c r="CO92" s="461">
        <v>0.33333333333333331</v>
      </c>
      <c r="CP92" s="490">
        <v>0.33333333333333331</v>
      </c>
      <c r="CQ92" s="490">
        <v>0.33333333333333331</v>
      </c>
      <c r="CR92" s="490">
        <v>0.33333333333333331</v>
      </c>
      <c r="CS92" s="461"/>
      <c r="CT92" s="462"/>
      <c r="CU92" s="461"/>
      <c r="CW92" s="475" t="s">
        <v>317</v>
      </c>
      <c r="CX92" s="364" t="s">
        <v>484</v>
      </c>
      <c r="CY92" s="476" t="s">
        <v>463</v>
      </c>
      <c r="CZ92" s="479">
        <v>0</v>
      </c>
      <c r="DA92" s="479">
        <v>0</v>
      </c>
      <c r="DB92" s="479">
        <v>0</v>
      </c>
      <c r="DC92" s="479">
        <v>0</v>
      </c>
      <c r="DD92" s="479">
        <v>0</v>
      </c>
      <c r="DE92" s="479">
        <v>0</v>
      </c>
      <c r="DF92" s="479">
        <v>0</v>
      </c>
      <c r="DG92" s="479">
        <v>0</v>
      </c>
      <c r="DH92" s="479">
        <v>0</v>
      </c>
      <c r="DI92" s="479">
        <v>0</v>
      </c>
      <c r="DJ92" s="481"/>
      <c r="DK92" s="479"/>
      <c r="DL92" s="479"/>
      <c r="DN92" s="475" t="s">
        <v>925</v>
      </c>
      <c r="DO92" s="364" t="s">
        <v>484</v>
      </c>
      <c r="DP92" s="476"/>
      <c r="DQ92" s="479">
        <v>0</v>
      </c>
      <c r="DR92" s="479">
        <v>0</v>
      </c>
      <c r="DS92" s="479">
        <v>0</v>
      </c>
      <c r="DT92" s="479">
        <v>0</v>
      </c>
      <c r="DU92" s="479">
        <v>0</v>
      </c>
      <c r="DV92" s="479">
        <v>0</v>
      </c>
      <c r="DW92" s="479">
        <v>0</v>
      </c>
      <c r="DX92" s="479">
        <v>0</v>
      </c>
      <c r="DY92" s="479">
        <v>0</v>
      </c>
      <c r="DZ92" s="479">
        <v>0</v>
      </c>
      <c r="EA92" s="479"/>
      <c r="EB92" s="479"/>
      <c r="EC92" s="479"/>
      <c r="ED92" s="555"/>
      <c r="EF92" s="475" t="s">
        <v>317</v>
      </c>
      <c r="EG92" s="364" t="s">
        <v>484</v>
      </c>
      <c r="EH92" s="476"/>
      <c r="EI92" s="616">
        <f t="shared" si="164"/>
        <v>0</v>
      </c>
      <c r="EJ92" s="616">
        <f t="shared" si="164"/>
        <v>0</v>
      </c>
      <c r="EK92" s="616">
        <f t="shared" si="164"/>
        <v>0</v>
      </c>
      <c r="EL92" s="616">
        <f t="shared" si="164"/>
        <v>0</v>
      </c>
      <c r="EM92" s="616">
        <f t="shared" si="164"/>
        <v>0</v>
      </c>
      <c r="EN92" s="616">
        <f t="shared" si="164"/>
        <v>0</v>
      </c>
      <c r="EO92" s="616">
        <f t="shared" si="164"/>
        <v>0</v>
      </c>
      <c r="EP92" s="616">
        <f t="shared" si="164"/>
        <v>0</v>
      </c>
      <c r="EQ92" s="616">
        <f t="shared" si="164"/>
        <v>0</v>
      </c>
      <c r="ER92" s="616">
        <f t="shared" si="164"/>
        <v>0</v>
      </c>
      <c r="ES92" s="616">
        <f t="shared" si="164"/>
        <v>0</v>
      </c>
      <c r="ET92" s="616">
        <f t="shared" si="162"/>
        <v>0</v>
      </c>
      <c r="EU92" s="616">
        <f t="shared" si="163"/>
        <v>0</v>
      </c>
      <c r="EW92" s="475" t="s">
        <v>924</v>
      </c>
      <c r="EX92" s="364" t="s">
        <v>484</v>
      </c>
      <c r="EY92" s="476" t="s">
        <v>485</v>
      </c>
      <c r="EZ92" s="651">
        <f>DQ92</f>
        <v>0</v>
      </c>
      <c r="FA92" s="651"/>
      <c r="FB92" s="651"/>
      <c r="FC92" s="651"/>
      <c r="FD92" s="651"/>
      <c r="FE92" s="651"/>
      <c r="FF92" s="651"/>
      <c r="FG92" s="651"/>
      <c r="FH92" s="651"/>
      <c r="FI92" s="651"/>
      <c r="FJ92" s="651"/>
      <c r="FK92" s="651"/>
      <c r="FL92" s="651"/>
    </row>
    <row r="93" spans="2:168" ht="14.25" thickBot="1">
      <c r="B93" s="732">
        <f t="shared" si="142"/>
        <v>2.4</v>
      </c>
      <c r="C93" s="408" t="str">
        <f t="shared" si="120"/>
        <v>信頼性</v>
      </c>
      <c r="D93" s="731" t="e">
        <f>IF(I$78=0,0,G93/I$78)</f>
        <v>#REF!</v>
      </c>
      <c r="E93" s="730" t="e">
        <f>IF(J$78=0,0,H93/J$78)</f>
        <v>#REF!</v>
      </c>
      <c r="G93" s="730" t="e">
        <f t="shared" si="121"/>
        <v>#REF!</v>
      </c>
      <c r="H93" s="730" t="e">
        <f t="shared" si="122"/>
        <v>#REF!</v>
      </c>
      <c r="I93" s="730" t="e">
        <f>SUM(G94:G98)</f>
        <v>#REF!</v>
      </c>
      <c r="J93" s="730" t="e">
        <f>SUM(H94:H98)</f>
        <v>#REF!</v>
      </c>
      <c r="K93" s="730" t="e">
        <f>IF(#REF!=0,0,1)</f>
        <v>#REF!</v>
      </c>
      <c r="L93" s="730" t="e">
        <f>IF(#REF!=0,0,1)</f>
        <v>#REF!</v>
      </c>
      <c r="M93" s="730">
        <f t="shared" si="123"/>
        <v>0.2</v>
      </c>
      <c r="N93" s="730">
        <f t="shared" si="124"/>
        <v>0</v>
      </c>
      <c r="P93" s="923"/>
      <c r="Q93" s="744">
        <v>2.4</v>
      </c>
      <c r="R93" s="838" t="s">
        <v>10</v>
      </c>
      <c r="S93" s="815"/>
      <c r="T93" s="815"/>
      <c r="U93" s="726"/>
      <c r="V93" s="814">
        <f t="shared" si="158"/>
        <v>0</v>
      </c>
      <c r="W93" s="813">
        <f t="shared" si="159"/>
        <v>0</v>
      </c>
      <c r="Y93" s="1">
        <f t="shared" si="143"/>
        <v>0</v>
      </c>
      <c r="Z93" s="1">
        <f t="shared" si="144"/>
        <v>0</v>
      </c>
      <c r="AA93" s="1">
        <f t="shared" si="145"/>
        <v>0</v>
      </c>
      <c r="AB93" s="1">
        <f t="shared" si="146"/>
        <v>0</v>
      </c>
      <c r="AC93" s="1">
        <f t="shared" si="147"/>
        <v>0</v>
      </c>
      <c r="AD93" s="1">
        <f t="shared" si="148"/>
        <v>0</v>
      </c>
      <c r="AE93" s="1">
        <f t="shared" si="149"/>
        <v>0</v>
      </c>
      <c r="AF93" s="1">
        <f t="shared" si="150"/>
        <v>0</v>
      </c>
      <c r="AG93" s="1">
        <f t="shared" si="151"/>
        <v>0</v>
      </c>
      <c r="AH93" s="1">
        <f t="shared" si="152"/>
        <v>0</v>
      </c>
      <c r="AI93" s="1">
        <f t="shared" si="153"/>
        <v>0</v>
      </c>
      <c r="AJ93" s="1">
        <f t="shared" si="154"/>
        <v>0</v>
      </c>
      <c r="AK93" s="1">
        <f t="shared" si="155"/>
        <v>0</v>
      </c>
      <c r="AM93" s="812" t="s">
        <v>849</v>
      </c>
      <c r="AN93" s="812" t="s">
        <v>852</v>
      </c>
      <c r="AO93" s="812" t="s">
        <v>923</v>
      </c>
      <c r="AP93" s="812" t="s">
        <v>843</v>
      </c>
      <c r="AQ93" s="812" t="s">
        <v>853</v>
      </c>
      <c r="AR93" s="812" t="s">
        <v>853</v>
      </c>
      <c r="AS93" s="812" t="s">
        <v>853</v>
      </c>
      <c r="AT93" s="812" t="s">
        <v>843</v>
      </c>
      <c r="AU93" s="812" t="s">
        <v>852</v>
      </c>
      <c r="AV93" s="812" t="s">
        <v>853</v>
      </c>
      <c r="AW93" s="812" t="s">
        <v>853</v>
      </c>
      <c r="AX93" s="812" t="s">
        <v>923</v>
      </c>
      <c r="AY93" s="812" t="s">
        <v>853</v>
      </c>
      <c r="BA93" s="723"/>
      <c r="BB93" s="723" t="e">
        <f t="shared" si="125"/>
        <v>#REF!</v>
      </c>
      <c r="BC93" s="723"/>
      <c r="BD93" s="722" t="e">
        <f>BR93*#REF!</f>
        <v>#REF!</v>
      </c>
      <c r="BE93" s="722" t="e">
        <f>BS93*#REF!</f>
        <v>#REF!</v>
      </c>
      <c r="BF93" s="722" t="e">
        <f>BT93*#REF!</f>
        <v>#REF!</v>
      </c>
      <c r="BG93" s="722" t="e">
        <f>BU93*#REF!</f>
        <v>#REF!</v>
      </c>
      <c r="BH93" s="803" t="e">
        <f>BV93*#REF!</f>
        <v>#REF!</v>
      </c>
      <c r="BI93" s="722" t="e">
        <f>BW93*#REF!</f>
        <v>#REF!</v>
      </c>
      <c r="BJ93" s="722" t="e">
        <f>BX93*#REF!</f>
        <v>#REF!</v>
      </c>
      <c r="BK93" s="722" t="e">
        <f>BY93*#REF!</f>
        <v>#REF!</v>
      </c>
      <c r="BL93" s="722" t="e">
        <f>BZ93*#REF!</f>
        <v>#REF!</v>
      </c>
      <c r="BM93" s="722" t="e">
        <f>CA93*#REF!</f>
        <v>#REF!</v>
      </c>
      <c r="BO93" s="749">
        <f t="shared" si="126"/>
        <v>2.4</v>
      </c>
      <c r="BP93" s="749" t="str">
        <f t="shared" si="127"/>
        <v xml:space="preserve"> Q2 2</v>
      </c>
      <c r="BQ93" s="408" t="str">
        <f t="shared" si="128"/>
        <v>信頼性</v>
      </c>
      <c r="BR93" s="719">
        <f t="shared" si="129"/>
        <v>0.2</v>
      </c>
      <c r="BS93" s="719">
        <f t="shared" si="130"/>
        <v>0.2</v>
      </c>
      <c r="BT93" s="719">
        <f t="shared" si="131"/>
        <v>0.2</v>
      </c>
      <c r="BU93" s="719">
        <f t="shared" si="132"/>
        <v>0.2</v>
      </c>
      <c r="BV93" s="802">
        <f t="shared" si="133"/>
        <v>0.2</v>
      </c>
      <c r="BW93" s="719">
        <f t="shared" si="134"/>
        <v>0.2</v>
      </c>
      <c r="BX93" s="719">
        <f t="shared" si="135"/>
        <v>0.2</v>
      </c>
      <c r="BY93" s="719">
        <f t="shared" si="136"/>
        <v>0.2</v>
      </c>
      <c r="BZ93" s="719">
        <f t="shared" si="137"/>
        <v>0.2</v>
      </c>
      <c r="CA93" s="719">
        <f t="shared" si="138"/>
        <v>0.2</v>
      </c>
      <c r="CB93" s="748">
        <f t="shared" si="139"/>
        <v>0</v>
      </c>
      <c r="CC93" s="719">
        <f t="shared" si="140"/>
        <v>0</v>
      </c>
      <c r="CD93" s="719">
        <f t="shared" si="141"/>
        <v>0</v>
      </c>
      <c r="CF93" s="455">
        <v>2.4</v>
      </c>
      <c r="CG93" s="459" t="s">
        <v>474</v>
      </c>
      <c r="CH93" s="456" t="s">
        <v>10</v>
      </c>
      <c r="CI93" s="457">
        <v>0.25</v>
      </c>
      <c r="CJ93" s="457">
        <v>0.25</v>
      </c>
      <c r="CK93" s="457">
        <v>0.25</v>
      </c>
      <c r="CL93" s="457">
        <v>0.25</v>
      </c>
      <c r="CM93" s="465">
        <v>0.25</v>
      </c>
      <c r="CN93" s="457">
        <v>0.25</v>
      </c>
      <c r="CO93" s="461">
        <v>0.25</v>
      </c>
      <c r="CP93" s="457">
        <v>0.25</v>
      </c>
      <c r="CQ93" s="457">
        <v>0.25</v>
      </c>
      <c r="CR93" s="457">
        <v>0.25</v>
      </c>
      <c r="CS93" s="462">
        <v>0</v>
      </c>
      <c r="CT93" s="461">
        <v>0</v>
      </c>
      <c r="CU93" s="461">
        <v>0</v>
      </c>
      <c r="CW93" s="455">
        <v>2.4</v>
      </c>
      <c r="CX93" s="459" t="s">
        <v>474</v>
      </c>
      <c r="CY93" s="456" t="s">
        <v>464</v>
      </c>
      <c r="CZ93" s="461">
        <v>0.2</v>
      </c>
      <c r="DA93" s="461">
        <v>0.2</v>
      </c>
      <c r="DB93" s="461">
        <v>0.2</v>
      </c>
      <c r="DC93" s="461">
        <v>0.2</v>
      </c>
      <c r="DD93" s="468">
        <v>0.2</v>
      </c>
      <c r="DE93" s="461">
        <v>0.2</v>
      </c>
      <c r="DF93" s="461">
        <v>0.2</v>
      </c>
      <c r="DG93" s="461">
        <v>0.2</v>
      </c>
      <c r="DH93" s="461">
        <v>0.2</v>
      </c>
      <c r="DI93" s="461">
        <v>0.2</v>
      </c>
      <c r="DJ93" s="462"/>
      <c r="DK93" s="461"/>
      <c r="DL93" s="461"/>
      <c r="DN93" s="455">
        <v>2.4</v>
      </c>
      <c r="DO93" s="459" t="s">
        <v>474</v>
      </c>
      <c r="DP93" s="456" t="s">
        <v>10</v>
      </c>
      <c r="DQ93" s="461">
        <v>0.2</v>
      </c>
      <c r="DR93" s="461">
        <v>0.2</v>
      </c>
      <c r="DS93" s="461">
        <v>0.2</v>
      </c>
      <c r="DT93" s="461">
        <v>0.2</v>
      </c>
      <c r="DU93" s="468">
        <v>0.2</v>
      </c>
      <c r="DV93" s="461">
        <v>0.2</v>
      </c>
      <c r="DW93" s="461">
        <v>0.2</v>
      </c>
      <c r="DX93" s="461">
        <v>0.2</v>
      </c>
      <c r="DY93" s="461">
        <v>0.2</v>
      </c>
      <c r="DZ93" s="461">
        <v>0.2</v>
      </c>
      <c r="EA93" s="462"/>
      <c r="EB93" s="461"/>
      <c r="EC93" s="461"/>
      <c r="ED93" s="555"/>
      <c r="EF93" s="455">
        <v>2.4</v>
      </c>
      <c r="EG93" s="459" t="s">
        <v>474</v>
      </c>
      <c r="EH93" s="456" t="s">
        <v>10</v>
      </c>
      <c r="EI93" s="598">
        <v>0.1</v>
      </c>
      <c r="EJ93" s="598">
        <v>0.1</v>
      </c>
      <c r="EK93" s="598">
        <v>0.1</v>
      </c>
      <c r="EL93" s="598">
        <v>0.1</v>
      </c>
      <c r="EM93" s="598">
        <v>0.1</v>
      </c>
      <c r="EN93" s="598">
        <v>0.1</v>
      </c>
      <c r="EO93" s="598">
        <v>0.1</v>
      </c>
      <c r="EP93" s="598">
        <v>0.1</v>
      </c>
      <c r="EQ93" s="598">
        <v>0.1</v>
      </c>
      <c r="ER93" s="598">
        <v>0.1</v>
      </c>
      <c r="ES93" s="611">
        <f t="shared" ref="ES93:ES100" si="166">EA93</f>
        <v>0</v>
      </c>
      <c r="ET93" s="609">
        <f t="shared" si="162"/>
        <v>0</v>
      </c>
      <c r="EU93" s="609">
        <f t="shared" si="163"/>
        <v>0</v>
      </c>
      <c r="EW93" s="455">
        <v>2.4</v>
      </c>
      <c r="EX93" s="459" t="s">
        <v>474</v>
      </c>
      <c r="EY93" s="456" t="s">
        <v>10</v>
      </c>
      <c r="EZ93" s="666">
        <v>0.6</v>
      </c>
      <c r="FA93" s="598"/>
      <c r="FB93" s="598"/>
      <c r="FC93" s="598"/>
      <c r="FD93" s="641"/>
      <c r="FE93" s="598"/>
      <c r="FF93" s="598"/>
      <c r="FG93" s="598"/>
      <c r="FH93" s="598"/>
      <c r="FI93" s="598"/>
      <c r="FJ93" s="647"/>
      <c r="FK93" s="598"/>
      <c r="FL93" s="598"/>
    </row>
    <row r="94" spans="2:168">
      <c r="B94" s="732" t="str">
        <f t="shared" si="142"/>
        <v>2.4.1</v>
      </c>
      <c r="C94" s="408" t="str">
        <f t="shared" si="120"/>
        <v>空調・換気設備</v>
      </c>
      <c r="D94" s="809" t="e">
        <f t="shared" ref="D94:E98" si="167">IF(I$93&gt;0,G94/I$93,0)</f>
        <v>#REF!</v>
      </c>
      <c r="E94" s="730" t="e">
        <f t="shared" si="167"/>
        <v>#REF!</v>
      </c>
      <c r="G94" s="730" t="e">
        <f t="shared" si="121"/>
        <v>#REF!</v>
      </c>
      <c r="H94" s="730" t="e">
        <f t="shared" si="122"/>
        <v>#REF!</v>
      </c>
      <c r="I94" s="730"/>
      <c r="J94" s="730"/>
      <c r="K94" s="730" t="e">
        <f>IF(#REF!=0,0,1)</f>
        <v>#REF!</v>
      </c>
      <c r="L94" s="730" t="e">
        <f>IF(#REF!=0,0,1)</f>
        <v>#REF!</v>
      </c>
      <c r="M94" s="730">
        <f t="shared" si="123"/>
        <v>0.2</v>
      </c>
      <c r="N94" s="730">
        <f t="shared" si="124"/>
        <v>0</v>
      </c>
      <c r="P94" s="923"/>
      <c r="Q94" s="728"/>
      <c r="R94" s="414">
        <v>1</v>
      </c>
      <c r="S94" s="579" t="s">
        <v>11</v>
      </c>
      <c r="T94" s="745"/>
      <c r="U94" s="726"/>
      <c r="V94" s="734">
        <f t="shared" si="158"/>
        <v>0</v>
      </c>
      <c r="W94" s="733">
        <f t="shared" si="159"/>
        <v>0</v>
      </c>
      <c r="Y94" s="1">
        <f t="shared" si="143"/>
        <v>0</v>
      </c>
      <c r="Z94" s="1">
        <f t="shared" si="144"/>
        <v>0</v>
      </c>
      <c r="AA94" s="1">
        <f t="shared" si="145"/>
        <v>0</v>
      </c>
      <c r="AB94" s="1">
        <f t="shared" si="146"/>
        <v>0</v>
      </c>
      <c r="AC94" s="1">
        <f t="shared" si="147"/>
        <v>0</v>
      </c>
      <c r="AD94" s="1">
        <f t="shared" si="148"/>
        <v>0</v>
      </c>
      <c r="AE94" s="1">
        <f t="shared" si="149"/>
        <v>0</v>
      </c>
      <c r="AF94" s="1">
        <f t="shared" si="150"/>
        <v>0</v>
      </c>
      <c r="AG94" s="1">
        <f t="shared" si="151"/>
        <v>0</v>
      </c>
      <c r="AH94" s="1">
        <f t="shared" si="152"/>
        <v>0</v>
      </c>
      <c r="AI94" s="1">
        <f t="shared" si="153"/>
        <v>0</v>
      </c>
      <c r="AJ94" s="1">
        <f t="shared" si="154"/>
        <v>0</v>
      </c>
      <c r="AK94" s="1">
        <f t="shared" si="155"/>
        <v>0</v>
      </c>
      <c r="AM94" s="679"/>
      <c r="AN94" s="679"/>
      <c r="AO94" s="679"/>
      <c r="AP94" s="679"/>
      <c r="AQ94" s="679"/>
      <c r="AR94" s="679"/>
      <c r="AS94" s="679"/>
      <c r="AT94" s="679"/>
      <c r="AU94" s="679"/>
      <c r="AV94" s="679"/>
      <c r="AW94" s="679"/>
      <c r="AX94" s="679"/>
      <c r="AY94" s="679"/>
      <c r="BA94" s="723"/>
      <c r="BB94" s="723" t="e">
        <f t="shared" si="125"/>
        <v>#REF!</v>
      </c>
      <c r="BC94" s="723"/>
      <c r="BD94" s="722" t="e">
        <f>BR94*#REF!</f>
        <v>#REF!</v>
      </c>
      <c r="BE94" s="722" t="e">
        <f>BS94*#REF!</f>
        <v>#REF!</v>
      </c>
      <c r="BF94" s="722" t="e">
        <f>BT94*#REF!</f>
        <v>#REF!</v>
      </c>
      <c r="BG94" s="722" t="e">
        <f>BU94*#REF!</f>
        <v>#REF!</v>
      </c>
      <c r="BH94" s="803" t="e">
        <f>BV94*#REF!</f>
        <v>#REF!</v>
      </c>
      <c r="BI94" s="722" t="e">
        <f>BW94*#REF!</f>
        <v>#REF!</v>
      </c>
      <c r="BJ94" s="722" t="e">
        <f>BX94*#REF!</f>
        <v>#REF!</v>
      </c>
      <c r="BK94" s="722" t="e">
        <f>BY94*#REF!</f>
        <v>#REF!</v>
      </c>
      <c r="BL94" s="722" t="e">
        <f>BZ94*#REF!</f>
        <v>#REF!</v>
      </c>
      <c r="BM94" s="722" t="e">
        <f>CA94*#REF!</f>
        <v>#REF!</v>
      </c>
      <c r="BO94" s="749" t="str">
        <f t="shared" si="126"/>
        <v>2.4.1</v>
      </c>
      <c r="BP94" s="749" t="str">
        <f t="shared" si="127"/>
        <v xml:space="preserve"> Q2 2.4</v>
      </c>
      <c r="BQ94" s="408" t="str">
        <f t="shared" si="128"/>
        <v>空調・換気設備</v>
      </c>
      <c r="BR94" s="719">
        <f t="shared" si="129"/>
        <v>0.2</v>
      </c>
      <c r="BS94" s="719">
        <f t="shared" si="130"/>
        <v>0.2</v>
      </c>
      <c r="BT94" s="719">
        <f t="shared" si="131"/>
        <v>0.2</v>
      </c>
      <c r="BU94" s="719">
        <f t="shared" si="132"/>
        <v>0.2</v>
      </c>
      <c r="BV94" s="802">
        <f t="shared" si="133"/>
        <v>0.2</v>
      </c>
      <c r="BW94" s="719">
        <f t="shared" si="134"/>
        <v>0.2</v>
      </c>
      <c r="BX94" s="719">
        <f t="shared" si="135"/>
        <v>0.2</v>
      </c>
      <c r="BY94" s="719">
        <f t="shared" si="136"/>
        <v>0.2</v>
      </c>
      <c r="BZ94" s="719">
        <f t="shared" si="137"/>
        <v>0.2</v>
      </c>
      <c r="CA94" s="719">
        <f t="shared" si="138"/>
        <v>0.2</v>
      </c>
      <c r="CB94" s="748">
        <f t="shared" si="139"/>
        <v>0</v>
      </c>
      <c r="CC94" s="719">
        <f t="shared" si="140"/>
        <v>0</v>
      </c>
      <c r="CD94" s="719">
        <f t="shared" si="141"/>
        <v>0</v>
      </c>
      <c r="CF94" s="455" t="s">
        <v>921</v>
      </c>
      <c r="CG94" s="459" t="s">
        <v>486</v>
      </c>
      <c r="CH94" s="456" t="s">
        <v>487</v>
      </c>
      <c r="CI94" s="457">
        <v>0.2</v>
      </c>
      <c r="CJ94" s="457">
        <v>0.2</v>
      </c>
      <c r="CK94" s="457">
        <v>0.2</v>
      </c>
      <c r="CL94" s="457">
        <v>0.2</v>
      </c>
      <c r="CM94" s="465">
        <v>0.2</v>
      </c>
      <c r="CN94" s="457">
        <v>0.2</v>
      </c>
      <c r="CO94" s="461">
        <v>0.2</v>
      </c>
      <c r="CP94" s="457">
        <v>0.2</v>
      </c>
      <c r="CQ94" s="457">
        <v>0.2</v>
      </c>
      <c r="CR94" s="457">
        <v>0.2</v>
      </c>
      <c r="CS94" s="462">
        <v>0</v>
      </c>
      <c r="CT94" s="461">
        <v>0</v>
      </c>
      <c r="CU94" s="461">
        <v>0</v>
      </c>
      <c r="CW94" s="455" t="s">
        <v>920</v>
      </c>
      <c r="CX94" s="459" t="s">
        <v>486</v>
      </c>
      <c r="CY94" s="456" t="s">
        <v>487</v>
      </c>
      <c r="CZ94" s="461">
        <v>0.2</v>
      </c>
      <c r="DA94" s="461">
        <v>0.2</v>
      </c>
      <c r="DB94" s="461">
        <v>0.2</v>
      </c>
      <c r="DC94" s="461">
        <v>0.2</v>
      </c>
      <c r="DD94" s="468">
        <v>0.2</v>
      </c>
      <c r="DE94" s="461">
        <v>0.2</v>
      </c>
      <c r="DF94" s="461">
        <v>0.2</v>
      </c>
      <c r="DG94" s="461">
        <v>0.2</v>
      </c>
      <c r="DH94" s="461">
        <v>0.2</v>
      </c>
      <c r="DI94" s="461">
        <v>0.2</v>
      </c>
      <c r="DJ94" s="462"/>
      <c r="DK94" s="461"/>
      <c r="DL94" s="461"/>
      <c r="DN94" s="455" t="s">
        <v>922</v>
      </c>
      <c r="DO94" s="459" t="s">
        <v>486</v>
      </c>
      <c r="DP94" s="456" t="s">
        <v>487</v>
      </c>
      <c r="DQ94" s="461">
        <v>0.2</v>
      </c>
      <c r="DR94" s="461">
        <v>0.2</v>
      </c>
      <c r="DS94" s="461">
        <v>0.2</v>
      </c>
      <c r="DT94" s="461">
        <v>0.2</v>
      </c>
      <c r="DU94" s="468">
        <v>0.2</v>
      </c>
      <c r="DV94" s="461">
        <v>0.2</v>
      </c>
      <c r="DW94" s="461">
        <v>0.2</v>
      </c>
      <c r="DX94" s="461">
        <v>0.2</v>
      </c>
      <c r="DY94" s="461">
        <v>0.2</v>
      </c>
      <c r="DZ94" s="461">
        <v>0.2</v>
      </c>
      <c r="EA94" s="462"/>
      <c r="EB94" s="461"/>
      <c r="EC94" s="461"/>
      <c r="ED94" s="555"/>
      <c r="EF94" s="455" t="s">
        <v>921</v>
      </c>
      <c r="EG94" s="459" t="s">
        <v>486</v>
      </c>
      <c r="EH94" s="456" t="s">
        <v>487</v>
      </c>
      <c r="EI94" s="609">
        <v>0</v>
      </c>
      <c r="EJ94" s="609">
        <v>0</v>
      </c>
      <c r="EK94" s="609">
        <v>0</v>
      </c>
      <c r="EL94" s="609">
        <v>0</v>
      </c>
      <c r="EM94" s="609">
        <v>0</v>
      </c>
      <c r="EN94" s="609">
        <v>0</v>
      </c>
      <c r="EO94" s="609">
        <v>0</v>
      </c>
      <c r="EP94" s="609">
        <v>0</v>
      </c>
      <c r="EQ94" s="609">
        <v>0</v>
      </c>
      <c r="ER94" s="609">
        <v>0</v>
      </c>
      <c r="ES94" s="611">
        <f t="shared" si="166"/>
        <v>0</v>
      </c>
      <c r="ET94" s="609">
        <f t="shared" si="162"/>
        <v>0</v>
      </c>
      <c r="EU94" s="609">
        <f t="shared" si="163"/>
        <v>0</v>
      </c>
      <c r="EW94" s="455" t="s">
        <v>920</v>
      </c>
      <c r="EX94" s="459" t="s">
        <v>486</v>
      </c>
      <c r="EY94" s="456" t="s">
        <v>487</v>
      </c>
      <c r="EZ94" s="672">
        <v>0.15</v>
      </c>
      <c r="FA94" s="598"/>
      <c r="FB94" s="598"/>
      <c r="FC94" s="598"/>
      <c r="FD94" s="598"/>
      <c r="FE94" s="598"/>
      <c r="FF94" s="598"/>
      <c r="FG94" s="598"/>
      <c r="FH94" s="598"/>
      <c r="FI94" s="598"/>
      <c r="FJ94" s="647"/>
      <c r="FK94" s="598"/>
      <c r="FL94" s="598"/>
    </row>
    <row r="95" spans="2:168">
      <c r="B95" s="732" t="str">
        <f t="shared" si="142"/>
        <v>2.4.2</v>
      </c>
      <c r="C95" s="408" t="str">
        <f t="shared" si="120"/>
        <v>給排水・衛生設備</v>
      </c>
      <c r="D95" s="809" t="e">
        <f t="shared" si="167"/>
        <v>#REF!</v>
      </c>
      <c r="E95" s="730" t="e">
        <f t="shared" si="167"/>
        <v>#REF!</v>
      </c>
      <c r="G95" s="730" t="e">
        <f t="shared" si="121"/>
        <v>#REF!</v>
      </c>
      <c r="H95" s="730" t="e">
        <f t="shared" si="122"/>
        <v>#REF!</v>
      </c>
      <c r="I95" s="730"/>
      <c r="J95" s="730"/>
      <c r="K95" s="730" t="e">
        <f>IF(#REF!=0,0,1)</f>
        <v>#REF!</v>
      </c>
      <c r="L95" s="730" t="e">
        <f>IF(#REF!=0,0,1)</f>
        <v>#REF!</v>
      </c>
      <c r="M95" s="730">
        <f t="shared" si="123"/>
        <v>0.2</v>
      </c>
      <c r="N95" s="730">
        <f t="shared" si="124"/>
        <v>0</v>
      </c>
      <c r="P95" s="923"/>
      <c r="Q95" s="728"/>
      <c r="R95" s="414">
        <v>2</v>
      </c>
      <c r="S95" s="579" t="s">
        <v>12</v>
      </c>
      <c r="T95" s="745"/>
      <c r="U95" s="726"/>
      <c r="V95" s="747">
        <f t="shared" si="158"/>
        <v>0</v>
      </c>
      <c r="W95" s="746">
        <f t="shared" si="159"/>
        <v>0</v>
      </c>
      <c r="Y95" s="1">
        <f t="shared" si="143"/>
        <v>0</v>
      </c>
      <c r="Z95" s="1">
        <f t="shared" si="144"/>
        <v>0</v>
      </c>
      <c r="AA95" s="1">
        <f t="shared" si="145"/>
        <v>0</v>
      </c>
      <c r="AB95" s="1">
        <f t="shared" si="146"/>
        <v>0</v>
      </c>
      <c r="AC95" s="1">
        <f t="shared" si="147"/>
        <v>0</v>
      </c>
      <c r="AD95" s="1">
        <f t="shared" si="148"/>
        <v>0</v>
      </c>
      <c r="AE95" s="1">
        <f t="shared" si="149"/>
        <v>0</v>
      </c>
      <c r="AF95" s="1">
        <f t="shared" si="150"/>
        <v>0</v>
      </c>
      <c r="AG95" s="1">
        <f t="shared" si="151"/>
        <v>0</v>
      </c>
      <c r="AH95" s="1">
        <f t="shared" si="152"/>
        <v>0</v>
      </c>
      <c r="AI95" s="1">
        <f t="shared" si="153"/>
        <v>0</v>
      </c>
      <c r="AJ95" s="1">
        <f t="shared" si="154"/>
        <v>0</v>
      </c>
      <c r="AK95" s="1">
        <f t="shared" si="155"/>
        <v>0</v>
      </c>
      <c r="AM95" s="680"/>
      <c r="AN95" s="680"/>
      <c r="AO95" s="680"/>
      <c r="AP95" s="680"/>
      <c r="AQ95" s="680"/>
      <c r="AR95" s="680"/>
      <c r="AS95" s="680"/>
      <c r="AT95" s="680"/>
      <c r="AU95" s="680"/>
      <c r="AV95" s="680"/>
      <c r="AW95" s="680"/>
      <c r="AX95" s="680"/>
      <c r="AY95" s="680"/>
      <c r="BA95" s="723"/>
      <c r="BB95" s="723" t="e">
        <f t="shared" si="125"/>
        <v>#REF!</v>
      </c>
      <c r="BC95" s="723"/>
      <c r="BD95" s="722" t="e">
        <f>BR95*#REF!</f>
        <v>#REF!</v>
      </c>
      <c r="BE95" s="722" t="e">
        <f>BS95*#REF!</f>
        <v>#REF!</v>
      </c>
      <c r="BF95" s="722" t="e">
        <f>BT95*#REF!</f>
        <v>#REF!</v>
      </c>
      <c r="BG95" s="722" t="e">
        <f>BU95*#REF!</f>
        <v>#REF!</v>
      </c>
      <c r="BH95" s="803" t="e">
        <f>BV95*#REF!</f>
        <v>#REF!</v>
      </c>
      <c r="BI95" s="722" t="e">
        <f>BW95*#REF!</f>
        <v>#REF!</v>
      </c>
      <c r="BJ95" s="722" t="e">
        <f>BX95*#REF!</f>
        <v>#REF!</v>
      </c>
      <c r="BK95" s="722" t="e">
        <f>BY95*#REF!</f>
        <v>#REF!</v>
      </c>
      <c r="BL95" s="722" t="e">
        <f>BZ95*#REF!</f>
        <v>#REF!</v>
      </c>
      <c r="BM95" s="722" t="e">
        <f>CA95*#REF!</f>
        <v>#REF!</v>
      </c>
      <c r="BO95" s="749" t="str">
        <f t="shared" si="126"/>
        <v>2.4.2</v>
      </c>
      <c r="BP95" s="749" t="str">
        <f t="shared" si="127"/>
        <v xml:space="preserve"> Q2 2.4</v>
      </c>
      <c r="BQ95" s="408" t="str">
        <f t="shared" si="128"/>
        <v>給排水・衛生設備</v>
      </c>
      <c r="BR95" s="719">
        <f t="shared" si="129"/>
        <v>0.2</v>
      </c>
      <c r="BS95" s="719">
        <f t="shared" si="130"/>
        <v>0.2</v>
      </c>
      <c r="BT95" s="719">
        <f t="shared" si="131"/>
        <v>0.2</v>
      </c>
      <c r="BU95" s="719">
        <f t="shared" si="132"/>
        <v>0.2</v>
      </c>
      <c r="BV95" s="802">
        <f t="shared" si="133"/>
        <v>0.2</v>
      </c>
      <c r="BW95" s="719">
        <f t="shared" si="134"/>
        <v>0.2</v>
      </c>
      <c r="BX95" s="719">
        <f t="shared" si="135"/>
        <v>0.2</v>
      </c>
      <c r="BY95" s="719">
        <f t="shared" si="136"/>
        <v>0.2</v>
      </c>
      <c r="BZ95" s="719">
        <f t="shared" si="137"/>
        <v>0.2</v>
      </c>
      <c r="CA95" s="719">
        <f t="shared" si="138"/>
        <v>0.2</v>
      </c>
      <c r="CB95" s="748">
        <f t="shared" si="139"/>
        <v>0</v>
      </c>
      <c r="CC95" s="719">
        <f t="shared" si="140"/>
        <v>0</v>
      </c>
      <c r="CD95" s="719">
        <f t="shared" si="141"/>
        <v>0</v>
      </c>
      <c r="CF95" s="455" t="s">
        <v>488</v>
      </c>
      <c r="CG95" s="459" t="s">
        <v>486</v>
      </c>
      <c r="CH95" s="456" t="s">
        <v>489</v>
      </c>
      <c r="CI95" s="457">
        <v>0.2</v>
      </c>
      <c r="CJ95" s="457">
        <v>0.2</v>
      </c>
      <c r="CK95" s="457">
        <v>0.2</v>
      </c>
      <c r="CL95" s="457">
        <v>0.2</v>
      </c>
      <c r="CM95" s="465">
        <v>0.2</v>
      </c>
      <c r="CN95" s="457">
        <v>0.2</v>
      </c>
      <c r="CO95" s="461">
        <v>0.2</v>
      </c>
      <c r="CP95" s="457">
        <v>0.2</v>
      </c>
      <c r="CQ95" s="457">
        <v>0.2</v>
      </c>
      <c r="CR95" s="457">
        <v>0.2</v>
      </c>
      <c r="CS95" s="462">
        <v>0</v>
      </c>
      <c r="CT95" s="461">
        <v>0</v>
      </c>
      <c r="CU95" s="461">
        <v>0</v>
      </c>
      <c r="CW95" s="455" t="s">
        <v>488</v>
      </c>
      <c r="CX95" s="459" t="s">
        <v>486</v>
      </c>
      <c r="CY95" s="456" t="s">
        <v>489</v>
      </c>
      <c r="CZ95" s="461">
        <v>0.2</v>
      </c>
      <c r="DA95" s="461">
        <v>0.2</v>
      </c>
      <c r="DB95" s="461">
        <v>0.2</v>
      </c>
      <c r="DC95" s="461">
        <v>0.2</v>
      </c>
      <c r="DD95" s="468">
        <v>0.2</v>
      </c>
      <c r="DE95" s="461">
        <v>0.2</v>
      </c>
      <c r="DF95" s="461">
        <v>0.2</v>
      </c>
      <c r="DG95" s="461">
        <v>0.2</v>
      </c>
      <c r="DH95" s="461">
        <v>0.2</v>
      </c>
      <c r="DI95" s="461">
        <v>0.2</v>
      </c>
      <c r="DJ95" s="462"/>
      <c r="DK95" s="461"/>
      <c r="DL95" s="461"/>
      <c r="DN95" s="455" t="s">
        <v>488</v>
      </c>
      <c r="DO95" s="459" t="s">
        <v>486</v>
      </c>
      <c r="DP95" s="456" t="s">
        <v>489</v>
      </c>
      <c r="DQ95" s="461">
        <v>0.2</v>
      </c>
      <c r="DR95" s="461">
        <v>0.2</v>
      </c>
      <c r="DS95" s="461">
        <v>0.2</v>
      </c>
      <c r="DT95" s="461">
        <v>0.2</v>
      </c>
      <c r="DU95" s="468">
        <v>0.2</v>
      </c>
      <c r="DV95" s="461">
        <v>0.2</v>
      </c>
      <c r="DW95" s="461">
        <v>0.2</v>
      </c>
      <c r="DX95" s="461">
        <v>0.2</v>
      </c>
      <c r="DY95" s="461">
        <v>0.2</v>
      </c>
      <c r="DZ95" s="461">
        <v>0.2</v>
      </c>
      <c r="EA95" s="462"/>
      <c r="EB95" s="461"/>
      <c r="EC95" s="461"/>
      <c r="ED95" s="555"/>
      <c r="EF95" s="455" t="s">
        <v>488</v>
      </c>
      <c r="EG95" s="459" t="s">
        <v>486</v>
      </c>
      <c r="EH95" s="456" t="s">
        <v>489</v>
      </c>
      <c r="EI95" s="609">
        <v>0</v>
      </c>
      <c r="EJ95" s="609">
        <v>0</v>
      </c>
      <c r="EK95" s="609">
        <v>0</v>
      </c>
      <c r="EL95" s="609">
        <v>0</v>
      </c>
      <c r="EM95" s="609">
        <v>0</v>
      </c>
      <c r="EN95" s="609">
        <v>0</v>
      </c>
      <c r="EO95" s="609">
        <v>0</v>
      </c>
      <c r="EP95" s="609">
        <v>0</v>
      </c>
      <c r="EQ95" s="609">
        <v>0</v>
      </c>
      <c r="ER95" s="609">
        <v>0</v>
      </c>
      <c r="ES95" s="611">
        <f t="shared" si="166"/>
        <v>0</v>
      </c>
      <c r="ET95" s="609">
        <f t="shared" si="162"/>
        <v>0</v>
      </c>
      <c r="EU95" s="609">
        <f t="shared" si="163"/>
        <v>0</v>
      </c>
      <c r="EW95" s="455" t="s">
        <v>488</v>
      </c>
      <c r="EX95" s="459" t="s">
        <v>486</v>
      </c>
      <c r="EY95" s="456" t="s">
        <v>489</v>
      </c>
      <c r="EZ95" s="672">
        <v>0.15</v>
      </c>
      <c r="FA95" s="598"/>
      <c r="FB95" s="598"/>
      <c r="FC95" s="598"/>
      <c r="FD95" s="598"/>
      <c r="FE95" s="598"/>
      <c r="FF95" s="598"/>
      <c r="FG95" s="598"/>
      <c r="FH95" s="598"/>
      <c r="FI95" s="598"/>
      <c r="FJ95" s="647"/>
      <c r="FK95" s="598"/>
      <c r="FL95" s="598"/>
    </row>
    <row r="96" spans="2:168">
      <c r="B96" s="732" t="str">
        <f t="shared" si="142"/>
        <v>2.4.3</v>
      </c>
      <c r="C96" s="408" t="str">
        <f t="shared" si="120"/>
        <v>電気設備</v>
      </c>
      <c r="D96" s="809" t="e">
        <f t="shared" si="167"/>
        <v>#REF!</v>
      </c>
      <c r="E96" s="730" t="e">
        <f t="shared" si="167"/>
        <v>#REF!</v>
      </c>
      <c r="G96" s="730" t="e">
        <f t="shared" si="121"/>
        <v>#REF!</v>
      </c>
      <c r="H96" s="730" t="e">
        <f t="shared" si="122"/>
        <v>#REF!</v>
      </c>
      <c r="I96" s="730"/>
      <c r="J96" s="730"/>
      <c r="K96" s="730" t="e">
        <f>IF(#REF!=0,0,1)</f>
        <v>#REF!</v>
      </c>
      <c r="L96" s="730" t="e">
        <f>IF(#REF!=0,0,1)</f>
        <v>#REF!</v>
      </c>
      <c r="M96" s="730">
        <f t="shared" si="123"/>
        <v>0.2</v>
      </c>
      <c r="N96" s="730">
        <f t="shared" si="124"/>
        <v>0</v>
      </c>
      <c r="P96" s="923"/>
      <c r="Q96" s="728"/>
      <c r="R96" s="414">
        <v>3</v>
      </c>
      <c r="S96" s="579" t="s">
        <v>13</v>
      </c>
      <c r="T96" s="745"/>
      <c r="U96" s="726"/>
      <c r="V96" s="747">
        <f t="shared" si="158"/>
        <v>0</v>
      </c>
      <c r="W96" s="746">
        <f t="shared" si="159"/>
        <v>0</v>
      </c>
      <c r="Y96" s="1">
        <f t="shared" si="143"/>
        <v>0</v>
      </c>
      <c r="Z96" s="1">
        <f t="shared" si="144"/>
        <v>0</v>
      </c>
      <c r="AA96" s="1">
        <f t="shared" si="145"/>
        <v>0</v>
      </c>
      <c r="AB96" s="1">
        <f t="shared" si="146"/>
        <v>0</v>
      </c>
      <c r="AC96" s="1">
        <f t="shared" si="147"/>
        <v>0</v>
      </c>
      <c r="AD96" s="1">
        <f t="shared" si="148"/>
        <v>0</v>
      </c>
      <c r="AE96" s="1">
        <f t="shared" si="149"/>
        <v>0</v>
      </c>
      <c r="AF96" s="1">
        <f t="shared" si="150"/>
        <v>0</v>
      </c>
      <c r="AG96" s="1">
        <f t="shared" si="151"/>
        <v>0</v>
      </c>
      <c r="AH96" s="1">
        <f t="shared" si="152"/>
        <v>0</v>
      </c>
      <c r="AI96" s="1">
        <f t="shared" si="153"/>
        <v>0</v>
      </c>
      <c r="AJ96" s="1">
        <f t="shared" si="154"/>
        <v>0</v>
      </c>
      <c r="AK96" s="1">
        <f t="shared" si="155"/>
        <v>0</v>
      </c>
      <c r="AM96" s="680"/>
      <c r="AN96" s="680"/>
      <c r="AO96" s="680"/>
      <c r="AP96" s="680"/>
      <c r="AQ96" s="680"/>
      <c r="AR96" s="680"/>
      <c r="AS96" s="680"/>
      <c r="AT96" s="680"/>
      <c r="AU96" s="680"/>
      <c r="AV96" s="680"/>
      <c r="AW96" s="680"/>
      <c r="AX96" s="680"/>
      <c r="AY96" s="680"/>
      <c r="BA96" s="723"/>
      <c r="BB96" s="723" t="e">
        <f t="shared" si="125"/>
        <v>#REF!</v>
      </c>
      <c r="BC96" s="723"/>
      <c r="BD96" s="722" t="e">
        <f>BR96*#REF!</f>
        <v>#REF!</v>
      </c>
      <c r="BE96" s="722" t="e">
        <f>BS96*#REF!</f>
        <v>#REF!</v>
      </c>
      <c r="BF96" s="722" t="e">
        <f>BT96*#REF!</f>
        <v>#REF!</v>
      </c>
      <c r="BG96" s="722" t="e">
        <f>BU96*#REF!</f>
        <v>#REF!</v>
      </c>
      <c r="BH96" s="803" t="e">
        <f>BV96*#REF!</f>
        <v>#REF!</v>
      </c>
      <c r="BI96" s="722" t="e">
        <f>BW96*#REF!</f>
        <v>#REF!</v>
      </c>
      <c r="BJ96" s="722" t="e">
        <f>BX96*#REF!</f>
        <v>#REF!</v>
      </c>
      <c r="BK96" s="722" t="e">
        <f>BY96*#REF!</f>
        <v>#REF!</v>
      </c>
      <c r="BL96" s="722" t="e">
        <f>BZ96*#REF!</f>
        <v>#REF!</v>
      </c>
      <c r="BM96" s="722" t="e">
        <f>CA96*#REF!</f>
        <v>#REF!</v>
      </c>
      <c r="BO96" s="749" t="str">
        <f t="shared" si="126"/>
        <v>2.4.3</v>
      </c>
      <c r="BP96" s="749" t="str">
        <f t="shared" si="127"/>
        <v xml:space="preserve"> Q2 2.4</v>
      </c>
      <c r="BQ96" s="408" t="str">
        <f t="shared" si="128"/>
        <v>電気設備</v>
      </c>
      <c r="BR96" s="719">
        <f t="shared" si="129"/>
        <v>0.2</v>
      </c>
      <c r="BS96" s="719">
        <f t="shared" si="130"/>
        <v>0.2</v>
      </c>
      <c r="BT96" s="719">
        <f t="shared" si="131"/>
        <v>0.2</v>
      </c>
      <c r="BU96" s="719">
        <f t="shared" si="132"/>
        <v>0.2</v>
      </c>
      <c r="BV96" s="802">
        <f t="shared" si="133"/>
        <v>0.2</v>
      </c>
      <c r="BW96" s="719">
        <f t="shared" si="134"/>
        <v>0.2</v>
      </c>
      <c r="BX96" s="719">
        <f t="shared" si="135"/>
        <v>0.2</v>
      </c>
      <c r="BY96" s="719">
        <f t="shared" si="136"/>
        <v>0.2</v>
      </c>
      <c r="BZ96" s="719">
        <f t="shared" si="137"/>
        <v>0.2</v>
      </c>
      <c r="CA96" s="719">
        <f t="shared" si="138"/>
        <v>0.2</v>
      </c>
      <c r="CB96" s="748">
        <f t="shared" si="139"/>
        <v>0</v>
      </c>
      <c r="CC96" s="719">
        <f t="shared" si="140"/>
        <v>0</v>
      </c>
      <c r="CD96" s="719">
        <f t="shared" si="141"/>
        <v>0</v>
      </c>
      <c r="CF96" s="455" t="s">
        <v>490</v>
      </c>
      <c r="CG96" s="459" t="s">
        <v>486</v>
      </c>
      <c r="CH96" s="456" t="s">
        <v>491</v>
      </c>
      <c r="CI96" s="457">
        <v>0.2</v>
      </c>
      <c r="CJ96" s="457">
        <v>0.2</v>
      </c>
      <c r="CK96" s="457">
        <v>0.2</v>
      </c>
      <c r="CL96" s="457">
        <v>0.2</v>
      </c>
      <c r="CM96" s="465">
        <v>0.2</v>
      </c>
      <c r="CN96" s="457">
        <v>0.2</v>
      </c>
      <c r="CO96" s="461">
        <v>0.2</v>
      </c>
      <c r="CP96" s="457">
        <v>0.2</v>
      </c>
      <c r="CQ96" s="457">
        <v>0.2</v>
      </c>
      <c r="CR96" s="457">
        <v>0.2</v>
      </c>
      <c r="CS96" s="462">
        <v>0</v>
      </c>
      <c r="CT96" s="461">
        <v>0</v>
      </c>
      <c r="CU96" s="461">
        <v>0</v>
      </c>
      <c r="CW96" s="455" t="s">
        <v>490</v>
      </c>
      <c r="CX96" s="459" t="s">
        <v>486</v>
      </c>
      <c r="CY96" s="456" t="s">
        <v>491</v>
      </c>
      <c r="CZ96" s="461">
        <v>0.2</v>
      </c>
      <c r="DA96" s="461">
        <v>0.2</v>
      </c>
      <c r="DB96" s="461">
        <v>0.2</v>
      </c>
      <c r="DC96" s="461">
        <v>0.2</v>
      </c>
      <c r="DD96" s="468">
        <v>0.2</v>
      </c>
      <c r="DE96" s="461">
        <v>0.2</v>
      </c>
      <c r="DF96" s="461">
        <v>0.2</v>
      </c>
      <c r="DG96" s="461">
        <v>0.2</v>
      </c>
      <c r="DH96" s="461">
        <v>0.2</v>
      </c>
      <c r="DI96" s="461">
        <v>0.2</v>
      </c>
      <c r="DJ96" s="462"/>
      <c r="DK96" s="461"/>
      <c r="DL96" s="461"/>
      <c r="DN96" s="455" t="s">
        <v>490</v>
      </c>
      <c r="DO96" s="459" t="s">
        <v>486</v>
      </c>
      <c r="DP96" s="456" t="s">
        <v>491</v>
      </c>
      <c r="DQ96" s="461">
        <v>0.2</v>
      </c>
      <c r="DR96" s="461">
        <v>0.2</v>
      </c>
      <c r="DS96" s="461">
        <v>0.2</v>
      </c>
      <c r="DT96" s="461">
        <v>0.2</v>
      </c>
      <c r="DU96" s="468">
        <v>0.2</v>
      </c>
      <c r="DV96" s="461">
        <v>0.2</v>
      </c>
      <c r="DW96" s="461">
        <v>0.2</v>
      </c>
      <c r="DX96" s="461">
        <v>0.2</v>
      </c>
      <c r="DY96" s="461">
        <v>0.2</v>
      </c>
      <c r="DZ96" s="461">
        <v>0.2</v>
      </c>
      <c r="EA96" s="462"/>
      <c r="EB96" s="461"/>
      <c r="EC96" s="461"/>
      <c r="ED96" s="555"/>
      <c r="EF96" s="455" t="s">
        <v>490</v>
      </c>
      <c r="EG96" s="459" t="s">
        <v>486</v>
      </c>
      <c r="EH96" s="456" t="s">
        <v>491</v>
      </c>
      <c r="EI96" s="609">
        <v>0</v>
      </c>
      <c r="EJ96" s="609">
        <v>0</v>
      </c>
      <c r="EK96" s="609">
        <v>0</v>
      </c>
      <c r="EL96" s="609">
        <v>0</v>
      </c>
      <c r="EM96" s="609">
        <v>0</v>
      </c>
      <c r="EN96" s="609">
        <v>0</v>
      </c>
      <c r="EO96" s="609">
        <v>0</v>
      </c>
      <c r="EP96" s="609">
        <v>0</v>
      </c>
      <c r="EQ96" s="609">
        <v>0</v>
      </c>
      <c r="ER96" s="609">
        <v>0</v>
      </c>
      <c r="ES96" s="611">
        <f t="shared" si="166"/>
        <v>0</v>
      </c>
      <c r="ET96" s="609">
        <f t="shared" si="162"/>
        <v>0</v>
      </c>
      <c r="EU96" s="609">
        <f t="shared" si="163"/>
        <v>0</v>
      </c>
      <c r="EW96" s="455" t="s">
        <v>490</v>
      </c>
      <c r="EX96" s="459" t="s">
        <v>486</v>
      </c>
      <c r="EY96" s="456" t="s">
        <v>491</v>
      </c>
      <c r="EZ96" s="672">
        <v>0.25</v>
      </c>
      <c r="FA96" s="598"/>
      <c r="FB96" s="598"/>
      <c r="FC96" s="598"/>
      <c r="FD96" s="598"/>
      <c r="FE96" s="598"/>
      <c r="FF96" s="598"/>
      <c r="FG96" s="598"/>
      <c r="FH96" s="598"/>
      <c r="FI96" s="598"/>
      <c r="FJ96" s="647"/>
      <c r="FK96" s="598"/>
      <c r="FL96" s="598"/>
    </row>
    <row r="97" spans="2:168">
      <c r="B97" s="732" t="str">
        <f t="shared" si="142"/>
        <v>2.4.4</v>
      </c>
      <c r="C97" s="408" t="str">
        <f t="shared" si="120"/>
        <v>機械・配管支持方法</v>
      </c>
      <c r="D97" s="809" t="e">
        <f t="shared" si="167"/>
        <v>#REF!</v>
      </c>
      <c r="E97" s="730" t="e">
        <f t="shared" si="167"/>
        <v>#REF!</v>
      </c>
      <c r="G97" s="730" t="e">
        <f t="shared" si="121"/>
        <v>#REF!</v>
      </c>
      <c r="H97" s="730" t="e">
        <f t="shared" si="122"/>
        <v>#REF!</v>
      </c>
      <c r="I97" s="730"/>
      <c r="J97" s="730"/>
      <c r="K97" s="730" t="e">
        <f>IF(#REF!=0,0,1)</f>
        <v>#REF!</v>
      </c>
      <c r="L97" s="730" t="e">
        <f>IF(#REF!=0,0,1)</f>
        <v>#REF!</v>
      </c>
      <c r="M97" s="730">
        <f t="shared" si="123"/>
        <v>0.2</v>
      </c>
      <c r="N97" s="730">
        <f t="shared" si="124"/>
        <v>0</v>
      </c>
      <c r="P97" s="923"/>
      <c r="Q97" s="728"/>
      <c r="R97" s="414">
        <v>4</v>
      </c>
      <c r="S97" s="579" t="s">
        <v>263</v>
      </c>
      <c r="T97" s="745"/>
      <c r="U97" s="726"/>
      <c r="V97" s="747">
        <f t="shared" si="158"/>
        <v>0</v>
      </c>
      <c r="W97" s="746">
        <f t="shared" si="159"/>
        <v>0</v>
      </c>
      <c r="Y97" s="1">
        <f t="shared" si="143"/>
        <v>0</v>
      </c>
      <c r="Z97" s="1">
        <f t="shared" si="144"/>
        <v>0</v>
      </c>
      <c r="AA97" s="1">
        <f t="shared" si="145"/>
        <v>0</v>
      </c>
      <c r="AB97" s="1">
        <f t="shared" si="146"/>
        <v>0</v>
      </c>
      <c r="AC97" s="1">
        <f t="shared" si="147"/>
        <v>0</v>
      </c>
      <c r="AD97" s="1">
        <f t="shared" si="148"/>
        <v>0</v>
      </c>
      <c r="AE97" s="1">
        <f t="shared" si="149"/>
        <v>0</v>
      </c>
      <c r="AF97" s="1">
        <f t="shared" si="150"/>
        <v>0</v>
      </c>
      <c r="AG97" s="1">
        <f t="shared" si="151"/>
        <v>0</v>
      </c>
      <c r="AH97" s="1">
        <f t="shared" si="152"/>
        <v>0</v>
      </c>
      <c r="AI97" s="1">
        <f t="shared" si="153"/>
        <v>0</v>
      </c>
      <c r="AJ97" s="1">
        <f t="shared" si="154"/>
        <v>0</v>
      </c>
      <c r="AK97" s="1">
        <f t="shared" si="155"/>
        <v>0</v>
      </c>
      <c r="AM97" s="680"/>
      <c r="AN97" s="680"/>
      <c r="AO97" s="680"/>
      <c r="AP97" s="680"/>
      <c r="AQ97" s="680"/>
      <c r="AR97" s="680"/>
      <c r="AS97" s="680"/>
      <c r="AT97" s="680"/>
      <c r="AU97" s="680"/>
      <c r="AV97" s="680"/>
      <c r="AW97" s="680"/>
      <c r="AX97" s="680"/>
      <c r="AY97" s="680"/>
      <c r="BA97" s="723"/>
      <c r="BB97" s="723" t="e">
        <f t="shared" si="125"/>
        <v>#REF!</v>
      </c>
      <c r="BC97" s="723"/>
      <c r="BD97" s="722" t="e">
        <f>BR97*#REF!</f>
        <v>#REF!</v>
      </c>
      <c r="BE97" s="722" t="e">
        <f>BS97*#REF!</f>
        <v>#REF!</v>
      </c>
      <c r="BF97" s="722" t="e">
        <f>BT97*#REF!</f>
        <v>#REF!</v>
      </c>
      <c r="BG97" s="722" t="e">
        <f>BU97*#REF!</f>
        <v>#REF!</v>
      </c>
      <c r="BH97" s="803" t="e">
        <f>BV97*#REF!</f>
        <v>#REF!</v>
      </c>
      <c r="BI97" s="722" t="e">
        <f>BW97*#REF!</f>
        <v>#REF!</v>
      </c>
      <c r="BJ97" s="722" t="e">
        <f>BX97*#REF!</f>
        <v>#REF!</v>
      </c>
      <c r="BK97" s="722" t="e">
        <f>BY97*#REF!</f>
        <v>#REF!</v>
      </c>
      <c r="BL97" s="722" t="e">
        <f>BZ97*#REF!</f>
        <v>#REF!</v>
      </c>
      <c r="BM97" s="722" t="e">
        <f>CA97*#REF!</f>
        <v>#REF!</v>
      </c>
      <c r="BO97" s="749" t="str">
        <f t="shared" si="126"/>
        <v>2.4.4</v>
      </c>
      <c r="BP97" s="749" t="str">
        <f t="shared" si="127"/>
        <v xml:space="preserve"> Q2 2.4</v>
      </c>
      <c r="BQ97" s="408" t="str">
        <f t="shared" si="128"/>
        <v>機械・配管支持方法</v>
      </c>
      <c r="BR97" s="719">
        <f t="shared" si="129"/>
        <v>0.2</v>
      </c>
      <c r="BS97" s="719">
        <f t="shared" si="130"/>
        <v>0.2</v>
      </c>
      <c r="BT97" s="719">
        <f t="shared" si="131"/>
        <v>0.2</v>
      </c>
      <c r="BU97" s="719">
        <f t="shared" si="132"/>
        <v>0.2</v>
      </c>
      <c r="BV97" s="802">
        <f t="shared" si="133"/>
        <v>0.2</v>
      </c>
      <c r="BW97" s="719">
        <f t="shared" si="134"/>
        <v>0.2</v>
      </c>
      <c r="BX97" s="719">
        <f t="shared" si="135"/>
        <v>0.2</v>
      </c>
      <c r="BY97" s="719">
        <f t="shared" si="136"/>
        <v>0.2</v>
      </c>
      <c r="BZ97" s="719">
        <f t="shared" si="137"/>
        <v>0.2</v>
      </c>
      <c r="CA97" s="719">
        <f t="shared" si="138"/>
        <v>0.2</v>
      </c>
      <c r="CB97" s="748">
        <f t="shared" si="139"/>
        <v>0</v>
      </c>
      <c r="CC97" s="719">
        <f t="shared" si="140"/>
        <v>0</v>
      </c>
      <c r="CD97" s="719">
        <f t="shared" si="141"/>
        <v>0</v>
      </c>
      <c r="CF97" s="455" t="s">
        <v>492</v>
      </c>
      <c r="CG97" s="459" t="s">
        <v>486</v>
      </c>
      <c r="CH97" s="456" t="s">
        <v>493</v>
      </c>
      <c r="CI97" s="457">
        <v>0.2</v>
      </c>
      <c r="CJ97" s="457">
        <v>0.2</v>
      </c>
      <c r="CK97" s="457">
        <v>0.2</v>
      </c>
      <c r="CL97" s="457">
        <v>0.2</v>
      </c>
      <c r="CM97" s="465">
        <v>0.2</v>
      </c>
      <c r="CN97" s="457">
        <v>0.2</v>
      </c>
      <c r="CO97" s="461">
        <v>0.2</v>
      </c>
      <c r="CP97" s="457">
        <v>0.2</v>
      </c>
      <c r="CQ97" s="457">
        <v>0.2</v>
      </c>
      <c r="CR97" s="457">
        <v>0.2</v>
      </c>
      <c r="CS97" s="462">
        <v>0</v>
      </c>
      <c r="CT97" s="461">
        <v>0</v>
      </c>
      <c r="CU97" s="461">
        <v>0</v>
      </c>
      <c r="CW97" s="455" t="s">
        <v>492</v>
      </c>
      <c r="CX97" s="459" t="s">
        <v>486</v>
      </c>
      <c r="CY97" s="456" t="s">
        <v>493</v>
      </c>
      <c r="CZ97" s="461">
        <v>0.2</v>
      </c>
      <c r="DA97" s="461">
        <v>0.2</v>
      </c>
      <c r="DB97" s="461">
        <v>0.2</v>
      </c>
      <c r="DC97" s="461">
        <v>0.2</v>
      </c>
      <c r="DD97" s="468">
        <v>0.2</v>
      </c>
      <c r="DE97" s="461">
        <v>0.2</v>
      </c>
      <c r="DF97" s="461">
        <v>0.2</v>
      </c>
      <c r="DG97" s="461">
        <v>0.2</v>
      </c>
      <c r="DH97" s="461">
        <v>0.2</v>
      </c>
      <c r="DI97" s="461">
        <v>0.2</v>
      </c>
      <c r="DJ97" s="462"/>
      <c r="DK97" s="461"/>
      <c r="DL97" s="461"/>
      <c r="DN97" s="455" t="s">
        <v>492</v>
      </c>
      <c r="DO97" s="459" t="s">
        <v>486</v>
      </c>
      <c r="DP97" s="456" t="s">
        <v>493</v>
      </c>
      <c r="DQ97" s="461">
        <v>0.2</v>
      </c>
      <c r="DR97" s="461">
        <v>0.2</v>
      </c>
      <c r="DS97" s="461">
        <v>0.2</v>
      </c>
      <c r="DT97" s="461">
        <v>0.2</v>
      </c>
      <c r="DU97" s="468">
        <v>0.2</v>
      </c>
      <c r="DV97" s="461">
        <v>0.2</v>
      </c>
      <c r="DW97" s="461">
        <v>0.2</v>
      </c>
      <c r="DX97" s="461">
        <v>0.2</v>
      </c>
      <c r="DY97" s="461">
        <v>0.2</v>
      </c>
      <c r="DZ97" s="461">
        <v>0.2</v>
      </c>
      <c r="EA97" s="462"/>
      <c r="EB97" s="461"/>
      <c r="EC97" s="461"/>
      <c r="ED97" s="555"/>
      <c r="EF97" s="455" t="s">
        <v>492</v>
      </c>
      <c r="EG97" s="459" t="s">
        <v>486</v>
      </c>
      <c r="EH97" s="456" t="s">
        <v>493</v>
      </c>
      <c r="EI97" s="598">
        <v>1</v>
      </c>
      <c r="EJ97" s="598">
        <v>1</v>
      </c>
      <c r="EK97" s="598">
        <v>1</v>
      </c>
      <c r="EL97" s="598">
        <v>1</v>
      </c>
      <c r="EM97" s="598">
        <v>1</v>
      </c>
      <c r="EN97" s="598">
        <v>1</v>
      </c>
      <c r="EO97" s="598">
        <v>1</v>
      </c>
      <c r="EP97" s="598">
        <v>1</v>
      </c>
      <c r="EQ97" s="598">
        <v>1</v>
      </c>
      <c r="ER97" s="598">
        <v>1</v>
      </c>
      <c r="ES97" s="611">
        <f t="shared" si="166"/>
        <v>0</v>
      </c>
      <c r="ET97" s="609">
        <f t="shared" si="162"/>
        <v>0</v>
      </c>
      <c r="EU97" s="609">
        <f t="shared" si="163"/>
        <v>0</v>
      </c>
      <c r="EW97" s="455" t="s">
        <v>492</v>
      </c>
      <c r="EX97" s="459" t="s">
        <v>486</v>
      </c>
      <c r="EY97" s="456" t="s">
        <v>493</v>
      </c>
      <c r="EZ97" s="672">
        <v>0.2</v>
      </c>
      <c r="FA97" s="598"/>
      <c r="FB97" s="598"/>
      <c r="FC97" s="598"/>
      <c r="FD97" s="598"/>
      <c r="FE97" s="598"/>
      <c r="FF97" s="598"/>
      <c r="FG97" s="598"/>
      <c r="FH97" s="598"/>
      <c r="FI97" s="598"/>
      <c r="FJ97" s="647"/>
      <c r="FK97" s="598"/>
      <c r="FL97" s="598"/>
    </row>
    <row r="98" spans="2:168" ht="14.25" thickBot="1">
      <c r="B98" s="732" t="str">
        <f t="shared" si="142"/>
        <v>2.4.5</v>
      </c>
      <c r="C98" s="408" t="str">
        <f t="shared" si="120"/>
        <v>通信・情報設備</v>
      </c>
      <c r="D98" s="809" t="e">
        <f t="shared" si="167"/>
        <v>#REF!</v>
      </c>
      <c r="E98" s="730" t="e">
        <f t="shared" si="167"/>
        <v>#REF!</v>
      </c>
      <c r="G98" s="730" t="e">
        <f t="shared" si="121"/>
        <v>#REF!</v>
      </c>
      <c r="H98" s="730" t="e">
        <f t="shared" si="122"/>
        <v>#REF!</v>
      </c>
      <c r="I98" s="730"/>
      <c r="J98" s="730"/>
      <c r="K98" s="730" t="e">
        <f>IF(#REF!=0,0,1)</f>
        <v>#REF!</v>
      </c>
      <c r="L98" s="730" t="e">
        <f>IF(#REF!=0,0,1)</f>
        <v>#REF!</v>
      </c>
      <c r="M98" s="730">
        <f t="shared" si="123"/>
        <v>0.2</v>
      </c>
      <c r="N98" s="730">
        <f t="shared" si="124"/>
        <v>0</v>
      </c>
      <c r="P98" s="924"/>
      <c r="Q98" s="776"/>
      <c r="R98" s="414">
        <v>5</v>
      </c>
      <c r="S98" s="579" t="s">
        <v>264</v>
      </c>
      <c r="T98" s="745"/>
      <c r="U98" s="726"/>
      <c r="V98" s="747">
        <f t="shared" si="158"/>
        <v>0</v>
      </c>
      <c r="W98" s="746">
        <f t="shared" si="159"/>
        <v>0</v>
      </c>
      <c r="Y98" s="1">
        <f t="shared" si="143"/>
        <v>0</v>
      </c>
      <c r="Z98" s="1">
        <f t="shared" si="144"/>
        <v>0</v>
      </c>
      <c r="AA98" s="1">
        <f t="shared" si="145"/>
        <v>0</v>
      </c>
      <c r="AB98" s="1">
        <f t="shared" si="146"/>
        <v>0</v>
      </c>
      <c r="AC98" s="1">
        <f t="shared" si="147"/>
        <v>0</v>
      </c>
      <c r="AD98" s="1">
        <f t="shared" si="148"/>
        <v>0</v>
      </c>
      <c r="AE98" s="1">
        <f t="shared" si="149"/>
        <v>0</v>
      </c>
      <c r="AF98" s="1">
        <f t="shared" si="150"/>
        <v>0</v>
      </c>
      <c r="AG98" s="1">
        <f t="shared" si="151"/>
        <v>0</v>
      </c>
      <c r="AH98" s="1">
        <f t="shared" si="152"/>
        <v>0</v>
      </c>
      <c r="AI98" s="1">
        <f t="shared" si="153"/>
        <v>0</v>
      </c>
      <c r="AJ98" s="1">
        <f t="shared" si="154"/>
        <v>0</v>
      </c>
      <c r="AK98" s="1">
        <f t="shared" si="155"/>
        <v>0</v>
      </c>
      <c r="AM98" s="683"/>
      <c r="AN98" s="683"/>
      <c r="AO98" s="683"/>
      <c r="AP98" s="683"/>
      <c r="AQ98" s="683"/>
      <c r="AR98" s="683"/>
      <c r="AS98" s="683"/>
      <c r="AT98" s="683"/>
      <c r="AU98" s="683"/>
      <c r="AV98" s="683"/>
      <c r="AW98" s="683"/>
      <c r="AX98" s="683"/>
      <c r="AY98" s="683"/>
      <c r="BA98" s="723"/>
      <c r="BB98" s="723" t="e">
        <f t="shared" si="125"/>
        <v>#REF!</v>
      </c>
      <c r="BC98" s="723"/>
      <c r="BD98" s="722" t="e">
        <f>BR98*#REF!</f>
        <v>#REF!</v>
      </c>
      <c r="BE98" s="722" t="e">
        <f>BS98*#REF!</f>
        <v>#REF!</v>
      </c>
      <c r="BF98" s="722" t="e">
        <f>BT98*#REF!</f>
        <v>#REF!</v>
      </c>
      <c r="BG98" s="722" t="e">
        <f>BU98*#REF!</f>
        <v>#REF!</v>
      </c>
      <c r="BH98" s="803" t="e">
        <f>BV98*#REF!</f>
        <v>#REF!</v>
      </c>
      <c r="BI98" s="722" t="e">
        <f>BW98*#REF!</f>
        <v>#REF!</v>
      </c>
      <c r="BJ98" s="722" t="e">
        <f>BX98*#REF!</f>
        <v>#REF!</v>
      </c>
      <c r="BK98" s="722" t="e">
        <f>BY98*#REF!</f>
        <v>#REF!</v>
      </c>
      <c r="BL98" s="722" t="e">
        <f>BZ98*#REF!</f>
        <v>#REF!</v>
      </c>
      <c r="BM98" s="722" t="e">
        <f>CA98*#REF!</f>
        <v>#REF!</v>
      </c>
      <c r="BO98" s="749" t="str">
        <f t="shared" si="126"/>
        <v>2.4.5</v>
      </c>
      <c r="BP98" s="749" t="str">
        <f t="shared" si="127"/>
        <v xml:space="preserve"> Q2 2.4</v>
      </c>
      <c r="BQ98" s="408" t="str">
        <f t="shared" si="128"/>
        <v>通信・情報設備</v>
      </c>
      <c r="BR98" s="719">
        <f t="shared" si="129"/>
        <v>0.2</v>
      </c>
      <c r="BS98" s="719">
        <f t="shared" si="130"/>
        <v>0.2</v>
      </c>
      <c r="BT98" s="719">
        <f t="shared" si="131"/>
        <v>0.2</v>
      </c>
      <c r="BU98" s="719">
        <f t="shared" si="132"/>
        <v>0.2</v>
      </c>
      <c r="BV98" s="802">
        <f t="shared" si="133"/>
        <v>0.2</v>
      </c>
      <c r="BW98" s="719">
        <f t="shared" si="134"/>
        <v>0.2</v>
      </c>
      <c r="BX98" s="719">
        <f t="shared" si="135"/>
        <v>0.2</v>
      </c>
      <c r="BY98" s="719">
        <f t="shared" si="136"/>
        <v>0.2</v>
      </c>
      <c r="BZ98" s="719">
        <f t="shared" si="137"/>
        <v>0.2</v>
      </c>
      <c r="CA98" s="719">
        <f t="shared" si="138"/>
        <v>0.2</v>
      </c>
      <c r="CB98" s="748">
        <f t="shared" si="139"/>
        <v>0</v>
      </c>
      <c r="CC98" s="719">
        <f t="shared" si="140"/>
        <v>0</v>
      </c>
      <c r="CD98" s="719">
        <f t="shared" si="141"/>
        <v>0</v>
      </c>
      <c r="CF98" s="455" t="s">
        <v>494</v>
      </c>
      <c r="CG98" s="459" t="s">
        <v>486</v>
      </c>
      <c r="CH98" s="456" t="s">
        <v>495</v>
      </c>
      <c r="CI98" s="457">
        <v>0.2</v>
      </c>
      <c r="CJ98" s="457">
        <v>0.2</v>
      </c>
      <c r="CK98" s="457">
        <v>0.2</v>
      </c>
      <c r="CL98" s="457">
        <v>0.2</v>
      </c>
      <c r="CM98" s="465">
        <v>0.2</v>
      </c>
      <c r="CN98" s="457">
        <v>0.2</v>
      </c>
      <c r="CO98" s="461">
        <v>0.2</v>
      </c>
      <c r="CP98" s="457">
        <v>0.2</v>
      </c>
      <c r="CQ98" s="457">
        <v>0.2</v>
      </c>
      <c r="CR98" s="457">
        <v>0.2</v>
      </c>
      <c r="CS98" s="462">
        <v>0</v>
      </c>
      <c r="CT98" s="461">
        <v>0</v>
      </c>
      <c r="CU98" s="461">
        <v>0</v>
      </c>
      <c r="CW98" s="455" t="s">
        <v>494</v>
      </c>
      <c r="CX98" s="459" t="s">
        <v>486</v>
      </c>
      <c r="CY98" s="456" t="s">
        <v>495</v>
      </c>
      <c r="CZ98" s="461">
        <v>0.2</v>
      </c>
      <c r="DA98" s="461">
        <v>0.2</v>
      </c>
      <c r="DB98" s="461">
        <v>0.2</v>
      </c>
      <c r="DC98" s="461">
        <v>0.2</v>
      </c>
      <c r="DD98" s="468">
        <v>0.2</v>
      </c>
      <c r="DE98" s="461">
        <v>0.2</v>
      </c>
      <c r="DF98" s="461">
        <v>0.2</v>
      </c>
      <c r="DG98" s="461">
        <v>0.2</v>
      </c>
      <c r="DH98" s="461">
        <v>0.2</v>
      </c>
      <c r="DI98" s="461">
        <v>0.2</v>
      </c>
      <c r="DJ98" s="462"/>
      <c r="DK98" s="461"/>
      <c r="DL98" s="461"/>
      <c r="DN98" s="455" t="s">
        <v>494</v>
      </c>
      <c r="DO98" s="459" t="s">
        <v>486</v>
      </c>
      <c r="DP98" s="456" t="s">
        <v>495</v>
      </c>
      <c r="DQ98" s="461">
        <v>0.2</v>
      </c>
      <c r="DR98" s="461">
        <v>0.2</v>
      </c>
      <c r="DS98" s="461">
        <v>0.2</v>
      </c>
      <c r="DT98" s="461">
        <v>0.2</v>
      </c>
      <c r="DU98" s="468">
        <v>0.2</v>
      </c>
      <c r="DV98" s="461">
        <v>0.2</v>
      </c>
      <c r="DW98" s="461">
        <v>0.2</v>
      </c>
      <c r="DX98" s="461">
        <v>0.2</v>
      </c>
      <c r="DY98" s="461">
        <v>0.2</v>
      </c>
      <c r="DZ98" s="461">
        <v>0.2</v>
      </c>
      <c r="EA98" s="462"/>
      <c r="EB98" s="461"/>
      <c r="EC98" s="461"/>
      <c r="ED98" s="555"/>
      <c r="EF98" s="455" t="s">
        <v>494</v>
      </c>
      <c r="EG98" s="459" t="s">
        <v>486</v>
      </c>
      <c r="EH98" s="456" t="s">
        <v>495</v>
      </c>
      <c r="EI98" s="609">
        <v>0</v>
      </c>
      <c r="EJ98" s="609">
        <v>0</v>
      </c>
      <c r="EK98" s="609">
        <v>0</v>
      </c>
      <c r="EL98" s="609">
        <v>0</v>
      </c>
      <c r="EM98" s="609">
        <v>0</v>
      </c>
      <c r="EN98" s="609">
        <v>0</v>
      </c>
      <c r="EO98" s="609">
        <v>0</v>
      </c>
      <c r="EP98" s="609">
        <v>0</v>
      </c>
      <c r="EQ98" s="609">
        <v>0</v>
      </c>
      <c r="ER98" s="609">
        <v>0</v>
      </c>
      <c r="ES98" s="611">
        <f t="shared" si="166"/>
        <v>0</v>
      </c>
      <c r="ET98" s="609">
        <f t="shared" si="162"/>
        <v>0</v>
      </c>
      <c r="EU98" s="609">
        <f t="shared" si="163"/>
        <v>0</v>
      </c>
      <c r="EW98" s="455" t="s">
        <v>494</v>
      </c>
      <c r="EX98" s="459" t="s">
        <v>486</v>
      </c>
      <c r="EY98" s="456" t="s">
        <v>495</v>
      </c>
      <c r="EZ98" s="672">
        <v>0.25</v>
      </c>
      <c r="FA98" s="598"/>
      <c r="FB98" s="598"/>
      <c r="FC98" s="598"/>
      <c r="FD98" s="598"/>
      <c r="FE98" s="598"/>
      <c r="FF98" s="598"/>
      <c r="FG98" s="598"/>
      <c r="FH98" s="598"/>
      <c r="FI98" s="598"/>
      <c r="FJ98" s="647"/>
      <c r="FK98" s="598"/>
      <c r="FL98" s="598"/>
    </row>
    <row r="99" spans="2:168" ht="14.25" hidden="1" thickBot="1">
      <c r="B99" s="732">
        <f t="shared" si="142"/>
        <v>0</v>
      </c>
      <c r="C99" s="408">
        <f t="shared" si="120"/>
        <v>0</v>
      </c>
      <c r="D99" s="809"/>
      <c r="E99" s="730"/>
      <c r="G99" s="730">
        <f t="shared" si="121"/>
        <v>0</v>
      </c>
      <c r="H99" s="730">
        <f t="shared" si="122"/>
        <v>0</v>
      </c>
      <c r="I99" s="730"/>
      <c r="J99" s="730"/>
      <c r="K99" s="730"/>
      <c r="L99" s="730"/>
      <c r="M99" s="730">
        <f t="shared" si="123"/>
        <v>0</v>
      </c>
      <c r="N99" s="730"/>
      <c r="P99" s="923"/>
      <c r="Q99" s="922"/>
      <c r="R99" s="921"/>
      <c r="S99" s="920"/>
      <c r="T99" s="753"/>
      <c r="U99" s="726"/>
      <c r="V99" s="747">
        <f t="shared" si="158"/>
        <v>0</v>
      </c>
      <c r="W99" s="746">
        <f t="shared" si="159"/>
        <v>0</v>
      </c>
      <c r="Y99" s="1">
        <f t="shared" si="143"/>
        <v>0</v>
      </c>
      <c r="Z99" s="1">
        <f t="shared" si="144"/>
        <v>0</v>
      </c>
      <c r="AA99" s="1">
        <f t="shared" si="145"/>
        <v>0</v>
      </c>
      <c r="AB99" s="1">
        <f t="shared" si="146"/>
        <v>0</v>
      </c>
      <c r="AC99" s="1">
        <f t="shared" si="147"/>
        <v>0</v>
      </c>
      <c r="AD99" s="1">
        <f t="shared" si="148"/>
        <v>0</v>
      </c>
      <c r="AE99" s="1">
        <f t="shared" si="149"/>
        <v>0</v>
      </c>
      <c r="AF99" s="1">
        <f t="shared" si="150"/>
        <v>0</v>
      </c>
      <c r="AG99" s="1">
        <f t="shared" si="151"/>
        <v>0</v>
      </c>
      <c r="AH99" s="1">
        <f t="shared" si="152"/>
        <v>0</v>
      </c>
      <c r="AI99" s="1">
        <f t="shared" si="153"/>
        <v>0</v>
      </c>
      <c r="AJ99" s="1">
        <f t="shared" si="154"/>
        <v>0</v>
      </c>
      <c r="AK99" s="1">
        <f t="shared" si="155"/>
        <v>0</v>
      </c>
      <c r="AM99" s="772"/>
      <c r="AN99" s="772"/>
      <c r="AO99" s="772"/>
      <c r="AP99" s="772"/>
      <c r="AQ99" s="772"/>
      <c r="AR99" s="772"/>
      <c r="AS99" s="772"/>
      <c r="AT99" s="772"/>
      <c r="AU99" s="772"/>
      <c r="AV99" s="772"/>
      <c r="AW99" s="772"/>
      <c r="AX99" s="772"/>
      <c r="AY99" s="772"/>
      <c r="BA99" s="723"/>
      <c r="BB99" s="723" t="e">
        <f t="shared" si="125"/>
        <v>#REF!</v>
      </c>
      <c r="BC99" s="723"/>
      <c r="BD99" s="722" t="e">
        <f>BR99*#REF!</f>
        <v>#REF!</v>
      </c>
      <c r="BE99" s="722" t="e">
        <f>BS99*#REF!</f>
        <v>#REF!</v>
      </c>
      <c r="BF99" s="722" t="e">
        <f>BT99*#REF!</f>
        <v>#REF!</v>
      </c>
      <c r="BG99" s="722" t="e">
        <f>BU99*#REF!</f>
        <v>#REF!</v>
      </c>
      <c r="BH99" s="803" t="e">
        <f>BV99*#REF!</f>
        <v>#REF!</v>
      </c>
      <c r="BI99" s="722" t="e">
        <f>BW99*#REF!</f>
        <v>#REF!</v>
      </c>
      <c r="BJ99" s="722" t="e">
        <f>BX99*#REF!</f>
        <v>#REF!</v>
      </c>
      <c r="BK99" s="722" t="e">
        <f>BY99*#REF!</f>
        <v>#REF!</v>
      </c>
      <c r="BL99" s="722" t="e">
        <f>BZ99*#REF!</f>
        <v>#REF!</v>
      </c>
      <c r="BM99" s="722" t="e">
        <f>CA99*#REF!</f>
        <v>#REF!</v>
      </c>
      <c r="BO99" s="749">
        <f t="shared" si="126"/>
        <v>0</v>
      </c>
      <c r="BP99" s="749" t="str">
        <f t="shared" si="127"/>
        <v xml:space="preserve"> Q</v>
      </c>
      <c r="BQ99" s="408">
        <f t="shared" si="128"/>
        <v>0</v>
      </c>
      <c r="BR99" s="719">
        <f t="shared" si="129"/>
        <v>0</v>
      </c>
      <c r="BS99" s="719">
        <f t="shared" si="130"/>
        <v>0</v>
      </c>
      <c r="BT99" s="719">
        <f t="shared" si="131"/>
        <v>0</v>
      </c>
      <c r="BU99" s="719">
        <f t="shared" si="132"/>
        <v>0</v>
      </c>
      <c r="BV99" s="802">
        <f t="shared" si="133"/>
        <v>0</v>
      </c>
      <c r="BW99" s="719">
        <f t="shared" si="134"/>
        <v>0</v>
      </c>
      <c r="BX99" s="719">
        <f t="shared" si="135"/>
        <v>0</v>
      </c>
      <c r="BY99" s="719">
        <f t="shared" si="136"/>
        <v>0</v>
      </c>
      <c r="BZ99" s="719">
        <f t="shared" si="137"/>
        <v>0</v>
      </c>
      <c r="CA99" s="719">
        <f t="shared" si="138"/>
        <v>0</v>
      </c>
      <c r="CB99" s="748">
        <f t="shared" si="139"/>
        <v>0</v>
      </c>
      <c r="CC99" s="719">
        <f t="shared" si="140"/>
        <v>0</v>
      </c>
      <c r="CD99" s="719">
        <f t="shared" si="141"/>
        <v>0</v>
      </c>
      <c r="CF99" s="455"/>
      <c r="CG99" s="459" t="s">
        <v>178</v>
      </c>
      <c r="CH99" s="456"/>
      <c r="CI99" s="466">
        <v>0</v>
      </c>
      <c r="CJ99" s="466">
        <v>0</v>
      </c>
      <c r="CK99" s="466">
        <v>0</v>
      </c>
      <c r="CL99" s="466">
        <v>0</v>
      </c>
      <c r="CM99" s="477">
        <v>0</v>
      </c>
      <c r="CN99" s="466">
        <v>0</v>
      </c>
      <c r="CO99" s="461"/>
      <c r="CP99" s="466">
        <v>0</v>
      </c>
      <c r="CQ99" s="466">
        <v>0</v>
      </c>
      <c r="CR99" s="466">
        <v>0</v>
      </c>
      <c r="CS99" s="462">
        <v>0</v>
      </c>
      <c r="CT99" s="461">
        <v>0</v>
      </c>
      <c r="CU99" s="461">
        <v>0</v>
      </c>
      <c r="CW99" s="455"/>
      <c r="CX99" s="459" t="s">
        <v>178</v>
      </c>
      <c r="CY99" s="456"/>
      <c r="CZ99" s="461"/>
      <c r="DA99" s="461"/>
      <c r="DB99" s="461"/>
      <c r="DC99" s="461"/>
      <c r="DD99" s="468"/>
      <c r="DE99" s="461"/>
      <c r="DF99" s="461"/>
      <c r="DG99" s="461"/>
      <c r="DH99" s="461"/>
      <c r="DI99" s="461"/>
      <c r="DJ99" s="462"/>
      <c r="DK99" s="461"/>
      <c r="DL99" s="461"/>
      <c r="DN99" s="455"/>
      <c r="DO99" s="459" t="s">
        <v>178</v>
      </c>
      <c r="DP99" s="456"/>
      <c r="DQ99" s="461"/>
      <c r="DR99" s="461"/>
      <c r="DS99" s="461"/>
      <c r="DT99" s="461"/>
      <c r="DU99" s="468"/>
      <c r="DV99" s="461"/>
      <c r="DW99" s="461"/>
      <c r="DX99" s="461"/>
      <c r="DY99" s="461"/>
      <c r="DZ99" s="461"/>
      <c r="EA99" s="462"/>
      <c r="EB99" s="461"/>
      <c r="EC99" s="461"/>
      <c r="ED99" s="555"/>
      <c r="EF99" s="455"/>
      <c r="EG99" s="459" t="s">
        <v>178</v>
      </c>
      <c r="EH99" s="456"/>
      <c r="EI99" s="609">
        <f t="shared" ref="EI99:ER99" si="168">DQ99</f>
        <v>0</v>
      </c>
      <c r="EJ99" s="609">
        <f t="shared" si="168"/>
        <v>0</v>
      </c>
      <c r="EK99" s="609">
        <f t="shared" si="168"/>
        <v>0</v>
      </c>
      <c r="EL99" s="609">
        <f t="shared" si="168"/>
        <v>0</v>
      </c>
      <c r="EM99" s="621">
        <f t="shared" si="168"/>
        <v>0</v>
      </c>
      <c r="EN99" s="609">
        <f t="shared" si="168"/>
        <v>0</v>
      </c>
      <c r="EO99" s="609">
        <f t="shared" si="168"/>
        <v>0</v>
      </c>
      <c r="EP99" s="609">
        <f t="shared" si="168"/>
        <v>0</v>
      </c>
      <c r="EQ99" s="609">
        <f t="shared" si="168"/>
        <v>0</v>
      </c>
      <c r="ER99" s="609">
        <f t="shared" si="168"/>
        <v>0</v>
      </c>
      <c r="ES99" s="611">
        <f t="shared" si="166"/>
        <v>0</v>
      </c>
      <c r="ET99" s="609">
        <f t="shared" si="162"/>
        <v>0</v>
      </c>
      <c r="EU99" s="609">
        <f t="shared" si="163"/>
        <v>0</v>
      </c>
      <c r="EW99" s="455"/>
      <c r="EX99" s="459" t="s">
        <v>178</v>
      </c>
      <c r="EY99" s="456"/>
      <c r="EZ99" s="598">
        <f>DQ99</f>
        <v>0</v>
      </c>
      <c r="FA99" s="598"/>
      <c r="FB99" s="598"/>
      <c r="FC99" s="598"/>
      <c r="FD99" s="641"/>
      <c r="FE99" s="598"/>
      <c r="FF99" s="598"/>
      <c r="FG99" s="598"/>
      <c r="FH99" s="598"/>
      <c r="FI99" s="598"/>
      <c r="FJ99" s="647"/>
      <c r="FK99" s="598"/>
      <c r="FL99" s="598"/>
    </row>
    <row r="100" spans="2:168">
      <c r="B100" s="732">
        <f t="shared" si="142"/>
        <v>3</v>
      </c>
      <c r="C100" s="759" t="str">
        <f t="shared" si="120"/>
        <v>対応性・更新性</v>
      </c>
      <c r="D100" s="770" t="e">
        <f>IF(I$62=0,0,G100/I$62)</f>
        <v>#REF!</v>
      </c>
      <c r="E100" s="769" t="e">
        <f>IF(J$62=0,0,H100/J$62)</f>
        <v>#REF!</v>
      </c>
      <c r="G100" s="769" t="e">
        <f t="shared" si="121"/>
        <v>#REF!</v>
      </c>
      <c r="H100" s="769" t="e">
        <f t="shared" si="122"/>
        <v>#REF!</v>
      </c>
      <c r="I100" s="769" t="e">
        <f>G101+G104+G105</f>
        <v>#REF!</v>
      </c>
      <c r="J100" s="769" t="e">
        <f>H101+H104+H105</f>
        <v>#REF!</v>
      </c>
      <c r="K100" s="769" t="e">
        <f>IF(#REF!=0,0,1)</f>
        <v>#REF!</v>
      </c>
      <c r="L100" s="769" t="e">
        <f>IF(#REF!=0,0,1)</f>
        <v>#REF!</v>
      </c>
      <c r="M100" s="769">
        <f t="shared" si="123"/>
        <v>0.3</v>
      </c>
      <c r="N100" s="769">
        <f t="shared" ref="N100:N119" si="169">(CB$7*CB100)+(CC$7*CC100)+(CD$7*CD100)</f>
        <v>0</v>
      </c>
      <c r="P100" s="779">
        <v>3</v>
      </c>
      <c r="Q100" s="825" t="s">
        <v>265</v>
      </c>
      <c r="R100" s="825"/>
      <c r="S100" s="825"/>
      <c r="T100" s="815"/>
      <c r="U100" s="726"/>
      <c r="V100" s="851">
        <f t="shared" si="158"/>
        <v>0</v>
      </c>
      <c r="W100" s="850">
        <f t="shared" si="159"/>
        <v>0</v>
      </c>
      <c r="Y100" s="1">
        <f t="shared" si="143"/>
        <v>0</v>
      </c>
      <c r="Z100" s="1">
        <f t="shared" si="144"/>
        <v>0</v>
      </c>
      <c r="AA100" s="1">
        <f t="shared" si="145"/>
        <v>0</v>
      </c>
      <c r="AB100" s="1">
        <f t="shared" si="146"/>
        <v>0</v>
      </c>
      <c r="AC100" s="1">
        <f t="shared" si="147"/>
        <v>0</v>
      </c>
      <c r="AD100" s="1">
        <f t="shared" si="148"/>
        <v>0</v>
      </c>
      <c r="AE100" s="1">
        <f t="shared" si="149"/>
        <v>0</v>
      </c>
      <c r="AF100" s="1">
        <f t="shared" si="150"/>
        <v>0</v>
      </c>
      <c r="AG100" s="1">
        <f t="shared" si="151"/>
        <v>0</v>
      </c>
      <c r="AH100" s="1">
        <f t="shared" si="152"/>
        <v>0</v>
      </c>
      <c r="AI100" s="1">
        <f t="shared" si="153"/>
        <v>0</v>
      </c>
      <c r="AJ100" s="1">
        <f t="shared" si="154"/>
        <v>0</v>
      </c>
      <c r="AK100" s="1">
        <f t="shared" si="155"/>
        <v>0</v>
      </c>
      <c r="AM100" s="919" t="s">
        <v>853</v>
      </c>
      <c r="AN100" s="919" t="s">
        <v>853</v>
      </c>
      <c r="AO100" s="919" t="s">
        <v>853</v>
      </c>
      <c r="AP100" s="919" t="s">
        <v>853</v>
      </c>
      <c r="AQ100" s="919" t="s">
        <v>853</v>
      </c>
      <c r="AR100" s="919" t="s">
        <v>853</v>
      </c>
      <c r="AS100" s="919" t="s">
        <v>853</v>
      </c>
      <c r="AT100" s="919" t="s">
        <v>853</v>
      </c>
      <c r="AU100" s="919" t="s">
        <v>853</v>
      </c>
      <c r="AV100" s="919" t="s">
        <v>853</v>
      </c>
      <c r="AW100" s="919" t="s">
        <v>853</v>
      </c>
      <c r="AX100" s="919" t="s">
        <v>853</v>
      </c>
      <c r="AY100" s="919" t="s">
        <v>853</v>
      </c>
      <c r="BA100" s="763" t="e">
        <f>BB100/$BC$62</f>
        <v>#REF!</v>
      </c>
      <c r="BB100" s="763" t="e">
        <f t="shared" si="125"/>
        <v>#REF!</v>
      </c>
      <c r="BC100" s="763"/>
      <c r="BD100" s="762" t="e">
        <f>BR100*#REF!</f>
        <v>#REF!</v>
      </c>
      <c r="BE100" s="762" t="e">
        <f>BS100*#REF!</f>
        <v>#REF!</v>
      </c>
      <c r="BF100" s="762" t="e">
        <f>BT100*#REF!</f>
        <v>#REF!</v>
      </c>
      <c r="BG100" s="762" t="e">
        <f>BU100*#REF!</f>
        <v>#REF!</v>
      </c>
      <c r="BH100" s="824" t="e">
        <f>BV100*#REF!</f>
        <v>#REF!</v>
      </c>
      <c r="BI100" s="762" t="e">
        <f>BW100*#REF!</f>
        <v>#REF!</v>
      </c>
      <c r="BJ100" s="762" t="e">
        <f>BX100*#REF!</f>
        <v>#REF!</v>
      </c>
      <c r="BK100" s="762" t="e">
        <f>BY100*#REF!</f>
        <v>#REF!</v>
      </c>
      <c r="BL100" s="762" t="e">
        <f>BZ100*#REF!</f>
        <v>#REF!</v>
      </c>
      <c r="BM100" s="762" t="e">
        <f>CA100*#REF!</f>
        <v>#REF!</v>
      </c>
      <c r="BO100" s="823">
        <f t="shared" si="126"/>
        <v>3</v>
      </c>
      <c r="BP100" s="823" t="str">
        <f t="shared" si="127"/>
        <v xml:space="preserve"> Q2</v>
      </c>
      <c r="BQ100" s="759" t="str">
        <f t="shared" si="128"/>
        <v>対応性・更新性</v>
      </c>
      <c r="BR100" s="757">
        <f t="shared" si="129"/>
        <v>0.3</v>
      </c>
      <c r="BS100" s="757">
        <f t="shared" si="130"/>
        <v>0.3</v>
      </c>
      <c r="BT100" s="757">
        <f t="shared" si="131"/>
        <v>0.3</v>
      </c>
      <c r="BU100" s="757">
        <f t="shared" si="132"/>
        <v>0.3</v>
      </c>
      <c r="BV100" s="822">
        <f t="shared" si="133"/>
        <v>0.3</v>
      </c>
      <c r="BW100" s="757">
        <f t="shared" si="134"/>
        <v>0.3</v>
      </c>
      <c r="BX100" s="757">
        <f t="shared" si="135"/>
        <v>0.3</v>
      </c>
      <c r="BY100" s="757">
        <f t="shared" si="136"/>
        <v>0.3</v>
      </c>
      <c r="BZ100" s="757">
        <f t="shared" si="137"/>
        <v>0.3</v>
      </c>
      <c r="CA100" s="757">
        <f t="shared" si="138"/>
        <v>0.3</v>
      </c>
      <c r="CB100" s="758">
        <f t="shared" si="139"/>
        <v>0</v>
      </c>
      <c r="CC100" s="757">
        <f t="shared" si="140"/>
        <v>0</v>
      </c>
      <c r="CD100" s="757">
        <f t="shared" si="141"/>
        <v>0</v>
      </c>
      <c r="CF100" s="447">
        <v>3</v>
      </c>
      <c r="CG100" s="451" t="s">
        <v>603</v>
      </c>
      <c r="CH100" s="448" t="s">
        <v>21</v>
      </c>
      <c r="CI100" s="449">
        <v>0.3</v>
      </c>
      <c r="CJ100" s="449">
        <v>0.3</v>
      </c>
      <c r="CK100" s="449">
        <v>0.3</v>
      </c>
      <c r="CL100" s="449">
        <v>0.3</v>
      </c>
      <c r="CM100" s="497">
        <v>0.3</v>
      </c>
      <c r="CN100" s="449">
        <v>0.3</v>
      </c>
      <c r="CO100" s="452">
        <v>0.3</v>
      </c>
      <c r="CP100" s="449">
        <v>0.3</v>
      </c>
      <c r="CQ100" s="449">
        <v>0.3</v>
      </c>
      <c r="CR100" s="449">
        <v>0.3</v>
      </c>
      <c r="CS100" s="453"/>
      <c r="CT100" s="452"/>
      <c r="CU100" s="452"/>
      <c r="CW100" s="447">
        <v>3</v>
      </c>
      <c r="CX100" s="451" t="s">
        <v>603</v>
      </c>
      <c r="CY100" s="448" t="s">
        <v>21</v>
      </c>
      <c r="CZ100" s="452">
        <v>0.3</v>
      </c>
      <c r="DA100" s="452">
        <v>0.3</v>
      </c>
      <c r="DB100" s="452">
        <v>0.3</v>
      </c>
      <c r="DC100" s="452">
        <v>0.3</v>
      </c>
      <c r="DD100" s="498">
        <v>0.3</v>
      </c>
      <c r="DE100" s="452">
        <v>0.3</v>
      </c>
      <c r="DF100" s="452">
        <v>0.3</v>
      </c>
      <c r="DG100" s="452">
        <v>0.3</v>
      </c>
      <c r="DH100" s="452">
        <v>0.3</v>
      </c>
      <c r="DI100" s="452">
        <v>0.3</v>
      </c>
      <c r="DJ100" s="453"/>
      <c r="DK100" s="452"/>
      <c r="DL100" s="452"/>
      <c r="DN100" s="447">
        <v>3</v>
      </c>
      <c r="DO100" s="451" t="s">
        <v>603</v>
      </c>
      <c r="DP100" s="448" t="s">
        <v>21</v>
      </c>
      <c r="DQ100" s="452">
        <v>0.3</v>
      </c>
      <c r="DR100" s="452">
        <v>0.3</v>
      </c>
      <c r="DS100" s="452">
        <v>0.3</v>
      </c>
      <c r="DT100" s="452">
        <v>0.3</v>
      </c>
      <c r="DU100" s="498">
        <v>0.3</v>
      </c>
      <c r="DV100" s="452">
        <v>0.3</v>
      </c>
      <c r="DW100" s="452">
        <v>0.3</v>
      </c>
      <c r="DX100" s="452">
        <v>0.3</v>
      </c>
      <c r="DY100" s="452">
        <v>0.3</v>
      </c>
      <c r="DZ100" s="452">
        <v>0.3</v>
      </c>
      <c r="EA100" s="453"/>
      <c r="EB100" s="452"/>
      <c r="EC100" s="452"/>
      <c r="ED100" s="554"/>
      <c r="EF100" s="447">
        <v>3</v>
      </c>
      <c r="EG100" s="451" t="s">
        <v>603</v>
      </c>
      <c r="EH100" s="448" t="s">
        <v>21</v>
      </c>
      <c r="EI100" s="596">
        <v>0</v>
      </c>
      <c r="EJ100" s="596">
        <v>0</v>
      </c>
      <c r="EK100" s="596">
        <v>0</v>
      </c>
      <c r="EL100" s="596">
        <v>0</v>
      </c>
      <c r="EM100" s="596">
        <v>0</v>
      </c>
      <c r="EN100" s="596">
        <v>0</v>
      </c>
      <c r="EO100" s="596">
        <v>0</v>
      </c>
      <c r="EP100" s="596">
        <v>0</v>
      </c>
      <c r="EQ100" s="596">
        <v>0</v>
      </c>
      <c r="ER100" s="596">
        <v>0</v>
      </c>
      <c r="ES100" s="597">
        <f t="shared" si="166"/>
        <v>0</v>
      </c>
      <c r="ET100" s="596">
        <f t="shared" si="162"/>
        <v>0</v>
      </c>
      <c r="EU100" s="596">
        <f t="shared" si="163"/>
        <v>0</v>
      </c>
      <c r="EW100" s="447">
        <v>3</v>
      </c>
      <c r="EX100" s="451" t="s">
        <v>603</v>
      </c>
      <c r="EY100" s="448" t="s">
        <v>21</v>
      </c>
      <c r="EZ100" s="673">
        <v>0.2</v>
      </c>
      <c r="FA100" s="596"/>
      <c r="FB100" s="596"/>
      <c r="FC100" s="596"/>
      <c r="FD100" s="596"/>
      <c r="FE100" s="596"/>
      <c r="FF100" s="596"/>
      <c r="FG100" s="596"/>
      <c r="FH100" s="596"/>
      <c r="FI100" s="596"/>
      <c r="FJ100" s="597"/>
      <c r="FK100" s="596"/>
      <c r="FL100" s="596"/>
    </row>
    <row r="101" spans="2:168" ht="14.25" thickBot="1">
      <c r="B101" s="732">
        <f t="shared" si="142"/>
        <v>3.1</v>
      </c>
      <c r="C101" s="408" t="str">
        <f t="shared" si="120"/>
        <v>空間のゆとり</v>
      </c>
      <c r="D101" s="731" t="e">
        <f>IF(I$100=0,0,G101/I$100)</f>
        <v>#REF!</v>
      </c>
      <c r="E101" s="730" t="e">
        <f>IF(J$100=0,0,H101/J$100)</f>
        <v>#REF!</v>
      </c>
      <c r="G101" s="730" t="e">
        <f t="shared" si="121"/>
        <v>#REF!</v>
      </c>
      <c r="H101" s="730" t="e">
        <f t="shared" si="122"/>
        <v>#REF!</v>
      </c>
      <c r="I101" s="730" t="e">
        <f>SUM(G102:G103)</f>
        <v>#REF!</v>
      </c>
      <c r="J101" s="730" t="e">
        <f>SUM(H102:H103)</f>
        <v>#REF!</v>
      </c>
      <c r="K101" s="730" t="e">
        <f>IF(#REF!=0,0,1)</f>
        <v>#REF!</v>
      </c>
      <c r="L101" s="730" t="e">
        <f>IF(#REF!=0,0,1)</f>
        <v>#REF!</v>
      </c>
      <c r="M101" s="730">
        <f t="shared" si="123"/>
        <v>0.3</v>
      </c>
      <c r="N101" s="730">
        <f t="shared" si="169"/>
        <v>0</v>
      </c>
      <c r="P101" s="832"/>
      <c r="Q101" s="744">
        <v>3.1</v>
      </c>
      <c r="R101" s="838" t="s">
        <v>266</v>
      </c>
      <c r="S101" s="816"/>
      <c r="T101" s="815"/>
      <c r="U101" s="726"/>
      <c r="V101" s="752">
        <f t="shared" si="158"/>
        <v>0</v>
      </c>
      <c r="W101" s="751">
        <f t="shared" si="159"/>
        <v>0</v>
      </c>
      <c r="Y101" s="1">
        <f t="shared" si="143"/>
        <v>0</v>
      </c>
      <c r="Z101" s="1">
        <f t="shared" si="144"/>
        <v>0</v>
      </c>
      <c r="AA101" s="1">
        <f t="shared" si="145"/>
        <v>0</v>
      </c>
      <c r="AB101" s="1">
        <f t="shared" si="146"/>
        <v>0</v>
      </c>
      <c r="AC101" s="1">
        <f t="shared" si="147"/>
        <v>0</v>
      </c>
      <c r="AD101" s="1">
        <f t="shared" si="148"/>
        <v>0</v>
      </c>
      <c r="AE101" s="1">
        <f t="shared" si="149"/>
        <v>0</v>
      </c>
      <c r="AF101" s="1">
        <f t="shared" si="150"/>
        <v>0</v>
      </c>
      <c r="AG101" s="1">
        <f t="shared" si="151"/>
        <v>0</v>
      </c>
      <c r="AH101" s="1">
        <f t="shared" si="152"/>
        <v>0</v>
      </c>
      <c r="AI101" s="1">
        <f t="shared" si="153"/>
        <v>0</v>
      </c>
      <c r="AJ101" s="1">
        <f t="shared" si="154"/>
        <v>0</v>
      </c>
      <c r="AK101" s="1">
        <f t="shared" si="155"/>
        <v>0</v>
      </c>
      <c r="AM101" s="812" t="s">
        <v>852</v>
      </c>
      <c r="AN101" s="812" t="s">
        <v>879</v>
      </c>
      <c r="AO101" s="812" t="s">
        <v>853</v>
      </c>
      <c r="AP101" s="812" t="s">
        <v>852</v>
      </c>
      <c r="AQ101" s="812" t="s">
        <v>852</v>
      </c>
      <c r="AR101" s="812" t="s">
        <v>853</v>
      </c>
      <c r="AS101" s="812" t="s">
        <v>853</v>
      </c>
      <c r="AT101" s="812" t="s">
        <v>852</v>
      </c>
      <c r="AU101" s="812" t="s">
        <v>852</v>
      </c>
      <c r="AV101" s="812" t="s">
        <v>852</v>
      </c>
      <c r="AW101" s="812" t="s">
        <v>848</v>
      </c>
      <c r="AX101" s="812" t="s">
        <v>853</v>
      </c>
      <c r="AY101" s="812" t="s">
        <v>851</v>
      </c>
      <c r="BA101" s="723"/>
      <c r="BB101" s="723" t="e">
        <f t="shared" si="125"/>
        <v>#REF!</v>
      </c>
      <c r="BC101" s="723"/>
      <c r="BD101" s="722" t="e">
        <f>BR101*#REF!</f>
        <v>#REF!</v>
      </c>
      <c r="BE101" s="722" t="e">
        <f>BS101*#REF!</f>
        <v>#REF!</v>
      </c>
      <c r="BF101" s="722" t="e">
        <f>BT101*#REF!</f>
        <v>#REF!</v>
      </c>
      <c r="BG101" s="722" t="e">
        <f>BU101*#REF!</f>
        <v>#REF!</v>
      </c>
      <c r="BH101" s="803" t="e">
        <f>BV101*#REF!</f>
        <v>#REF!</v>
      </c>
      <c r="BI101" s="722" t="e">
        <f>BW101*#REF!</f>
        <v>#REF!</v>
      </c>
      <c r="BJ101" s="722" t="e">
        <f>BX101*#REF!</f>
        <v>#REF!</v>
      </c>
      <c r="BK101" s="722" t="e">
        <f>BY101*#REF!</f>
        <v>#REF!</v>
      </c>
      <c r="BL101" s="722" t="e">
        <f>BZ101*#REF!</f>
        <v>#REF!</v>
      </c>
      <c r="BM101" s="722" t="e">
        <f>CA101*#REF!</f>
        <v>#REF!</v>
      </c>
      <c r="BO101" s="749">
        <f t="shared" si="126"/>
        <v>3.1</v>
      </c>
      <c r="BP101" s="749" t="str">
        <f t="shared" si="127"/>
        <v xml:space="preserve"> Q2 3</v>
      </c>
      <c r="BQ101" s="408" t="str">
        <f t="shared" si="128"/>
        <v>空間のゆとり</v>
      </c>
      <c r="BR101" s="719">
        <f t="shared" si="129"/>
        <v>0.3</v>
      </c>
      <c r="BS101" s="719">
        <f t="shared" si="130"/>
        <v>0.3</v>
      </c>
      <c r="BT101" s="719">
        <f t="shared" si="131"/>
        <v>0.3</v>
      </c>
      <c r="BU101" s="719">
        <f t="shared" si="132"/>
        <v>0.3</v>
      </c>
      <c r="BV101" s="802">
        <f t="shared" si="133"/>
        <v>0.3</v>
      </c>
      <c r="BW101" s="719">
        <f t="shared" si="134"/>
        <v>0.3</v>
      </c>
      <c r="BX101" s="719">
        <f t="shared" si="135"/>
        <v>0.3</v>
      </c>
      <c r="BY101" s="719">
        <f t="shared" si="136"/>
        <v>0.3</v>
      </c>
      <c r="BZ101" s="719">
        <f t="shared" si="137"/>
        <v>0</v>
      </c>
      <c r="CA101" s="719">
        <f t="shared" si="138"/>
        <v>0</v>
      </c>
      <c r="CB101" s="748">
        <f t="shared" si="139"/>
        <v>0.5</v>
      </c>
      <c r="CC101" s="719">
        <f t="shared" si="140"/>
        <v>0.5</v>
      </c>
      <c r="CD101" s="719">
        <f t="shared" si="141"/>
        <v>0.5</v>
      </c>
      <c r="CF101" s="455">
        <v>3.1</v>
      </c>
      <c r="CG101" s="459" t="s">
        <v>22</v>
      </c>
      <c r="CH101" s="456" t="s">
        <v>266</v>
      </c>
      <c r="CI101" s="457">
        <v>0.3</v>
      </c>
      <c r="CJ101" s="457">
        <v>0.3</v>
      </c>
      <c r="CK101" s="457">
        <v>0.3</v>
      </c>
      <c r="CL101" s="457">
        <v>0.3</v>
      </c>
      <c r="CM101" s="465">
        <v>0.3</v>
      </c>
      <c r="CN101" s="457">
        <v>0.3</v>
      </c>
      <c r="CO101" s="461">
        <v>0.3</v>
      </c>
      <c r="CP101" s="457">
        <v>0.3</v>
      </c>
      <c r="CQ101" s="457"/>
      <c r="CR101" s="457"/>
      <c r="CS101" s="462">
        <v>0.5</v>
      </c>
      <c r="CT101" s="461">
        <v>0.5</v>
      </c>
      <c r="CU101" s="461">
        <v>0.5</v>
      </c>
      <c r="CW101" s="455">
        <v>3.1</v>
      </c>
      <c r="CX101" s="459" t="s">
        <v>22</v>
      </c>
      <c r="CY101" s="456" t="s">
        <v>266</v>
      </c>
      <c r="CZ101" s="461">
        <v>0.3</v>
      </c>
      <c r="DA101" s="461">
        <v>0.3</v>
      </c>
      <c r="DB101" s="461">
        <v>0.3</v>
      </c>
      <c r="DC101" s="461">
        <v>0.3</v>
      </c>
      <c r="DD101" s="468">
        <v>0.3</v>
      </c>
      <c r="DE101" s="461">
        <v>0.3</v>
      </c>
      <c r="DF101" s="461">
        <v>0.3</v>
      </c>
      <c r="DG101" s="461">
        <v>0.3</v>
      </c>
      <c r="DH101" s="461"/>
      <c r="DI101" s="461"/>
      <c r="DJ101" s="462">
        <v>0.5</v>
      </c>
      <c r="DK101" s="461">
        <v>0.5</v>
      </c>
      <c r="DL101" s="461">
        <v>0.5</v>
      </c>
      <c r="DN101" s="455">
        <v>3.1</v>
      </c>
      <c r="DO101" s="459" t="s">
        <v>22</v>
      </c>
      <c r="DP101" s="456" t="s">
        <v>266</v>
      </c>
      <c r="DQ101" s="461">
        <v>0.3</v>
      </c>
      <c r="DR101" s="461">
        <v>0.3</v>
      </c>
      <c r="DS101" s="461">
        <v>0.3</v>
      </c>
      <c r="DT101" s="461">
        <v>0.3</v>
      </c>
      <c r="DU101" s="468">
        <v>0.3</v>
      </c>
      <c r="DV101" s="461">
        <v>0.3</v>
      </c>
      <c r="DW101" s="461">
        <v>0.3</v>
      </c>
      <c r="DX101" s="461">
        <v>0.3</v>
      </c>
      <c r="DY101" s="461"/>
      <c r="DZ101" s="461"/>
      <c r="EA101" s="462">
        <v>0.5</v>
      </c>
      <c r="EB101" s="461">
        <v>0.5</v>
      </c>
      <c r="EC101" s="461">
        <v>0.5</v>
      </c>
      <c r="ED101" s="555"/>
      <c r="EF101" s="455">
        <v>3.1</v>
      </c>
      <c r="EG101" s="459" t="s">
        <v>22</v>
      </c>
      <c r="EH101" s="456" t="s">
        <v>266</v>
      </c>
      <c r="EI101" s="609">
        <v>0</v>
      </c>
      <c r="EJ101" s="609">
        <v>0</v>
      </c>
      <c r="EK101" s="609">
        <v>0</v>
      </c>
      <c r="EL101" s="609">
        <v>0</v>
      </c>
      <c r="EM101" s="609">
        <v>0</v>
      </c>
      <c r="EN101" s="609">
        <v>0</v>
      </c>
      <c r="EO101" s="609">
        <v>0</v>
      </c>
      <c r="EP101" s="609">
        <v>0</v>
      </c>
      <c r="EQ101" s="609">
        <v>0</v>
      </c>
      <c r="ER101" s="609">
        <v>0</v>
      </c>
      <c r="ES101" s="609">
        <v>0</v>
      </c>
      <c r="ET101" s="609">
        <v>0</v>
      </c>
      <c r="EU101" s="609">
        <v>0</v>
      </c>
      <c r="EW101" s="455">
        <v>3.1</v>
      </c>
      <c r="EX101" s="459" t="s">
        <v>22</v>
      </c>
      <c r="EY101" s="456" t="s">
        <v>266</v>
      </c>
      <c r="EZ101" s="598">
        <f>DQ101</f>
        <v>0.3</v>
      </c>
      <c r="FA101" s="598"/>
      <c r="FB101" s="598"/>
      <c r="FC101" s="598"/>
      <c r="FD101" s="598"/>
      <c r="FE101" s="598"/>
      <c r="FF101" s="598"/>
      <c r="FG101" s="598"/>
      <c r="FH101" s="598"/>
      <c r="FI101" s="598"/>
      <c r="FJ101" s="598"/>
      <c r="FK101" s="598"/>
      <c r="FL101" s="598"/>
    </row>
    <row r="102" spans="2:168">
      <c r="B102" s="732" t="str">
        <f t="shared" si="142"/>
        <v>3.1.1</v>
      </c>
      <c r="C102" s="408" t="str">
        <f t="shared" si="120"/>
        <v>階高のゆとり</v>
      </c>
      <c r="D102" s="809" t="e">
        <f>IF(I$101&gt;0,G102/I$101,0)</f>
        <v>#REF!</v>
      </c>
      <c r="E102" s="730" t="e">
        <f>IF(J$101&gt;0,H102/J$101,0)</f>
        <v>#REF!</v>
      </c>
      <c r="G102" s="730" t="e">
        <f t="shared" si="121"/>
        <v>#REF!</v>
      </c>
      <c r="H102" s="730" t="e">
        <f t="shared" si="122"/>
        <v>#REF!</v>
      </c>
      <c r="I102" s="730"/>
      <c r="J102" s="730"/>
      <c r="K102" s="730" t="e">
        <f>IF(#REF!=0,0,1)</f>
        <v>#REF!</v>
      </c>
      <c r="L102" s="730" t="e">
        <f>IF(#REF!=0,0,1)</f>
        <v>#REF!</v>
      </c>
      <c r="M102" s="730">
        <f t="shared" si="123"/>
        <v>0.6</v>
      </c>
      <c r="N102" s="730">
        <f t="shared" si="169"/>
        <v>0</v>
      </c>
      <c r="P102" s="832"/>
      <c r="Q102" s="728"/>
      <c r="R102" s="414">
        <v>1</v>
      </c>
      <c r="S102" s="579" t="s">
        <v>267</v>
      </c>
      <c r="T102" s="745"/>
      <c r="U102" s="726"/>
      <c r="V102" s="734">
        <f t="shared" si="158"/>
        <v>0</v>
      </c>
      <c r="W102" s="733">
        <f t="shared" si="159"/>
        <v>0</v>
      </c>
      <c r="Y102" s="1">
        <f t="shared" si="143"/>
        <v>0</v>
      </c>
      <c r="Z102" s="1">
        <f t="shared" si="144"/>
        <v>0</v>
      </c>
      <c r="AA102" s="1">
        <f t="shared" si="145"/>
        <v>0</v>
      </c>
      <c r="AB102" s="1">
        <f t="shared" si="146"/>
        <v>0</v>
      </c>
      <c r="AC102" s="1">
        <f t="shared" si="147"/>
        <v>0</v>
      </c>
      <c r="AD102" s="1">
        <f t="shared" si="148"/>
        <v>0</v>
      </c>
      <c r="AE102" s="1">
        <f t="shared" si="149"/>
        <v>0</v>
      </c>
      <c r="AF102" s="1">
        <f t="shared" si="150"/>
        <v>0</v>
      </c>
      <c r="AG102" s="1">
        <f t="shared" si="151"/>
        <v>0</v>
      </c>
      <c r="AH102" s="1">
        <f t="shared" si="152"/>
        <v>0</v>
      </c>
      <c r="AI102" s="1">
        <f t="shared" si="153"/>
        <v>0</v>
      </c>
      <c r="AJ102" s="1">
        <f t="shared" si="154"/>
        <v>0</v>
      </c>
      <c r="AK102" s="1">
        <f t="shared" si="155"/>
        <v>0</v>
      </c>
      <c r="AM102" s="679"/>
      <c r="AN102" s="679"/>
      <c r="AO102" s="679"/>
      <c r="AP102" s="679"/>
      <c r="AQ102" s="679"/>
      <c r="AR102" s="679"/>
      <c r="AS102" s="679"/>
      <c r="AT102" s="679"/>
      <c r="AU102" s="679"/>
      <c r="AV102" s="679"/>
      <c r="AW102" s="679"/>
      <c r="AX102" s="679"/>
      <c r="AY102" s="679"/>
      <c r="BA102" s="723"/>
      <c r="BB102" s="723" t="e">
        <f t="shared" si="125"/>
        <v>#REF!</v>
      </c>
      <c r="BC102" s="723"/>
      <c r="BD102" s="722" t="e">
        <f>BR102*#REF!</f>
        <v>#REF!</v>
      </c>
      <c r="BE102" s="722" t="e">
        <f>BS102*#REF!</f>
        <v>#REF!</v>
      </c>
      <c r="BF102" s="722" t="e">
        <f>BT102*#REF!</f>
        <v>#REF!</v>
      </c>
      <c r="BG102" s="722" t="e">
        <f>BU102*#REF!</f>
        <v>#REF!</v>
      </c>
      <c r="BH102" s="803" t="e">
        <f>BV102*#REF!</f>
        <v>#REF!</v>
      </c>
      <c r="BI102" s="722" t="e">
        <f>BW102*#REF!</f>
        <v>#REF!</v>
      </c>
      <c r="BJ102" s="722" t="e">
        <f>BX102*#REF!</f>
        <v>#REF!</v>
      </c>
      <c r="BK102" s="722" t="e">
        <f>BY102*#REF!</f>
        <v>#REF!</v>
      </c>
      <c r="BL102" s="722" t="e">
        <f>BZ102*#REF!</f>
        <v>#REF!</v>
      </c>
      <c r="BM102" s="722" t="e">
        <f>CA102*#REF!</f>
        <v>#REF!</v>
      </c>
      <c r="BO102" s="749" t="str">
        <f t="shared" si="126"/>
        <v>3.1.1</v>
      </c>
      <c r="BP102" s="749" t="str">
        <f t="shared" si="127"/>
        <v xml:space="preserve"> Q2 3.1</v>
      </c>
      <c r="BQ102" s="408" t="str">
        <f t="shared" si="128"/>
        <v>階高のゆとり</v>
      </c>
      <c r="BR102" s="719">
        <f t="shared" si="129"/>
        <v>0.6</v>
      </c>
      <c r="BS102" s="719">
        <f t="shared" si="130"/>
        <v>0.6</v>
      </c>
      <c r="BT102" s="719">
        <f t="shared" si="131"/>
        <v>0.6</v>
      </c>
      <c r="BU102" s="719">
        <f t="shared" si="132"/>
        <v>0.6</v>
      </c>
      <c r="BV102" s="802">
        <f t="shared" si="133"/>
        <v>0</v>
      </c>
      <c r="BW102" s="719">
        <f t="shared" si="134"/>
        <v>0.6</v>
      </c>
      <c r="BX102" s="719">
        <f t="shared" si="135"/>
        <v>0.6</v>
      </c>
      <c r="BY102" s="719">
        <f t="shared" si="136"/>
        <v>0.6</v>
      </c>
      <c r="BZ102" s="719">
        <f t="shared" si="137"/>
        <v>0</v>
      </c>
      <c r="CA102" s="719">
        <f t="shared" si="138"/>
        <v>0</v>
      </c>
      <c r="CB102" s="748">
        <f t="shared" si="139"/>
        <v>0.6</v>
      </c>
      <c r="CC102" s="719">
        <f t="shared" si="140"/>
        <v>0.6</v>
      </c>
      <c r="CD102" s="719">
        <f t="shared" si="141"/>
        <v>0.6</v>
      </c>
      <c r="CF102" s="455" t="s">
        <v>919</v>
      </c>
      <c r="CG102" s="459" t="s">
        <v>23</v>
      </c>
      <c r="CH102" s="456" t="s">
        <v>24</v>
      </c>
      <c r="CI102" s="457">
        <v>0.6</v>
      </c>
      <c r="CJ102" s="457">
        <v>0.6</v>
      </c>
      <c r="CK102" s="457">
        <v>0.6</v>
      </c>
      <c r="CL102" s="457">
        <v>0.6</v>
      </c>
      <c r="CM102" s="465">
        <v>0</v>
      </c>
      <c r="CN102" s="457">
        <v>0.6</v>
      </c>
      <c r="CO102" s="461">
        <v>0.6</v>
      </c>
      <c r="CP102" s="457">
        <v>0.6</v>
      </c>
      <c r="CQ102" s="457"/>
      <c r="CR102" s="457"/>
      <c r="CS102" s="462">
        <v>0.6</v>
      </c>
      <c r="CT102" s="461">
        <v>0.6</v>
      </c>
      <c r="CU102" s="461">
        <v>0.6</v>
      </c>
      <c r="CW102" s="455" t="s">
        <v>918</v>
      </c>
      <c r="CX102" s="459" t="s">
        <v>23</v>
      </c>
      <c r="CY102" s="456" t="s">
        <v>24</v>
      </c>
      <c r="CZ102" s="461">
        <v>0.6</v>
      </c>
      <c r="DA102" s="461">
        <v>0.6</v>
      </c>
      <c r="DB102" s="461">
        <v>0.6</v>
      </c>
      <c r="DC102" s="461">
        <v>0.6</v>
      </c>
      <c r="DD102" s="468">
        <v>0</v>
      </c>
      <c r="DE102" s="461">
        <v>0.6</v>
      </c>
      <c r="DF102" s="461">
        <v>0.6</v>
      </c>
      <c r="DG102" s="461">
        <v>0.6</v>
      </c>
      <c r="DH102" s="461"/>
      <c r="DI102" s="461"/>
      <c r="DJ102" s="462">
        <v>0.6</v>
      </c>
      <c r="DK102" s="461">
        <v>0.6</v>
      </c>
      <c r="DL102" s="461">
        <v>0.6</v>
      </c>
      <c r="DN102" s="455" t="s">
        <v>917</v>
      </c>
      <c r="DO102" s="459" t="s">
        <v>23</v>
      </c>
      <c r="DP102" s="456" t="s">
        <v>24</v>
      </c>
      <c r="DQ102" s="461">
        <v>0.6</v>
      </c>
      <c r="DR102" s="461">
        <v>0.6</v>
      </c>
      <c r="DS102" s="461">
        <v>0.6</v>
      </c>
      <c r="DT102" s="461">
        <v>0.6</v>
      </c>
      <c r="DU102" s="468">
        <v>0</v>
      </c>
      <c r="DV102" s="461">
        <v>0.6</v>
      </c>
      <c r="DW102" s="461">
        <v>0.6</v>
      </c>
      <c r="DX102" s="461">
        <v>0.6</v>
      </c>
      <c r="DY102" s="461"/>
      <c r="DZ102" s="461"/>
      <c r="EA102" s="462">
        <v>0.6</v>
      </c>
      <c r="EB102" s="461">
        <v>0.6</v>
      </c>
      <c r="EC102" s="461">
        <v>0.6</v>
      </c>
      <c r="ED102" s="555"/>
      <c r="EF102" s="455" t="s">
        <v>917</v>
      </c>
      <c r="EG102" s="459" t="s">
        <v>23</v>
      </c>
      <c r="EH102" s="456" t="s">
        <v>24</v>
      </c>
      <c r="EI102" s="609">
        <v>0</v>
      </c>
      <c r="EJ102" s="609">
        <v>0</v>
      </c>
      <c r="EK102" s="609">
        <v>0</v>
      </c>
      <c r="EL102" s="609">
        <v>0</v>
      </c>
      <c r="EM102" s="609">
        <v>0</v>
      </c>
      <c r="EN102" s="609">
        <v>0</v>
      </c>
      <c r="EO102" s="609">
        <v>0</v>
      </c>
      <c r="EP102" s="609">
        <v>0</v>
      </c>
      <c r="EQ102" s="609">
        <v>0</v>
      </c>
      <c r="ER102" s="609">
        <v>0</v>
      </c>
      <c r="ES102" s="609">
        <v>0</v>
      </c>
      <c r="ET102" s="609">
        <v>0</v>
      </c>
      <c r="EU102" s="609">
        <v>0</v>
      </c>
      <c r="EW102" s="455" t="s">
        <v>917</v>
      </c>
      <c r="EX102" s="459" t="s">
        <v>23</v>
      </c>
      <c r="EY102" s="456" t="s">
        <v>24</v>
      </c>
      <c r="EZ102" s="666">
        <v>0</v>
      </c>
      <c r="FA102" s="598"/>
      <c r="FB102" s="598"/>
      <c r="FC102" s="598"/>
      <c r="FD102" s="598"/>
      <c r="FE102" s="598"/>
      <c r="FF102" s="598"/>
      <c r="FG102" s="598"/>
      <c r="FH102" s="598"/>
      <c r="FI102" s="598"/>
      <c r="FJ102" s="598"/>
      <c r="FK102" s="598"/>
      <c r="FL102" s="598"/>
    </row>
    <row r="103" spans="2:168">
      <c r="B103" s="732" t="str">
        <f t="shared" si="142"/>
        <v>3.1.2</v>
      </c>
      <c r="C103" s="408" t="str">
        <f t="shared" si="120"/>
        <v>空間の形状・自由さ</v>
      </c>
      <c r="D103" s="809" t="e">
        <f>IF(I$101&gt;0,G103/I$101,0)</f>
        <v>#REF!</v>
      </c>
      <c r="E103" s="730" t="e">
        <f>IF(J$101&gt;0,H103/J$101,0)</f>
        <v>#REF!</v>
      </c>
      <c r="G103" s="730" t="e">
        <f t="shared" si="121"/>
        <v>#REF!</v>
      </c>
      <c r="H103" s="730" t="e">
        <f t="shared" si="122"/>
        <v>#REF!</v>
      </c>
      <c r="I103" s="730"/>
      <c r="J103" s="730"/>
      <c r="K103" s="730" t="e">
        <f>IF(#REF!=0,0,1)</f>
        <v>#REF!</v>
      </c>
      <c r="L103" s="730" t="e">
        <f>IF(#REF!=0,0,1)</f>
        <v>#REF!</v>
      </c>
      <c r="M103" s="730">
        <f t="shared" si="123"/>
        <v>0.4</v>
      </c>
      <c r="N103" s="730">
        <f t="shared" si="169"/>
        <v>0</v>
      </c>
      <c r="P103" s="832"/>
      <c r="Q103" s="728"/>
      <c r="R103" s="727">
        <v>2</v>
      </c>
      <c r="S103" s="816" t="s">
        <v>268</v>
      </c>
      <c r="T103" s="815"/>
      <c r="U103" s="726"/>
      <c r="V103" s="747">
        <f t="shared" si="158"/>
        <v>0</v>
      </c>
      <c r="W103" s="746">
        <f t="shared" si="159"/>
        <v>0</v>
      </c>
      <c r="Y103" s="1">
        <f t="shared" si="143"/>
        <v>0</v>
      </c>
      <c r="Z103" s="1">
        <f t="shared" si="144"/>
        <v>0</v>
      </c>
      <c r="AA103" s="1">
        <f t="shared" si="145"/>
        <v>0</v>
      </c>
      <c r="AB103" s="1">
        <f t="shared" si="146"/>
        <v>0</v>
      </c>
      <c r="AC103" s="1">
        <f t="shared" si="147"/>
        <v>0</v>
      </c>
      <c r="AD103" s="1">
        <f t="shared" si="148"/>
        <v>0</v>
      </c>
      <c r="AE103" s="1">
        <f t="shared" si="149"/>
        <v>0</v>
      </c>
      <c r="AF103" s="1">
        <f t="shared" si="150"/>
        <v>0</v>
      </c>
      <c r="AG103" s="1">
        <f t="shared" si="151"/>
        <v>0</v>
      </c>
      <c r="AH103" s="1">
        <f t="shared" si="152"/>
        <v>0</v>
      </c>
      <c r="AI103" s="1">
        <f t="shared" si="153"/>
        <v>0</v>
      </c>
      <c r="AJ103" s="1">
        <f t="shared" si="154"/>
        <v>0</v>
      </c>
      <c r="AK103" s="1">
        <f t="shared" si="155"/>
        <v>0</v>
      </c>
      <c r="AM103" s="680"/>
      <c r="AN103" s="680"/>
      <c r="AO103" s="680"/>
      <c r="AP103" s="680"/>
      <c r="AQ103" s="680"/>
      <c r="AR103" s="680"/>
      <c r="AS103" s="680"/>
      <c r="AT103" s="680"/>
      <c r="AU103" s="680"/>
      <c r="AV103" s="680"/>
      <c r="AW103" s="680"/>
      <c r="AX103" s="680"/>
      <c r="AY103" s="680"/>
      <c r="BA103" s="723"/>
      <c r="BB103" s="723" t="e">
        <f t="shared" si="125"/>
        <v>#REF!</v>
      </c>
      <c r="BC103" s="723"/>
      <c r="BD103" s="722" t="e">
        <f>BR103*#REF!</f>
        <v>#REF!</v>
      </c>
      <c r="BE103" s="722" t="e">
        <f>BS103*#REF!</f>
        <v>#REF!</v>
      </c>
      <c r="BF103" s="722" t="e">
        <f>BT103*#REF!</f>
        <v>#REF!</v>
      </c>
      <c r="BG103" s="722" t="e">
        <f>BU103*#REF!</f>
        <v>#REF!</v>
      </c>
      <c r="BH103" s="803" t="e">
        <f>BV103*#REF!</f>
        <v>#REF!</v>
      </c>
      <c r="BI103" s="722" t="e">
        <f>BW103*#REF!</f>
        <v>#REF!</v>
      </c>
      <c r="BJ103" s="722" t="e">
        <f>BX103*#REF!</f>
        <v>#REF!</v>
      </c>
      <c r="BK103" s="722" t="e">
        <f>BY103*#REF!</f>
        <v>#REF!</v>
      </c>
      <c r="BL103" s="722" t="e">
        <f>BZ103*#REF!</f>
        <v>#REF!</v>
      </c>
      <c r="BM103" s="722" t="e">
        <f>CA103*#REF!</f>
        <v>#REF!</v>
      </c>
      <c r="BO103" s="749" t="str">
        <f t="shared" si="126"/>
        <v>3.1.2</v>
      </c>
      <c r="BP103" s="749" t="str">
        <f t="shared" si="127"/>
        <v xml:space="preserve"> Q2 3.1</v>
      </c>
      <c r="BQ103" s="408" t="str">
        <f t="shared" si="128"/>
        <v>空間の形状・自由さ</v>
      </c>
      <c r="BR103" s="719">
        <f t="shared" si="129"/>
        <v>0.4</v>
      </c>
      <c r="BS103" s="719">
        <f t="shared" si="130"/>
        <v>0.4</v>
      </c>
      <c r="BT103" s="719">
        <f t="shared" si="131"/>
        <v>0.4</v>
      </c>
      <c r="BU103" s="719">
        <f t="shared" si="132"/>
        <v>0.4</v>
      </c>
      <c r="BV103" s="802">
        <f t="shared" si="133"/>
        <v>1</v>
      </c>
      <c r="BW103" s="719">
        <f t="shared" si="134"/>
        <v>0.4</v>
      </c>
      <c r="BX103" s="719">
        <f t="shared" si="135"/>
        <v>0.4</v>
      </c>
      <c r="BY103" s="719">
        <f t="shared" si="136"/>
        <v>0.4</v>
      </c>
      <c r="BZ103" s="719">
        <f t="shared" si="137"/>
        <v>0</v>
      </c>
      <c r="CA103" s="719">
        <f t="shared" si="138"/>
        <v>0</v>
      </c>
      <c r="CB103" s="748">
        <f t="shared" si="139"/>
        <v>0.4</v>
      </c>
      <c r="CC103" s="719">
        <f t="shared" si="140"/>
        <v>0.4</v>
      </c>
      <c r="CD103" s="719">
        <f t="shared" si="141"/>
        <v>0.4</v>
      </c>
      <c r="CF103" s="455" t="s">
        <v>916</v>
      </c>
      <c r="CG103" s="459" t="s">
        <v>23</v>
      </c>
      <c r="CH103" s="456" t="s">
        <v>25</v>
      </c>
      <c r="CI103" s="457">
        <v>0.4</v>
      </c>
      <c r="CJ103" s="457">
        <v>0.4</v>
      </c>
      <c r="CK103" s="457">
        <v>0.4</v>
      </c>
      <c r="CL103" s="457">
        <v>0.4</v>
      </c>
      <c r="CM103" s="465">
        <v>1</v>
      </c>
      <c r="CN103" s="457">
        <v>0.4</v>
      </c>
      <c r="CO103" s="461">
        <v>0.4</v>
      </c>
      <c r="CP103" s="457">
        <v>0.4</v>
      </c>
      <c r="CQ103" s="457"/>
      <c r="CR103" s="457"/>
      <c r="CS103" s="462">
        <v>0.4</v>
      </c>
      <c r="CT103" s="461">
        <v>0.4</v>
      </c>
      <c r="CU103" s="461">
        <v>0.4</v>
      </c>
      <c r="CW103" s="455" t="s">
        <v>915</v>
      </c>
      <c r="CX103" s="459" t="s">
        <v>23</v>
      </c>
      <c r="CY103" s="456" t="s">
        <v>25</v>
      </c>
      <c r="CZ103" s="461">
        <v>0.4</v>
      </c>
      <c r="DA103" s="461">
        <v>0.4</v>
      </c>
      <c r="DB103" s="461">
        <v>0.4</v>
      </c>
      <c r="DC103" s="461">
        <v>0.4</v>
      </c>
      <c r="DD103" s="468">
        <v>1</v>
      </c>
      <c r="DE103" s="461">
        <v>0.4</v>
      </c>
      <c r="DF103" s="461">
        <v>0.4</v>
      </c>
      <c r="DG103" s="461">
        <v>0.4</v>
      </c>
      <c r="DH103" s="461"/>
      <c r="DI103" s="461"/>
      <c r="DJ103" s="462">
        <v>0.4</v>
      </c>
      <c r="DK103" s="461">
        <v>0.4</v>
      </c>
      <c r="DL103" s="461">
        <v>0.4</v>
      </c>
      <c r="DN103" s="455" t="s">
        <v>914</v>
      </c>
      <c r="DO103" s="459" t="s">
        <v>23</v>
      </c>
      <c r="DP103" s="456" t="s">
        <v>25</v>
      </c>
      <c r="DQ103" s="461">
        <v>0.4</v>
      </c>
      <c r="DR103" s="461">
        <v>0.4</v>
      </c>
      <c r="DS103" s="461">
        <v>0.4</v>
      </c>
      <c r="DT103" s="461">
        <v>0.4</v>
      </c>
      <c r="DU103" s="468">
        <v>1</v>
      </c>
      <c r="DV103" s="461">
        <v>0.4</v>
      </c>
      <c r="DW103" s="461">
        <v>0.4</v>
      </c>
      <c r="DX103" s="461">
        <v>0.4</v>
      </c>
      <c r="DY103" s="461"/>
      <c r="DZ103" s="461"/>
      <c r="EA103" s="462">
        <v>0.4</v>
      </c>
      <c r="EB103" s="461">
        <v>0.4</v>
      </c>
      <c r="EC103" s="461">
        <v>0.4</v>
      </c>
      <c r="ED103" s="555"/>
      <c r="EF103" s="455" t="s">
        <v>913</v>
      </c>
      <c r="EG103" s="459" t="s">
        <v>23</v>
      </c>
      <c r="EH103" s="456" t="s">
        <v>25</v>
      </c>
      <c r="EI103" s="609">
        <v>0</v>
      </c>
      <c r="EJ103" s="609">
        <v>0</v>
      </c>
      <c r="EK103" s="609">
        <v>0</v>
      </c>
      <c r="EL103" s="609">
        <v>0</v>
      </c>
      <c r="EM103" s="609">
        <v>0</v>
      </c>
      <c r="EN103" s="609">
        <v>0</v>
      </c>
      <c r="EO103" s="609">
        <v>0</v>
      </c>
      <c r="EP103" s="609">
        <v>0</v>
      </c>
      <c r="EQ103" s="609">
        <v>0</v>
      </c>
      <c r="ER103" s="609">
        <v>0</v>
      </c>
      <c r="ES103" s="609">
        <v>0</v>
      </c>
      <c r="ET103" s="609">
        <v>0</v>
      </c>
      <c r="EU103" s="609">
        <v>0</v>
      </c>
      <c r="EW103" s="455" t="s">
        <v>912</v>
      </c>
      <c r="EX103" s="459" t="s">
        <v>23</v>
      </c>
      <c r="EY103" s="456" t="s">
        <v>25</v>
      </c>
      <c r="EZ103" s="666">
        <v>1</v>
      </c>
      <c r="FA103" s="598"/>
      <c r="FB103" s="598"/>
      <c r="FC103" s="598"/>
      <c r="FD103" s="598"/>
      <c r="FE103" s="598"/>
      <c r="FF103" s="598"/>
      <c r="FG103" s="598"/>
      <c r="FH103" s="598"/>
      <c r="FI103" s="598"/>
      <c r="FJ103" s="598"/>
      <c r="FK103" s="598"/>
      <c r="FL103" s="598"/>
    </row>
    <row r="104" spans="2:168" ht="14.25" thickBot="1">
      <c r="B104" s="732">
        <f t="shared" si="142"/>
        <v>3.2</v>
      </c>
      <c r="C104" s="408" t="str">
        <f t="shared" si="120"/>
        <v>荷重のゆとり</v>
      </c>
      <c r="D104" s="731" t="e">
        <f>IF(I$100=0,0,G104/I$100)</f>
        <v>#REF!</v>
      </c>
      <c r="E104" s="730" t="e">
        <f>IF(J$100=0,0,H104/J$100)</f>
        <v>#REF!</v>
      </c>
      <c r="G104" s="730" t="e">
        <f t="shared" si="121"/>
        <v>#REF!</v>
      </c>
      <c r="H104" s="730" t="e">
        <f t="shared" si="122"/>
        <v>#REF!</v>
      </c>
      <c r="I104" s="730"/>
      <c r="J104" s="730"/>
      <c r="K104" s="730" t="e">
        <f>IF(#REF!=0,0,1)</f>
        <v>#REF!</v>
      </c>
      <c r="L104" s="730" t="e">
        <f>IF(#REF!=0,0,1)</f>
        <v>#REF!</v>
      </c>
      <c r="M104" s="730">
        <f t="shared" si="123"/>
        <v>0.3</v>
      </c>
      <c r="N104" s="730">
        <f t="shared" si="169"/>
        <v>0</v>
      </c>
      <c r="P104" s="832"/>
      <c r="Q104" s="778">
        <v>3.2</v>
      </c>
      <c r="R104" s="743" t="s">
        <v>269</v>
      </c>
      <c r="S104" s="579"/>
      <c r="T104" s="745"/>
      <c r="U104" s="726"/>
      <c r="V104" s="725">
        <f t="shared" si="158"/>
        <v>0</v>
      </c>
      <c r="W104" s="724">
        <f t="shared" si="159"/>
        <v>0</v>
      </c>
      <c r="Y104" s="1">
        <f t="shared" si="143"/>
        <v>0</v>
      </c>
      <c r="Z104" s="1">
        <f t="shared" si="144"/>
        <v>0</v>
      </c>
      <c r="AA104" s="1">
        <f t="shared" si="145"/>
        <v>0</v>
      </c>
      <c r="AB104" s="1">
        <f t="shared" si="146"/>
        <v>0</v>
      </c>
      <c r="AC104" s="1">
        <f t="shared" si="147"/>
        <v>0</v>
      </c>
      <c r="AD104" s="1">
        <f t="shared" si="148"/>
        <v>0</v>
      </c>
      <c r="AE104" s="1">
        <f t="shared" si="149"/>
        <v>0</v>
      </c>
      <c r="AF104" s="1">
        <f t="shared" si="150"/>
        <v>0</v>
      </c>
      <c r="AG104" s="1">
        <f t="shared" si="151"/>
        <v>0</v>
      </c>
      <c r="AH104" s="1">
        <f t="shared" si="152"/>
        <v>0</v>
      </c>
      <c r="AI104" s="1">
        <f t="shared" si="153"/>
        <v>0</v>
      </c>
      <c r="AJ104" s="1">
        <f t="shared" si="154"/>
        <v>0</v>
      </c>
      <c r="AK104" s="1">
        <f t="shared" si="155"/>
        <v>0</v>
      </c>
      <c r="AM104" s="681"/>
      <c r="AN104" s="681"/>
      <c r="AO104" s="681"/>
      <c r="AP104" s="681"/>
      <c r="AQ104" s="681"/>
      <c r="AR104" s="681"/>
      <c r="AS104" s="681"/>
      <c r="AT104" s="681"/>
      <c r="AU104" s="681"/>
      <c r="AV104" s="681"/>
      <c r="AW104" s="681"/>
      <c r="AX104" s="681"/>
      <c r="AY104" s="681"/>
      <c r="BA104" s="723"/>
      <c r="BB104" s="723" t="e">
        <f t="shared" si="125"/>
        <v>#REF!</v>
      </c>
      <c r="BC104" s="723"/>
      <c r="BD104" s="722" t="e">
        <f>BR104*#REF!</f>
        <v>#REF!</v>
      </c>
      <c r="BE104" s="722" t="e">
        <f>BS104*#REF!</f>
        <v>#REF!</v>
      </c>
      <c r="BF104" s="722" t="e">
        <f>BT104*#REF!</f>
        <v>#REF!</v>
      </c>
      <c r="BG104" s="722" t="e">
        <f>BU104*#REF!</f>
        <v>#REF!</v>
      </c>
      <c r="BH104" s="803" t="e">
        <f>BV104*#REF!</f>
        <v>#REF!</v>
      </c>
      <c r="BI104" s="722" t="e">
        <f>BW104*#REF!</f>
        <v>#REF!</v>
      </c>
      <c r="BJ104" s="722" t="e">
        <f>BX104*#REF!</f>
        <v>#REF!</v>
      </c>
      <c r="BK104" s="722" t="e">
        <f>BY104*#REF!</f>
        <v>#REF!</v>
      </c>
      <c r="BL104" s="722" t="e">
        <f>BZ104*#REF!</f>
        <v>#REF!</v>
      </c>
      <c r="BM104" s="722" t="e">
        <f>CA104*#REF!</f>
        <v>#REF!</v>
      </c>
      <c r="BO104" s="749">
        <f t="shared" si="126"/>
        <v>3.2</v>
      </c>
      <c r="BP104" s="749" t="str">
        <f t="shared" si="127"/>
        <v xml:space="preserve"> Q2 3</v>
      </c>
      <c r="BQ104" s="408" t="str">
        <f t="shared" si="128"/>
        <v>荷重のゆとり</v>
      </c>
      <c r="BR104" s="719">
        <f t="shared" si="129"/>
        <v>0.3</v>
      </c>
      <c r="BS104" s="719">
        <f t="shared" si="130"/>
        <v>0.3</v>
      </c>
      <c r="BT104" s="719">
        <f t="shared" si="131"/>
        <v>0.3</v>
      </c>
      <c r="BU104" s="719">
        <f t="shared" si="132"/>
        <v>0.3</v>
      </c>
      <c r="BV104" s="802">
        <f t="shared" si="133"/>
        <v>0.3</v>
      </c>
      <c r="BW104" s="719">
        <f t="shared" si="134"/>
        <v>0.3</v>
      </c>
      <c r="BX104" s="719">
        <f t="shared" si="135"/>
        <v>0.3</v>
      </c>
      <c r="BY104" s="719">
        <f t="shared" si="136"/>
        <v>0.3</v>
      </c>
      <c r="BZ104" s="719">
        <f t="shared" si="137"/>
        <v>0</v>
      </c>
      <c r="CA104" s="719">
        <f t="shared" si="138"/>
        <v>0</v>
      </c>
      <c r="CB104" s="748">
        <f t="shared" si="139"/>
        <v>0.5</v>
      </c>
      <c r="CC104" s="719">
        <f t="shared" si="140"/>
        <v>0.5</v>
      </c>
      <c r="CD104" s="719">
        <f t="shared" si="141"/>
        <v>0.5</v>
      </c>
      <c r="CF104" s="455">
        <v>3.2</v>
      </c>
      <c r="CG104" s="459" t="s">
        <v>22</v>
      </c>
      <c r="CH104" s="456" t="s">
        <v>269</v>
      </c>
      <c r="CI104" s="457">
        <v>0.3</v>
      </c>
      <c r="CJ104" s="457">
        <v>0.3</v>
      </c>
      <c r="CK104" s="457">
        <v>0.3</v>
      </c>
      <c r="CL104" s="457">
        <v>0.3</v>
      </c>
      <c r="CM104" s="465">
        <v>0.3</v>
      </c>
      <c r="CN104" s="457">
        <v>0.3</v>
      </c>
      <c r="CO104" s="461">
        <v>0.3</v>
      </c>
      <c r="CP104" s="457">
        <v>0.3</v>
      </c>
      <c r="CQ104" s="457"/>
      <c r="CR104" s="457"/>
      <c r="CS104" s="462">
        <v>0.5</v>
      </c>
      <c r="CT104" s="461">
        <v>0.5</v>
      </c>
      <c r="CU104" s="461">
        <v>0.5</v>
      </c>
      <c r="CW104" s="455">
        <v>3.2</v>
      </c>
      <c r="CX104" s="459" t="s">
        <v>22</v>
      </c>
      <c r="CY104" s="456" t="s">
        <v>269</v>
      </c>
      <c r="CZ104" s="461">
        <v>0.3</v>
      </c>
      <c r="DA104" s="461">
        <v>0.3</v>
      </c>
      <c r="DB104" s="461">
        <v>0.3</v>
      </c>
      <c r="DC104" s="461">
        <v>0.3</v>
      </c>
      <c r="DD104" s="468">
        <v>0.3</v>
      </c>
      <c r="DE104" s="461">
        <v>0.3</v>
      </c>
      <c r="DF104" s="461">
        <v>0.3</v>
      </c>
      <c r="DG104" s="461">
        <v>0.3</v>
      </c>
      <c r="DH104" s="461"/>
      <c r="DI104" s="461"/>
      <c r="DJ104" s="462">
        <v>0.5</v>
      </c>
      <c r="DK104" s="461">
        <v>0.5</v>
      </c>
      <c r="DL104" s="461">
        <v>0.5</v>
      </c>
      <c r="DN104" s="455">
        <v>3.2</v>
      </c>
      <c r="DO104" s="459" t="s">
        <v>22</v>
      </c>
      <c r="DP104" s="456" t="s">
        <v>269</v>
      </c>
      <c r="DQ104" s="461">
        <v>0.3</v>
      </c>
      <c r="DR104" s="461">
        <v>0.3</v>
      </c>
      <c r="DS104" s="461">
        <v>0.3</v>
      </c>
      <c r="DT104" s="461">
        <v>0.3</v>
      </c>
      <c r="DU104" s="468">
        <v>0.3</v>
      </c>
      <c r="DV104" s="461">
        <v>0.3</v>
      </c>
      <c r="DW104" s="461">
        <v>0.3</v>
      </c>
      <c r="DX104" s="461">
        <v>0.3</v>
      </c>
      <c r="DY104" s="461"/>
      <c r="DZ104" s="461"/>
      <c r="EA104" s="462">
        <v>0.5</v>
      </c>
      <c r="EB104" s="461">
        <v>0.5</v>
      </c>
      <c r="EC104" s="461">
        <v>0.5</v>
      </c>
      <c r="ED104" s="555"/>
      <c r="EF104" s="455">
        <v>3.2</v>
      </c>
      <c r="EG104" s="459" t="s">
        <v>22</v>
      </c>
      <c r="EH104" s="456" t="s">
        <v>269</v>
      </c>
      <c r="EI104" s="609">
        <v>0</v>
      </c>
      <c r="EJ104" s="609">
        <v>0</v>
      </c>
      <c r="EK104" s="609">
        <v>0</v>
      </c>
      <c r="EL104" s="609">
        <v>0</v>
      </c>
      <c r="EM104" s="609">
        <v>0</v>
      </c>
      <c r="EN104" s="609">
        <v>0</v>
      </c>
      <c r="EO104" s="609">
        <v>0</v>
      </c>
      <c r="EP104" s="609">
        <v>0</v>
      </c>
      <c r="EQ104" s="609">
        <v>0</v>
      </c>
      <c r="ER104" s="609">
        <v>0</v>
      </c>
      <c r="ES104" s="609">
        <v>0</v>
      </c>
      <c r="ET104" s="609">
        <v>0</v>
      </c>
      <c r="EU104" s="609">
        <v>0</v>
      </c>
      <c r="EW104" s="455">
        <v>3.2</v>
      </c>
      <c r="EX104" s="459" t="s">
        <v>22</v>
      </c>
      <c r="EY104" s="456" t="s">
        <v>269</v>
      </c>
      <c r="EZ104" s="598">
        <f>DQ104</f>
        <v>0.3</v>
      </c>
      <c r="FA104" s="598"/>
      <c r="FB104" s="598"/>
      <c r="FC104" s="598"/>
      <c r="FD104" s="598"/>
      <c r="FE104" s="598"/>
      <c r="FF104" s="598"/>
      <c r="FG104" s="598"/>
      <c r="FH104" s="598"/>
      <c r="FI104" s="598"/>
      <c r="FJ104" s="598"/>
      <c r="FK104" s="598"/>
      <c r="FL104" s="598"/>
    </row>
    <row r="105" spans="2:168" ht="14.25" thickBot="1">
      <c r="B105" s="732">
        <f t="shared" si="142"/>
        <v>3.3</v>
      </c>
      <c r="C105" s="408" t="str">
        <f t="shared" ref="C105:C136" si="170">BQ105</f>
        <v>設備の更新性</v>
      </c>
      <c r="D105" s="731" t="e">
        <f>IF(I$100=0,0,G105/I$100)</f>
        <v>#REF!</v>
      </c>
      <c r="E105" s="730" t="e">
        <f>IF(J$100=0,0,H105/J$100)</f>
        <v>#REF!</v>
      </c>
      <c r="G105" s="730" t="e">
        <f t="shared" ref="G105:G136" si="171">K105*M105</f>
        <v>#REF!</v>
      </c>
      <c r="H105" s="730" t="e">
        <f t="shared" ref="H105:H136" si="172">L105*N105</f>
        <v>#REF!</v>
      </c>
      <c r="I105" s="730" t="e">
        <f>SUM(G106:G111)</f>
        <v>#REF!</v>
      </c>
      <c r="J105" s="730" t="e">
        <f>SUM(H106:H111)</f>
        <v>#REF!</v>
      </c>
      <c r="K105" s="730" t="e">
        <f>IF(#REF!=0,0,1)</f>
        <v>#REF!</v>
      </c>
      <c r="L105" s="730" t="e">
        <f>IF(#REF!=0,0,1)</f>
        <v>#REF!</v>
      </c>
      <c r="M105" s="730">
        <f t="shared" ref="M105:M136" si="173">SUMPRODUCT($BR$7:$CA$7,BR105:CA105)</f>
        <v>0.4</v>
      </c>
      <c r="N105" s="730">
        <f t="shared" si="169"/>
        <v>0</v>
      </c>
      <c r="P105" s="832"/>
      <c r="Q105" s="777">
        <v>3.3</v>
      </c>
      <c r="R105" s="838" t="s">
        <v>270</v>
      </c>
      <c r="S105" s="816"/>
      <c r="T105" s="815"/>
      <c r="U105" s="726"/>
      <c r="V105" s="814">
        <f t="shared" si="158"/>
        <v>0</v>
      </c>
      <c r="W105" s="813">
        <f t="shared" si="159"/>
        <v>0</v>
      </c>
      <c r="Y105" s="1">
        <f t="shared" si="143"/>
        <v>0</v>
      </c>
      <c r="Z105" s="1">
        <f t="shared" si="144"/>
        <v>0</v>
      </c>
      <c r="AA105" s="1">
        <f t="shared" si="145"/>
        <v>0</v>
      </c>
      <c r="AB105" s="1">
        <f t="shared" si="146"/>
        <v>0</v>
      </c>
      <c r="AC105" s="1">
        <f t="shared" si="147"/>
        <v>0</v>
      </c>
      <c r="AD105" s="1">
        <f t="shared" si="148"/>
        <v>0</v>
      </c>
      <c r="AE105" s="1">
        <f t="shared" si="149"/>
        <v>0</v>
      </c>
      <c r="AF105" s="1">
        <f t="shared" si="150"/>
        <v>0</v>
      </c>
      <c r="AG105" s="1">
        <f t="shared" si="151"/>
        <v>0</v>
      </c>
      <c r="AH105" s="1">
        <f t="shared" si="152"/>
        <v>0</v>
      </c>
      <c r="AI105" s="1">
        <f t="shared" si="153"/>
        <v>0</v>
      </c>
      <c r="AJ105" s="1">
        <f t="shared" si="154"/>
        <v>0</v>
      </c>
      <c r="AK105" s="1">
        <f t="shared" si="155"/>
        <v>0</v>
      </c>
      <c r="AM105" s="812" t="s">
        <v>910</v>
      </c>
      <c r="AN105" s="812" t="s">
        <v>848</v>
      </c>
      <c r="AO105" s="812" t="s">
        <v>910</v>
      </c>
      <c r="AP105" s="812" t="s">
        <v>848</v>
      </c>
      <c r="AQ105" s="812" t="s">
        <v>910</v>
      </c>
      <c r="AR105" s="812" t="s">
        <v>853</v>
      </c>
      <c r="AS105" s="812" t="s">
        <v>910</v>
      </c>
      <c r="AT105" s="812" t="s">
        <v>910</v>
      </c>
      <c r="AU105" s="812" t="s">
        <v>848</v>
      </c>
      <c r="AV105" s="812" t="s">
        <v>911</v>
      </c>
      <c r="AW105" s="812" t="s">
        <v>911</v>
      </c>
      <c r="AX105" s="812" t="s">
        <v>910</v>
      </c>
      <c r="AY105" s="812" t="s">
        <v>910</v>
      </c>
      <c r="BA105" s="723"/>
      <c r="BB105" s="723" t="e">
        <f t="shared" ref="BB105:BB122" si="174">SUMPRODUCT($BD$7:$BM$7,BD105:BM105)</f>
        <v>#REF!</v>
      </c>
      <c r="BC105" s="723"/>
      <c r="BD105" s="722" t="e">
        <f>BR105*#REF!</f>
        <v>#REF!</v>
      </c>
      <c r="BE105" s="722" t="e">
        <f>BS105*#REF!</f>
        <v>#REF!</v>
      </c>
      <c r="BF105" s="722" t="e">
        <f>BT105*#REF!</f>
        <v>#REF!</v>
      </c>
      <c r="BG105" s="722" t="e">
        <f>BU105*#REF!</f>
        <v>#REF!</v>
      </c>
      <c r="BH105" s="803" t="e">
        <f>BV105*#REF!</f>
        <v>#REF!</v>
      </c>
      <c r="BI105" s="722" t="e">
        <f>BW105*#REF!</f>
        <v>#REF!</v>
      </c>
      <c r="BJ105" s="722" t="e">
        <f>BX105*#REF!</f>
        <v>#REF!</v>
      </c>
      <c r="BK105" s="722" t="e">
        <f>BY105*#REF!</f>
        <v>#REF!</v>
      </c>
      <c r="BL105" s="722" t="e">
        <f>BZ105*#REF!</f>
        <v>#REF!</v>
      </c>
      <c r="BM105" s="722" t="e">
        <f>CA105*#REF!</f>
        <v>#REF!</v>
      </c>
      <c r="BO105" s="749">
        <f t="shared" ref="BO105:BO136" si="175">IF($BO$3=1,CW105,IF($BO$3=2,DN105,IF($BO$3=3,EF105,IF($BO$3=4,EW105,CF105))))</f>
        <v>3.3</v>
      </c>
      <c r="BP105" s="749" t="str">
        <f t="shared" ref="BP105:BP136" si="176">IF($BO$3=1,CX105,IF($BO$3=2,DO105,IF($BO$3=3,EG105,IF($BO$3=4,EX105,CG105))))</f>
        <v xml:space="preserve"> Q2 3</v>
      </c>
      <c r="BQ105" s="408" t="str">
        <f t="shared" ref="BQ105:BQ136" si="177">IF($BO$3=1,CY105,IF($BO$3=2,DP105,IF($BO$3=3,EH105,IF($BO$3=4,EY105,CH105))))</f>
        <v>設備の更新性</v>
      </c>
      <c r="BR105" s="719">
        <f t="shared" ref="BR105:BR136" si="178">IF($BO$3=1,CZ105,IF($BO$3=2,DQ105,IF($BO$3=3,EI105,IF($BO$3=4,EZ105,CI105))))</f>
        <v>0.4</v>
      </c>
      <c r="BS105" s="719">
        <f t="shared" ref="BS105:BS136" si="179">IF($BO$3=1,DA105,IF($BO$3=2,DR105,IF($BO$3=3,EJ105,IF($BO$3=4,FA105,CJ105))))</f>
        <v>0.4</v>
      </c>
      <c r="BT105" s="719">
        <f t="shared" ref="BT105:BT136" si="180">IF($BO$3=1,DB105,IF($BO$3=2,DS105,IF($BO$3=3,EK105,IF($BO$3=4,FB105,CK105))))</f>
        <v>0.4</v>
      </c>
      <c r="BU105" s="719">
        <f t="shared" ref="BU105:BU136" si="181">IF($BO$3=1,DC105,IF($BO$3=2,DT105,IF($BO$3=3,EL105,IF($BO$3=4,FC105,CL105))))</f>
        <v>0.4</v>
      </c>
      <c r="BV105" s="802">
        <f t="shared" ref="BV105:BV136" si="182">IF($BO$3=1,DD105,IF($BO$3=2,DU105,IF($BO$3=3,EM105,IF($BO$3=4,FD105,CM105))))</f>
        <v>0.4</v>
      </c>
      <c r="BW105" s="719">
        <f t="shared" ref="BW105:BW136" si="183">IF($BO$3=1,DE105,IF($BO$3=2,DV105,IF($BO$3=3,EN105,IF($BO$3=4,FE105,CN105))))</f>
        <v>0.4</v>
      </c>
      <c r="BX105" s="719">
        <f t="shared" ref="BX105:BX136" si="184">IF($BO$3=1,DF105,IF($BO$3=2,DW105,IF($BO$3=3,EO105,IF($BO$3=4,FF105,CO105))))</f>
        <v>0.4</v>
      </c>
      <c r="BY105" s="719">
        <f t="shared" ref="BY105:BY136" si="185">IF($BO$3=1,DG105,IF($BO$3=2,DX105,IF($BO$3=3,EP105,IF($BO$3=4,FG105,CP105))))</f>
        <v>0.4</v>
      </c>
      <c r="BZ105" s="719">
        <f t="shared" ref="BZ105:BZ136" si="186">IF($BO$3=1,DH105,IF($BO$3=2,DY105,IF($BO$3=3,EQ105,IF($BO$3=4,FH105,CQ105))))</f>
        <v>1</v>
      </c>
      <c r="CA105" s="719">
        <f t="shared" ref="CA105:CA136" si="187">IF($BO$3=1,DI105,IF($BO$3=2,DZ105,IF($BO$3=3,ER105,IF($BO$3=4,FI105,CR105))))</f>
        <v>1</v>
      </c>
      <c r="CB105" s="748">
        <f t="shared" ref="CB105:CB136" si="188">IF($BO$3=1,DJ105,IF($BO$3=2,EA105,IF($BO$3=3,ES105,IF($BO$3=4,FJ105,CS105))))</f>
        <v>0</v>
      </c>
      <c r="CC105" s="719">
        <f t="shared" ref="CC105:CC136" si="189">IF($BO$3=1,DK105,IF($BO$3=2,EB105,IF($BO$3=3,ET105,IF($BO$3=4,FK105,CT105))))</f>
        <v>0</v>
      </c>
      <c r="CD105" s="719">
        <f t="shared" ref="CD105:CD136" si="190">IF($BO$3=1,DL105,IF($BO$3=2,EC105,IF($BO$3=3,EU105,IF($BO$3=4,FL105,CU105))))</f>
        <v>0</v>
      </c>
      <c r="CF105" s="455">
        <v>3.3</v>
      </c>
      <c r="CG105" s="459" t="s">
        <v>22</v>
      </c>
      <c r="CH105" s="456" t="s">
        <v>270</v>
      </c>
      <c r="CI105" s="457">
        <v>0.4</v>
      </c>
      <c r="CJ105" s="457">
        <v>0.4</v>
      </c>
      <c r="CK105" s="457">
        <v>0.4</v>
      </c>
      <c r="CL105" s="457">
        <v>0.4</v>
      </c>
      <c r="CM105" s="465">
        <v>0.4</v>
      </c>
      <c r="CN105" s="457">
        <v>0.4</v>
      </c>
      <c r="CO105" s="461">
        <v>0.4</v>
      </c>
      <c r="CP105" s="457">
        <v>0.4</v>
      </c>
      <c r="CQ105" s="457">
        <v>1</v>
      </c>
      <c r="CR105" s="457">
        <v>1</v>
      </c>
      <c r="CS105" s="462"/>
      <c r="CT105" s="461"/>
      <c r="CU105" s="461"/>
      <c r="CW105" s="455">
        <v>3.3</v>
      </c>
      <c r="CX105" s="459" t="s">
        <v>22</v>
      </c>
      <c r="CY105" s="456" t="s">
        <v>270</v>
      </c>
      <c r="CZ105" s="461">
        <v>0.4</v>
      </c>
      <c r="DA105" s="461">
        <v>0.4</v>
      </c>
      <c r="DB105" s="461">
        <v>0.4</v>
      </c>
      <c r="DC105" s="461">
        <v>0.4</v>
      </c>
      <c r="DD105" s="468">
        <v>0.4</v>
      </c>
      <c r="DE105" s="461">
        <v>0.4</v>
      </c>
      <c r="DF105" s="461">
        <v>0.4</v>
      </c>
      <c r="DG105" s="461">
        <v>0.4</v>
      </c>
      <c r="DH105" s="461">
        <v>1</v>
      </c>
      <c r="DI105" s="461">
        <v>1</v>
      </c>
      <c r="DJ105" s="462"/>
      <c r="DK105" s="461"/>
      <c r="DL105" s="461"/>
      <c r="DN105" s="455">
        <v>3.3</v>
      </c>
      <c r="DO105" s="459" t="s">
        <v>22</v>
      </c>
      <c r="DP105" s="456" t="s">
        <v>270</v>
      </c>
      <c r="DQ105" s="461">
        <v>0.4</v>
      </c>
      <c r="DR105" s="461">
        <v>0.4</v>
      </c>
      <c r="DS105" s="461">
        <v>0.4</v>
      </c>
      <c r="DT105" s="461">
        <v>0.4</v>
      </c>
      <c r="DU105" s="468">
        <v>0.4</v>
      </c>
      <c r="DV105" s="461">
        <v>0.4</v>
      </c>
      <c r="DW105" s="461">
        <v>0.4</v>
      </c>
      <c r="DX105" s="461">
        <v>0.4</v>
      </c>
      <c r="DY105" s="461">
        <v>1</v>
      </c>
      <c r="DZ105" s="461">
        <v>1</v>
      </c>
      <c r="EA105" s="462"/>
      <c r="EB105" s="461"/>
      <c r="EC105" s="461"/>
      <c r="ED105" s="555"/>
      <c r="EF105" s="455">
        <v>3.3</v>
      </c>
      <c r="EG105" s="459" t="s">
        <v>22</v>
      </c>
      <c r="EH105" s="456" t="s">
        <v>270</v>
      </c>
      <c r="EI105" s="609">
        <v>0</v>
      </c>
      <c r="EJ105" s="609">
        <v>0</v>
      </c>
      <c r="EK105" s="609">
        <v>0</v>
      </c>
      <c r="EL105" s="609">
        <v>0</v>
      </c>
      <c r="EM105" s="609">
        <v>0</v>
      </c>
      <c r="EN105" s="609">
        <v>0</v>
      </c>
      <c r="EO105" s="609">
        <v>0</v>
      </c>
      <c r="EP105" s="609">
        <v>0</v>
      </c>
      <c r="EQ105" s="609">
        <v>0</v>
      </c>
      <c r="ER105" s="609">
        <v>0</v>
      </c>
      <c r="ES105" s="609">
        <v>0</v>
      </c>
      <c r="ET105" s="609">
        <v>0</v>
      </c>
      <c r="EU105" s="609">
        <v>0</v>
      </c>
      <c r="EW105" s="455">
        <v>3.3</v>
      </c>
      <c r="EX105" s="459" t="s">
        <v>22</v>
      </c>
      <c r="EY105" s="456" t="s">
        <v>270</v>
      </c>
      <c r="EZ105" s="598">
        <f>DQ105</f>
        <v>0.4</v>
      </c>
      <c r="FA105" s="598"/>
      <c r="FB105" s="598"/>
      <c r="FC105" s="598"/>
      <c r="FD105" s="598"/>
      <c r="FE105" s="598"/>
      <c r="FF105" s="598"/>
      <c r="FG105" s="598"/>
      <c r="FH105" s="598"/>
      <c r="FI105" s="598"/>
      <c r="FJ105" s="598"/>
      <c r="FK105" s="598"/>
      <c r="FL105" s="598"/>
    </row>
    <row r="106" spans="2:168">
      <c r="B106" s="732" t="str">
        <f t="shared" si="142"/>
        <v>3.3.1</v>
      </c>
      <c r="C106" s="408" t="str">
        <f t="shared" si="170"/>
        <v>空調配管の更新性</v>
      </c>
      <c r="D106" s="809" t="e">
        <f t="shared" ref="D106:E111" si="191">IF(I$105&gt;0,G106/I$105,0)</f>
        <v>#REF!</v>
      </c>
      <c r="E106" s="730" t="e">
        <f t="shared" si="191"/>
        <v>#REF!</v>
      </c>
      <c r="G106" s="730" t="e">
        <f t="shared" si="171"/>
        <v>#REF!</v>
      </c>
      <c r="H106" s="730" t="e">
        <f t="shared" si="172"/>
        <v>#REF!</v>
      </c>
      <c r="I106" s="730"/>
      <c r="J106" s="730"/>
      <c r="K106" s="730" t="e">
        <f>IF(#REF!=0,0,1)</f>
        <v>#REF!</v>
      </c>
      <c r="L106" s="730" t="e">
        <f>IF(#REF!=0,0,1)</f>
        <v>#REF!</v>
      </c>
      <c r="M106" s="730">
        <f t="shared" si="173"/>
        <v>0.2</v>
      </c>
      <c r="N106" s="730">
        <f t="shared" si="169"/>
        <v>0</v>
      </c>
      <c r="P106" s="832"/>
      <c r="Q106" s="728"/>
      <c r="R106" s="414">
        <v>1</v>
      </c>
      <c r="S106" s="579" t="s">
        <v>909</v>
      </c>
      <c r="T106" s="745"/>
      <c r="U106" s="726"/>
      <c r="V106" s="734">
        <f t="shared" si="158"/>
        <v>0</v>
      </c>
      <c r="W106" s="733">
        <f t="shared" si="159"/>
        <v>0</v>
      </c>
      <c r="Y106" s="1">
        <f t="shared" ref="Y106:Y137" si="192">IF(OR(AM106=0,AM106="-"),0,1)</f>
        <v>0</v>
      </c>
      <c r="Z106" s="1">
        <f t="shared" ref="Z106:Z137" si="193">IF(OR(AN106=0,AN106="-"),0,1)</f>
        <v>0</v>
      </c>
      <c r="AA106" s="1">
        <f t="shared" ref="AA106:AA137" si="194">IF(OR(AO106=0,AO106="-"),0,1)</f>
        <v>0</v>
      </c>
      <c r="AB106" s="1">
        <f t="shared" ref="AB106:AB137" si="195">IF(OR(AP106=0,AP106="-"),0,1)</f>
        <v>0</v>
      </c>
      <c r="AC106" s="1">
        <f t="shared" ref="AC106:AC137" si="196">IF(OR(AQ106=0,AQ106="-"),0,1)</f>
        <v>0</v>
      </c>
      <c r="AD106" s="1">
        <f t="shared" ref="AD106:AD137" si="197">IF(OR(AR106=0,AR106="-"),0,1)</f>
        <v>0</v>
      </c>
      <c r="AE106" s="1">
        <f t="shared" ref="AE106:AE137" si="198">IF(OR(AS106=0,AS106="-"),0,1)</f>
        <v>0</v>
      </c>
      <c r="AF106" s="1">
        <f t="shared" ref="AF106:AF137" si="199">IF(OR(AT106=0,AT106="-"),0,1)</f>
        <v>0</v>
      </c>
      <c r="AG106" s="1">
        <f t="shared" ref="AG106:AG137" si="200">IF(OR(AU106=0,AU106="-"),0,1)</f>
        <v>0</v>
      </c>
      <c r="AH106" s="1">
        <f t="shared" ref="AH106:AH137" si="201">IF(OR(AV106=0,AV106="-"),0,1)</f>
        <v>0</v>
      </c>
      <c r="AI106" s="1">
        <f t="shared" ref="AI106:AI137" si="202">IF(OR(AW106=0,AW106="-"),0,1)</f>
        <v>0</v>
      </c>
      <c r="AJ106" s="1">
        <f t="shared" ref="AJ106:AJ137" si="203">IF(OR(AX106=0,AX106="-"),0,1)</f>
        <v>0</v>
      </c>
      <c r="AK106" s="1">
        <f t="shared" ref="AK106:AK137" si="204">IF(OR(AY106=0,AY106="-"),0,1)</f>
        <v>0</v>
      </c>
      <c r="AM106" s="679"/>
      <c r="AN106" s="679"/>
      <c r="AO106" s="679"/>
      <c r="AP106" s="679"/>
      <c r="AQ106" s="679"/>
      <c r="AR106" s="679"/>
      <c r="AS106" s="679"/>
      <c r="AT106" s="679"/>
      <c r="AU106" s="679"/>
      <c r="AV106" s="679"/>
      <c r="AW106" s="679"/>
      <c r="AX106" s="679"/>
      <c r="AY106" s="679"/>
      <c r="BA106" s="723"/>
      <c r="BB106" s="723" t="e">
        <f t="shared" si="174"/>
        <v>#REF!</v>
      </c>
      <c r="BC106" s="723"/>
      <c r="BD106" s="722" t="e">
        <f>BR106*#REF!</f>
        <v>#REF!</v>
      </c>
      <c r="BE106" s="722" t="e">
        <f>BS106*#REF!</f>
        <v>#REF!</v>
      </c>
      <c r="BF106" s="722" t="e">
        <f>BT106*#REF!</f>
        <v>#REF!</v>
      </c>
      <c r="BG106" s="722" t="e">
        <f>BU106*#REF!</f>
        <v>#REF!</v>
      </c>
      <c r="BH106" s="803" t="e">
        <f>BV106*#REF!</f>
        <v>#REF!</v>
      </c>
      <c r="BI106" s="722" t="e">
        <f>BW106*#REF!</f>
        <v>#REF!</v>
      </c>
      <c r="BJ106" s="722" t="e">
        <f>BX106*#REF!</f>
        <v>#REF!</v>
      </c>
      <c r="BK106" s="722" t="e">
        <f>BY106*#REF!</f>
        <v>#REF!</v>
      </c>
      <c r="BL106" s="722" t="e">
        <f>BZ106*#REF!</f>
        <v>#REF!</v>
      </c>
      <c r="BM106" s="722" t="e">
        <f>CA106*#REF!</f>
        <v>#REF!</v>
      </c>
      <c r="BO106" s="749" t="str">
        <f t="shared" si="175"/>
        <v>3.3.1</v>
      </c>
      <c r="BP106" s="749" t="str">
        <f t="shared" si="176"/>
        <v xml:space="preserve"> Q2 3.3</v>
      </c>
      <c r="BQ106" s="408" t="str">
        <f t="shared" si="177"/>
        <v>空調配管の更新性</v>
      </c>
      <c r="BR106" s="719">
        <f t="shared" si="178"/>
        <v>0.2</v>
      </c>
      <c r="BS106" s="719">
        <f t="shared" si="179"/>
        <v>0.2</v>
      </c>
      <c r="BT106" s="719">
        <f t="shared" si="180"/>
        <v>0.2</v>
      </c>
      <c r="BU106" s="719">
        <f t="shared" si="181"/>
        <v>0.2</v>
      </c>
      <c r="BV106" s="802">
        <f t="shared" si="182"/>
        <v>0.2</v>
      </c>
      <c r="BW106" s="719">
        <f t="shared" si="183"/>
        <v>0.2</v>
      </c>
      <c r="BX106" s="719">
        <f t="shared" si="184"/>
        <v>0.2</v>
      </c>
      <c r="BY106" s="719">
        <f t="shared" si="185"/>
        <v>0.2</v>
      </c>
      <c r="BZ106" s="719">
        <f t="shared" si="186"/>
        <v>0.2</v>
      </c>
      <c r="CA106" s="719">
        <f t="shared" si="187"/>
        <v>0.2</v>
      </c>
      <c r="CB106" s="748">
        <f t="shared" si="188"/>
        <v>0</v>
      </c>
      <c r="CC106" s="719">
        <f t="shared" si="189"/>
        <v>0</v>
      </c>
      <c r="CD106" s="719">
        <f t="shared" si="190"/>
        <v>0</v>
      </c>
      <c r="CF106" s="455" t="s">
        <v>907</v>
      </c>
      <c r="CG106" s="459" t="s">
        <v>26</v>
      </c>
      <c r="CH106" s="456" t="s">
        <v>27</v>
      </c>
      <c r="CI106" s="457">
        <v>0.2</v>
      </c>
      <c r="CJ106" s="457">
        <v>0.2</v>
      </c>
      <c r="CK106" s="457">
        <v>0.2</v>
      </c>
      <c r="CL106" s="457">
        <v>0.2</v>
      </c>
      <c r="CM106" s="465">
        <v>0.2</v>
      </c>
      <c r="CN106" s="457">
        <v>0.2</v>
      </c>
      <c r="CO106" s="461">
        <v>0.2</v>
      </c>
      <c r="CP106" s="457">
        <v>0.2</v>
      </c>
      <c r="CQ106" s="457">
        <v>0.2</v>
      </c>
      <c r="CR106" s="457">
        <v>0.2</v>
      </c>
      <c r="CS106" s="462"/>
      <c r="CT106" s="461"/>
      <c r="CU106" s="461"/>
      <c r="CW106" s="455" t="s">
        <v>908</v>
      </c>
      <c r="CX106" s="459" t="s">
        <v>26</v>
      </c>
      <c r="CY106" s="456" t="s">
        <v>27</v>
      </c>
      <c r="CZ106" s="461">
        <v>0.2</v>
      </c>
      <c r="DA106" s="461">
        <v>0.2</v>
      </c>
      <c r="DB106" s="461">
        <v>0.2</v>
      </c>
      <c r="DC106" s="461">
        <v>0.2</v>
      </c>
      <c r="DD106" s="468">
        <v>0.2</v>
      </c>
      <c r="DE106" s="461">
        <v>0.2</v>
      </c>
      <c r="DF106" s="461">
        <v>0.2</v>
      </c>
      <c r="DG106" s="461">
        <v>0.2</v>
      </c>
      <c r="DH106" s="461">
        <v>0.2</v>
      </c>
      <c r="DI106" s="461">
        <v>0.2</v>
      </c>
      <c r="DJ106" s="462"/>
      <c r="DK106" s="461"/>
      <c r="DL106" s="461"/>
      <c r="DN106" s="455" t="s">
        <v>907</v>
      </c>
      <c r="DO106" s="459" t="s">
        <v>26</v>
      </c>
      <c r="DP106" s="456" t="s">
        <v>27</v>
      </c>
      <c r="DQ106" s="461">
        <v>0.2</v>
      </c>
      <c r="DR106" s="461">
        <v>0.2</v>
      </c>
      <c r="DS106" s="461">
        <v>0.2</v>
      </c>
      <c r="DT106" s="461">
        <v>0.2</v>
      </c>
      <c r="DU106" s="468">
        <v>0.2</v>
      </c>
      <c r="DV106" s="461">
        <v>0.2</v>
      </c>
      <c r="DW106" s="461">
        <v>0.2</v>
      </c>
      <c r="DX106" s="461">
        <v>0.2</v>
      </c>
      <c r="DY106" s="461">
        <v>0.2</v>
      </c>
      <c r="DZ106" s="461">
        <v>0.2</v>
      </c>
      <c r="EA106" s="462"/>
      <c r="EB106" s="461"/>
      <c r="EC106" s="461"/>
      <c r="ED106" s="555"/>
      <c r="EF106" s="455" t="s">
        <v>907</v>
      </c>
      <c r="EG106" s="459" t="s">
        <v>26</v>
      </c>
      <c r="EH106" s="456" t="s">
        <v>27</v>
      </c>
      <c r="EI106" s="609">
        <v>0</v>
      </c>
      <c r="EJ106" s="609">
        <v>0</v>
      </c>
      <c r="EK106" s="609">
        <v>0</v>
      </c>
      <c r="EL106" s="609">
        <v>0</v>
      </c>
      <c r="EM106" s="609">
        <v>0</v>
      </c>
      <c r="EN106" s="609">
        <v>0</v>
      </c>
      <c r="EO106" s="609">
        <v>0</v>
      </c>
      <c r="EP106" s="609">
        <v>0</v>
      </c>
      <c r="EQ106" s="609">
        <v>0</v>
      </c>
      <c r="ER106" s="609">
        <v>0</v>
      </c>
      <c r="ES106" s="609">
        <v>0</v>
      </c>
      <c r="ET106" s="609">
        <v>0</v>
      </c>
      <c r="EU106" s="609">
        <v>0</v>
      </c>
      <c r="EW106" s="455" t="s">
        <v>907</v>
      </c>
      <c r="EX106" s="459" t="s">
        <v>26</v>
      </c>
      <c r="EY106" s="456" t="s">
        <v>27</v>
      </c>
      <c r="EZ106" s="666">
        <v>0</v>
      </c>
      <c r="FA106" s="598"/>
      <c r="FB106" s="598"/>
      <c r="FC106" s="598"/>
      <c r="FD106" s="598"/>
      <c r="FE106" s="598"/>
      <c r="FF106" s="598"/>
      <c r="FG106" s="598"/>
      <c r="FH106" s="598"/>
      <c r="FI106" s="598"/>
      <c r="FJ106" s="598"/>
      <c r="FK106" s="598"/>
      <c r="FL106" s="598"/>
    </row>
    <row r="107" spans="2:168">
      <c r="B107" s="732" t="str">
        <f t="shared" si="142"/>
        <v>3.3.2</v>
      </c>
      <c r="C107" s="408" t="str">
        <f t="shared" si="170"/>
        <v>給排水管の更新性</v>
      </c>
      <c r="D107" s="809" t="e">
        <f t="shared" si="191"/>
        <v>#REF!</v>
      </c>
      <c r="E107" s="730" t="e">
        <f t="shared" si="191"/>
        <v>#REF!</v>
      </c>
      <c r="G107" s="730" t="e">
        <f t="shared" si="171"/>
        <v>#REF!</v>
      </c>
      <c r="H107" s="730" t="e">
        <f t="shared" si="172"/>
        <v>#REF!</v>
      </c>
      <c r="I107" s="730"/>
      <c r="J107" s="730"/>
      <c r="K107" s="730" t="e">
        <f>IF(#REF!=0,0,1)</f>
        <v>#REF!</v>
      </c>
      <c r="L107" s="730" t="e">
        <f>IF(#REF!=0,0,1)</f>
        <v>#REF!</v>
      </c>
      <c r="M107" s="730">
        <f t="shared" si="173"/>
        <v>0.2</v>
      </c>
      <c r="N107" s="730">
        <f t="shared" si="169"/>
        <v>0</v>
      </c>
      <c r="P107" s="832"/>
      <c r="Q107" s="728"/>
      <c r="R107" s="727">
        <v>2</v>
      </c>
      <c r="S107" s="816" t="s">
        <v>271</v>
      </c>
      <c r="T107" s="815"/>
      <c r="U107" s="726"/>
      <c r="V107" s="747">
        <f t="shared" si="158"/>
        <v>0</v>
      </c>
      <c r="W107" s="746">
        <f t="shared" si="159"/>
        <v>0</v>
      </c>
      <c r="Y107" s="1">
        <f t="shared" si="192"/>
        <v>0</v>
      </c>
      <c r="Z107" s="1">
        <f t="shared" si="193"/>
        <v>0</v>
      </c>
      <c r="AA107" s="1">
        <f t="shared" si="194"/>
        <v>0</v>
      </c>
      <c r="AB107" s="1">
        <f t="shared" si="195"/>
        <v>0</v>
      </c>
      <c r="AC107" s="1">
        <f t="shared" si="196"/>
        <v>0</v>
      </c>
      <c r="AD107" s="1">
        <f t="shared" si="197"/>
        <v>0</v>
      </c>
      <c r="AE107" s="1">
        <f t="shared" si="198"/>
        <v>0</v>
      </c>
      <c r="AF107" s="1">
        <f t="shared" si="199"/>
        <v>0</v>
      </c>
      <c r="AG107" s="1">
        <f t="shared" si="200"/>
        <v>0</v>
      </c>
      <c r="AH107" s="1">
        <f t="shared" si="201"/>
        <v>0</v>
      </c>
      <c r="AI107" s="1">
        <f t="shared" si="202"/>
        <v>0</v>
      </c>
      <c r="AJ107" s="1">
        <f t="shared" si="203"/>
        <v>0</v>
      </c>
      <c r="AK107" s="1">
        <f t="shared" si="204"/>
        <v>0</v>
      </c>
      <c r="AM107" s="680"/>
      <c r="AN107" s="680"/>
      <c r="AO107" s="680"/>
      <c r="AP107" s="680"/>
      <c r="AQ107" s="680"/>
      <c r="AR107" s="680"/>
      <c r="AS107" s="680"/>
      <c r="AT107" s="680"/>
      <c r="AU107" s="680"/>
      <c r="AV107" s="680"/>
      <c r="AW107" s="680"/>
      <c r="AX107" s="680"/>
      <c r="AY107" s="680"/>
      <c r="BA107" s="723"/>
      <c r="BB107" s="723" t="e">
        <f t="shared" si="174"/>
        <v>#REF!</v>
      </c>
      <c r="BC107" s="723"/>
      <c r="BD107" s="722" t="e">
        <f>BR107*#REF!</f>
        <v>#REF!</v>
      </c>
      <c r="BE107" s="722" t="e">
        <f>BS107*#REF!</f>
        <v>#REF!</v>
      </c>
      <c r="BF107" s="722" t="e">
        <f>BT107*#REF!</f>
        <v>#REF!</v>
      </c>
      <c r="BG107" s="722" t="e">
        <f>BU107*#REF!</f>
        <v>#REF!</v>
      </c>
      <c r="BH107" s="803" t="e">
        <f>BV107*#REF!</f>
        <v>#REF!</v>
      </c>
      <c r="BI107" s="722" t="e">
        <f>BW107*#REF!</f>
        <v>#REF!</v>
      </c>
      <c r="BJ107" s="722" t="e">
        <f>BX107*#REF!</f>
        <v>#REF!</v>
      </c>
      <c r="BK107" s="722" t="e">
        <f>BY107*#REF!</f>
        <v>#REF!</v>
      </c>
      <c r="BL107" s="722" t="e">
        <f>BZ107*#REF!</f>
        <v>#REF!</v>
      </c>
      <c r="BM107" s="722" t="e">
        <f>CA107*#REF!</f>
        <v>#REF!</v>
      </c>
      <c r="BO107" s="749" t="str">
        <f t="shared" si="175"/>
        <v>3.3.2</v>
      </c>
      <c r="BP107" s="749" t="str">
        <f t="shared" si="176"/>
        <v xml:space="preserve"> Q2 3.3</v>
      </c>
      <c r="BQ107" s="408" t="str">
        <f t="shared" si="177"/>
        <v>給排水管の更新性</v>
      </c>
      <c r="BR107" s="719">
        <f t="shared" si="178"/>
        <v>0.2</v>
      </c>
      <c r="BS107" s="719">
        <f t="shared" si="179"/>
        <v>0.2</v>
      </c>
      <c r="BT107" s="719">
        <f t="shared" si="180"/>
        <v>0.2</v>
      </c>
      <c r="BU107" s="719">
        <f t="shared" si="181"/>
        <v>0.2</v>
      </c>
      <c r="BV107" s="802">
        <f t="shared" si="182"/>
        <v>0.2</v>
      </c>
      <c r="BW107" s="719">
        <f t="shared" si="183"/>
        <v>0.2</v>
      </c>
      <c r="BX107" s="719">
        <f t="shared" si="184"/>
        <v>0.2</v>
      </c>
      <c r="BY107" s="719">
        <f t="shared" si="185"/>
        <v>0.2</v>
      </c>
      <c r="BZ107" s="719">
        <f t="shared" si="186"/>
        <v>0.2</v>
      </c>
      <c r="CA107" s="719">
        <f t="shared" si="187"/>
        <v>0.2</v>
      </c>
      <c r="CB107" s="748">
        <f t="shared" si="188"/>
        <v>0</v>
      </c>
      <c r="CC107" s="719">
        <f t="shared" si="189"/>
        <v>0</v>
      </c>
      <c r="CD107" s="719">
        <f t="shared" si="190"/>
        <v>0</v>
      </c>
      <c r="CF107" s="455" t="s">
        <v>903</v>
      </c>
      <c r="CG107" s="459" t="s">
        <v>26</v>
      </c>
      <c r="CH107" s="456" t="s">
        <v>28</v>
      </c>
      <c r="CI107" s="457">
        <v>0.2</v>
      </c>
      <c r="CJ107" s="457">
        <v>0.2</v>
      </c>
      <c r="CK107" s="457">
        <v>0.2</v>
      </c>
      <c r="CL107" s="457">
        <v>0.2</v>
      </c>
      <c r="CM107" s="465">
        <v>0.2</v>
      </c>
      <c r="CN107" s="457">
        <v>0.2</v>
      </c>
      <c r="CO107" s="461">
        <v>0.2</v>
      </c>
      <c r="CP107" s="457">
        <v>0.2</v>
      </c>
      <c r="CQ107" s="457">
        <v>0.2</v>
      </c>
      <c r="CR107" s="457">
        <v>0.2</v>
      </c>
      <c r="CS107" s="462"/>
      <c r="CT107" s="461"/>
      <c r="CU107" s="461"/>
      <c r="CW107" s="455" t="s">
        <v>906</v>
      </c>
      <c r="CX107" s="459" t="s">
        <v>26</v>
      </c>
      <c r="CY107" s="456" t="s">
        <v>28</v>
      </c>
      <c r="CZ107" s="461">
        <v>0.2</v>
      </c>
      <c r="DA107" s="461">
        <v>0.2</v>
      </c>
      <c r="DB107" s="461">
        <v>0.2</v>
      </c>
      <c r="DC107" s="461">
        <v>0.2</v>
      </c>
      <c r="DD107" s="468">
        <v>0.2</v>
      </c>
      <c r="DE107" s="461">
        <v>0.2</v>
      </c>
      <c r="DF107" s="461">
        <v>0.2</v>
      </c>
      <c r="DG107" s="461">
        <v>0.2</v>
      </c>
      <c r="DH107" s="461">
        <v>0.2</v>
      </c>
      <c r="DI107" s="461">
        <v>0.2</v>
      </c>
      <c r="DJ107" s="462"/>
      <c r="DK107" s="461"/>
      <c r="DL107" s="461"/>
      <c r="DN107" s="455" t="s">
        <v>905</v>
      </c>
      <c r="DO107" s="459" t="s">
        <v>26</v>
      </c>
      <c r="DP107" s="456" t="s">
        <v>28</v>
      </c>
      <c r="DQ107" s="461">
        <v>0.2</v>
      </c>
      <c r="DR107" s="461">
        <v>0.2</v>
      </c>
      <c r="DS107" s="461">
        <v>0.2</v>
      </c>
      <c r="DT107" s="461">
        <v>0.2</v>
      </c>
      <c r="DU107" s="468">
        <v>0.2</v>
      </c>
      <c r="DV107" s="461">
        <v>0.2</v>
      </c>
      <c r="DW107" s="461">
        <v>0.2</v>
      </c>
      <c r="DX107" s="461">
        <v>0.2</v>
      </c>
      <c r="DY107" s="461">
        <v>0.2</v>
      </c>
      <c r="DZ107" s="461">
        <v>0.2</v>
      </c>
      <c r="EA107" s="462"/>
      <c r="EB107" s="461"/>
      <c r="EC107" s="461"/>
      <c r="ED107" s="555"/>
      <c r="EF107" s="455" t="s">
        <v>904</v>
      </c>
      <c r="EG107" s="459" t="s">
        <v>26</v>
      </c>
      <c r="EH107" s="456" t="s">
        <v>28</v>
      </c>
      <c r="EI107" s="609">
        <v>0</v>
      </c>
      <c r="EJ107" s="609">
        <v>0</v>
      </c>
      <c r="EK107" s="609">
        <v>0</v>
      </c>
      <c r="EL107" s="609">
        <v>0</v>
      </c>
      <c r="EM107" s="609">
        <v>0</v>
      </c>
      <c r="EN107" s="609">
        <v>0</v>
      </c>
      <c r="EO107" s="609">
        <v>0</v>
      </c>
      <c r="EP107" s="609">
        <v>0</v>
      </c>
      <c r="EQ107" s="609">
        <v>0</v>
      </c>
      <c r="ER107" s="609">
        <v>0</v>
      </c>
      <c r="ES107" s="609">
        <v>0</v>
      </c>
      <c r="ET107" s="609">
        <v>0</v>
      </c>
      <c r="EU107" s="609">
        <v>0</v>
      </c>
      <c r="EW107" s="455" t="s">
        <v>903</v>
      </c>
      <c r="EX107" s="459" t="s">
        <v>26</v>
      </c>
      <c r="EY107" s="456" t="s">
        <v>28</v>
      </c>
      <c r="EZ107" s="666">
        <v>0.4</v>
      </c>
      <c r="FA107" s="598"/>
      <c r="FB107" s="598"/>
      <c r="FC107" s="598"/>
      <c r="FD107" s="598"/>
      <c r="FE107" s="598"/>
      <c r="FF107" s="598"/>
      <c r="FG107" s="598"/>
      <c r="FH107" s="598"/>
      <c r="FI107" s="598"/>
      <c r="FJ107" s="598"/>
      <c r="FK107" s="598"/>
      <c r="FL107" s="598"/>
    </row>
    <row r="108" spans="2:168">
      <c r="B108" s="732" t="str">
        <f t="shared" si="142"/>
        <v>3.3.3</v>
      </c>
      <c r="C108" s="408" t="str">
        <f t="shared" si="170"/>
        <v>電気配線の更新性</v>
      </c>
      <c r="D108" s="809" t="e">
        <f t="shared" si="191"/>
        <v>#REF!</v>
      </c>
      <c r="E108" s="730" t="e">
        <f t="shared" si="191"/>
        <v>#REF!</v>
      </c>
      <c r="G108" s="730" t="e">
        <f t="shared" si="171"/>
        <v>#REF!</v>
      </c>
      <c r="H108" s="730" t="e">
        <f t="shared" si="172"/>
        <v>#REF!</v>
      </c>
      <c r="I108" s="730"/>
      <c r="J108" s="730"/>
      <c r="K108" s="730" t="e">
        <f>IF(#REF!=0,0,1)</f>
        <v>#REF!</v>
      </c>
      <c r="L108" s="730" t="e">
        <f>IF(#REF!=0,0,1)</f>
        <v>#REF!</v>
      </c>
      <c r="M108" s="730">
        <f t="shared" si="173"/>
        <v>0.1</v>
      </c>
      <c r="N108" s="730">
        <f t="shared" si="169"/>
        <v>0</v>
      </c>
      <c r="P108" s="832"/>
      <c r="Q108" s="728"/>
      <c r="R108" s="414">
        <v>3</v>
      </c>
      <c r="S108" s="579" t="s">
        <v>272</v>
      </c>
      <c r="T108" s="745"/>
      <c r="U108" s="726"/>
      <c r="V108" s="747">
        <f t="shared" si="158"/>
        <v>0</v>
      </c>
      <c r="W108" s="746">
        <f t="shared" si="159"/>
        <v>0</v>
      </c>
      <c r="Y108" s="1">
        <f t="shared" si="192"/>
        <v>0</v>
      </c>
      <c r="Z108" s="1">
        <f t="shared" si="193"/>
        <v>0</v>
      </c>
      <c r="AA108" s="1">
        <f t="shared" si="194"/>
        <v>0</v>
      </c>
      <c r="AB108" s="1">
        <f t="shared" si="195"/>
        <v>0</v>
      </c>
      <c r="AC108" s="1">
        <f t="shared" si="196"/>
        <v>0</v>
      </c>
      <c r="AD108" s="1">
        <f t="shared" si="197"/>
        <v>0</v>
      </c>
      <c r="AE108" s="1">
        <f t="shared" si="198"/>
        <v>0</v>
      </c>
      <c r="AF108" s="1">
        <f t="shared" si="199"/>
        <v>0</v>
      </c>
      <c r="AG108" s="1">
        <f t="shared" si="200"/>
        <v>0</v>
      </c>
      <c r="AH108" s="1">
        <f t="shared" si="201"/>
        <v>0</v>
      </c>
      <c r="AI108" s="1">
        <f t="shared" si="202"/>
        <v>0</v>
      </c>
      <c r="AJ108" s="1">
        <f t="shared" si="203"/>
        <v>0</v>
      </c>
      <c r="AK108" s="1">
        <f t="shared" si="204"/>
        <v>0</v>
      </c>
      <c r="AM108" s="680"/>
      <c r="AN108" s="680"/>
      <c r="AO108" s="680"/>
      <c r="AP108" s="680"/>
      <c r="AQ108" s="680"/>
      <c r="AR108" s="680"/>
      <c r="AS108" s="680"/>
      <c r="AT108" s="680"/>
      <c r="AU108" s="680"/>
      <c r="AV108" s="680"/>
      <c r="AW108" s="680"/>
      <c r="AX108" s="680"/>
      <c r="AY108" s="680"/>
      <c r="BA108" s="723"/>
      <c r="BB108" s="723" t="e">
        <f t="shared" si="174"/>
        <v>#REF!</v>
      </c>
      <c r="BC108" s="723"/>
      <c r="BD108" s="722" t="e">
        <f>BR108*#REF!</f>
        <v>#REF!</v>
      </c>
      <c r="BE108" s="722" t="e">
        <f>BS108*#REF!</f>
        <v>#REF!</v>
      </c>
      <c r="BF108" s="722" t="e">
        <f>BT108*#REF!</f>
        <v>#REF!</v>
      </c>
      <c r="BG108" s="722" t="e">
        <f>BU108*#REF!</f>
        <v>#REF!</v>
      </c>
      <c r="BH108" s="803" t="e">
        <f>BV108*#REF!</f>
        <v>#REF!</v>
      </c>
      <c r="BI108" s="722" t="e">
        <f>BW108*#REF!</f>
        <v>#REF!</v>
      </c>
      <c r="BJ108" s="722" t="e">
        <f>BX108*#REF!</f>
        <v>#REF!</v>
      </c>
      <c r="BK108" s="722" t="e">
        <f>BY108*#REF!</f>
        <v>#REF!</v>
      </c>
      <c r="BL108" s="722" t="e">
        <f>BZ108*#REF!</f>
        <v>#REF!</v>
      </c>
      <c r="BM108" s="722" t="e">
        <f>CA108*#REF!</f>
        <v>#REF!</v>
      </c>
      <c r="BO108" s="749" t="str">
        <f t="shared" si="175"/>
        <v>3.3.3</v>
      </c>
      <c r="BP108" s="749" t="str">
        <f t="shared" si="176"/>
        <v xml:space="preserve"> Q2 3.3</v>
      </c>
      <c r="BQ108" s="408" t="str">
        <f t="shared" si="177"/>
        <v>電気配線の更新性</v>
      </c>
      <c r="BR108" s="719">
        <f t="shared" si="178"/>
        <v>0.1</v>
      </c>
      <c r="BS108" s="719">
        <f t="shared" si="179"/>
        <v>0.1</v>
      </c>
      <c r="BT108" s="719">
        <f t="shared" si="180"/>
        <v>0.1</v>
      </c>
      <c r="BU108" s="719">
        <f t="shared" si="181"/>
        <v>0.1</v>
      </c>
      <c r="BV108" s="802">
        <f t="shared" si="182"/>
        <v>0.1</v>
      </c>
      <c r="BW108" s="719">
        <f t="shared" si="183"/>
        <v>0.1</v>
      </c>
      <c r="BX108" s="719">
        <f t="shared" si="184"/>
        <v>0.1</v>
      </c>
      <c r="BY108" s="719">
        <f t="shared" si="185"/>
        <v>0.1</v>
      </c>
      <c r="BZ108" s="719">
        <f t="shared" si="186"/>
        <v>0.1</v>
      </c>
      <c r="CA108" s="719">
        <f t="shared" si="187"/>
        <v>0.1</v>
      </c>
      <c r="CB108" s="748">
        <f t="shared" si="188"/>
        <v>0</v>
      </c>
      <c r="CC108" s="719">
        <f t="shared" si="189"/>
        <v>0</v>
      </c>
      <c r="CD108" s="719">
        <f t="shared" si="190"/>
        <v>0</v>
      </c>
      <c r="CF108" s="455" t="s">
        <v>902</v>
      </c>
      <c r="CG108" s="459" t="s">
        <v>26</v>
      </c>
      <c r="CH108" s="456" t="s">
        <v>29</v>
      </c>
      <c r="CI108" s="457">
        <v>0.1</v>
      </c>
      <c r="CJ108" s="457">
        <v>0.1</v>
      </c>
      <c r="CK108" s="457">
        <v>0.1</v>
      </c>
      <c r="CL108" s="457">
        <v>0.1</v>
      </c>
      <c r="CM108" s="465">
        <v>0.1</v>
      </c>
      <c r="CN108" s="457">
        <v>0.1</v>
      </c>
      <c r="CO108" s="461">
        <v>0.1</v>
      </c>
      <c r="CP108" s="457">
        <v>0.1</v>
      </c>
      <c r="CQ108" s="457">
        <v>0.1</v>
      </c>
      <c r="CR108" s="457">
        <v>0.1</v>
      </c>
      <c r="CS108" s="462"/>
      <c r="CT108" s="461"/>
      <c r="CU108" s="461"/>
      <c r="CW108" s="455" t="s">
        <v>901</v>
      </c>
      <c r="CX108" s="459" t="s">
        <v>26</v>
      </c>
      <c r="CY108" s="456" t="s">
        <v>29</v>
      </c>
      <c r="CZ108" s="461">
        <v>0.1</v>
      </c>
      <c r="DA108" s="461">
        <v>0.1</v>
      </c>
      <c r="DB108" s="461">
        <v>0.1</v>
      </c>
      <c r="DC108" s="461">
        <v>0.1</v>
      </c>
      <c r="DD108" s="468">
        <v>0.1</v>
      </c>
      <c r="DE108" s="461">
        <v>0.1</v>
      </c>
      <c r="DF108" s="461">
        <v>0.1</v>
      </c>
      <c r="DG108" s="461">
        <v>0.1</v>
      </c>
      <c r="DH108" s="461">
        <v>0.1</v>
      </c>
      <c r="DI108" s="461">
        <v>0.1</v>
      </c>
      <c r="DJ108" s="462"/>
      <c r="DK108" s="461"/>
      <c r="DL108" s="461"/>
      <c r="DN108" s="455" t="s">
        <v>901</v>
      </c>
      <c r="DO108" s="459" t="s">
        <v>26</v>
      </c>
      <c r="DP108" s="456" t="s">
        <v>29</v>
      </c>
      <c r="DQ108" s="461">
        <v>0.1</v>
      </c>
      <c r="DR108" s="461">
        <v>0.1</v>
      </c>
      <c r="DS108" s="461">
        <v>0.1</v>
      </c>
      <c r="DT108" s="461">
        <v>0.1</v>
      </c>
      <c r="DU108" s="468">
        <v>0.1</v>
      </c>
      <c r="DV108" s="461">
        <v>0.1</v>
      </c>
      <c r="DW108" s="461">
        <v>0.1</v>
      </c>
      <c r="DX108" s="461">
        <v>0.1</v>
      </c>
      <c r="DY108" s="461">
        <v>0.1</v>
      </c>
      <c r="DZ108" s="461">
        <v>0.1</v>
      </c>
      <c r="EA108" s="462"/>
      <c r="EB108" s="461"/>
      <c r="EC108" s="461"/>
      <c r="ED108" s="555"/>
      <c r="EF108" s="455" t="s">
        <v>900</v>
      </c>
      <c r="EG108" s="459" t="s">
        <v>26</v>
      </c>
      <c r="EH108" s="456" t="s">
        <v>29</v>
      </c>
      <c r="EI108" s="609">
        <v>0</v>
      </c>
      <c r="EJ108" s="609">
        <v>0</v>
      </c>
      <c r="EK108" s="609">
        <v>0</v>
      </c>
      <c r="EL108" s="609">
        <v>0</v>
      </c>
      <c r="EM108" s="609">
        <v>0</v>
      </c>
      <c r="EN108" s="609">
        <v>0</v>
      </c>
      <c r="EO108" s="609">
        <v>0</v>
      </c>
      <c r="EP108" s="609">
        <v>0</v>
      </c>
      <c r="EQ108" s="609">
        <v>0</v>
      </c>
      <c r="ER108" s="609">
        <v>0</v>
      </c>
      <c r="ES108" s="609">
        <v>0</v>
      </c>
      <c r="ET108" s="609">
        <v>0</v>
      </c>
      <c r="EU108" s="609">
        <v>0</v>
      </c>
      <c r="EW108" s="455" t="s">
        <v>899</v>
      </c>
      <c r="EX108" s="459" t="s">
        <v>26</v>
      </c>
      <c r="EY108" s="456" t="s">
        <v>29</v>
      </c>
      <c r="EZ108" s="598">
        <f>DQ108</f>
        <v>0.1</v>
      </c>
      <c r="FA108" s="598"/>
      <c r="FB108" s="598"/>
      <c r="FC108" s="598"/>
      <c r="FD108" s="598"/>
      <c r="FE108" s="598"/>
      <c r="FF108" s="598"/>
      <c r="FG108" s="598"/>
      <c r="FH108" s="598"/>
      <c r="FI108" s="598"/>
      <c r="FJ108" s="598"/>
      <c r="FK108" s="598"/>
      <c r="FL108" s="598"/>
    </row>
    <row r="109" spans="2:168">
      <c r="B109" s="732" t="str">
        <f t="shared" si="142"/>
        <v>3.3.4</v>
      </c>
      <c r="C109" s="408" t="str">
        <f t="shared" si="170"/>
        <v>通信配線の更新性</v>
      </c>
      <c r="D109" s="809" t="e">
        <f t="shared" si="191"/>
        <v>#REF!</v>
      </c>
      <c r="E109" s="730" t="e">
        <f t="shared" si="191"/>
        <v>#REF!</v>
      </c>
      <c r="G109" s="730" t="e">
        <f t="shared" si="171"/>
        <v>#REF!</v>
      </c>
      <c r="H109" s="730" t="e">
        <f t="shared" si="172"/>
        <v>#REF!</v>
      </c>
      <c r="I109" s="730"/>
      <c r="J109" s="730"/>
      <c r="K109" s="730" t="e">
        <f>IF(#REF!=0,0,1)</f>
        <v>#REF!</v>
      </c>
      <c r="L109" s="730" t="e">
        <f>IF(#REF!=0,0,1)</f>
        <v>#REF!</v>
      </c>
      <c r="M109" s="730">
        <f t="shared" si="173"/>
        <v>0.1</v>
      </c>
      <c r="N109" s="730">
        <f t="shared" si="169"/>
        <v>0</v>
      </c>
      <c r="P109" s="832"/>
      <c r="Q109" s="728"/>
      <c r="R109" s="727">
        <v>4</v>
      </c>
      <c r="S109" s="816" t="s">
        <v>273</v>
      </c>
      <c r="T109" s="815"/>
      <c r="U109" s="726"/>
      <c r="V109" s="747">
        <f t="shared" si="158"/>
        <v>0</v>
      </c>
      <c r="W109" s="746">
        <f t="shared" si="159"/>
        <v>0</v>
      </c>
      <c r="Y109" s="1">
        <f t="shared" si="192"/>
        <v>0</v>
      </c>
      <c r="Z109" s="1">
        <f t="shared" si="193"/>
        <v>0</v>
      </c>
      <c r="AA109" s="1">
        <f t="shared" si="194"/>
        <v>0</v>
      </c>
      <c r="AB109" s="1">
        <f t="shared" si="195"/>
        <v>0</v>
      </c>
      <c r="AC109" s="1">
        <f t="shared" si="196"/>
        <v>0</v>
      </c>
      <c r="AD109" s="1">
        <f t="shared" si="197"/>
        <v>0</v>
      </c>
      <c r="AE109" s="1">
        <f t="shared" si="198"/>
        <v>0</v>
      </c>
      <c r="AF109" s="1">
        <f t="shared" si="199"/>
        <v>0</v>
      </c>
      <c r="AG109" s="1">
        <f t="shared" si="200"/>
        <v>0</v>
      </c>
      <c r="AH109" s="1">
        <f t="shared" si="201"/>
        <v>0</v>
      </c>
      <c r="AI109" s="1">
        <f t="shared" si="202"/>
        <v>0</v>
      </c>
      <c r="AJ109" s="1">
        <f t="shared" si="203"/>
        <v>0</v>
      </c>
      <c r="AK109" s="1">
        <f t="shared" si="204"/>
        <v>0</v>
      </c>
      <c r="AM109" s="680"/>
      <c r="AN109" s="680"/>
      <c r="AO109" s="680"/>
      <c r="AP109" s="680"/>
      <c r="AQ109" s="680"/>
      <c r="AR109" s="680"/>
      <c r="AS109" s="680"/>
      <c r="AT109" s="680"/>
      <c r="AU109" s="680"/>
      <c r="AV109" s="680"/>
      <c r="AW109" s="680"/>
      <c r="AX109" s="680"/>
      <c r="AY109" s="680"/>
      <c r="BA109" s="723"/>
      <c r="BB109" s="723" t="e">
        <f t="shared" si="174"/>
        <v>#REF!</v>
      </c>
      <c r="BC109" s="723"/>
      <c r="BD109" s="722" t="e">
        <f>BR109*#REF!</f>
        <v>#REF!</v>
      </c>
      <c r="BE109" s="722" t="e">
        <f>BS109*#REF!</f>
        <v>#REF!</v>
      </c>
      <c r="BF109" s="722" t="e">
        <f>BT109*#REF!</f>
        <v>#REF!</v>
      </c>
      <c r="BG109" s="722" t="e">
        <f>BU109*#REF!</f>
        <v>#REF!</v>
      </c>
      <c r="BH109" s="803" t="e">
        <f>BV109*#REF!</f>
        <v>#REF!</v>
      </c>
      <c r="BI109" s="722" t="e">
        <f>BW109*#REF!</f>
        <v>#REF!</v>
      </c>
      <c r="BJ109" s="722" t="e">
        <f>BX109*#REF!</f>
        <v>#REF!</v>
      </c>
      <c r="BK109" s="722" t="e">
        <f>BY109*#REF!</f>
        <v>#REF!</v>
      </c>
      <c r="BL109" s="722" t="e">
        <f>BZ109*#REF!</f>
        <v>#REF!</v>
      </c>
      <c r="BM109" s="722" t="e">
        <f>CA109*#REF!</f>
        <v>#REF!</v>
      </c>
      <c r="BO109" s="749" t="str">
        <f t="shared" si="175"/>
        <v>3.3.4</v>
      </c>
      <c r="BP109" s="749" t="str">
        <f t="shared" si="176"/>
        <v xml:space="preserve"> Q2 3.3</v>
      </c>
      <c r="BQ109" s="408" t="str">
        <f t="shared" si="177"/>
        <v>通信配線の更新性</v>
      </c>
      <c r="BR109" s="719">
        <f t="shared" si="178"/>
        <v>0.1</v>
      </c>
      <c r="BS109" s="719">
        <f t="shared" si="179"/>
        <v>0.1</v>
      </c>
      <c r="BT109" s="719">
        <f t="shared" si="180"/>
        <v>0.1</v>
      </c>
      <c r="BU109" s="719">
        <f t="shared" si="181"/>
        <v>0.1</v>
      </c>
      <c r="BV109" s="802">
        <f t="shared" si="182"/>
        <v>0.1</v>
      </c>
      <c r="BW109" s="719">
        <f t="shared" si="183"/>
        <v>0.1</v>
      </c>
      <c r="BX109" s="719">
        <f t="shared" si="184"/>
        <v>0.1</v>
      </c>
      <c r="BY109" s="719">
        <f t="shared" si="185"/>
        <v>0.1</v>
      </c>
      <c r="BZ109" s="719">
        <f t="shared" si="186"/>
        <v>0.1</v>
      </c>
      <c r="CA109" s="719">
        <f t="shared" si="187"/>
        <v>0.1</v>
      </c>
      <c r="CB109" s="748">
        <f t="shared" si="188"/>
        <v>0</v>
      </c>
      <c r="CC109" s="719">
        <f t="shared" si="189"/>
        <v>0</v>
      </c>
      <c r="CD109" s="719">
        <f t="shared" si="190"/>
        <v>0</v>
      </c>
      <c r="CF109" s="455" t="s">
        <v>898</v>
      </c>
      <c r="CG109" s="459" t="s">
        <v>26</v>
      </c>
      <c r="CH109" s="456" t="s">
        <v>30</v>
      </c>
      <c r="CI109" s="457">
        <v>0.1</v>
      </c>
      <c r="CJ109" s="457">
        <v>0.1</v>
      </c>
      <c r="CK109" s="457">
        <v>0.1</v>
      </c>
      <c r="CL109" s="457">
        <v>0.1</v>
      </c>
      <c r="CM109" s="465">
        <v>0.1</v>
      </c>
      <c r="CN109" s="457">
        <v>0.1</v>
      </c>
      <c r="CO109" s="461">
        <v>0.1</v>
      </c>
      <c r="CP109" s="457">
        <v>0.1</v>
      </c>
      <c r="CQ109" s="457">
        <v>0.1</v>
      </c>
      <c r="CR109" s="457">
        <v>0.1</v>
      </c>
      <c r="CS109" s="462"/>
      <c r="CT109" s="461"/>
      <c r="CU109" s="461"/>
      <c r="CW109" s="455" t="s">
        <v>895</v>
      </c>
      <c r="CX109" s="459" t="s">
        <v>26</v>
      </c>
      <c r="CY109" s="456" t="s">
        <v>30</v>
      </c>
      <c r="CZ109" s="461">
        <v>0.1</v>
      </c>
      <c r="DA109" s="461">
        <v>0.1</v>
      </c>
      <c r="DB109" s="461">
        <v>0.1</v>
      </c>
      <c r="DC109" s="461">
        <v>0.1</v>
      </c>
      <c r="DD109" s="468">
        <v>0.1</v>
      </c>
      <c r="DE109" s="461">
        <v>0.1</v>
      </c>
      <c r="DF109" s="461">
        <v>0.1</v>
      </c>
      <c r="DG109" s="461">
        <v>0.1</v>
      </c>
      <c r="DH109" s="461">
        <v>0.1</v>
      </c>
      <c r="DI109" s="461">
        <v>0.1</v>
      </c>
      <c r="DJ109" s="462"/>
      <c r="DK109" s="461"/>
      <c r="DL109" s="461"/>
      <c r="DN109" s="455" t="s">
        <v>897</v>
      </c>
      <c r="DO109" s="459" t="s">
        <v>26</v>
      </c>
      <c r="DP109" s="456" t="s">
        <v>30</v>
      </c>
      <c r="DQ109" s="461">
        <v>0.1</v>
      </c>
      <c r="DR109" s="461">
        <v>0.1</v>
      </c>
      <c r="DS109" s="461">
        <v>0.1</v>
      </c>
      <c r="DT109" s="461">
        <v>0.1</v>
      </c>
      <c r="DU109" s="468">
        <v>0.1</v>
      </c>
      <c r="DV109" s="461">
        <v>0.1</v>
      </c>
      <c r="DW109" s="461">
        <v>0.1</v>
      </c>
      <c r="DX109" s="461">
        <v>0.1</v>
      </c>
      <c r="DY109" s="461">
        <v>0.1</v>
      </c>
      <c r="DZ109" s="461">
        <v>0.1</v>
      </c>
      <c r="EA109" s="462"/>
      <c r="EB109" s="461"/>
      <c r="EC109" s="461"/>
      <c r="ED109" s="555"/>
      <c r="EF109" s="455" t="s">
        <v>896</v>
      </c>
      <c r="EG109" s="459" t="s">
        <v>26</v>
      </c>
      <c r="EH109" s="456" t="s">
        <v>30</v>
      </c>
      <c r="EI109" s="609">
        <v>0</v>
      </c>
      <c r="EJ109" s="609">
        <v>0</v>
      </c>
      <c r="EK109" s="609">
        <v>0</v>
      </c>
      <c r="EL109" s="609">
        <v>0</v>
      </c>
      <c r="EM109" s="609">
        <v>0</v>
      </c>
      <c r="EN109" s="609">
        <v>0</v>
      </c>
      <c r="EO109" s="609">
        <v>0</v>
      </c>
      <c r="EP109" s="609">
        <v>0</v>
      </c>
      <c r="EQ109" s="609">
        <v>0</v>
      </c>
      <c r="ER109" s="609">
        <v>0</v>
      </c>
      <c r="ES109" s="609">
        <v>0</v>
      </c>
      <c r="ET109" s="609">
        <v>0</v>
      </c>
      <c r="EU109" s="609">
        <v>0</v>
      </c>
      <c r="EW109" s="455" t="s">
        <v>895</v>
      </c>
      <c r="EX109" s="459" t="s">
        <v>26</v>
      </c>
      <c r="EY109" s="456" t="s">
        <v>30</v>
      </c>
      <c r="EZ109" s="598">
        <f>DQ109</f>
        <v>0.1</v>
      </c>
      <c r="FA109" s="598"/>
      <c r="FB109" s="598"/>
      <c r="FC109" s="598"/>
      <c r="FD109" s="598"/>
      <c r="FE109" s="598"/>
      <c r="FF109" s="598"/>
      <c r="FG109" s="598"/>
      <c r="FH109" s="598"/>
      <c r="FI109" s="598"/>
      <c r="FJ109" s="598"/>
      <c r="FK109" s="598"/>
      <c r="FL109" s="598"/>
    </row>
    <row r="110" spans="2:168">
      <c r="B110" s="732" t="str">
        <f t="shared" si="142"/>
        <v>3.3.5</v>
      </c>
      <c r="C110" s="408" t="str">
        <f t="shared" si="170"/>
        <v>設備機器の更新性</v>
      </c>
      <c r="D110" s="809" t="e">
        <f t="shared" si="191"/>
        <v>#REF!</v>
      </c>
      <c r="E110" s="730" t="e">
        <f t="shared" si="191"/>
        <v>#REF!</v>
      </c>
      <c r="G110" s="730" t="e">
        <f t="shared" si="171"/>
        <v>#REF!</v>
      </c>
      <c r="H110" s="730" t="e">
        <f t="shared" si="172"/>
        <v>#REF!</v>
      </c>
      <c r="I110" s="730"/>
      <c r="J110" s="730"/>
      <c r="K110" s="730" t="e">
        <f>IF(#REF!=0,0,1)</f>
        <v>#REF!</v>
      </c>
      <c r="L110" s="730" t="e">
        <f>IF(#REF!=0,0,1)</f>
        <v>#REF!</v>
      </c>
      <c r="M110" s="730">
        <f t="shared" si="173"/>
        <v>0.2</v>
      </c>
      <c r="N110" s="730">
        <f t="shared" si="169"/>
        <v>0</v>
      </c>
      <c r="P110" s="832"/>
      <c r="Q110" s="728"/>
      <c r="R110" s="414">
        <v>5</v>
      </c>
      <c r="S110" s="579" t="s">
        <v>274</v>
      </c>
      <c r="T110" s="745"/>
      <c r="U110" s="726"/>
      <c r="V110" s="747">
        <f t="shared" ref="V110:V141" si="205">IF(SUMPRODUCT($AM$7:$AV$7,Y110:AH110)=0,0,SUMPRODUCT($AM$7:$AV$7,AM110:AV110)/SUMPRODUCT($AM$7:$AV$7,Y110:AH110))</f>
        <v>0</v>
      </c>
      <c r="W110" s="746">
        <f t="shared" ref="W110:W141" si="206">IF(SUMPRODUCT($AW$7:$AY$7,AI110:AK110)=0,0,SUMPRODUCT($AW$7:$AY$7,AW110:AY110)/SUMPRODUCT($AW$7:$AY$7,AI110:AK110))</f>
        <v>0</v>
      </c>
      <c r="Y110" s="1">
        <f t="shared" si="192"/>
        <v>0</v>
      </c>
      <c r="Z110" s="1">
        <f t="shared" si="193"/>
        <v>0</v>
      </c>
      <c r="AA110" s="1">
        <f t="shared" si="194"/>
        <v>0</v>
      </c>
      <c r="AB110" s="1">
        <f t="shared" si="195"/>
        <v>0</v>
      </c>
      <c r="AC110" s="1">
        <f t="shared" si="196"/>
        <v>0</v>
      </c>
      <c r="AD110" s="1">
        <f t="shared" si="197"/>
        <v>0</v>
      </c>
      <c r="AE110" s="1">
        <f t="shared" si="198"/>
        <v>0</v>
      </c>
      <c r="AF110" s="1">
        <f t="shared" si="199"/>
        <v>0</v>
      </c>
      <c r="AG110" s="1">
        <f t="shared" si="200"/>
        <v>0</v>
      </c>
      <c r="AH110" s="1">
        <f t="shared" si="201"/>
        <v>0</v>
      </c>
      <c r="AI110" s="1">
        <f t="shared" si="202"/>
        <v>0</v>
      </c>
      <c r="AJ110" s="1">
        <f t="shared" si="203"/>
        <v>0</v>
      </c>
      <c r="AK110" s="1">
        <f t="shared" si="204"/>
        <v>0</v>
      </c>
      <c r="AM110" s="680"/>
      <c r="AN110" s="680"/>
      <c r="AO110" s="680"/>
      <c r="AP110" s="680"/>
      <c r="AQ110" s="680"/>
      <c r="AR110" s="680"/>
      <c r="AS110" s="680"/>
      <c r="AT110" s="680"/>
      <c r="AU110" s="680"/>
      <c r="AV110" s="680"/>
      <c r="AW110" s="680"/>
      <c r="AX110" s="680"/>
      <c r="AY110" s="680"/>
      <c r="BA110" s="723"/>
      <c r="BB110" s="723" t="e">
        <f t="shared" si="174"/>
        <v>#REF!</v>
      </c>
      <c r="BC110" s="723"/>
      <c r="BD110" s="722" t="e">
        <f>BR110*#REF!</f>
        <v>#REF!</v>
      </c>
      <c r="BE110" s="722" t="e">
        <f>BS110*#REF!</f>
        <v>#REF!</v>
      </c>
      <c r="BF110" s="722" t="e">
        <f>BT110*#REF!</f>
        <v>#REF!</v>
      </c>
      <c r="BG110" s="722" t="e">
        <f>BU110*#REF!</f>
        <v>#REF!</v>
      </c>
      <c r="BH110" s="803" t="e">
        <f>BV110*#REF!</f>
        <v>#REF!</v>
      </c>
      <c r="BI110" s="722" t="e">
        <f>BW110*#REF!</f>
        <v>#REF!</v>
      </c>
      <c r="BJ110" s="722" t="e">
        <f>BX110*#REF!</f>
        <v>#REF!</v>
      </c>
      <c r="BK110" s="722" t="e">
        <f>BY110*#REF!</f>
        <v>#REF!</v>
      </c>
      <c r="BL110" s="722" t="e">
        <f>BZ110*#REF!</f>
        <v>#REF!</v>
      </c>
      <c r="BM110" s="722" t="e">
        <f>CA110*#REF!</f>
        <v>#REF!</v>
      </c>
      <c r="BO110" s="749" t="str">
        <f t="shared" si="175"/>
        <v>3.3.5</v>
      </c>
      <c r="BP110" s="749" t="str">
        <f t="shared" si="176"/>
        <v xml:space="preserve"> Q2 3.3</v>
      </c>
      <c r="BQ110" s="408" t="str">
        <f t="shared" si="177"/>
        <v>設備機器の更新性</v>
      </c>
      <c r="BR110" s="719">
        <f t="shared" si="178"/>
        <v>0.2</v>
      </c>
      <c r="BS110" s="719">
        <f t="shared" si="179"/>
        <v>0.2</v>
      </c>
      <c r="BT110" s="719">
        <f t="shared" si="180"/>
        <v>0.2</v>
      </c>
      <c r="BU110" s="719">
        <f t="shared" si="181"/>
        <v>0.2</v>
      </c>
      <c r="BV110" s="802">
        <f t="shared" si="182"/>
        <v>0.2</v>
      </c>
      <c r="BW110" s="719">
        <f t="shared" si="183"/>
        <v>0.2</v>
      </c>
      <c r="BX110" s="719">
        <f t="shared" si="184"/>
        <v>0.2</v>
      </c>
      <c r="BY110" s="719">
        <f t="shared" si="185"/>
        <v>0.2</v>
      </c>
      <c r="BZ110" s="719">
        <f t="shared" si="186"/>
        <v>0.2</v>
      </c>
      <c r="CA110" s="719">
        <f t="shared" si="187"/>
        <v>0.2</v>
      </c>
      <c r="CB110" s="748">
        <f t="shared" si="188"/>
        <v>0</v>
      </c>
      <c r="CC110" s="719">
        <f t="shared" si="189"/>
        <v>0</v>
      </c>
      <c r="CD110" s="719">
        <f t="shared" si="190"/>
        <v>0</v>
      </c>
      <c r="CF110" s="455" t="s">
        <v>894</v>
      </c>
      <c r="CG110" s="459" t="s">
        <v>26</v>
      </c>
      <c r="CH110" s="456" t="s">
        <v>31</v>
      </c>
      <c r="CI110" s="457">
        <v>0.2</v>
      </c>
      <c r="CJ110" s="457">
        <v>0.2</v>
      </c>
      <c r="CK110" s="457">
        <v>0.2</v>
      </c>
      <c r="CL110" s="457">
        <v>0.2</v>
      </c>
      <c r="CM110" s="465">
        <v>0.2</v>
      </c>
      <c r="CN110" s="457">
        <v>0.2</v>
      </c>
      <c r="CO110" s="461">
        <v>0.2</v>
      </c>
      <c r="CP110" s="457">
        <v>0.2</v>
      </c>
      <c r="CQ110" s="457">
        <v>0.2</v>
      </c>
      <c r="CR110" s="457">
        <v>0.2</v>
      </c>
      <c r="CS110" s="462"/>
      <c r="CT110" s="461"/>
      <c r="CU110" s="461"/>
      <c r="CW110" s="455" t="s">
        <v>894</v>
      </c>
      <c r="CX110" s="459" t="s">
        <v>26</v>
      </c>
      <c r="CY110" s="456" t="s">
        <v>31</v>
      </c>
      <c r="CZ110" s="461">
        <v>0.2</v>
      </c>
      <c r="DA110" s="461">
        <v>0.2</v>
      </c>
      <c r="DB110" s="461">
        <v>0.2</v>
      </c>
      <c r="DC110" s="461">
        <v>0.2</v>
      </c>
      <c r="DD110" s="468">
        <v>0.2</v>
      </c>
      <c r="DE110" s="461">
        <v>0.2</v>
      </c>
      <c r="DF110" s="461">
        <v>0.2</v>
      </c>
      <c r="DG110" s="461">
        <v>0.2</v>
      </c>
      <c r="DH110" s="461">
        <v>0.2</v>
      </c>
      <c r="DI110" s="461">
        <v>0.2</v>
      </c>
      <c r="DJ110" s="462"/>
      <c r="DK110" s="461"/>
      <c r="DL110" s="461"/>
      <c r="DN110" s="455" t="s">
        <v>893</v>
      </c>
      <c r="DO110" s="459" t="s">
        <v>26</v>
      </c>
      <c r="DP110" s="456" t="s">
        <v>31</v>
      </c>
      <c r="DQ110" s="461">
        <v>0.2</v>
      </c>
      <c r="DR110" s="461">
        <v>0.2</v>
      </c>
      <c r="DS110" s="461">
        <v>0.2</v>
      </c>
      <c r="DT110" s="461">
        <v>0.2</v>
      </c>
      <c r="DU110" s="468">
        <v>0.2</v>
      </c>
      <c r="DV110" s="461">
        <v>0.2</v>
      </c>
      <c r="DW110" s="461">
        <v>0.2</v>
      </c>
      <c r="DX110" s="461">
        <v>0.2</v>
      </c>
      <c r="DY110" s="461">
        <v>0.2</v>
      </c>
      <c r="DZ110" s="461">
        <v>0.2</v>
      </c>
      <c r="EA110" s="462"/>
      <c r="EB110" s="461"/>
      <c r="EC110" s="461"/>
      <c r="ED110" s="555"/>
      <c r="EF110" s="455" t="s">
        <v>894</v>
      </c>
      <c r="EG110" s="459" t="s">
        <v>26</v>
      </c>
      <c r="EH110" s="456" t="s">
        <v>31</v>
      </c>
      <c r="EI110" s="609">
        <v>0</v>
      </c>
      <c r="EJ110" s="609">
        <v>0</v>
      </c>
      <c r="EK110" s="609">
        <v>0</v>
      </c>
      <c r="EL110" s="609">
        <v>0</v>
      </c>
      <c r="EM110" s="609">
        <v>0</v>
      </c>
      <c r="EN110" s="609">
        <v>0</v>
      </c>
      <c r="EO110" s="609">
        <v>0</v>
      </c>
      <c r="EP110" s="609">
        <v>0</v>
      </c>
      <c r="EQ110" s="609">
        <v>0</v>
      </c>
      <c r="ER110" s="609">
        <v>0</v>
      </c>
      <c r="ES110" s="609">
        <v>0</v>
      </c>
      <c r="ET110" s="609">
        <v>0</v>
      </c>
      <c r="EU110" s="609">
        <v>0</v>
      </c>
      <c r="EW110" s="455" t="s">
        <v>893</v>
      </c>
      <c r="EX110" s="459" t="s">
        <v>26</v>
      </c>
      <c r="EY110" s="456" t="s">
        <v>31</v>
      </c>
      <c r="EZ110" s="598">
        <f>DQ110</f>
        <v>0.2</v>
      </c>
      <c r="FA110" s="598"/>
      <c r="FB110" s="598"/>
      <c r="FC110" s="598"/>
      <c r="FD110" s="598"/>
      <c r="FE110" s="598"/>
      <c r="FF110" s="598"/>
      <c r="FG110" s="598"/>
      <c r="FH110" s="598"/>
      <c r="FI110" s="598"/>
      <c r="FJ110" s="598"/>
      <c r="FK110" s="598"/>
      <c r="FL110" s="598"/>
    </row>
    <row r="111" spans="2:168" ht="14.25" thickBot="1">
      <c r="B111" s="732" t="str">
        <f t="shared" si="142"/>
        <v>3.3.6</v>
      </c>
      <c r="C111" s="408" t="str">
        <f t="shared" si="170"/>
        <v>バックアップスペースの確保</v>
      </c>
      <c r="D111" s="809" t="e">
        <f t="shared" si="191"/>
        <v>#REF!</v>
      </c>
      <c r="E111" s="730" t="e">
        <f t="shared" si="191"/>
        <v>#REF!</v>
      </c>
      <c r="G111" s="730" t="e">
        <f t="shared" si="171"/>
        <v>#REF!</v>
      </c>
      <c r="H111" s="730" t="e">
        <f t="shared" si="172"/>
        <v>#REF!</v>
      </c>
      <c r="I111" s="730"/>
      <c r="J111" s="730"/>
      <c r="K111" s="730" t="e">
        <f>IF(#REF!=0,0,1)</f>
        <v>#REF!</v>
      </c>
      <c r="L111" s="730" t="e">
        <f>IF(#REF!=0,0,1)</f>
        <v>#REF!</v>
      </c>
      <c r="M111" s="730">
        <f t="shared" si="173"/>
        <v>0.2</v>
      </c>
      <c r="N111" s="730">
        <f t="shared" si="169"/>
        <v>0</v>
      </c>
      <c r="P111" s="918"/>
      <c r="Q111" s="917"/>
      <c r="R111" s="806">
        <v>6</v>
      </c>
      <c r="S111" s="805" t="s">
        <v>275</v>
      </c>
      <c r="T111" s="804"/>
      <c r="U111" s="726"/>
      <c r="V111" s="725">
        <f t="shared" si="205"/>
        <v>0</v>
      </c>
      <c r="W111" s="724">
        <f t="shared" si="206"/>
        <v>0</v>
      </c>
      <c r="Y111" s="1">
        <f t="shared" si="192"/>
        <v>0</v>
      </c>
      <c r="Z111" s="1">
        <f t="shared" si="193"/>
        <v>0</v>
      </c>
      <c r="AA111" s="1">
        <f t="shared" si="194"/>
        <v>0</v>
      </c>
      <c r="AB111" s="1">
        <f t="shared" si="195"/>
        <v>0</v>
      </c>
      <c r="AC111" s="1">
        <f t="shared" si="196"/>
        <v>0</v>
      </c>
      <c r="AD111" s="1">
        <f t="shared" si="197"/>
        <v>0</v>
      </c>
      <c r="AE111" s="1">
        <f t="shared" si="198"/>
        <v>0</v>
      </c>
      <c r="AF111" s="1">
        <f t="shared" si="199"/>
        <v>0</v>
      </c>
      <c r="AG111" s="1">
        <f t="shared" si="200"/>
        <v>0</v>
      </c>
      <c r="AH111" s="1">
        <f t="shared" si="201"/>
        <v>0</v>
      </c>
      <c r="AI111" s="1">
        <f t="shared" si="202"/>
        <v>0</v>
      </c>
      <c r="AJ111" s="1">
        <f t="shared" si="203"/>
        <v>0</v>
      </c>
      <c r="AK111" s="1">
        <f t="shared" si="204"/>
        <v>0</v>
      </c>
      <c r="AM111" s="683"/>
      <c r="AN111" s="683"/>
      <c r="AO111" s="683"/>
      <c r="AP111" s="683"/>
      <c r="AQ111" s="683"/>
      <c r="AR111" s="683"/>
      <c r="AS111" s="683"/>
      <c r="AT111" s="683"/>
      <c r="AU111" s="683"/>
      <c r="AV111" s="683"/>
      <c r="AW111" s="683"/>
      <c r="AX111" s="683"/>
      <c r="AY111" s="683"/>
      <c r="BA111" s="723"/>
      <c r="BB111" s="723" t="e">
        <f t="shared" si="174"/>
        <v>#REF!</v>
      </c>
      <c r="BC111" s="723"/>
      <c r="BD111" s="722" t="e">
        <f>BR111*#REF!</f>
        <v>#REF!</v>
      </c>
      <c r="BE111" s="722" t="e">
        <f>BS111*#REF!</f>
        <v>#REF!</v>
      </c>
      <c r="BF111" s="722" t="e">
        <f>BT111*#REF!</f>
        <v>#REF!</v>
      </c>
      <c r="BG111" s="722" t="e">
        <f>BU111*#REF!</f>
        <v>#REF!</v>
      </c>
      <c r="BH111" s="803" t="e">
        <f>BV111*#REF!</f>
        <v>#REF!</v>
      </c>
      <c r="BI111" s="722" t="e">
        <f>BW111*#REF!</f>
        <v>#REF!</v>
      </c>
      <c r="BJ111" s="722" t="e">
        <f>BX111*#REF!</f>
        <v>#REF!</v>
      </c>
      <c r="BK111" s="722" t="e">
        <f>BY111*#REF!</f>
        <v>#REF!</v>
      </c>
      <c r="BL111" s="722" t="e">
        <f>BZ111*#REF!</f>
        <v>#REF!</v>
      </c>
      <c r="BM111" s="722" t="e">
        <f>CA111*#REF!</f>
        <v>#REF!</v>
      </c>
      <c r="BO111" s="749" t="str">
        <f t="shared" si="175"/>
        <v>3.3.6</v>
      </c>
      <c r="BP111" s="749" t="str">
        <f t="shared" si="176"/>
        <v xml:space="preserve"> Q2 3.3</v>
      </c>
      <c r="BQ111" s="408" t="str">
        <f t="shared" si="177"/>
        <v>バックアップスペースの確保</v>
      </c>
      <c r="BR111" s="719">
        <f t="shared" si="178"/>
        <v>0.2</v>
      </c>
      <c r="BS111" s="719">
        <f t="shared" si="179"/>
        <v>0.2</v>
      </c>
      <c r="BT111" s="719">
        <f t="shared" si="180"/>
        <v>0.2</v>
      </c>
      <c r="BU111" s="719">
        <f t="shared" si="181"/>
        <v>0.2</v>
      </c>
      <c r="BV111" s="802">
        <f t="shared" si="182"/>
        <v>0.2</v>
      </c>
      <c r="BW111" s="719">
        <f t="shared" si="183"/>
        <v>0.2</v>
      </c>
      <c r="BX111" s="719">
        <f t="shared" si="184"/>
        <v>0.2</v>
      </c>
      <c r="BY111" s="719">
        <f t="shared" si="185"/>
        <v>0.2</v>
      </c>
      <c r="BZ111" s="719">
        <f t="shared" si="186"/>
        <v>0.2</v>
      </c>
      <c r="CA111" s="719">
        <f t="shared" si="187"/>
        <v>0.2</v>
      </c>
      <c r="CB111" s="748">
        <f t="shared" si="188"/>
        <v>0</v>
      </c>
      <c r="CC111" s="719">
        <f t="shared" si="189"/>
        <v>0</v>
      </c>
      <c r="CD111" s="719">
        <f t="shared" si="190"/>
        <v>0</v>
      </c>
      <c r="CF111" s="455" t="s">
        <v>891</v>
      </c>
      <c r="CG111" s="459" t="s">
        <v>26</v>
      </c>
      <c r="CH111" s="456" t="s">
        <v>275</v>
      </c>
      <c r="CI111" s="457">
        <v>0.2</v>
      </c>
      <c r="CJ111" s="457">
        <v>0.2</v>
      </c>
      <c r="CK111" s="457">
        <v>0.2</v>
      </c>
      <c r="CL111" s="457">
        <v>0.2</v>
      </c>
      <c r="CM111" s="465">
        <v>0.2</v>
      </c>
      <c r="CN111" s="457">
        <v>0.2</v>
      </c>
      <c r="CO111" s="461">
        <v>0.2</v>
      </c>
      <c r="CP111" s="457">
        <v>0.2</v>
      </c>
      <c r="CQ111" s="457">
        <v>0.2</v>
      </c>
      <c r="CR111" s="457">
        <v>0.2</v>
      </c>
      <c r="CS111" s="462"/>
      <c r="CT111" s="461"/>
      <c r="CU111" s="461"/>
      <c r="CW111" s="455" t="s">
        <v>892</v>
      </c>
      <c r="CX111" s="459" t="s">
        <v>26</v>
      </c>
      <c r="CY111" s="456" t="s">
        <v>465</v>
      </c>
      <c r="CZ111" s="461">
        <v>0.2</v>
      </c>
      <c r="DA111" s="461">
        <v>0.2</v>
      </c>
      <c r="DB111" s="461">
        <v>0.2</v>
      </c>
      <c r="DC111" s="461">
        <v>0.2</v>
      </c>
      <c r="DD111" s="468">
        <v>0.2</v>
      </c>
      <c r="DE111" s="461">
        <v>0.2</v>
      </c>
      <c r="DF111" s="461">
        <v>0.2</v>
      </c>
      <c r="DG111" s="461">
        <v>0.2</v>
      </c>
      <c r="DH111" s="461">
        <v>0.2</v>
      </c>
      <c r="DI111" s="461">
        <v>0.2</v>
      </c>
      <c r="DJ111" s="462"/>
      <c r="DK111" s="461"/>
      <c r="DL111" s="461"/>
      <c r="DN111" s="455" t="s">
        <v>891</v>
      </c>
      <c r="DO111" s="459" t="s">
        <v>26</v>
      </c>
      <c r="DP111" s="456" t="s">
        <v>275</v>
      </c>
      <c r="DQ111" s="461">
        <v>0.2</v>
      </c>
      <c r="DR111" s="461">
        <v>0.2</v>
      </c>
      <c r="DS111" s="461">
        <v>0.2</v>
      </c>
      <c r="DT111" s="461">
        <v>0.2</v>
      </c>
      <c r="DU111" s="468">
        <v>0.2</v>
      </c>
      <c r="DV111" s="461">
        <v>0.2</v>
      </c>
      <c r="DW111" s="461">
        <v>0.2</v>
      </c>
      <c r="DX111" s="461">
        <v>0.2</v>
      </c>
      <c r="DY111" s="461">
        <v>0.2</v>
      </c>
      <c r="DZ111" s="461">
        <v>0.2</v>
      </c>
      <c r="EA111" s="462"/>
      <c r="EB111" s="461"/>
      <c r="EC111" s="461"/>
      <c r="ED111" s="555"/>
      <c r="EF111" s="455" t="s">
        <v>891</v>
      </c>
      <c r="EG111" s="459" t="s">
        <v>26</v>
      </c>
      <c r="EH111" s="456" t="s">
        <v>275</v>
      </c>
      <c r="EI111" s="609">
        <v>0</v>
      </c>
      <c r="EJ111" s="609">
        <v>0</v>
      </c>
      <c r="EK111" s="609">
        <v>0</v>
      </c>
      <c r="EL111" s="609">
        <v>0</v>
      </c>
      <c r="EM111" s="609">
        <v>0</v>
      </c>
      <c r="EN111" s="609">
        <v>0</v>
      </c>
      <c r="EO111" s="609">
        <v>0</v>
      </c>
      <c r="EP111" s="609">
        <v>0</v>
      </c>
      <c r="EQ111" s="609">
        <v>0</v>
      </c>
      <c r="ER111" s="609">
        <v>0</v>
      </c>
      <c r="ES111" s="609">
        <v>0</v>
      </c>
      <c r="ET111" s="609">
        <v>0</v>
      </c>
      <c r="EU111" s="609">
        <v>0</v>
      </c>
      <c r="EW111" s="455" t="s">
        <v>891</v>
      </c>
      <c r="EX111" s="459" t="s">
        <v>26</v>
      </c>
      <c r="EY111" s="456" t="s">
        <v>275</v>
      </c>
      <c r="EZ111" s="598">
        <f>DQ111</f>
        <v>0.2</v>
      </c>
      <c r="FA111" s="598"/>
      <c r="FB111" s="598"/>
      <c r="FC111" s="598"/>
      <c r="FD111" s="598"/>
      <c r="FE111" s="598"/>
      <c r="FF111" s="598"/>
      <c r="FG111" s="598"/>
      <c r="FH111" s="598"/>
      <c r="FI111" s="598"/>
      <c r="FJ111" s="598"/>
      <c r="FK111" s="598"/>
      <c r="FL111" s="598"/>
    </row>
    <row r="112" spans="2:168" ht="14.25" thickBot="1">
      <c r="B112" s="732" t="str">
        <f t="shared" si="142"/>
        <v>Q3</v>
      </c>
      <c r="C112" s="788" t="str">
        <f t="shared" si="170"/>
        <v>室外環境（敷地内）</v>
      </c>
      <c r="D112" s="916" t="e">
        <f>IF(I$8=0,0,G112/I$8)</f>
        <v>#REF!</v>
      </c>
      <c r="E112" s="798" t="e">
        <f>IF(J$8=0,0,H112/J$8)</f>
        <v>#REF!</v>
      </c>
      <c r="G112" s="798" t="e">
        <f t="shared" si="171"/>
        <v>#REF!</v>
      </c>
      <c r="H112" s="798" t="e">
        <f t="shared" si="172"/>
        <v>#REF!</v>
      </c>
      <c r="I112" s="798" t="e">
        <f>G113+G116+G117+G114</f>
        <v>#REF!</v>
      </c>
      <c r="J112" s="798" t="e">
        <f>H113+H116+H117+H114</f>
        <v>#REF!</v>
      </c>
      <c r="K112" s="798" t="e">
        <f>IF(#REF!=0,0,1)</f>
        <v>#REF!</v>
      </c>
      <c r="L112" s="798" t="e">
        <f>IF(#REF!=0,0,1)</f>
        <v>#REF!</v>
      </c>
      <c r="M112" s="798">
        <f t="shared" si="173"/>
        <v>0.3</v>
      </c>
      <c r="N112" s="798">
        <f t="shared" si="169"/>
        <v>0</v>
      </c>
      <c r="P112" s="797" t="s">
        <v>890</v>
      </c>
      <c r="Q112" s="796" t="s">
        <v>888</v>
      </c>
      <c r="R112" s="796"/>
      <c r="S112" s="796"/>
      <c r="T112" s="795"/>
      <c r="U112" s="726"/>
      <c r="V112" s="915">
        <f t="shared" si="205"/>
        <v>0</v>
      </c>
      <c r="W112" s="914">
        <f t="shared" si="206"/>
        <v>0</v>
      </c>
      <c r="Y112" s="1">
        <f t="shared" si="192"/>
        <v>1</v>
      </c>
      <c r="Z112" s="1">
        <f t="shared" si="193"/>
        <v>1</v>
      </c>
      <c r="AA112" s="1">
        <f t="shared" si="194"/>
        <v>1</v>
      </c>
      <c r="AB112" s="1">
        <f t="shared" si="195"/>
        <v>1</v>
      </c>
      <c r="AC112" s="1">
        <f t="shared" si="196"/>
        <v>1</v>
      </c>
      <c r="AD112" s="1">
        <f t="shared" si="197"/>
        <v>1</v>
      </c>
      <c r="AE112" s="1">
        <f t="shared" si="198"/>
        <v>1</v>
      </c>
      <c r="AF112" s="1">
        <f t="shared" si="199"/>
        <v>1</v>
      </c>
      <c r="AG112" s="1">
        <f t="shared" si="200"/>
        <v>1</v>
      </c>
      <c r="AH112" s="1">
        <f t="shared" si="201"/>
        <v>1</v>
      </c>
      <c r="AI112" s="1">
        <f t="shared" si="202"/>
        <v>1</v>
      </c>
      <c r="AJ112" s="1">
        <f t="shared" si="203"/>
        <v>1</v>
      </c>
      <c r="AK112" s="1">
        <f t="shared" si="204"/>
        <v>1</v>
      </c>
      <c r="AM112" s="792" t="str">
        <f t="shared" ref="AM112:AY112" si="207">AM$6</f>
        <v>事務所</v>
      </c>
      <c r="AN112" s="792" t="str">
        <f t="shared" si="207"/>
        <v>学校</v>
      </c>
      <c r="AO112" s="792" t="str">
        <f t="shared" si="207"/>
        <v>物販店</v>
      </c>
      <c r="AP112" s="792" t="str">
        <f t="shared" si="207"/>
        <v>飲食店</v>
      </c>
      <c r="AQ112" s="792" t="str">
        <f t="shared" si="207"/>
        <v>集会所</v>
      </c>
      <c r="AR112" s="792" t="str">
        <f t="shared" si="207"/>
        <v>工場</v>
      </c>
      <c r="AS112" s="792" t="str">
        <f t="shared" si="207"/>
        <v>小中高</v>
      </c>
      <c r="AT112" s="792" t="str">
        <f t="shared" si="207"/>
        <v>病院</v>
      </c>
      <c r="AU112" s="792" t="str">
        <f t="shared" si="207"/>
        <v>ホテル</v>
      </c>
      <c r="AV112" s="792" t="str">
        <f t="shared" si="207"/>
        <v>集合住宅</v>
      </c>
      <c r="AW112" s="792" t="str">
        <f t="shared" si="207"/>
        <v>病院o</v>
      </c>
      <c r="AX112" s="792" t="str">
        <f t="shared" si="207"/>
        <v>ホテルo</v>
      </c>
      <c r="AY112" s="792" t="str">
        <f t="shared" si="207"/>
        <v>集合住宅o</v>
      </c>
      <c r="BA112" s="791" t="e">
        <f>BB112/$BC$8</f>
        <v>#REF!</v>
      </c>
      <c r="BB112" s="791" t="e">
        <f t="shared" si="174"/>
        <v>#REF!</v>
      </c>
      <c r="BC112" s="791" t="e">
        <f>BB113+BB116+BB117+BB114</f>
        <v>#REF!</v>
      </c>
      <c r="BD112" s="790" t="e">
        <f>BR112*#REF!</f>
        <v>#REF!</v>
      </c>
      <c r="BE112" s="790" t="e">
        <f>BS112*#REF!</f>
        <v>#REF!</v>
      </c>
      <c r="BF112" s="790" t="e">
        <f>BT112*#REF!</f>
        <v>#REF!</v>
      </c>
      <c r="BG112" s="790" t="e">
        <f>BU112*#REF!</f>
        <v>#REF!</v>
      </c>
      <c r="BH112" s="790" t="e">
        <f>BV112*#REF!</f>
        <v>#REF!</v>
      </c>
      <c r="BI112" s="790" t="e">
        <f>BW112*#REF!</f>
        <v>#REF!</v>
      </c>
      <c r="BJ112" s="790" t="e">
        <f>BX112*#REF!</f>
        <v>#REF!</v>
      </c>
      <c r="BK112" s="790" t="e">
        <f>BY112*#REF!</f>
        <v>#REF!</v>
      </c>
      <c r="BL112" s="790" t="e">
        <f>BZ112*#REF!</f>
        <v>#REF!</v>
      </c>
      <c r="BM112" s="790" t="e">
        <f>CA112*#REF!</f>
        <v>#REF!</v>
      </c>
      <c r="BO112" s="732" t="str">
        <f t="shared" si="175"/>
        <v>Q3</v>
      </c>
      <c r="BP112" s="732" t="str">
        <f t="shared" si="176"/>
        <v xml:space="preserve"> Q</v>
      </c>
      <c r="BQ112" s="788" t="str">
        <f t="shared" si="177"/>
        <v>室外環境（敷地内）</v>
      </c>
      <c r="BR112" s="787">
        <f t="shared" si="178"/>
        <v>0.3</v>
      </c>
      <c r="BS112" s="787">
        <f t="shared" si="179"/>
        <v>0.3</v>
      </c>
      <c r="BT112" s="787">
        <f t="shared" si="180"/>
        <v>0.3</v>
      </c>
      <c r="BU112" s="787">
        <f t="shared" si="181"/>
        <v>0.3</v>
      </c>
      <c r="BV112" s="787">
        <f t="shared" si="182"/>
        <v>0.3</v>
      </c>
      <c r="BW112" s="787">
        <f t="shared" si="183"/>
        <v>0.4</v>
      </c>
      <c r="BX112" s="787">
        <f t="shared" si="184"/>
        <v>0.3</v>
      </c>
      <c r="BY112" s="787">
        <f t="shared" si="185"/>
        <v>0.3</v>
      </c>
      <c r="BZ112" s="787">
        <f t="shared" si="186"/>
        <v>0.3</v>
      </c>
      <c r="CA112" s="787">
        <f t="shared" si="187"/>
        <v>0.3</v>
      </c>
      <c r="CB112" s="877">
        <f t="shared" si="188"/>
        <v>0</v>
      </c>
      <c r="CC112" s="787">
        <f t="shared" si="189"/>
        <v>0</v>
      </c>
      <c r="CD112" s="787">
        <f t="shared" si="190"/>
        <v>0</v>
      </c>
      <c r="CF112" s="441" t="s">
        <v>889</v>
      </c>
      <c r="CG112" s="444" t="s">
        <v>178</v>
      </c>
      <c r="CH112" s="442" t="s">
        <v>888</v>
      </c>
      <c r="CI112" s="443">
        <v>0.3</v>
      </c>
      <c r="CJ112" s="443">
        <v>0.3</v>
      </c>
      <c r="CK112" s="443">
        <v>0.3</v>
      </c>
      <c r="CL112" s="443">
        <v>0.3</v>
      </c>
      <c r="CM112" s="443">
        <v>0.3</v>
      </c>
      <c r="CN112" s="443">
        <v>0.4</v>
      </c>
      <c r="CO112" s="445">
        <v>0.3</v>
      </c>
      <c r="CP112" s="443">
        <v>0.3</v>
      </c>
      <c r="CQ112" s="443">
        <v>0.3</v>
      </c>
      <c r="CR112" s="443">
        <v>0.3</v>
      </c>
      <c r="CS112" s="446">
        <v>0</v>
      </c>
      <c r="CT112" s="445">
        <v>0</v>
      </c>
      <c r="CU112" s="445">
        <v>0</v>
      </c>
      <c r="CW112" s="441" t="s">
        <v>886</v>
      </c>
      <c r="CX112" s="444" t="s">
        <v>178</v>
      </c>
      <c r="CY112" s="442" t="s">
        <v>888</v>
      </c>
      <c r="CZ112" s="445">
        <v>0.3</v>
      </c>
      <c r="DA112" s="445">
        <v>0.3</v>
      </c>
      <c r="DB112" s="445">
        <v>0.3</v>
      </c>
      <c r="DC112" s="445">
        <v>0.3</v>
      </c>
      <c r="DD112" s="445">
        <v>0.3</v>
      </c>
      <c r="DE112" s="445">
        <v>0.4</v>
      </c>
      <c r="DF112" s="445">
        <v>0.3</v>
      </c>
      <c r="DG112" s="445">
        <v>0.3</v>
      </c>
      <c r="DH112" s="445">
        <v>0.3</v>
      </c>
      <c r="DI112" s="445">
        <v>0.3</v>
      </c>
      <c r="DJ112" s="446"/>
      <c r="DK112" s="445"/>
      <c r="DL112" s="445"/>
      <c r="DN112" s="441" t="s">
        <v>886</v>
      </c>
      <c r="DO112" s="444" t="s">
        <v>178</v>
      </c>
      <c r="DP112" s="442" t="s">
        <v>887</v>
      </c>
      <c r="DQ112" s="445">
        <v>0.3</v>
      </c>
      <c r="DR112" s="445">
        <v>0.3</v>
      </c>
      <c r="DS112" s="445">
        <v>0.3</v>
      </c>
      <c r="DT112" s="445">
        <v>0.3</v>
      </c>
      <c r="DU112" s="445">
        <v>0.3</v>
      </c>
      <c r="DV112" s="445">
        <v>0.4</v>
      </c>
      <c r="DW112" s="445">
        <v>0.3</v>
      </c>
      <c r="DX112" s="445">
        <v>0.3</v>
      </c>
      <c r="DY112" s="445">
        <v>0.3</v>
      </c>
      <c r="DZ112" s="445">
        <v>0.3</v>
      </c>
      <c r="EA112" s="446"/>
      <c r="EB112" s="445"/>
      <c r="EC112" s="445"/>
      <c r="ED112" s="553"/>
      <c r="EF112" s="441" t="s">
        <v>886</v>
      </c>
      <c r="EG112" s="444" t="s">
        <v>178</v>
      </c>
      <c r="EH112" s="442" t="s">
        <v>884</v>
      </c>
      <c r="EI112" s="594">
        <v>0.35</v>
      </c>
      <c r="EJ112" s="594">
        <v>0.35</v>
      </c>
      <c r="EK112" s="594">
        <v>0.35</v>
      </c>
      <c r="EL112" s="594">
        <v>0.35</v>
      </c>
      <c r="EM112" s="594">
        <v>0.35</v>
      </c>
      <c r="EN112" s="594">
        <v>0.5</v>
      </c>
      <c r="EO112" s="594">
        <v>0.35</v>
      </c>
      <c r="EP112" s="594">
        <v>0.35</v>
      </c>
      <c r="EQ112" s="594">
        <v>0.35</v>
      </c>
      <c r="ER112" s="594">
        <v>0.35</v>
      </c>
      <c r="ES112" s="595">
        <f t="shared" ref="ES112:EU113" si="208">EA112</f>
        <v>0</v>
      </c>
      <c r="ET112" s="594">
        <f t="shared" si="208"/>
        <v>0</v>
      </c>
      <c r="EU112" s="594">
        <f t="shared" si="208"/>
        <v>0</v>
      </c>
      <c r="EW112" s="441" t="s">
        <v>885</v>
      </c>
      <c r="EX112" s="444" t="s">
        <v>178</v>
      </c>
      <c r="EY112" s="442" t="s">
        <v>884</v>
      </c>
      <c r="EZ112" s="665">
        <v>0.1</v>
      </c>
      <c r="FA112" s="594"/>
      <c r="FB112" s="594"/>
      <c r="FC112" s="594"/>
      <c r="FD112" s="594"/>
      <c r="FE112" s="594"/>
      <c r="FF112" s="594"/>
      <c r="FG112" s="594"/>
      <c r="FH112" s="594"/>
      <c r="FI112" s="594"/>
      <c r="FJ112" s="595"/>
      <c r="FK112" s="594"/>
      <c r="FL112" s="594"/>
    </row>
    <row r="113" spans="2:168">
      <c r="B113" s="732">
        <f t="shared" si="142"/>
        <v>1</v>
      </c>
      <c r="C113" s="759" t="str">
        <f t="shared" si="170"/>
        <v>生物資源の保全と創出</v>
      </c>
      <c r="D113" s="770" t="e">
        <f>IF(I$112=0,0,G113/I$112)</f>
        <v>#REF!</v>
      </c>
      <c r="E113" s="769" t="e">
        <f>IF(J$112=0,0,H113/J$112)</f>
        <v>#REF!</v>
      </c>
      <c r="G113" s="769" t="e">
        <f t="shared" si="171"/>
        <v>#REF!</v>
      </c>
      <c r="H113" s="769" t="e">
        <f t="shared" si="172"/>
        <v>#REF!</v>
      </c>
      <c r="I113" s="769"/>
      <c r="J113" s="769"/>
      <c r="K113" s="769" t="e">
        <f>IF(#REF!=0,0,1)</f>
        <v>#REF!</v>
      </c>
      <c r="L113" s="769" t="e">
        <f>IF(#REF!=0,0,1)</f>
        <v>#REF!</v>
      </c>
      <c r="M113" s="769">
        <f t="shared" si="173"/>
        <v>0.3</v>
      </c>
      <c r="N113" s="769">
        <f t="shared" si="169"/>
        <v>0</v>
      </c>
      <c r="P113" s="775">
        <v>1</v>
      </c>
      <c r="Q113" s="754" t="s">
        <v>276</v>
      </c>
      <c r="R113" s="7"/>
      <c r="S113" s="7"/>
      <c r="T113" s="753"/>
      <c r="U113" s="726"/>
      <c r="V113" s="913">
        <f t="shared" si="205"/>
        <v>0</v>
      </c>
      <c r="W113" s="912">
        <f t="shared" si="206"/>
        <v>0</v>
      </c>
      <c r="Y113" s="1">
        <f t="shared" si="192"/>
        <v>0</v>
      </c>
      <c r="Z113" s="1">
        <f t="shared" si="193"/>
        <v>0</v>
      </c>
      <c r="AA113" s="1">
        <f t="shared" si="194"/>
        <v>0</v>
      </c>
      <c r="AB113" s="1">
        <f t="shared" si="195"/>
        <v>0</v>
      </c>
      <c r="AC113" s="1">
        <f t="shared" si="196"/>
        <v>0</v>
      </c>
      <c r="AD113" s="1">
        <f t="shared" si="197"/>
        <v>0</v>
      </c>
      <c r="AE113" s="1">
        <f t="shared" si="198"/>
        <v>0</v>
      </c>
      <c r="AF113" s="1">
        <f t="shared" si="199"/>
        <v>0</v>
      </c>
      <c r="AG113" s="1">
        <f t="shared" si="200"/>
        <v>0</v>
      </c>
      <c r="AH113" s="1">
        <f t="shared" si="201"/>
        <v>0</v>
      </c>
      <c r="AI113" s="1">
        <f t="shared" si="202"/>
        <v>0</v>
      </c>
      <c r="AJ113" s="1">
        <f t="shared" si="203"/>
        <v>0</v>
      </c>
      <c r="AK113" s="1">
        <f t="shared" si="204"/>
        <v>0</v>
      </c>
      <c r="AM113" s="644"/>
      <c r="AN113" s="644"/>
      <c r="AO113" s="644"/>
      <c r="AP113" s="644"/>
      <c r="AQ113" s="644"/>
      <c r="AR113" s="644"/>
      <c r="AS113" s="644"/>
      <c r="AT113" s="644"/>
      <c r="AU113" s="644"/>
      <c r="AV113" s="644"/>
      <c r="AW113" s="644"/>
      <c r="AX113" s="644"/>
      <c r="AY113" s="644"/>
      <c r="BA113" s="763" t="e">
        <f>BB113/$BC$112</f>
        <v>#REF!</v>
      </c>
      <c r="BB113" s="763" t="e">
        <f t="shared" si="174"/>
        <v>#REF!</v>
      </c>
      <c r="BC113" s="763"/>
      <c r="BD113" s="762" t="e">
        <f>BR113*#REF!</f>
        <v>#REF!</v>
      </c>
      <c r="BE113" s="762" t="e">
        <f>BS113*#REF!</f>
        <v>#REF!</v>
      </c>
      <c r="BF113" s="762" t="e">
        <f>BT113*#REF!</f>
        <v>#REF!</v>
      </c>
      <c r="BG113" s="762" t="e">
        <f>BU113*#REF!</f>
        <v>#REF!</v>
      </c>
      <c r="BH113" s="824" t="e">
        <f>BV113*#REF!</f>
        <v>#REF!</v>
      </c>
      <c r="BI113" s="762" t="e">
        <f>BW113*#REF!</f>
        <v>#REF!</v>
      </c>
      <c r="BJ113" s="762" t="e">
        <f>BX113*#REF!</f>
        <v>#REF!</v>
      </c>
      <c r="BK113" s="762" t="e">
        <f>BY113*#REF!</f>
        <v>#REF!</v>
      </c>
      <c r="BL113" s="762" t="e">
        <f>BZ113*#REF!</f>
        <v>#REF!</v>
      </c>
      <c r="BM113" s="762" t="e">
        <f>CA113*#REF!</f>
        <v>#REF!</v>
      </c>
      <c r="BO113" s="823">
        <f t="shared" si="175"/>
        <v>1</v>
      </c>
      <c r="BP113" s="823" t="str">
        <f t="shared" si="176"/>
        <v xml:space="preserve"> Q3</v>
      </c>
      <c r="BQ113" s="759" t="str">
        <f t="shared" si="177"/>
        <v>生物資源の保全と創出</v>
      </c>
      <c r="BR113" s="757">
        <f t="shared" si="178"/>
        <v>0.3</v>
      </c>
      <c r="BS113" s="757">
        <f t="shared" si="179"/>
        <v>0.3</v>
      </c>
      <c r="BT113" s="757">
        <f t="shared" si="180"/>
        <v>0.3</v>
      </c>
      <c r="BU113" s="757">
        <f t="shared" si="181"/>
        <v>0.3</v>
      </c>
      <c r="BV113" s="822">
        <f t="shared" si="182"/>
        <v>0.3</v>
      </c>
      <c r="BW113" s="757">
        <f t="shared" si="183"/>
        <v>0.3</v>
      </c>
      <c r="BX113" s="757">
        <f t="shared" si="184"/>
        <v>0.3</v>
      </c>
      <c r="BY113" s="757">
        <f t="shared" si="185"/>
        <v>0.3</v>
      </c>
      <c r="BZ113" s="757">
        <f t="shared" si="186"/>
        <v>0.3</v>
      </c>
      <c r="CA113" s="757">
        <f t="shared" si="187"/>
        <v>0.3</v>
      </c>
      <c r="CB113" s="758">
        <f t="shared" si="188"/>
        <v>0</v>
      </c>
      <c r="CC113" s="757">
        <f t="shared" si="189"/>
        <v>0</v>
      </c>
      <c r="CD113" s="757">
        <f t="shared" si="190"/>
        <v>0</v>
      </c>
      <c r="CF113" s="447">
        <v>1</v>
      </c>
      <c r="CG113" s="451" t="s">
        <v>32</v>
      </c>
      <c r="CH113" s="448" t="s">
        <v>33</v>
      </c>
      <c r="CI113" s="449">
        <v>0.3</v>
      </c>
      <c r="CJ113" s="449">
        <v>0.3</v>
      </c>
      <c r="CK113" s="449">
        <v>0.3</v>
      </c>
      <c r="CL113" s="449">
        <v>0.3</v>
      </c>
      <c r="CM113" s="497">
        <v>0.3</v>
      </c>
      <c r="CN113" s="449">
        <v>0.3</v>
      </c>
      <c r="CO113" s="452">
        <v>0.3</v>
      </c>
      <c r="CP113" s="449">
        <v>0.3</v>
      </c>
      <c r="CQ113" s="449">
        <v>0.3</v>
      </c>
      <c r="CR113" s="449">
        <v>0.3</v>
      </c>
      <c r="CS113" s="453">
        <v>0</v>
      </c>
      <c r="CT113" s="452">
        <v>0</v>
      </c>
      <c r="CU113" s="452">
        <v>0</v>
      </c>
      <c r="CW113" s="447">
        <v>1</v>
      </c>
      <c r="CX113" s="451" t="s">
        <v>32</v>
      </c>
      <c r="CY113" s="448" t="s">
        <v>33</v>
      </c>
      <c r="CZ113" s="452">
        <v>0.3</v>
      </c>
      <c r="DA113" s="452">
        <v>0.3</v>
      </c>
      <c r="DB113" s="452">
        <v>0.3</v>
      </c>
      <c r="DC113" s="452">
        <v>0.3</v>
      </c>
      <c r="DD113" s="498">
        <v>0.3</v>
      </c>
      <c r="DE113" s="452">
        <v>0.3</v>
      </c>
      <c r="DF113" s="452">
        <v>0.3</v>
      </c>
      <c r="DG113" s="452">
        <v>0.3</v>
      </c>
      <c r="DH113" s="452">
        <v>0.3</v>
      </c>
      <c r="DI113" s="452">
        <v>0.3</v>
      </c>
      <c r="DJ113" s="453"/>
      <c r="DK113" s="452"/>
      <c r="DL113" s="452"/>
      <c r="DN113" s="447">
        <v>1</v>
      </c>
      <c r="DO113" s="451" t="s">
        <v>32</v>
      </c>
      <c r="DP113" s="448" t="s">
        <v>33</v>
      </c>
      <c r="DQ113" s="452">
        <v>0.3</v>
      </c>
      <c r="DR113" s="452">
        <v>0.3</v>
      </c>
      <c r="DS113" s="452">
        <v>0.3</v>
      </c>
      <c r="DT113" s="452">
        <v>0.3</v>
      </c>
      <c r="DU113" s="498">
        <v>0.3</v>
      </c>
      <c r="DV113" s="452">
        <v>0.3</v>
      </c>
      <c r="DW113" s="452">
        <v>0.3</v>
      </c>
      <c r="DX113" s="452">
        <v>0.3</v>
      </c>
      <c r="DY113" s="452">
        <v>0.3</v>
      </c>
      <c r="DZ113" s="452">
        <v>0.3</v>
      </c>
      <c r="EA113" s="453"/>
      <c r="EB113" s="452"/>
      <c r="EC113" s="452"/>
      <c r="ED113" s="554"/>
      <c r="EF113" s="447">
        <v>1</v>
      </c>
      <c r="EG113" s="451" t="s">
        <v>32</v>
      </c>
      <c r="EH113" s="448" t="s">
        <v>33</v>
      </c>
      <c r="EI113" s="606">
        <f t="shared" ref="EI113:ER113" si="209">DQ113</f>
        <v>0.3</v>
      </c>
      <c r="EJ113" s="606">
        <f t="shared" si="209"/>
        <v>0.3</v>
      </c>
      <c r="EK113" s="606">
        <f t="shared" si="209"/>
        <v>0.3</v>
      </c>
      <c r="EL113" s="606">
        <f t="shared" si="209"/>
        <v>0.3</v>
      </c>
      <c r="EM113" s="623">
        <f t="shared" si="209"/>
        <v>0.3</v>
      </c>
      <c r="EN113" s="606">
        <f t="shared" si="209"/>
        <v>0.3</v>
      </c>
      <c r="EO113" s="606">
        <f t="shared" si="209"/>
        <v>0.3</v>
      </c>
      <c r="EP113" s="606">
        <f t="shared" si="209"/>
        <v>0.3</v>
      </c>
      <c r="EQ113" s="606">
        <f t="shared" si="209"/>
        <v>0.3</v>
      </c>
      <c r="ER113" s="606">
        <f t="shared" si="209"/>
        <v>0.3</v>
      </c>
      <c r="ES113" s="608">
        <f t="shared" si="208"/>
        <v>0</v>
      </c>
      <c r="ET113" s="606">
        <f t="shared" si="208"/>
        <v>0</v>
      </c>
      <c r="EU113" s="606">
        <f t="shared" si="208"/>
        <v>0</v>
      </c>
      <c r="EW113" s="447">
        <v>1</v>
      </c>
      <c r="EX113" s="451" t="s">
        <v>32</v>
      </c>
      <c r="EY113" s="448" t="s">
        <v>33</v>
      </c>
      <c r="EZ113" s="673">
        <v>0</v>
      </c>
      <c r="FA113" s="596"/>
      <c r="FB113" s="596"/>
      <c r="FC113" s="596"/>
      <c r="FD113" s="656"/>
      <c r="FE113" s="596"/>
      <c r="FF113" s="596"/>
      <c r="FG113" s="596"/>
      <c r="FH113" s="596"/>
      <c r="FI113" s="596"/>
      <c r="FJ113" s="597"/>
      <c r="FK113" s="596"/>
      <c r="FL113" s="596"/>
    </row>
    <row r="114" spans="2:168" hidden="1">
      <c r="B114" s="732">
        <v>1</v>
      </c>
      <c r="C114" s="759">
        <f t="shared" si="170"/>
        <v>0</v>
      </c>
      <c r="D114" s="770" t="e">
        <f>IF(I$112=0,0,G114/I$112)</f>
        <v>#REF!</v>
      </c>
      <c r="E114" s="769" t="e">
        <f>IF(J$112=0,0,H114/J$112)</f>
        <v>#REF!</v>
      </c>
      <c r="G114" s="769" t="e">
        <f t="shared" si="171"/>
        <v>#REF!</v>
      </c>
      <c r="H114" s="769" t="e">
        <f t="shared" si="172"/>
        <v>#REF!</v>
      </c>
      <c r="I114" s="500" t="e">
        <f>SUM(G115)</f>
        <v>#REF!</v>
      </c>
      <c r="J114" s="500" t="e">
        <f>SUM(H115)</f>
        <v>#REF!</v>
      </c>
      <c r="K114" s="769" t="e">
        <f>IF(#REF!=0,0,1)</f>
        <v>#REF!</v>
      </c>
      <c r="L114" s="769" t="e">
        <f>IF(#REF!=0,0,1)</f>
        <v>#REF!</v>
      </c>
      <c r="M114" s="769">
        <f t="shared" si="173"/>
        <v>0</v>
      </c>
      <c r="N114" s="769">
        <f t="shared" si="169"/>
        <v>0</v>
      </c>
      <c r="P114" s="911">
        <v>1</v>
      </c>
      <c r="Q114" s="910" t="s">
        <v>764</v>
      </c>
      <c r="R114" s="909"/>
      <c r="S114" s="579"/>
      <c r="T114" s="745"/>
      <c r="U114" s="726"/>
      <c r="V114" s="747">
        <f t="shared" si="205"/>
        <v>0</v>
      </c>
      <c r="W114" s="746">
        <f t="shared" si="206"/>
        <v>0</v>
      </c>
      <c r="Y114" s="1">
        <f t="shared" si="192"/>
        <v>0</v>
      </c>
      <c r="Z114" s="1">
        <f t="shared" si="193"/>
        <v>0</v>
      </c>
      <c r="AA114" s="1">
        <f t="shared" si="194"/>
        <v>0</v>
      </c>
      <c r="AB114" s="1">
        <f t="shared" si="195"/>
        <v>0</v>
      </c>
      <c r="AC114" s="1">
        <f t="shared" si="196"/>
        <v>0</v>
      </c>
      <c r="AD114" s="1">
        <f t="shared" si="197"/>
        <v>0</v>
      </c>
      <c r="AE114" s="1">
        <f t="shared" si="198"/>
        <v>0</v>
      </c>
      <c r="AF114" s="1">
        <f t="shared" si="199"/>
        <v>0</v>
      </c>
      <c r="AG114" s="1">
        <f t="shared" si="200"/>
        <v>0</v>
      </c>
      <c r="AH114" s="1">
        <f t="shared" si="201"/>
        <v>0</v>
      </c>
      <c r="AI114" s="1">
        <f t="shared" si="202"/>
        <v>0</v>
      </c>
      <c r="AJ114" s="1">
        <f t="shared" si="203"/>
        <v>0</v>
      </c>
      <c r="AK114" s="1">
        <f t="shared" si="204"/>
        <v>0</v>
      </c>
      <c r="AM114" s="682"/>
      <c r="AN114" s="682"/>
      <c r="AO114" s="682"/>
      <c r="AP114" s="682"/>
      <c r="AQ114" s="682"/>
      <c r="AR114" s="682"/>
      <c r="AS114" s="682"/>
      <c r="AT114" s="682"/>
      <c r="AU114" s="682"/>
      <c r="AV114" s="682"/>
      <c r="AW114" s="682"/>
      <c r="AX114" s="682"/>
      <c r="AY114" s="682"/>
      <c r="BA114" s="763"/>
      <c r="BB114" s="763" t="e">
        <f t="shared" si="174"/>
        <v>#REF!</v>
      </c>
      <c r="BC114" s="763"/>
      <c r="BD114" s="762" t="e">
        <f>BR114*#REF!</f>
        <v>#REF!</v>
      </c>
      <c r="BE114" s="762" t="e">
        <f>BS114*#REF!</f>
        <v>#REF!</v>
      </c>
      <c r="BF114" s="762" t="e">
        <f>BT114*#REF!</f>
        <v>#REF!</v>
      </c>
      <c r="BG114" s="762" t="e">
        <f>BU114*#REF!</f>
        <v>#REF!</v>
      </c>
      <c r="BH114" s="824" t="e">
        <f>BV114*#REF!</f>
        <v>#REF!</v>
      </c>
      <c r="BI114" s="762" t="e">
        <f>BW114*#REF!</f>
        <v>#REF!</v>
      </c>
      <c r="BJ114" s="762" t="e">
        <f>BX114*#REF!</f>
        <v>#REF!</v>
      </c>
      <c r="BK114" s="762" t="e">
        <f>BY114*#REF!</f>
        <v>#REF!</v>
      </c>
      <c r="BL114" s="762" t="e">
        <f>BZ114*#REF!</f>
        <v>#REF!</v>
      </c>
      <c r="BM114" s="762" t="e">
        <f>CA114*#REF!</f>
        <v>#REF!</v>
      </c>
      <c r="BO114" s="823">
        <f t="shared" si="175"/>
        <v>0</v>
      </c>
      <c r="BP114" s="823">
        <f t="shared" si="176"/>
        <v>0</v>
      </c>
      <c r="BQ114" s="759">
        <f t="shared" si="177"/>
        <v>0</v>
      </c>
      <c r="BR114" s="757">
        <f t="shared" si="178"/>
        <v>0</v>
      </c>
      <c r="BS114" s="757">
        <f t="shared" si="179"/>
        <v>0</v>
      </c>
      <c r="BT114" s="757">
        <f t="shared" si="180"/>
        <v>0</v>
      </c>
      <c r="BU114" s="757">
        <f t="shared" si="181"/>
        <v>0</v>
      </c>
      <c r="BV114" s="822">
        <f t="shared" si="182"/>
        <v>0</v>
      </c>
      <c r="BW114" s="757">
        <f t="shared" si="183"/>
        <v>0</v>
      </c>
      <c r="BX114" s="757">
        <f t="shared" si="184"/>
        <v>0</v>
      </c>
      <c r="BY114" s="757">
        <f t="shared" si="185"/>
        <v>0</v>
      </c>
      <c r="BZ114" s="757">
        <f t="shared" si="186"/>
        <v>0</v>
      </c>
      <c r="CA114" s="757">
        <f t="shared" si="187"/>
        <v>0</v>
      </c>
      <c r="CB114" s="758">
        <f t="shared" si="188"/>
        <v>0</v>
      </c>
      <c r="CC114" s="757">
        <f t="shared" si="189"/>
        <v>0</v>
      </c>
      <c r="CD114" s="757">
        <f t="shared" si="190"/>
        <v>0</v>
      </c>
      <c r="CF114" s="447"/>
      <c r="CG114" s="451"/>
      <c r="CH114" s="448"/>
      <c r="CI114" s="449"/>
      <c r="CJ114" s="449"/>
      <c r="CK114" s="449"/>
      <c r="CL114" s="449"/>
      <c r="CM114" s="497"/>
      <c r="CN114" s="449"/>
      <c r="CO114" s="452"/>
      <c r="CP114" s="449"/>
      <c r="CQ114" s="449"/>
      <c r="CR114" s="449"/>
      <c r="CS114" s="453"/>
      <c r="CT114" s="452"/>
      <c r="CU114" s="452"/>
      <c r="CW114" s="447"/>
      <c r="CX114" s="451"/>
      <c r="CY114" s="448"/>
      <c r="CZ114" s="452"/>
      <c r="DA114" s="452"/>
      <c r="DB114" s="452"/>
      <c r="DC114" s="452"/>
      <c r="DD114" s="498"/>
      <c r="DE114" s="452"/>
      <c r="DF114" s="452"/>
      <c r="DG114" s="452"/>
      <c r="DH114" s="452"/>
      <c r="DI114" s="452"/>
      <c r="DJ114" s="453"/>
      <c r="DK114" s="452"/>
      <c r="DL114" s="452"/>
      <c r="DN114" s="447"/>
      <c r="DO114" s="451"/>
      <c r="DP114" s="448"/>
      <c r="DQ114" s="452"/>
      <c r="DR114" s="452"/>
      <c r="DS114" s="452"/>
      <c r="DT114" s="452"/>
      <c r="DU114" s="498"/>
      <c r="DV114" s="452"/>
      <c r="DW114" s="452"/>
      <c r="DX114" s="452"/>
      <c r="DY114" s="452"/>
      <c r="DZ114" s="452"/>
      <c r="EA114" s="453"/>
      <c r="EB114" s="452"/>
      <c r="EC114" s="452"/>
      <c r="ED114" s="554"/>
      <c r="EF114" s="447"/>
      <c r="EG114" s="451"/>
      <c r="EH114" s="448"/>
      <c r="EI114" s="606"/>
      <c r="EJ114" s="606"/>
      <c r="EK114" s="606"/>
      <c r="EL114" s="606"/>
      <c r="EM114" s="623"/>
      <c r="EN114" s="606"/>
      <c r="EO114" s="606"/>
      <c r="EP114" s="606"/>
      <c r="EQ114" s="606"/>
      <c r="ER114" s="606"/>
      <c r="ES114" s="608"/>
      <c r="ET114" s="606"/>
      <c r="EU114" s="606"/>
      <c r="EW114" s="447">
        <v>1</v>
      </c>
      <c r="EX114" s="451" t="s">
        <v>32</v>
      </c>
      <c r="EY114" s="674" t="s">
        <v>775</v>
      </c>
      <c r="EZ114" s="673">
        <v>1</v>
      </c>
      <c r="FA114" s="596"/>
      <c r="FB114" s="596"/>
      <c r="FC114" s="596"/>
      <c r="FD114" s="656"/>
      <c r="FE114" s="596"/>
      <c r="FF114" s="596"/>
      <c r="FG114" s="596"/>
      <c r="FH114" s="596"/>
      <c r="FI114" s="596"/>
      <c r="FJ114" s="597"/>
      <c r="FK114" s="596"/>
      <c r="FL114" s="596"/>
    </row>
    <row r="115" spans="2:168" hidden="1">
      <c r="B115" s="732">
        <v>1.1000000000000001</v>
      </c>
      <c r="C115" s="408">
        <f t="shared" si="170"/>
        <v>0</v>
      </c>
      <c r="D115" s="730" t="e">
        <f>IF(I$114=0,0,G115/I$114)</f>
        <v>#REF!</v>
      </c>
      <c r="E115" s="730" t="e">
        <f>IF(J$114=0,0,H115/J$114)</f>
        <v>#REF!</v>
      </c>
      <c r="G115" s="730" t="e">
        <f t="shared" si="171"/>
        <v>#REF!</v>
      </c>
      <c r="H115" s="730" t="e">
        <f t="shared" si="172"/>
        <v>#REF!</v>
      </c>
      <c r="I115" s="384"/>
      <c r="J115" s="730"/>
      <c r="K115" s="730" t="e">
        <f>IF(#REF!=0,0,1)</f>
        <v>#REF!</v>
      </c>
      <c r="L115" s="730" t="e">
        <f>IF(#REF!=0,0,1)</f>
        <v>#REF!</v>
      </c>
      <c r="M115" s="730">
        <f t="shared" si="173"/>
        <v>0</v>
      </c>
      <c r="N115" s="730">
        <f t="shared" si="169"/>
        <v>0</v>
      </c>
      <c r="P115" s="908"/>
      <c r="Q115" s="907">
        <v>1.1000000000000001</v>
      </c>
      <c r="R115" s="773" t="s">
        <v>765</v>
      </c>
      <c r="S115" s="904"/>
      <c r="T115" s="741"/>
      <c r="U115" s="726"/>
      <c r="V115" s="747">
        <f t="shared" si="205"/>
        <v>0</v>
      </c>
      <c r="W115" s="746">
        <f t="shared" si="206"/>
        <v>0</v>
      </c>
      <c r="Y115" s="1">
        <f t="shared" si="192"/>
        <v>0</v>
      </c>
      <c r="Z115" s="1">
        <f t="shared" si="193"/>
        <v>0</v>
      </c>
      <c r="AA115" s="1">
        <f t="shared" si="194"/>
        <v>0</v>
      </c>
      <c r="AB115" s="1">
        <f t="shared" si="195"/>
        <v>0</v>
      </c>
      <c r="AC115" s="1">
        <f t="shared" si="196"/>
        <v>0</v>
      </c>
      <c r="AD115" s="1">
        <f t="shared" si="197"/>
        <v>0</v>
      </c>
      <c r="AE115" s="1">
        <f t="shared" si="198"/>
        <v>0</v>
      </c>
      <c r="AF115" s="1">
        <f t="shared" si="199"/>
        <v>0</v>
      </c>
      <c r="AG115" s="1">
        <f t="shared" si="200"/>
        <v>0</v>
      </c>
      <c r="AH115" s="1">
        <f t="shared" si="201"/>
        <v>0</v>
      </c>
      <c r="AI115" s="1">
        <f t="shared" si="202"/>
        <v>0</v>
      </c>
      <c r="AJ115" s="1">
        <f t="shared" si="203"/>
        <v>0</v>
      </c>
      <c r="AK115" s="1">
        <f t="shared" si="204"/>
        <v>0</v>
      </c>
      <c r="AM115" s="682"/>
      <c r="AN115" s="682"/>
      <c r="AO115" s="682"/>
      <c r="AP115" s="682"/>
      <c r="AQ115" s="682"/>
      <c r="AR115" s="682"/>
      <c r="AS115" s="682"/>
      <c r="AT115" s="682"/>
      <c r="AU115" s="682"/>
      <c r="AV115" s="682"/>
      <c r="AW115" s="682"/>
      <c r="AX115" s="682"/>
      <c r="AY115" s="682"/>
      <c r="BA115" s="763"/>
      <c r="BB115" s="763" t="e">
        <f t="shared" si="174"/>
        <v>#REF!</v>
      </c>
      <c r="BC115" s="763"/>
      <c r="BD115" s="762" t="e">
        <f>BR115*#REF!</f>
        <v>#REF!</v>
      </c>
      <c r="BE115" s="762" t="e">
        <f>BS115*#REF!</f>
        <v>#REF!</v>
      </c>
      <c r="BF115" s="762" t="e">
        <f>BT115*#REF!</f>
        <v>#REF!</v>
      </c>
      <c r="BG115" s="762" t="e">
        <f>BU115*#REF!</f>
        <v>#REF!</v>
      </c>
      <c r="BH115" s="824" t="e">
        <f>BV115*#REF!</f>
        <v>#REF!</v>
      </c>
      <c r="BI115" s="762" t="e">
        <f>BW115*#REF!</f>
        <v>#REF!</v>
      </c>
      <c r="BJ115" s="762" t="e">
        <f>BX115*#REF!</f>
        <v>#REF!</v>
      </c>
      <c r="BK115" s="762" t="e">
        <f>BY115*#REF!</f>
        <v>#REF!</v>
      </c>
      <c r="BL115" s="762" t="e">
        <f>BZ115*#REF!</f>
        <v>#REF!</v>
      </c>
      <c r="BM115" s="762" t="e">
        <f>CA115*#REF!</f>
        <v>#REF!</v>
      </c>
      <c r="BO115" s="823">
        <f t="shared" si="175"/>
        <v>0</v>
      </c>
      <c r="BP115" s="823">
        <f t="shared" si="176"/>
        <v>0</v>
      </c>
      <c r="BQ115" s="759">
        <f t="shared" si="177"/>
        <v>0</v>
      </c>
      <c r="BR115" s="757">
        <f t="shared" si="178"/>
        <v>0</v>
      </c>
      <c r="BS115" s="757">
        <f t="shared" si="179"/>
        <v>0</v>
      </c>
      <c r="BT115" s="757">
        <f t="shared" si="180"/>
        <v>0</v>
      </c>
      <c r="BU115" s="757">
        <f t="shared" si="181"/>
        <v>0</v>
      </c>
      <c r="BV115" s="822">
        <f t="shared" si="182"/>
        <v>0</v>
      </c>
      <c r="BW115" s="757">
        <f t="shared" si="183"/>
        <v>0</v>
      </c>
      <c r="BX115" s="757">
        <f t="shared" si="184"/>
        <v>0</v>
      </c>
      <c r="BY115" s="757">
        <f t="shared" si="185"/>
        <v>0</v>
      </c>
      <c r="BZ115" s="757">
        <f t="shared" si="186"/>
        <v>0</v>
      </c>
      <c r="CA115" s="757">
        <f t="shared" si="187"/>
        <v>0</v>
      </c>
      <c r="CB115" s="758">
        <f t="shared" si="188"/>
        <v>0</v>
      </c>
      <c r="CC115" s="757">
        <f t="shared" si="189"/>
        <v>0</v>
      </c>
      <c r="CD115" s="757">
        <f t="shared" si="190"/>
        <v>0</v>
      </c>
      <c r="CF115" s="447"/>
      <c r="CG115" s="451"/>
      <c r="CH115" s="448"/>
      <c r="CI115" s="449"/>
      <c r="CJ115" s="449"/>
      <c r="CK115" s="449"/>
      <c r="CL115" s="449"/>
      <c r="CM115" s="497"/>
      <c r="CN115" s="449"/>
      <c r="CO115" s="452"/>
      <c r="CP115" s="449"/>
      <c r="CQ115" s="449"/>
      <c r="CR115" s="449"/>
      <c r="CS115" s="453"/>
      <c r="CT115" s="452"/>
      <c r="CU115" s="452"/>
      <c r="CW115" s="447"/>
      <c r="CX115" s="451"/>
      <c r="CY115" s="448"/>
      <c r="CZ115" s="452"/>
      <c r="DA115" s="452"/>
      <c r="DB115" s="452"/>
      <c r="DC115" s="452"/>
      <c r="DD115" s="498"/>
      <c r="DE115" s="452"/>
      <c r="DF115" s="452"/>
      <c r="DG115" s="452"/>
      <c r="DH115" s="452"/>
      <c r="DI115" s="452"/>
      <c r="DJ115" s="453"/>
      <c r="DK115" s="452"/>
      <c r="DL115" s="452"/>
      <c r="DN115" s="447"/>
      <c r="DO115" s="451"/>
      <c r="DP115" s="448"/>
      <c r="DQ115" s="452"/>
      <c r="DR115" s="452"/>
      <c r="DS115" s="452"/>
      <c r="DT115" s="452"/>
      <c r="DU115" s="498"/>
      <c r="DV115" s="452"/>
      <c r="DW115" s="452"/>
      <c r="DX115" s="452"/>
      <c r="DY115" s="452"/>
      <c r="DZ115" s="452"/>
      <c r="EA115" s="453"/>
      <c r="EB115" s="452"/>
      <c r="EC115" s="452"/>
      <c r="ED115" s="554"/>
      <c r="EF115" s="447"/>
      <c r="EG115" s="451"/>
      <c r="EH115" s="448"/>
      <c r="EI115" s="606"/>
      <c r="EJ115" s="606"/>
      <c r="EK115" s="606"/>
      <c r="EL115" s="606"/>
      <c r="EM115" s="623"/>
      <c r="EN115" s="606"/>
      <c r="EO115" s="606"/>
      <c r="EP115" s="606"/>
      <c r="EQ115" s="606"/>
      <c r="ER115" s="606"/>
      <c r="ES115" s="608"/>
      <c r="ET115" s="606"/>
      <c r="EU115" s="606"/>
      <c r="EW115" s="455" t="s">
        <v>883</v>
      </c>
      <c r="EX115" s="459" t="s">
        <v>34</v>
      </c>
      <c r="EY115" s="675" t="s">
        <v>766</v>
      </c>
      <c r="EZ115" s="673">
        <v>1</v>
      </c>
      <c r="FA115" s="596"/>
      <c r="FB115" s="596"/>
      <c r="FC115" s="596"/>
      <c r="FD115" s="656"/>
      <c r="FE115" s="596"/>
      <c r="FF115" s="596"/>
      <c r="FG115" s="596"/>
      <c r="FH115" s="596"/>
      <c r="FI115" s="596"/>
      <c r="FJ115" s="597"/>
      <c r="FK115" s="596"/>
      <c r="FL115" s="596"/>
    </row>
    <row r="116" spans="2:168" ht="14.25" thickBot="1">
      <c r="B116" s="732">
        <f t="shared" ref="B116:B158" si="210">BO116</f>
        <v>2</v>
      </c>
      <c r="C116" s="759" t="str">
        <f t="shared" si="170"/>
        <v>まちなみ・景観への配慮</v>
      </c>
      <c r="D116" s="770" t="e">
        <f>IF(I$112=0,0,G116/I$112)</f>
        <v>#REF!</v>
      </c>
      <c r="E116" s="769" t="e">
        <f>IF(J$112=0,0,H116/J$112)</f>
        <v>#REF!</v>
      </c>
      <c r="G116" s="769" t="e">
        <f t="shared" si="171"/>
        <v>#REF!</v>
      </c>
      <c r="H116" s="769" t="e">
        <f t="shared" si="172"/>
        <v>#REF!</v>
      </c>
      <c r="I116" s="769"/>
      <c r="J116" s="769"/>
      <c r="K116" s="769" t="e">
        <f>IF(#REF!=0,0,1)</f>
        <v>#REF!</v>
      </c>
      <c r="L116" s="769" t="e">
        <f>IF(#REF!=0,0,1)</f>
        <v>#REF!</v>
      </c>
      <c r="M116" s="769">
        <f t="shared" si="173"/>
        <v>0.4</v>
      </c>
      <c r="N116" s="769">
        <f t="shared" si="169"/>
        <v>0</v>
      </c>
      <c r="P116" s="906">
        <v>2</v>
      </c>
      <c r="Q116" s="767" t="s">
        <v>277</v>
      </c>
      <c r="R116" s="579"/>
      <c r="S116" s="579"/>
      <c r="T116" s="745"/>
      <c r="U116" s="726"/>
      <c r="V116" s="876">
        <f t="shared" si="205"/>
        <v>0</v>
      </c>
      <c r="W116" s="875">
        <f t="shared" si="206"/>
        <v>0</v>
      </c>
      <c r="Y116" s="1">
        <f t="shared" si="192"/>
        <v>0</v>
      </c>
      <c r="Z116" s="1">
        <f t="shared" si="193"/>
        <v>0</v>
      </c>
      <c r="AA116" s="1">
        <f t="shared" si="194"/>
        <v>0</v>
      </c>
      <c r="AB116" s="1">
        <f t="shared" si="195"/>
        <v>0</v>
      </c>
      <c r="AC116" s="1">
        <f t="shared" si="196"/>
        <v>0</v>
      </c>
      <c r="AD116" s="1">
        <f t="shared" si="197"/>
        <v>0</v>
      </c>
      <c r="AE116" s="1">
        <f t="shared" si="198"/>
        <v>0</v>
      </c>
      <c r="AF116" s="1">
        <f t="shared" si="199"/>
        <v>0</v>
      </c>
      <c r="AG116" s="1">
        <f t="shared" si="200"/>
        <v>0</v>
      </c>
      <c r="AH116" s="1">
        <f t="shared" si="201"/>
        <v>0</v>
      </c>
      <c r="AI116" s="1">
        <f t="shared" si="202"/>
        <v>0</v>
      </c>
      <c r="AJ116" s="1">
        <f t="shared" si="203"/>
        <v>0</v>
      </c>
      <c r="AK116" s="1">
        <f t="shared" si="204"/>
        <v>0</v>
      </c>
      <c r="AM116" s="905"/>
      <c r="AN116" s="905"/>
      <c r="AO116" s="905"/>
      <c r="AP116" s="905"/>
      <c r="AQ116" s="905"/>
      <c r="AR116" s="905"/>
      <c r="AS116" s="905"/>
      <c r="AT116" s="905"/>
      <c r="AU116" s="905"/>
      <c r="AV116" s="905"/>
      <c r="AW116" s="905"/>
      <c r="AX116" s="905"/>
      <c r="AY116" s="905"/>
      <c r="BA116" s="763" t="e">
        <f>BB116/$BC$112</f>
        <v>#REF!</v>
      </c>
      <c r="BB116" s="763" t="e">
        <f t="shared" si="174"/>
        <v>#REF!</v>
      </c>
      <c r="BC116" s="763"/>
      <c r="BD116" s="762" t="e">
        <f>BR116*#REF!</f>
        <v>#REF!</v>
      </c>
      <c r="BE116" s="762" t="e">
        <f>BS116*#REF!</f>
        <v>#REF!</v>
      </c>
      <c r="BF116" s="762" t="e">
        <f>BT116*#REF!</f>
        <v>#REF!</v>
      </c>
      <c r="BG116" s="762" t="e">
        <f>BU116*#REF!</f>
        <v>#REF!</v>
      </c>
      <c r="BH116" s="824" t="e">
        <f>BV116*#REF!</f>
        <v>#REF!</v>
      </c>
      <c r="BI116" s="762" t="e">
        <f>BW116*#REF!</f>
        <v>#REF!</v>
      </c>
      <c r="BJ116" s="762" t="e">
        <f>BX116*#REF!</f>
        <v>#REF!</v>
      </c>
      <c r="BK116" s="762" t="e">
        <f>BY116*#REF!</f>
        <v>#REF!</v>
      </c>
      <c r="BL116" s="762" t="e">
        <f>BZ116*#REF!</f>
        <v>#REF!</v>
      </c>
      <c r="BM116" s="762" t="e">
        <f>CA116*#REF!</f>
        <v>#REF!</v>
      </c>
      <c r="BO116" s="823">
        <f t="shared" si="175"/>
        <v>2</v>
      </c>
      <c r="BP116" s="823" t="str">
        <f t="shared" si="176"/>
        <v xml:space="preserve"> Q3</v>
      </c>
      <c r="BQ116" s="759" t="str">
        <f t="shared" si="177"/>
        <v>まちなみ・景観への配慮</v>
      </c>
      <c r="BR116" s="757">
        <f t="shared" si="178"/>
        <v>0.4</v>
      </c>
      <c r="BS116" s="757">
        <f t="shared" si="179"/>
        <v>0.4</v>
      </c>
      <c r="BT116" s="757">
        <f t="shared" si="180"/>
        <v>0.4</v>
      </c>
      <c r="BU116" s="757">
        <f t="shared" si="181"/>
        <v>0.4</v>
      </c>
      <c r="BV116" s="822">
        <f t="shared" si="182"/>
        <v>0.4</v>
      </c>
      <c r="BW116" s="757">
        <f t="shared" si="183"/>
        <v>0.4</v>
      </c>
      <c r="BX116" s="757">
        <f t="shared" si="184"/>
        <v>0.4</v>
      </c>
      <c r="BY116" s="757">
        <f t="shared" si="185"/>
        <v>0.4</v>
      </c>
      <c r="BZ116" s="757">
        <f t="shared" si="186"/>
        <v>0.4</v>
      </c>
      <c r="CA116" s="757">
        <f t="shared" si="187"/>
        <v>0.4</v>
      </c>
      <c r="CB116" s="758">
        <f t="shared" si="188"/>
        <v>0</v>
      </c>
      <c r="CC116" s="757">
        <f t="shared" si="189"/>
        <v>0</v>
      </c>
      <c r="CD116" s="757">
        <f t="shared" si="190"/>
        <v>0</v>
      </c>
      <c r="CF116" s="447">
        <v>2</v>
      </c>
      <c r="CG116" s="451" t="s">
        <v>32</v>
      </c>
      <c r="CH116" s="448" t="s">
        <v>882</v>
      </c>
      <c r="CI116" s="449">
        <v>0.4</v>
      </c>
      <c r="CJ116" s="449">
        <v>0.4</v>
      </c>
      <c r="CK116" s="449">
        <v>0.4</v>
      </c>
      <c r="CL116" s="449">
        <v>0.4</v>
      </c>
      <c r="CM116" s="497">
        <v>0.4</v>
      </c>
      <c r="CN116" s="449">
        <v>0.4</v>
      </c>
      <c r="CO116" s="452">
        <v>0.4</v>
      </c>
      <c r="CP116" s="449">
        <v>0.4</v>
      </c>
      <c r="CQ116" s="449">
        <v>0.4</v>
      </c>
      <c r="CR116" s="449">
        <v>0.4</v>
      </c>
      <c r="CS116" s="453">
        <v>0</v>
      </c>
      <c r="CT116" s="452">
        <v>0</v>
      </c>
      <c r="CU116" s="452">
        <v>0</v>
      </c>
      <c r="CW116" s="447">
        <v>2</v>
      </c>
      <c r="CX116" s="451" t="s">
        <v>32</v>
      </c>
      <c r="CY116" s="448" t="s">
        <v>882</v>
      </c>
      <c r="CZ116" s="452">
        <v>0.4</v>
      </c>
      <c r="DA116" s="452">
        <v>0.4</v>
      </c>
      <c r="DB116" s="452">
        <v>0.4</v>
      </c>
      <c r="DC116" s="452">
        <v>0.4</v>
      </c>
      <c r="DD116" s="498">
        <v>0.4</v>
      </c>
      <c r="DE116" s="452">
        <v>0.4</v>
      </c>
      <c r="DF116" s="452">
        <v>0.4</v>
      </c>
      <c r="DG116" s="452">
        <v>0.4</v>
      </c>
      <c r="DH116" s="452">
        <v>0.4</v>
      </c>
      <c r="DI116" s="452">
        <v>0.4</v>
      </c>
      <c r="DJ116" s="453"/>
      <c r="DK116" s="452"/>
      <c r="DL116" s="452"/>
      <c r="DN116" s="447">
        <v>2</v>
      </c>
      <c r="DO116" s="451" t="s">
        <v>32</v>
      </c>
      <c r="DP116" s="448" t="s">
        <v>881</v>
      </c>
      <c r="DQ116" s="452">
        <v>0.4</v>
      </c>
      <c r="DR116" s="452">
        <v>0.4</v>
      </c>
      <c r="DS116" s="452">
        <v>0.4</v>
      </c>
      <c r="DT116" s="452">
        <v>0.4</v>
      </c>
      <c r="DU116" s="498">
        <v>0.4</v>
      </c>
      <c r="DV116" s="452">
        <v>0.4</v>
      </c>
      <c r="DW116" s="452">
        <v>0.4</v>
      </c>
      <c r="DX116" s="452">
        <v>0.4</v>
      </c>
      <c r="DY116" s="452">
        <v>0.4</v>
      </c>
      <c r="DZ116" s="452">
        <v>0.4</v>
      </c>
      <c r="EA116" s="453"/>
      <c r="EB116" s="452"/>
      <c r="EC116" s="452"/>
      <c r="ED116" s="554"/>
      <c r="EF116" s="447">
        <v>2</v>
      </c>
      <c r="EG116" s="451" t="s">
        <v>32</v>
      </c>
      <c r="EH116" s="448" t="s">
        <v>881</v>
      </c>
      <c r="EI116" s="606">
        <f t="shared" ref="EI116:EU121" si="211">DQ116</f>
        <v>0.4</v>
      </c>
      <c r="EJ116" s="606">
        <f t="shared" si="211"/>
        <v>0.4</v>
      </c>
      <c r="EK116" s="606">
        <f t="shared" si="211"/>
        <v>0.4</v>
      </c>
      <c r="EL116" s="606">
        <f t="shared" si="211"/>
        <v>0.4</v>
      </c>
      <c r="EM116" s="623">
        <f t="shared" si="211"/>
        <v>0.4</v>
      </c>
      <c r="EN116" s="606">
        <f t="shared" si="211"/>
        <v>0.4</v>
      </c>
      <c r="EO116" s="606">
        <f t="shared" si="211"/>
        <v>0.4</v>
      </c>
      <c r="EP116" s="606">
        <f t="shared" si="211"/>
        <v>0.4</v>
      </c>
      <c r="EQ116" s="606">
        <f t="shared" si="211"/>
        <v>0.4</v>
      </c>
      <c r="ER116" s="606">
        <f t="shared" si="211"/>
        <v>0.4</v>
      </c>
      <c r="ES116" s="608">
        <f t="shared" si="211"/>
        <v>0</v>
      </c>
      <c r="ET116" s="606">
        <f t="shared" si="211"/>
        <v>0</v>
      </c>
      <c r="EU116" s="606">
        <f t="shared" si="211"/>
        <v>0</v>
      </c>
      <c r="EW116" s="447">
        <v>2</v>
      </c>
      <c r="EX116" s="451" t="s">
        <v>32</v>
      </c>
      <c r="EY116" s="448" t="s">
        <v>880</v>
      </c>
      <c r="EZ116" s="673">
        <v>0</v>
      </c>
      <c r="FA116" s="596"/>
      <c r="FB116" s="596"/>
      <c r="FC116" s="596"/>
      <c r="FD116" s="656"/>
      <c r="FE116" s="596"/>
      <c r="FF116" s="596"/>
      <c r="FG116" s="596"/>
      <c r="FH116" s="596"/>
      <c r="FI116" s="596"/>
      <c r="FJ116" s="597"/>
      <c r="FK116" s="596"/>
      <c r="FL116" s="596"/>
    </row>
    <row r="117" spans="2:168" ht="14.25" thickBot="1">
      <c r="B117" s="732">
        <f t="shared" si="210"/>
        <v>3</v>
      </c>
      <c r="C117" s="759" t="str">
        <f t="shared" si="170"/>
        <v>地域性・アメニティへの配慮</v>
      </c>
      <c r="D117" s="770" t="e">
        <f>IF(I$112=0,0,G117/I$112)</f>
        <v>#REF!</v>
      </c>
      <c r="E117" s="769" t="e">
        <f>IF(J$112=0,0,H117/J$112)</f>
        <v>#REF!</v>
      </c>
      <c r="G117" s="769" t="e">
        <f t="shared" si="171"/>
        <v>#REF!</v>
      </c>
      <c r="H117" s="769" t="e">
        <f t="shared" si="172"/>
        <v>#REF!</v>
      </c>
      <c r="I117" s="500" t="e">
        <f>SUM(G118:G119)</f>
        <v>#REF!</v>
      </c>
      <c r="J117" s="500" t="e">
        <f>SUM(H118:H119)</f>
        <v>#REF!</v>
      </c>
      <c r="K117" s="769" t="e">
        <f>IF(#REF!=0,0,1)</f>
        <v>#REF!</v>
      </c>
      <c r="L117" s="769" t="e">
        <f>IF(#REF!=0,0,1)</f>
        <v>#REF!</v>
      </c>
      <c r="M117" s="769">
        <f t="shared" si="173"/>
        <v>0.3</v>
      </c>
      <c r="N117" s="769">
        <f t="shared" si="169"/>
        <v>0</v>
      </c>
      <c r="P117" s="779">
        <v>3</v>
      </c>
      <c r="Q117" s="742" t="s">
        <v>278</v>
      </c>
      <c r="R117" s="904"/>
      <c r="S117" s="904"/>
      <c r="T117" s="741"/>
      <c r="U117" s="726"/>
      <c r="V117" s="814">
        <f t="shared" si="205"/>
        <v>0</v>
      </c>
      <c r="W117" s="813">
        <f t="shared" si="206"/>
        <v>0</v>
      </c>
      <c r="Y117" s="1">
        <f t="shared" si="192"/>
        <v>0</v>
      </c>
      <c r="Z117" s="1">
        <f t="shared" si="193"/>
        <v>0</v>
      </c>
      <c r="AA117" s="1">
        <f t="shared" si="194"/>
        <v>0</v>
      </c>
      <c r="AB117" s="1">
        <f t="shared" si="195"/>
        <v>0</v>
      </c>
      <c r="AC117" s="1">
        <f t="shared" si="196"/>
        <v>0</v>
      </c>
      <c r="AD117" s="1">
        <f t="shared" si="197"/>
        <v>0</v>
      </c>
      <c r="AE117" s="1">
        <f t="shared" si="198"/>
        <v>0</v>
      </c>
      <c r="AF117" s="1">
        <f t="shared" si="199"/>
        <v>0</v>
      </c>
      <c r="AG117" s="1">
        <f t="shared" si="200"/>
        <v>0</v>
      </c>
      <c r="AH117" s="1">
        <f t="shared" si="201"/>
        <v>0</v>
      </c>
      <c r="AI117" s="1">
        <f t="shared" si="202"/>
        <v>0</v>
      </c>
      <c r="AJ117" s="1">
        <f t="shared" si="203"/>
        <v>0</v>
      </c>
      <c r="AK117" s="1">
        <f t="shared" si="204"/>
        <v>0</v>
      </c>
      <c r="AM117" s="812" t="s">
        <v>852</v>
      </c>
      <c r="AN117" s="812" t="s">
        <v>852</v>
      </c>
      <c r="AO117" s="812" t="s">
        <v>879</v>
      </c>
      <c r="AP117" s="812" t="s">
        <v>852</v>
      </c>
      <c r="AQ117" s="812" t="s">
        <v>852</v>
      </c>
      <c r="AR117" s="812" t="s">
        <v>852</v>
      </c>
      <c r="AS117" s="812" t="s">
        <v>852</v>
      </c>
      <c r="AT117" s="812" t="s">
        <v>879</v>
      </c>
      <c r="AU117" s="812" t="s">
        <v>852</v>
      </c>
      <c r="AV117" s="812" t="s">
        <v>848</v>
      </c>
      <c r="AW117" s="812" t="s">
        <v>879</v>
      </c>
      <c r="AX117" s="812" t="s">
        <v>879</v>
      </c>
      <c r="AY117" s="812" t="s">
        <v>852</v>
      </c>
      <c r="BA117" s="763" t="e">
        <f>BB117/$BC$112</f>
        <v>#REF!</v>
      </c>
      <c r="BB117" s="763" t="e">
        <f t="shared" si="174"/>
        <v>#REF!</v>
      </c>
      <c r="BC117" s="763"/>
      <c r="BD117" s="762" t="e">
        <f>BR117*#REF!</f>
        <v>#REF!</v>
      </c>
      <c r="BE117" s="762" t="e">
        <f>BS117*#REF!</f>
        <v>#REF!</v>
      </c>
      <c r="BF117" s="762" t="e">
        <f>BT117*#REF!</f>
        <v>#REF!</v>
      </c>
      <c r="BG117" s="762" t="e">
        <f>BU117*#REF!</f>
        <v>#REF!</v>
      </c>
      <c r="BH117" s="824" t="e">
        <f>BV117*#REF!</f>
        <v>#REF!</v>
      </c>
      <c r="BI117" s="762" t="e">
        <f>BW117*#REF!</f>
        <v>#REF!</v>
      </c>
      <c r="BJ117" s="762" t="e">
        <f>BX117*#REF!</f>
        <v>#REF!</v>
      </c>
      <c r="BK117" s="762" t="e">
        <f>BY117*#REF!</f>
        <v>#REF!</v>
      </c>
      <c r="BL117" s="762" t="e">
        <f>BZ117*#REF!</f>
        <v>#REF!</v>
      </c>
      <c r="BM117" s="762" t="e">
        <f>CA117*#REF!</f>
        <v>#REF!</v>
      </c>
      <c r="BO117" s="823">
        <f t="shared" si="175"/>
        <v>3</v>
      </c>
      <c r="BP117" s="823" t="str">
        <f t="shared" si="176"/>
        <v xml:space="preserve"> Q3</v>
      </c>
      <c r="BQ117" s="759" t="str">
        <f t="shared" si="177"/>
        <v>地域性・アメニティへの配慮</v>
      </c>
      <c r="BR117" s="757">
        <f t="shared" si="178"/>
        <v>0.3</v>
      </c>
      <c r="BS117" s="757">
        <f t="shared" si="179"/>
        <v>0.3</v>
      </c>
      <c r="BT117" s="757">
        <f t="shared" si="180"/>
        <v>0.3</v>
      </c>
      <c r="BU117" s="757">
        <f t="shared" si="181"/>
        <v>0.3</v>
      </c>
      <c r="BV117" s="822">
        <f t="shared" si="182"/>
        <v>0.3</v>
      </c>
      <c r="BW117" s="757">
        <f t="shared" si="183"/>
        <v>0.3</v>
      </c>
      <c r="BX117" s="757">
        <f t="shared" si="184"/>
        <v>0.3</v>
      </c>
      <c r="BY117" s="757">
        <f t="shared" si="185"/>
        <v>0.3</v>
      </c>
      <c r="BZ117" s="757">
        <f t="shared" si="186"/>
        <v>0.3</v>
      </c>
      <c r="CA117" s="757">
        <f t="shared" si="187"/>
        <v>0.3</v>
      </c>
      <c r="CB117" s="758">
        <f t="shared" si="188"/>
        <v>0</v>
      </c>
      <c r="CC117" s="757">
        <f t="shared" si="189"/>
        <v>0</v>
      </c>
      <c r="CD117" s="757">
        <f t="shared" si="190"/>
        <v>0</v>
      </c>
      <c r="CF117" s="447">
        <v>3</v>
      </c>
      <c r="CG117" s="451" t="s">
        <v>32</v>
      </c>
      <c r="CH117" s="448" t="s">
        <v>878</v>
      </c>
      <c r="CI117" s="449">
        <v>0.3</v>
      </c>
      <c r="CJ117" s="449">
        <v>0.3</v>
      </c>
      <c r="CK117" s="449">
        <v>0.3</v>
      </c>
      <c r="CL117" s="449">
        <v>0.3</v>
      </c>
      <c r="CM117" s="497">
        <v>0.3</v>
      </c>
      <c r="CN117" s="449">
        <v>0.3</v>
      </c>
      <c r="CO117" s="452">
        <v>0.3</v>
      </c>
      <c r="CP117" s="449">
        <v>0.3</v>
      </c>
      <c r="CQ117" s="449">
        <v>0.3</v>
      </c>
      <c r="CR117" s="449">
        <v>0.3</v>
      </c>
      <c r="CS117" s="453">
        <v>0</v>
      </c>
      <c r="CT117" s="452">
        <v>0</v>
      </c>
      <c r="CU117" s="452">
        <v>0</v>
      </c>
      <c r="CW117" s="447">
        <v>3</v>
      </c>
      <c r="CX117" s="451" t="s">
        <v>32</v>
      </c>
      <c r="CY117" s="448" t="s">
        <v>877</v>
      </c>
      <c r="CZ117" s="452">
        <v>0.3</v>
      </c>
      <c r="DA117" s="452">
        <v>0.3</v>
      </c>
      <c r="DB117" s="452">
        <v>0.3</v>
      </c>
      <c r="DC117" s="452">
        <v>0.3</v>
      </c>
      <c r="DD117" s="498">
        <v>0.3</v>
      </c>
      <c r="DE117" s="452">
        <v>0.3</v>
      </c>
      <c r="DF117" s="452">
        <v>0.3</v>
      </c>
      <c r="DG117" s="452">
        <v>0.3</v>
      </c>
      <c r="DH117" s="452">
        <v>0.3</v>
      </c>
      <c r="DI117" s="452">
        <v>0.3</v>
      </c>
      <c r="DJ117" s="453"/>
      <c r="DK117" s="452"/>
      <c r="DL117" s="452"/>
      <c r="DN117" s="447">
        <v>3</v>
      </c>
      <c r="DO117" s="451" t="s">
        <v>32</v>
      </c>
      <c r="DP117" s="448" t="s">
        <v>876</v>
      </c>
      <c r="DQ117" s="452">
        <v>0.3</v>
      </c>
      <c r="DR117" s="452">
        <v>0.3</v>
      </c>
      <c r="DS117" s="452">
        <v>0.3</v>
      </c>
      <c r="DT117" s="452">
        <v>0.3</v>
      </c>
      <c r="DU117" s="498">
        <v>0.3</v>
      </c>
      <c r="DV117" s="452">
        <v>0.3</v>
      </c>
      <c r="DW117" s="452">
        <v>0.3</v>
      </c>
      <c r="DX117" s="452">
        <v>0.3</v>
      </c>
      <c r="DY117" s="452">
        <v>0.3</v>
      </c>
      <c r="DZ117" s="452">
        <v>0.3</v>
      </c>
      <c r="EA117" s="453"/>
      <c r="EB117" s="452"/>
      <c r="EC117" s="452"/>
      <c r="ED117" s="554"/>
      <c r="EF117" s="447">
        <v>3</v>
      </c>
      <c r="EG117" s="451" t="s">
        <v>32</v>
      </c>
      <c r="EH117" s="448" t="s">
        <v>876</v>
      </c>
      <c r="EI117" s="606">
        <f t="shared" si="211"/>
        <v>0.3</v>
      </c>
      <c r="EJ117" s="606">
        <f t="shared" si="211"/>
        <v>0.3</v>
      </c>
      <c r="EK117" s="606">
        <f t="shared" si="211"/>
        <v>0.3</v>
      </c>
      <c r="EL117" s="606">
        <f t="shared" si="211"/>
        <v>0.3</v>
      </c>
      <c r="EM117" s="623">
        <f t="shared" si="211"/>
        <v>0.3</v>
      </c>
      <c r="EN117" s="606">
        <f t="shared" si="211"/>
        <v>0.3</v>
      </c>
      <c r="EO117" s="606">
        <f t="shared" si="211"/>
        <v>0.3</v>
      </c>
      <c r="EP117" s="606">
        <f t="shared" si="211"/>
        <v>0.3</v>
      </c>
      <c r="EQ117" s="606">
        <f t="shared" si="211"/>
        <v>0.3</v>
      </c>
      <c r="ER117" s="606">
        <f t="shared" si="211"/>
        <v>0.3</v>
      </c>
      <c r="ES117" s="608">
        <f t="shared" si="211"/>
        <v>0</v>
      </c>
      <c r="ET117" s="606">
        <f t="shared" si="211"/>
        <v>0</v>
      </c>
      <c r="EU117" s="606">
        <f t="shared" si="211"/>
        <v>0</v>
      </c>
      <c r="EW117" s="447">
        <v>3</v>
      </c>
      <c r="EX117" s="451" t="s">
        <v>32</v>
      </c>
      <c r="EY117" s="448" t="s">
        <v>876</v>
      </c>
      <c r="EZ117" s="673">
        <v>0</v>
      </c>
      <c r="FA117" s="596"/>
      <c r="FB117" s="596"/>
      <c r="FC117" s="596"/>
      <c r="FD117" s="656"/>
      <c r="FE117" s="596"/>
      <c r="FF117" s="596"/>
      <c r="FG117" s="596"/>
      <c r="FH117" s="596"/>
      <c r="FI117" s="596"/>
      <c r="FJ117" s="597"/>
      <c r="FK117" s="596"/>
      <c r="FL117" s="596"/>
    </row>
    <row r="118" spans="2:168">
      <c r="B118" s="732" t="str">
        <f t="shared" si="210"/>
        <v>3.1</v>
      </c>
      <c r="C118" s="408" t="str">
        <f t="shared" si="170"/>
        <v>地域性への配慮、快適性の向上</v>
      </c>
      <c r="D118" s="731" t="e">
        <f>IF(I$117=0,0,G118/I$117)</f>
        <v>#REF!</v>
      </c>
      <c r="E118" s="730" t="e">
        <f>IF(J$117=0,0,H118/J$117)</f>
        <v>#REF!</v>
      </c>
      <c r="G118" s="730" t="e">
        <f t="shared" si="171"/>
        <v>#REF!</v>
      </c>
      <c r="H118" s="730" t="e">
        <f t="shared" si="172"/>
        <v>#REF!</v>
      </c>
      <c r="I118" s="384"/>
      <c r="J118" s="730"/>
      <c r="K118" s="730" t="e">
        <f>IF(#REF!=0,0,1)</f>
        <v>#REF!</v>
      </c>
      <c r="L118" s="730" t="e">
        <f>IF(#REF!=0,0,1)</f>
        <v>#REF!</v>
      </c>
      <c r="M118" s="730">
        <f t="shared" si="173"/>
        <v>0.5</v>
      </c>
      <c r="N118" s="730">
        <f t="shared" si="169"/>
        <v>0</v>
      </c>
      <c r="P118" s="775"/>
      <c r="Q118" s="777">
        <v>3.1</v>
      </c>
      <c r="R118" s="755" t="s">
        <v>279</v>
      </c>
      <c r="S118" s="904"/>
      <c r="T118" s="741"/>
      <c r="U118" s="726"/>
      <c r="V118" s="734">
        <f t="shared" si="205"/>
        <v>0</v>
      </c>
      <c r="W118" s="733">
        <f t="shared" si="206"/>
        <v>0</v>
      </c>
      <c r="Y118" s="1">
        <f t="shared" si="192"/>
        <v>0</v>
      </c>
      <c r="Z118" s="1">
        <f t="shared" si="193"/>
        <v>0</v>
      </c>
      <c r="AA118" s="1">
        <f t="shared" si="194"/>
        <v>0</v>
      </c>
      <c r="AB118" s="1">
        <f t="shared" si="195"/>
        <v>0</v>
      </c>
      <c r="AC118" s="1">
        <f t="shared" si="196"/>
        <v>0</v>
      </c>
      <c r="AD118" s="1">
        <f t="shared" si="197"/>
        <v>0</v>
      </c>
      <c r="AE118" s="1">
        <f t="shared" si="198"/>
        <v>0</v>
      </c>
      <c r="AF118" s="1">
        <f t="shared" si="199"/>
        <v>0</v>
      </c>
      <c r="AG118" s="1">
        <f t="shared" si="200"/>
        <v>0</v>
      </c>
      <c r="AH118" s="1">
        <f t="shared" si="201"/>
        <v>0</v>
      </c>
      <c r="AI118" s="1">
        <f t="shared" si="202"/>
        <v>0</v>
      </c>
      <c r="AJ118" s="1">
        <f t="shared" si="203"/>
        <v>0</v>
      </c>
      <c r="AK118" s="1">
        <f t="shared" si="204"/>
        <v>0</v>
      </c>
      <c r="AM118" s="644"/>
      <c r="AN118" s="644"/>
      <c r="AO118" s="644"/>
      <c r="AP118" s="644"/>
      <c r="AQ118" s="644"/>
      <c r="AR118" s="644"/>
      <c r="AS118" s="644"/>
      <c r="AT118" s="644"/>
      <c r="AU118" s="644"/>
      <c r="AV118" s="644"/>
      <c r="AW118" s="644"/>
      <c r="AX118" s="644"/>
      <c r="AY118" s="644"/>
      <c r="BA118" s="737"/>
      <c r="BB118" s="737" t="e">
        <f t="shared" si="174"/>
        <v>#REF!</v>
      </c>
      <c r="BC118" s="737"/>
      <c r="BD118" s="736" t="e">
        <f>BR118*#REF!</f>
        <v>#REF!</v>
      </c>
      <c r="BE118" s="736" t="e">
        <f>BS118*#REF!</f>
        <v>#REF!</v>
      </c>
      <c r="BF118" s="736" t="e">
        <f>BT118*#REF!</f>
        <v>#REF!</v>
      </c>
      <c r="BG118" s="736" t="e">
        <f>BU118*#REF!</f>
        <v>#REF!</v>
      </c>
      <c r="BH118" s="736" t="e">
        <f>BV118*#REF!</f>
        <v>#REF!</v>
      </c>
      <c r="BI118" s="736" t="e">
        <f>BW118*#REF!</f>
        <v>#REF!</v>
      </c>
      <c r="BJ118" s="736" t="e">
        <f>BX118*#REF!</f>
        <v>#REF!</v>
      </c>
      <c r="BK118" s="736" t="e">
        <f>BY118*#REF!</f>
        <v>#REF!</v>
      </c>
      <c r="BL118" s="736" t="e">
        <f>BZ118*#REF!</f>
        <v>#REF!</v>
      </c>
      <c r="BM118" s="736" t="e">
        <f>CA118*#REF!</f>
        <v>#REF!</v>
      </c>
      <c r="BO118" s="749" t="str">
        <f t="shared" si="175"/>
        <v>3.1</v>
      </c>
      <c r="BP118" s="749" t="str">
        <f t="shared" si="176"/>
        <v xml:space="preserve"> Q3 3</v>
      </c>
      <c r="BQ118" s="408" t="str">
        <f t="shared" si="177"/>
        <v>地域性への配慮、快適性の向上</v>
      </c>
      <c r="BR118" s="717">
        <f t="shared" si="178"/>
        <v>0.5</v>
      </c>
      <c r="BS118" s="717">
        <f t="shared" si="179"/>
        <v>0.5</v>
      </c>
      <c r="BT118" s="717">
        <f t="shared" si="180"/>
        <v>0.5</v>
      </c>
      <c r="BU118" s="717">
        <f t="shared" si="181"/>
        <v>0.5</v>
      </c>
      <c r="BV118" s="717">
        <f t="shared" si="182"/>
        <v>0.5</v>
      </c>
      <c r="BW118" s="717">
        <f t="shared" si="183"/>
        <v>0.5</v>
      </c>
      <c r="BX118" s="717">
        <f t="shared" si="184"/>
        <v>0.5</v>
      </c>
      <c r="BY118" s="717">
        <f t="shared" si="185"/>
        <v>0.5</v>
      </c>
      <c r="BZ118" s="717">
        <f t="shared" si="186"/>
        <v>0.5</v>
      </c>
      <c r="CA118" s="717">
        <f t="shared" si="187"/>
        <v>0.5</v>
      </c>
      <c r="CB118" s="718">
        <f t="shared" si="188"/>
        <v>0</v>
      </c>
      <c r="CC118" s="717">
        <f t="shared" si="189"/>
        <v>0</v>
      </c>
      <c r="CD118" s="717">
        <f t="shared" si="190"/>
        <v>0</v>
      </c>
      <c r="CF118" s="455" t="s">
        <v>874</v>
      </c>
      <c r="CG118" s="459" t="s">
        <v>34</v>
      </c>
      <c r="CH118" s="501" t="s">
        <v>871</v>
      </c>
      <c r="CI118" s="502">
        <v>0.5</v>
      </c>
      <c r="CJ118" s="502">
        <v>0.5</v>
      </c>
      <c r="CK118" s="502">
        <v>0.5</v>
      </c>
      <c r="CL118" s="502">
        <v>0.5</v>
      </c>
      <c r="CM118" s="502">
        <v>0.5</v>
      </c>
      <c r="CN118" s="502">
        <v>0.5</v>
      </c>
      <c r="CO118" s="503">
        <v>0.5</v>
      </c>
      <c r="CP118" s="502">
        <v>0.5</v>
      </c>
      <c r="CQ118" s="502">
        <v>0.5</v>
      </c>
      <c r="CR118" s="502">
        <v>0.5</v>
      </c>
      <c r="CS118" s="504">
        <v>0</v>
      </c>
      <c r="CT118" s="503">
        <v>0</v>
      </c>
      <c r="CU118" s="503">
        <v>0</v>
      </c>
      <c r="CW118" s="455" t="s">
        <v>874</v>
      </c>
      <c r="CX118" s="459" t="s">
        <v>34</v>
      </c>
      <c r="CY118" s="501" t="s">
        <v>875</v>
      </c>
      <c r="CZ118" s="503">
        <v>0.5</v>
      </c>
      <c r="DA118" s="503">
        <v>0.5</v>
      </c>
      <c r="DB118" s="503">
        <v>0.5</v>
      </c>
      <c r="DC118" s="503">
        <v>0.5</v>
      </c>
      <c r="DD118" s="503">
        <v>0.5</v>
      </c>
      <c r="DE118" s="503">
        <v>0.5</v>
      </c>
      <c r="DF118" s="503">
        <v>0.5</v>
      </c>
      <c r="DG118" s="503">
        <v>0.5</v>
      </c>
      <c r="DH118" s="503">
        <v>0.5</v>
      </c>
      <c r="DI118" s="503">
        <v>0.5</v>
      </c>
      <c r="DJ118" s="504"/>
      <c r="DK118" s="503"/>
      <c r="DL118" s="503"/>
      <c r="DN118" s="455" t="s">
        <v>874</v>
      </c>
      <c r="DO118" s="459" t="s">
        <v>34</v>
      </c>
      <c r="DP118" s="501" t="s">
        <v>875</v>
      </c>
      <c r="DQ118" s="503">
        <v>0.5</v>
      </c>
      <c r="DR118" s="503">
        <v>0.5</v>
      </c>
      <c r="DS118" s="503">
        <v>0.5</v>
      </c>
      <c r="DT118" s="503">
        <v>0.5</v>
      </c>
      <c r="DU118" s="503">
        <v>0.5</v>
      </c>
      <c r="DV118" s="503">
        <v>0.5</v>
      </c>
      <c r="DW118" s="503">
        <v>0.5</v>
      </c>
      <c r="DX118" s="503">
        <v>0.5</v>
      </c>
      <c r="DY118" s="503">
        <v>0.5</v>
      </c>
      <c r="DZ118" s="503">
        <v>0.5</v>
      </c>
      <c r="EA118" s="504"/>
      <c r="EB118" s="503"/>
      <c r="EC118" s="503"/>
      <c r="ED118" s="558"/>
      <c r="EF118" s="455" t="s">
        <v>874</v>
      </c>
      <c r="EG118" s="459" t="s">
        <v>34</v>
      </c>
      <c r="EH118" s="501" t="s">
        <v>873</v>
      </c>
      <c r="EI118" s="624">
        <f t="shared" si="211"/>
        <v>0.5</v>
      </c>
      <c r="EJ118" s="624">
        <f t="shared" si="211"/>
        <v>0.5</v>
      </c>
      <c r="EK118" s="624">
        <f t="shared" si="211"/>
        <v>0.5</v>
      </c>
      <c r="EL118" s="624">
        <f t="shared" si="211"/>
        <v>0.5</v>
      </c>
      <c r="EM118" s="624">
        <f t="shared" si="211"/>
        <v>0.5</v>
      </c>
      <c r="EN118" s="624">
        <f t="shared" si="211"/>
        <v>0.5</v>
      </c>
      <c r="EO118" s="624">
        <f t="shared" si="211"/>
        <v>0.5</v>
      </c>
      <c r="EP118" s="624">
        <f t="shared" si="211"/>
        <v>0.5</v>
      </c>
      <c r="EQ118" s="624">
        <f t="shared" si="211"/>
        <v>0.5</v>
      </c>
      <c r="ER118" s="624">
        <f t="shared" si="211"/>
        <v>0.5</v>
      </c>
      <c r="ES118" s="625">
        <f t="shared" si="211"/>
        <v>0</v>
      </c>
      <c r="ET118" s="624">
        <f t="shared" si="211"/>
        <v>0</v>
      </c>
      <c r="EU118" s="624">
        <f t="shared" si="211"/>
        <v>0</v>
      </c>
      <c r="EW118" s="455" t="s">
        <v>872</v>
      </c>
      <c r="EX118" s="459" t="s">
        <v>34</v>
      </c>
      <c r="EY118" s="501" t="s">
        <v>871</v>
      </c>
      <c r="EZ118" s="676">
        <v>0</v>
      </c>
      <c r="FA118" s="601"/>
      <c r="FB118" s="601"/>
      <c r="FC118" s="601"/>
      <c r="FD118" s="601"/>
      <c r="FE118" s="601"/>
      <c r="FF118" s="601"/>
      <c r="FG118" s="601"/>
      <c r="FH118" s="601"/>
      <c r="FI118" s="601"/>
      <c r="FJ118" s="657"/>
      <c r="FK118" s="601"/>
      <c r="FL118" s="601"/>
    </row>
    <row r="119" spans="2:168" ht="14.25" thickBot="1">
      <c r="B119" s="732" t="str">
        <f t="shared" si="210"/>
        <v>3.2</v>
      </c>
      <c r="C119" s="408" t="str">
        <f t="shared" si="170"/>
        <v>敷地内温熱環境の向上</v>
      </c>
      <c r="D119" s="731" t="e">
        <f>IF(I$117=0,0,G119/I$117)</f>
        <v>#REF!</v>
      </c>
      <c r="E119" s="730" t="e">
        <f>IF(J$117=0,0,H119/J$117)</f>
        <v>#REF!</v>
      </c>
      <c r="G119" s="730" t="e">
        <f t="shared" si="171"/>
        <v>#REF!</v>
      </c>
      <c r="H119" s="730" t="e">
        <f t="shared" si="172"/>
        <v>#REF!</v>
      </c>
      <c r="I119" s="384"/>
      <c r="J119" s="730"/>
      <c r="K119" s="730" t="e">
        <f>IF(#REF!=0,0,1)</f>
        <v>#REF!</v>
      </c>
      <c r="L119" s="730" t="e">
        <f>IF(#REF!=0,0,1)</f>
        <v>#REF!</v>
      </c>
      <c r="M119" s="730">
        <f t="shared" si="173"/>
        <v>0.5</v>
      </c>
      <c r="N119" s="730">
        <f t="shared" si="169"/>
        <v>0</v>
      </c>
      <c r="P119" s="775"/>
      <c r="Q119" s="778">
        <v>3.2</v>
      </c>
      <c r="R119" s="743" t="s">
        <v>280</v>
      </c>
      <c r="S119" s="579"/>
      <c r="T119" s="745"/>
      <c r="U119" s="726"/>
      <c r="V119" s="725">
        <f t="shared" si="205"/>
        <v>0</v>
      </c>
      <c r="W119" s="724">
        <f t="shared" si="206"/>
        <v>0</v>
      </c>
      <c r="Y119" s="1">
        <f t="shared" si="192"/>
        <v>0</v>
      </c>
      <c r="Z119" s="1">
        <f t="shared" si="193"/>
        <v>0</v>
      </c>
      <c r="AA119" s="1">
        <f t="shared" si="194"/>
        <v>0</v>
      </c>
      <c r="AB119" s="1">
        <f t="shared" si="195"/>
        <v>0</v>
      </c>
      <c r="AC119" s="1">
        <f t="shared" si="196"/>
        <v>0</v>
      </c>
      <c r="AD119" s="1">
        <f t="shared" si="197"/>
        <v>0</v>
      </c>
      <c r="AE119" s="1">
        <f t="shared" si="198"/>
        <v>0</v>
      </c>
      <c r="AF119" s="1">
        <f t="shared" si="199"/>
        <v>0</v>
      </c>
      <c r="AG119" s="1">
        <f t="shared" si="200"/>
        <v>0</v>
      </c>
      <c r="AH119" s="1">
        <f t="shared" si="201"/>
        <v>0</v>
      </c>
      <c r="AI119" s="1">
        <f t="shared" si="202"/>
        <v>0</v>
      </c>
      <c r="AJ119" s="1">
        <f t="shared" si="203"/>
        <v>0</v>
      </c>
      <c r="AK119" s="1">
        <f t="shared" si="204"/>
        <v>0</v>
      </c>
      <c r="AM119" s="681"/>
      <c r="AN119" s="681"/>
      <c r="AO119" s="681"/>
      <c r="AP119" s="681"/>
      <c r="AQ119" s="681"/>
      <c r="AR119" s="681"/>
      <c r="AS119" s="681"/>
      <c r="AT119" s="681"/>
      <c r="AU119" s="681"/>
      <c r="AV119" s="681"/>
      <c r="AW119" s="681"/>
      <c r="AX119" s="681"/>
      <c r="AY119" s="681"/>
      <c r="BA119" s="737"/>
      <c r="BB119" s="737" t="e">
        <f t="shared" si="174"/>
        <v>#REF!</v>
      </c>
      <c r="BC119" s="737"/>
      <c r="BD119" s="736" t="e">
        <f>BR119*#REF!</f>
        <v>#REF!</v>
      </c>
      <c r="BE119" s="736" t="e">
        <f>BS119*#REF!</f>
        <v>#REF!</v>
      </c>
      <c r="BF119" s="736" t="e">
        <f>BT119*#REF!</f>
        <v>#REF!</v>
      </c>
      <c r="BG119" s="736" t="e">
        <f>BU119*#REF!</f>
        <v>#REF!</v>
      </c>
      <c r="BH119" s="736" t="e">
        <f>BV119*#REF!</f>
        <v>#REF!</v>
      </c>
      <c r="BI119" s="736" t="e">
        <f>BW119*#REF!</f>
        <v>#REF!</v>
      </c>
      <c r="BJ119" s="736" t="e">
        <f>BX119*#REF!</f>
        <v>#REF!</v>
      </c>
      <c r="BK119" s="736" t="e">
        <f>BY119*#REF!</f>
        <v>#REF!</v>
      </c>
      <c r="BL119" s="736" t="e">
        <f>BZ119*#REF!</f>
        <v>#REF!</v>
      </c>
      <c r="BM119" s="736" t="e">
        <f>CA119*#REF!</f>
        <v>#REF!</v>
      </c>
      <c r="BO119" s="749" t="str">
        <f t="shared" si="175"/>
        <v>3.2</v>
      </c>
      <c r="BP119" s="749" t="str">
        <f t="shared" si="176"/>
        <v xml:space="preserve"> Q3 3</v>
      </c>
      <c r="BQ119" s="408" t="str">
        <f t="shared" si="177"/>
        <v>敷地内温熱環境の向上</v>
      </c>
      <c r="BR119" s="717">
        <f t="shared" si="178"/>
        <v>0.5</v>
      </c>
      <c r="BS119" s="717">
        <f t="shared" si="179"/>
        <v>0.5</v>
      </c>
      <c r="BT119" s="717">
        <f t="shared" si="180"/>
        <v>0.5</v>
      </c>
      <c r="BU119" s="717">
        <f t="shared" si="181"/>
        <v>0.5</v>
      </c>
      <c r="BV119" s="717">
        <f t="shared" si="182"/>
        <v>0.5</v>
      </c>
      <c r="BW119" s="717">
        <f t="shared" si="183"/>
        <v>0.5</v>
      </c>
      <c r="BX119" s="717">
        <f t="shared" si="184"/>
        <v>0.5</v>
      </c>
      <c r="BY119" s="717">
        <f t="shared" si="185"/>
        <v>0.5</v>
      </c>
      <c r="BZ119" s="717">
        <f t="shared" si="186"/>
        <v>0.5</v>
      </c>
      <c r="CA119" s="717">
        <f t="shared" si="187"/>
        <v>0.5</v>
      </c>
      <c r="CB119" s="718">
        <f t="shared" si="188"/>
        <v>0</v>
      </c>
      <c r="CC119" s="717">
        <f t="shared" si="189"/>
        <v>0</v>
      </c>
      <c r="CD119" s="717">
        <f t="shared" si="190"/>
        <v>0</v>
      </c>
      <c r="CF119" s="455" t="s">
        <v>870</v>
      </c>
      <c r="CG119" s="459" t="s">
        <v>34</v>
      </c>
      <c r="CH119" s="501" t="s">
        <v>867</v>
      </c>
      <c r="CI119" s="502">
        <v>0.5</v>
      </c>
      <c r="CJ119" s="502">
        <v>0.5</v>
      </c>
      <c r="CK119" s="502">
        <v>0.5</v>
      </c>
      <c r="CL119" s="502">
        <v>0.5</v>
      </c>
      <c r="CM119" s="502">
        <v>0.5</v>
      </c>
      <c r="CN119" s="502">
        <v>0.5</v>
      </c>
      <c r="CO119" s="503">
        <v>0.5</v>
      </c>
      <c r="CP119" s="502">
        <v>0.5</v>
      </c>
      <c r="CQ119" s="502">
        <v>0.5</v>
      </c>
      <c r="CR119" s="502">
        <v>0.5</v>
      </c>
      <c r="CS119" s="504">
        <v>0</v>
      </c>
      <c r="CT119" s="503">
        <v>0</v>
      </c>
      <c r="CU119" s="503">
        <v>0</v>
      </c>
      <c r="CW119" s="455" t="s">
        <v>869</v>
      </c>
      <c r="CX119" s="459" t="s">
        <v>34</v>
      </c>
      <c r="CY119" s="501" t="s">
        <v>867</v>
      </c>
      <c r="CZ119" s="503">
        <v>0.5</v>
      </c>
      <c r="DA119" s="503">
        <v>0.5</v>
      </c>
      <c r="DB119" s="503">
        <v>0.5</v>
      </c>
      <c r="DC119" s="503">
        <v>0.5</v>
      </c>
      <c r="DD119" s="503">
        <v>0.5</v>
      </c>
      <c r="DE119" s="503">
        <v>0.5</v>
      </c>
      <c r="DF119" s="503">
        <v>0.5</v>
      </c>
      <c r="DG119" s="503">
        <v>0.5</v>
      </c>
      <c r="DH119" s="503">
        <v>0.5</v>
      </c>
      <c r="DI119" s="503">
        <v>0.5</v>
      </c>
      <c r="DJ119" s="504"/>
      <c r="DK119" s="503"/>
      <c r="DL119" s="503"/>
      <c r="DN119" s="455" t="s">
        <v>869</v>
      </c>
      <c r="DO119" s="459" t="s">
        <v>34</v>
      </c>
      <c r="DP119" s="501" t="s">
        <v>867</v>
      </c>
      <c r="DQ119" s="503">
        <v>0.5</v>
      </c>
      <c r="DR119" s="503">
        <v>0.5</v>
      </c>
      <c r="DS119" s="503">
        <v>0.5</v>
      </c>
      <c r="DT119" s="503">
        <v>0.5</v>
      </c>
      <c r="DU119" s="503">
        <v>0.5</v>
      </c>
      <c r="DV119" s="503">
        <v>0.5</v>
      </c>
      <c r="DW119" s="503">
        <v>0.5</v>
      </c>
      <c r="DX119" s="503">
        <v>0.5</v>
      </c>
      <c r="DY119" s="503">
        <v>0.5</v>
      </c>
      <c r="DZ119" s="503">
        <v>0.5</v>
      </c>
      <c r="EA119" s="504"/>
      <c r="EB119" s="503"/>
      <c r="EC119" s="503"/>
      <c r="ED119" s="558"/>
      <c r="EF119" s="455" t="s">
        <v>869</v>
      </c>
      <c r="EG119" s="459" t="s">
        <v>34</v>
      </c>
      <c r="EH119" s="501" t="s">
        <v>867</v>
      </c>
      <c r="EI119" s="624">
        <f t="shared" si="211"/>
        <v>0.5</v>
      </c>
      <c r="EJ119" s="624">
        <f t="shared" si="211"/>
        <v>0.5</v>
      </c>
      <c r="EK119" s="624">
        <f t="shared" si="211"/>
        <v>0.5</v>
      </c>
      <c r="EL119" s="624">
        <f t="shared" si="211"/>
        <v>0.5</v>
      </c>
      <c r="EM119" s="624">
        <f t="shared" si="211"/>
        <v>0.5</v>
      </c>
      <c r="EN119" s="624">
        <f t="shared" si="211"/>
        <v>0.5</v>
      </c>
      <c r="EO119" s="624">
        <f t="shared" si="211"/>
        <v>0.5</v>
      </c>
      <c r="EP119" s="624">
        <f t="shared" si="211"/>
        <v>0.5</v>
      </c>
      <c r="EQ119" s="624">
        <f t="shared" si="211"/>
        <v>0.5</v>
      </c>
      <c r="ER119" s="624">
        <f t="shared" si="211"/>
        <v>0.5</v>
      </c>
      <c r="ES119" s="625">
        <f t="shared" si="211"/>
        <v>0</v>
      </c>
      <c r="ET119" s="624">
        <f t="shared" si="211"/>
        <v>0</v>
      </c>
      <c r="EU119" s="624">
        <f t="shared" si="211"/>
        <v>0</v>
      </c>
      <c r="EW119" s="455" t="s">
        <v>868</v>
      </c>
      <c r="EX119" s="459" t="s">
        <v>34</v>
      </c>
      <c r="EY119" s="501" t="s">
        <v>867</v>
      </c>
      <c r="EZ119" s="676">
        <v>0</v>
      </c>
      <c r="FA119" s="601"/>
      <c r="FB119" s="601"/>
      <c r="FC119" s="601"/>
      <c r="FD119" s="601"/>
      <c r="FE119" s="601"/>
      <c r="FF119" s="601"/>
      <c r="FG119" s="601"/>
      <c r="FH119" s="601"/>
      <c r="FI119" s="601"/>
      <c r="FJ119" s="657"/>
      <c r="FK119" s="601"/>
      <c r="FL119" s="601"/>
    </row>
    <row r="120" spans="2:168" ht="14.25" hidden="1" thickBot="1">
      <c r="B120" s="732">
        <f t="shared" si="210"/>
        <v>0</v>
      </c>
      <c r="C120" s="759">
        <f t="shared" si="170"/>
        <v>0</v>
      </c>
      <c r="D120" s="770"/>
      <c r="E120" s="769"/>
      <c r="G120" s="769">
        <f t="shared" si="171"/>
        <v>0</v>
      </c>
      <c r="H120" s="769">
        <f t="shared" si="172"/>
        <v>0</v>
      </c>
      <c r="I120" s="769"/>
      <c r="J120" s="769"/>
      <c r="K120" s="769"/>
      <c r="L120" s="769"/>
      <c r="M120" s="769">
        <f t="shared" si="173"/>
        <v>0</v>
      </c>
      <c r="N120" s="769"/>
      <c r="P120" s="903"/>
      <c r="Q120" s="902"/>
      <c r="R120" s="901"/>
      <c r="S120" s="900"/>
      <c r="T120" s="899"/>
      <c r="U120" s="726"/>
      <c r="V120" s="747">
        <f t="shared" si="205"/>
        <v>0</v>
      </c>
      <c r="W120" s="746">
        <f t="shared" si="206"/>
        <v>0</v>
      </c>
      <c r="Y120" s="1">
        <f t="shared" si="192"/>
        <v>0</v>
      </c>
      <c r="Z120" s="1">
        <f t="shared" si="193"/>
        <v>0</v>
      </c>
      <c r="AA120" s="1">
        <f t="shared" si="194"/>
        <v>0</v>
      </c>
      <c r="AB120" s="1">
        <f t="shared" si="195"/>
        <v>0</v>
      </c>
      <c r="AC120" s="1">
        <f t="shared" si="196"/>
        <v>0</v>
      </c>
      <c r="AD120" s="1">
        <f t="shared" si="197"/>
        <v>0</v>
      </c>
      <c r="AE120" s="1">
        <f t="shared" si="198"/>
        <v>0</v>
      </c>
      <c r="AF120" s="1">
        <f t="shared" si="199"/>
        <v>0</v>
      </c>
      <c r="AG120" s="1">
        <f t="shared" si="200"/>
        <v>0</v>
      </c>
      <c r="AH120" s="1">
        <f t="shared" si="201"/>
        <v>0</v>
      </c>
      <c r="AI120" s="1">
        <f t="shared" si="202"/>
        <v>0</v>
      </c>
      <c r="AJ120" s="1">
        <f t="shared" si="203"/>
        <v>0</v>
      </c>
      <c r="AK120" s="1">
        <f t="shared" si="204"/>
        <v>0</v>
      </c>
      <c r="AM120" s="772"/>
      <c r="AN120" s="772"/>
      <c r="AO120" s="772"/>
      <c r="AP120" s="772"/>
      <c r="AQ120" s="772"/>
      <c r="AR120" s="772"/>
      <c r="AS120" s="772"/>
      <c r="AT120" s="772"/>
      <c r="AU120" s="772"/>
      <c r="AV120" s="772"/>
      <c r="AW120" s="772"/>
      <c r="AX120" s="772"/>
      <c r="AY120" s="772"/>
      <c r="BA120" s="763"/>
      <c r="BB120" s="763" t="e">
        <f t="shared" si="174"/>
        <v>#REF!</v>
      </c>
      <c r="BC120" s="763"/>
      <c r="BD120" s="762" t="e">
        <f>BR120*#REF!</f>
        <v>#REF!</v>
      </c>
      <c r="BE120" s="762" t="e">
        <f>BS120*#REF!</f>
        <v>#REF!</v>
      </c>
      <c r="BF120" s="762" t="e">
        <f>BT120*#REF!</f>
        <v>#REF!</v>
      </c>
      <c r="BG120" s="762" t="e">
        <f>BU120*#REF!</f>
        <v>#REF!</v>
      </c>
      <c r="BH120" s="824" t="e">
        <f>BV120*#REF!</f>
        <v>#REF!</v>
      </c>
      <c r="BI120" s="762" t="e">
        <f>BW120*#REF!</f>
        <v>#REF!</v>
      </c>
      <c r="BJ120" s="762" t="e">
        <f>BX120*#REF!</f>
        <v>#REF!</v>
      </c>
      <c r="BK120" s="762" t="e">
        <f>BY120*#REF!</f>
        <v>#REF!</v>
      </c>
      <c r="BL120" s="762" t="e">
        <f>BZ120*#REF!</f>
        <v>#REF!</v>
      </c>
      <c r="BM120" s="762" t="e">
        <f>CA120*#REF!</f>
        <v>#REF!</v>
      </c>
      <c r="BO120" s="823">
        <f t="shared" si="175"/>
        <v>0</v>
      </c>
      <c r="BP120" s="823" t="str">
        <f t="shared" si="176"/>
        <v xml:space="preserve"> Q</v>
      </c>
      <c r="BQ120" s="759">
        <f t="shared" si="177"/>
        <v>0</v>
      </c>
      <c r="BR120" s="757">
        <f t="shared" si="178"/>
        <v>0</v>
      </c>
      <c r="BS120" s="757">
        <f t="shared" si="179"/>
        <v>0</v>
      </c>
      <c r="BT120" s="757">
        <f t="shared" si="180"/>
        <v>0</v>
      </c>
      <c r="BU120" s="757">
        <f t="shared" si="181"/>
        <v>0</v>
      </c>
      <c r="BV120" s="822">
        <f t="shared" si="182"/>
        <v>0</v>
      </c>
      <c r="BW120" s="757">
        <f t="shared" si="183"/>
        <v>0</v>
      </c>
      <c r="BX120" s="757">
        <f t="shared" si="184"/>
        <v>0</v>
      </c>
      <c r="BY120" s="757">
        <f t="shared" si="185"/>
        <v>0</v>
      </c>
      <c r="BZ120" s="757">
        <f t="shared" si="186"/>
        <v>0</v>
      </c>
      <c r="CA120" s="757">
        <f t="shared" si="187"/>
        <v>0</v>
      </c>
      <c r="CB120" s="758">
        <f t="shared" si="188"/>
        <v>0</v>
      </c>
      <c r="CC120" s="757">
        <f t="shared" si="189"/>
        <v>0</v>
      </c>
      <c r="CD120" s="757">
        <f t="shared" si="190"/>
        <v>0</v>
      </c>
      <c r="CF120" s="447"/>
      <c r="CG120" s="451" t="s">
        <v>178</v>
      </c>
      <c r="CH120" s="448"/>
      <c r="CI120" s="452">
        <v>0</v>
      </c>
      <c r="CJ120" s="452">
        <v>0</v>
      </c>
      <c r="CK120" s="452">
        <v>0</v>
      </c>
      <c r="CL120" s="452">
        <v>0</v>
      </c>
      <c r="CM120" s="498">
        <v>0</v>
      </c>
      <c r="CN120" s="452">
        <v>0</v>
      </c>
      <c r="CO120" s="452">
        <v>0</v>
      </c>
      <c r="CP120" s="452">
        <v>0</v>
      </c>
      <c r="CQ120" s="452">
        <v>0</v>
      </c>
      <c r="CR120" s="452">
        <v>0</v>
      </c>
      <c r="CS120" s="453">
        <v>0</v>
      </c>
      <c r="CT120" s="452">
        <v>0</v>
      </c>
      <c r="CU120" s="452">
        <v>0</v>
      </c>
      <c r="CW120" s="447"/>
      <c r="CX120" s="451" t="s">
        <v>178</v>
      </c>
      <c r="CY120" s="448"/>
      <c r="CZ120" s="452"/>
      <c r="DA120" s="452"/>
      <c r="DB120" s="452"/>
      <c r="DC120" s="452"/>
      <c r="DD120" s="498"/>
      <c r="DE120" s="452"/>
      <c r="DF120" s="452"/>
      <c r="DG120" s="452"/>
      <c r="DH120" s="452"/>
      <c r="DI120" s="452"/>
      <c r="DJ120" s="453"/>
      <c r="DK120" s="452"/>
      <c r="DL120" s="452"/>
      <c r="DN120" s="447"/>
      <c r="DO120" s="451" t="s">
        <v>178</v>
      </c>
      <c r="DP120" s="448"/>
      <c r="DQ120" s="452"/>
      <c r="DR120" s="452"/>
      <c r="DS120" s="452"/>
      <c r="DT120" s="452"/>
      <c r="DU120" s="498"/>
      <c r="DV120" s="452"/>
      <c r="DW120" s="452"/>
      <c r="DX120" s="452"/>
      <c r="DY120" s="452"/>
      <c r="DZ120" s="452"/>
      <c r="EA120" s="453"/>
      <c r="EB120" s="452"/>
      <c r="EC120" s="452"/>
      <c r="ED120" s="554"/>
      <c r="EF120" s="447"/>
      <c r="EG120" s="451" t="s">
        <v>178</v>
      </c>
      <c r="EH120" s="448"/>
      <c r="EI120" s="606">
        <f t="shared" si="211"/>
        <v>0</v>
      </c>
      <c r="EJ120" s="606">
        <f t="shared" si="211"/>
        <v>0</v>
      </c>
      <c r="EK120" s="606">
        <f t="shared" si="211"/>
        <v>0</v>
      </c>
      <c r="EL120" s="606">
        <f t="shared" si="211"/>
        <v>0</v>
      </c>
      <c r="EM120" s="623">
        <f t="shared" si="211"/>
        <v>0</v>
      </c>
      <c r="EN120" s="606">
        <f t="shared" si="211"/>
        <v>0</v>
      </c>
      <c r="EO120" s="606">
        <f t="shared" si="211"/>
        <v>0</v>
      </c>
      <c r="EP120" s="606">
        <f t="shared" si="211"/>
        <v>0</v>
      </c>
      <c r="EQ120" s="606">
        <f t="shared" si="211"/>
        <v>0</v>
      </c>
      <c r="ER120" s="606">
        <f t="shared" si="211"/>
        <v>0</v>
      </c>
      <c r="ES120" s="608">
        <f t="shared" si="211"/>
        <v>0</v>
      </c>
      <c r="ET120" s="606">
        <f t="shared" si="211"/>
        <v>0</v>
      </c>
      <c r="EU120" s="606">
        <f t="shared" si="211"/>
        <v>0</v>
      </c>
      <c r="EW120" s="447"/>
      <c r="EX120" s="451" t="s">
        <v>178</v>
      </c>
      <c r="EY120" s="448"/>
      <c r="EZ120" s="596">
        <f>DQ120</f>
        <v>0</v>
      </c>
      <c r="FA120" s="596"/>
      <c r="FB120" s="596"/>
      <c r="FC120" s="596"/>
      <c r="FD120" s="656"/>
      <c r="FE120" s="596"/>
      <c r="FF120" s="596"/>
      <c r="FG120" s="596"/>
      <c r="FH120" s="596"/>
      <c r="FI120" s="596"/>
      <c r="FJ120" s="597"/>
      <c r="FK120" s="596"/>
      <c r="FL120" s="596"/>
    </row>
    <row r="121" spans="2:168" ht="15" thickBot="1">
      <c r="B121" s="898" t="str">
        <f t="shared" si="210"/>
        <v>LR</v>
      </c>
      <c r="C121" s="897" t="str">
        <f t="shared" si="170"/>
        <v>建築物の環境負荷低減性</v>
      </c>
      <c r="D121" s="896"/>
      <c r="E121" s="895"/>
      <c r="G121" s="895" t="e">
        <f t="shared" si="171"/>
        <v>#REF!</v>
      </c>
      <c r="H121" s="895" t="e">
        <f t="shared" si="172"/>
        <v>#REF!</v>
      </c>
      <c r="I121" s="895" t="e">
        <f>G122+G145+G172</f>
        <v>#REF!</v>
      </c>
      <c r="J121" s="895" t="e">
        <f>H122+H145+H172</f>
        <v>#REF!</v>
      </c>
      <c r="K121" s="895" t="e">
        <f>IF(#REF!=0,0,1)</f>
        <v>#REF!</v>
      </c>
      <c r="L121" s="895" t="e">
        <f>IF(#REF!=0,0,1)</f>
        <v>#REF!</v>
      </c>
      <c r="M121" s="895">
        <f t="shared" si="173"/>
        <v>0</v>
      </c>
      <c r="N121" s="895">
        <f t="shared" ref="N121:N152" si="212">(CB$7*CB121)+(CC$7*CC121)+(CD$7*CD121)</f>
        <v>0</v>
      </c>
      <c r="P121" s="894" t="s">
        <v>866</v>
      </c>
      <c r="Q121" s="893"/>
      <c r="R121" s="893"/>
      <c r="S121" s="893"/>
      <c r="T121" s="893"/>
      <c r="U121" s="726"/>
      <c r="V121" s="892">
        <f t="shared" si="205"/>
        <v>0</v>
      </c>
      <c r="W121" s="891">
        <f t="shared" si="206"/>
        <v>0</v>
      </c>
      <c r="Y121" s="1">
        <f t="shared" si="192"/>
        <v>0</v>
      </c>
      <c r="Z121" s="1">
        <f t="shared" si="193"/>
        <v>0</v>
      </c>
      <c r="AA121" s="1">
        <f t="shared" si="194"/>
        <v>0</v>
      </c>
      <c r="AB121" s="1">
        <f t="shared" si="195"/>
        <v>0</v>
      </c>
      <c r="AC121" s="1">
        <f t="shared" si="196"/>
        <v>0</v>
      </c>
      <c r="AD121" s="1">
        <f t="shared" si="197"/>
        <v>0</v>
      </c>
      <c r="AE121" s="1">
        <f t="shared" si="198"/>
        <v>0</v>
      </c>
      <c r="AF121" s="1">
        <f t="shared" si="199"/>
        <v>0</v>
      </c>
      <c r="AG121" s="1">
        <f t="shared" si="200"/>
        <v>0</v>
      </c>
      <c r="AH121" s="1">
        <f t="shared" si="201"/>
        <v>0</v>
      </c>
      <c r="AI121" s="1">
        <f t="shared" si="202"/>
        <v>0</v>
      </c>
      <c r="AJ121" s="1">
        <f t="shared" si="203"/>
        <v>0</v>
      </c>
      <c r="AK121" s="1">
        <f t="shared" si="204"/>
        <v>0</v>
      </c>
      <c r="AM121" s="890"/>
      <c r="AN121" s="890"/>
      <c r="AO121" s="890"/>
      <c r="AP121" s="890"/>
      <c r="AQ121" s="890"/>
      <c r="AR121" s="890"/>
      <c r="AS121" s="890"/>
      <c r="AT121" s="890"/>
      <c r="AU121" s="890"/>
      <c r="AV121" s="890"/>
      <c r="AW121" s="890"/>
      <c r="AX121" s="890"/>
      <c r="AY121" s="890"/>
      <c r="BA121" s="889"/>
      <c r="BB121" s="889" t="e">
        <f t="shared" si="174"/>
        <v>#REF!</v>
      </c>
      <c r="BC121" s="889" t="e">
        <f>BB122+BB145+BB172</f>
        <v>#REF!</v>
      </c>
      <c r="BD121" s="887" t="e">
        <f>BR121*#REF!</f>
        <v>#REF!</v>
      </c>
      <c r="BE121" s="887" t="e">
        <f>BS121*#REF!</f>
        <v>#REF!</v>
      </c>
      <c r="BF121" s="887" t="e">
        <f>BT121*#REF!</f>
        <v>#REF!</v>
      </c>
      <c r="BG121" s="887" t="e">
        <f>BU121*#REF!</f>
        <v>#REF!</v>
      </c>
      <c r="BH121" s="888" t="e">
        <f>BV121*#REF!</f>
        <v>#REF!</v>
      </c>
      <c r="BI121" s="887" t="e">
        <f>BW121*#REF!</f>
        <v>#REF!</v>
      </c>
      <c r="BJ121" s="887" t="e">
        <f>BX121*#REF!</f>
        <v>#REF!</v>
      </c>
      <c r="BK121" s="887" t="e">
        <f>BY121*#REF!</f>
        <v>#REF!</v>
      </c>
      <c r="BL121" s="887" t="e">
        <f>BZ121*#REF!</f>
        <v>#REF!</v>
      </c>
      <c r="BM121" s="887" t="e">
        <f>CA121*#REF!</f>
        <v>#REF!</v>
      </c>
      <c r="BO121" s="886" t="str">
        <f t="shared" si="175"/>
        <v>LR</v>
      </c>
      <c r="BP121" s="886" t="str">
        <f t="shared" si="176"/>
        <v xml:space="preserve"> </v>
      </c>
      <c r="BQ121" s="885" t="str">
        <f t="shared" si="177"/>
        <v>建築物の環境負荷低減性</v>
      </c>
      <c r="BR121" s="883">
        <f t="shared" si="178"/>
        <v>0</v>
      </c>
      <c r="BS121" s="883">
        <f t="shared" si="179"/>
        <v>0</v>
      </c>
      <c r="BT121" s="883">
        <f t="shared" si="180"/>
        <v>0</v>
      </c>
      <c r="BU121" s="883">
        <f t="shared" si="181"/>
        <v>0</v>
      </c>
      <c r="BV121" s="884">
        <f t="shared" si="182"/>
        <v>0</v>
      </c>
      <c r="BW121" s="883">
        <f t="shared" si="183"/>
        <v>0</v>
      </c>
      <c r="BX121" s="883">
        <f t="shared" si="184"/>
        <v>0</v>
      </c>
      <c r="BY121" s="883">
        <f t="shared" si="185"/>
        <v>0</v>
      </c>
      <c r="BZ121" s="883">
        <f t="shared" si="186"/>
        <v>0</v>
      </c>
      <c r="CA121" s="883">
        <f t="shared" si="187"/>
        <v>0</v>
      </c>
      <c r="CB121" s="882">
        <f t="shared" si="188"/>
        <v>0</v>
      </c>
      <c r="CC121" s="881">
        <f t="shared" si="189"/>
        <v>0</v>
      </c>
      <c r="CD121" s="881">
        <f t="shared" si="190"/>
        <v>0</v>
      </c>
      <c r="CF121" s="434" t="s">
        <v>865</v>
      </c>
      <c r="CG121" s="434" t="s">
        <v>35</v>
      </c>
      <c r="CH121" s="435" t="s">
        <v>36</v>
      </c>
      <c r="CI121" s="437">
        <v>0</v>
      </c>
      <c r="CJ121" s="437">
        <v>0</v>
      </c>
      <c r="CK121" s="437">
        <v>0</v>
      </c>
      <c r="CL121" s="437">
        <v>0</v>
      </c>
      <c r="CM121" s="438">
        <v>0</v>
      </c>
      <c r="CN121" s="437">
        <v>0</v>
      </c>
      <c r="CO121" s="437">
        <v>0</v>
      </c>
      <c r="CP121" s="437">
        <v>0</v>
      </c>
      <c r="CQ121" s="437">
        <v>0</v>
      </c>
      <c r="CR121" s="437">
        <v>0</v>
      </c>
      <c r="CS121" s="439">
        <v>0</v>
      </c>
      <c r="CT121" s="440">
        <v>0</v>
      </c>
      <c r="CU121" s="440">
        <v>0</v>
      </c>
      <c r="CW121" s="434" t="s">
        <v>864</v>
      </c>
      <c r="CX121" s="434" t="s">
        <v>35</v>
      </c>
      <c r="CY121" s="435" t="s">
        <v>36</v>
      </c>
      <c r="CZ121" s="437"/>
      <c r="DA121" s="437"/>
      <c r="DB121" s="437"/>
      <c r="DC121" s="437"/>
      <c r="DD121" s="438"/>
      <c r="DE121" s="437"/>
      <c r="DF121" s="437"/>
      <c r="DG121" s="437"/>
      <c r="DH121" s="437"/>
      <c r="DI121" s="437"/>
      <c r="DJ121" s="439"/>
      <c r="DK121" s="440"/>
      <c r="DL121" s="440"/>
      <c r="DN121" s="434" t="s">
        <v>865</v>
      </c>
      <c r="DO121" s="434" t="s">
        <v>35</v>
      </c>
      <c r="DP121" s="435" t="s">
        <v>36</v>
      </c>
      <c r="DQ121" s="437"/>
      <c r="DR121" s="437"/>
      <c r="DS121" s="437"/>
      <c r="DT121" s="437"/>
      <c r="DU121" s="438"/>
      <c r="DV121" s="437"/>
      <c r="DW121" s="437"/>
      <c r="DX121" s="437"/>
      <c r="DY121" s="437"/>
      <c r="DZ121" s="437"/>
      <c r="EA121" s="439"/>
      <c r="EB121" s="440"/>
      <c r="EC121" s="440"/>
      <c r="ED121" s="552"/>
      <c r="EF121" s="434" t="s">
        <v>864</v>
      </c>
      <c r="EG121" s="434" t="s">
        <v>35</v>
      </c>
      <c r="EH121" s="435" t="s">
        <v>36</v>
      </c>
      <c r="EI121" s="626">
        <f t="shared" si="211"/>
        <v>0</v>
      </c>
      <c r="EJ121" s="626">
        <f t="shared" si="211"/>
        <v>0</v>
      </c>
      <c r="EK121" s="626">
        <f t="shared" si="211"/>
        <v>0</v>
      </c>
      <c r="EL121" s="626">
        <f t="shared" si="211"/>
        <v>0</v>
      </c>
      <c r="EM121" s="627">
        <f t="shared" si="211"/>
        <v>0</v>
      </c>
      <c r="EN121" s="626">
        <f t="shared" si="211"/>
        <v>0</v>
      </c>
      <c r="EO121" s="626">
        <f t="shared" si="211"/>
        <v>0</v>
      </c>
      <c r="EP121" s="626">
        <f t="shared" si="211"/>
        <v>0</v>
      </c>
      <c r="EQ121" s="626">
        <f t="shared" si="211"/>
        <v>0</v>
      </c>
      <c r="ER121" s="626">
        <f t="shared" si="211"/>
        <v>0</v>
      </c>
      <c r="ES121" s="628">
        <f t="shared" si="211"/>
        <v>0</v>
      </c>
      <c r="ET121" s="629">
        <f t="shared" si="211"/>
        <v>0</v>
      </c>
      <c r="EU121" s="629">
        <f t="shared" si="211"/>
        <v>0</v>
      </c>
      <c r="EW121" s="434" t="s">
        <v>864</v>
      </c>
      <c r="EX121" s="434" t="s">
        <v>35</v>
      </c>
      <c r="EY121" s="435" t="s">
        <v>36</v>
      </c>
      <c r="EZ121" s="658">
        <f>DQ121</f>
        <v>0</v>
      </c>
      <c r="FA121" s="658"/>
      <c r="FB121" s="658"/>
      <c r="FC121" s="658"/>
      <c r="FD121" s="659"/>
      <c r="FE121" s="658"/>
      <c r="FF121" s="658"/>
      <c r="FG121" s="658"/>
      <c r="FH121" s="658"/>
      <c r="FI121" s="658"/>
      <c r="FJ121" s="660"/>
      <c r="FK121" s="661"/>
      <c r="FL121" s="661"/>
    </row>
    <row r="122" spans="2:168" ht="14.25" thickBot="1">
      <c r="B122" s="732" t="str">
        <f t="shared" si="210"/>
        <v>LR1</v>
      </c>
      <c r="C122" s="788" t="str">
        <f t="shared" si="170"/>
        <v>エネルギー</v>
      </c>
      <c r="D122" s="799" t="e">
        <f>IF(I$121=0,0,G122/I$121)</f>
        <v>#REF!</v>
      </c>
      <c r="E122" s="798" t="e">
        <f>IF(J$121=0,0,H122/J$121)</f>
        <v>#REF!</v>
      </c>
      <c r="G122" s="798" t="e">
        <f t="shared" si="171"/>
        <v>#REF!</v>
      </c>
      <c r="H122" s="798" t="e">
        <f t="shared" si="172"/>
        <v>#REF!</v>
      </c>
      <c r="I122" s="798" t="e">
        <f>G123+G124+G129+G138</f>
        <v>#REF!</v>
      </c>
      <c r="J122" s="798" t="e">
        <f>H123+H124+H129+H138</f>
        <v>#REF!</v>
      </c>
      <c r="K122" s="798" t="e">
        <f>IF(#REF!=0,0,1)</f>
        <v>#REF!</v>
      </c>
      <c r="L122" s="798" t="e">
        <f>IF(#REF!=0,0,1)</f>
        <v>#REF!</v>
      </c>
      <c r="M122" s="798">
        <f t="shared" si="173"/>
        <v>0.4</v>
      </c>
      <c r="N122" s="798">
        <f t="shared" si="212"/>
        <v>0</v>
      </c>
      <c r="P122" s="880" t="s">
        <v>863</v>
      </c>
      <c r="Q122" s="879" t="s">
        <v>862</v>
      </c>
      <c r="R122" s="879"/>
      <c r="S122" s="879"/>
      <c r="T122" s="878"/>
      <c r="U122" s="726"/>
      <c r="V122" s="794">
        <f t="shared" si="205"/>
        <v>0</v>
      </c>
      <c r="W122" s="793">
        <f t="shared" si="206"/>
        <v>0</v>
      </c>
      <c r="Y122" s="1">
        <f t="shared" si="192"/>
        <v>1</v>
      </c>
      <c r="Z122" s="1">
        <f t="shared" si="193"/>
        <v>1</v>
      </c>
      <c r="AA122" s="1">
        <f t="shared" si="194"/>
        <v>1</v>
      </c>
      <c r="AB122" s="1">
        <f t="shared" si="195"/>
        <v>1</v>
      </c>
      <c r="AC122" s="1">
        <f t="shared" si="196"/>
        <v>1</v>
      </c>
      <c r="AD122" s="1">
        <f t="shared" si="197"/>
        <v>1</v>
      </c>
      <c r="AE122" s="1">
        <f t="shared" si="198"/>
        <v>1</v>
      </c>
      <c r="AF122" s="1">
        <f t="shared" si="199"/>
        <v>1</v>
      </c>
      <c r="AG122" s="1">
        <f t="shared" si="200"/>
        <v>1</v>
      </c>
      <c r="AH122" s="1">
        <f t="shared" si="201"/>
        <v>1</v>
      </c>
      <c r="AI122" s="1">
        <f t="shared" si="202"/>
        <v>1</v>
      </c>
      <c r="AJ122" s="1">
        <f t="shared" si="203"/>
        <v>1</v>
      </c>
      <c r="AK122" s="1">
        <f t="shared" si="204"/>
        <v>1</v>
      </c>
      <c r="AM122" s="792" t="str">
        <f t="shared" ref="AM122:AY122" si="213">AM$6</f>
        <v>事務所</v>
      </c>
      <c r="AN122" s="792" t="str">
        <f t="shared" si="213"/>
        <v>学校</v>
      </c>
      <c r="AO122" s="792" t="str">
        <f t="shared" si="213"/>
        <v>物販店</v>
      </c>
      <c r="AP122" s="792" t="str">
        <f t="shared" si="213"/>
        <v>飲食店</v>
      </c>
      <c r="AQ122" s="792" t="str">
        <f t="shared" si="213"/>
        <v>集会所</v>
      </c>
      <c r="AR122" s="792" t="str">
        <f t="shared" si="213"/>
        <v>工場</v>
      </c>
      <c r="AS122" s="792" t="str">
        <f t="shared" si="213"/>
        <v>小中高</v>
      </c>
      <c r="AT122" s="792" t="str">
        <f t="shared" si="213"/>
        <v>病院</v>
      </c>
      <c r="AU122" s="792" t="str">
        <f t="shared" si="213"/>
        <v>ホテル</v>
      </c>
      <c r="AV122" s="792" t="str">
        <f t="shared" si="213"/>
        <v>集合住宅</v>
      </c>
      <c r="AW122" s="792" t="str">
        <f t="shared" si="213"/>
        <v>病院o</v>
      </c>
      <c r="AX122" s="792" t="str">
        <f t="shared" si="213"/>
        <v>ホテルo</v>
      </c>
      <c r="AY122" s="792" t="str">
        <f t="shared" si="213"/>
        <v>集合住宅o</v>
      </c>
      <c r="BA122" s="791" t="e">
        <f>BB122/$BC$121</f>
        <v>#REF!</v>
      </c>
      <c r="BB122" s="791" t="e">
        <f t="shared" si="174"/>
        <v>#REF!</v>
      </c>
      <c r="BC122" s="791" t="e">
        <f>BB123+BB124+BB129+BB138</f>
        <v>#REF!</v>
      </c>
      <c r="BD122" s="790" t="e">
        <f>BR122*#REF!</f>
        <v>#REF!</v>
      </c>
      <c r="BE122" s="790" t="e">
        <f>BS122*#REF!</f>
        <v>#REF!</v>
      </c>
      <c r="BF122" s="790" t="e">
        <f>BT122*#REF!</f>
        <v>#REF!</v>
      </c>
      <c r="BG122" s="790" t="e">
        <f>BU122*#REF!</f>
        <v>#REF!</v>
      </c>
      <c r="BH122" s="790" t="e">
        <f>BV122*#REF!</f>
        <v>#REF!</v>
      </c>
      <c r="BI122" s="790" t="e">
        <f>BW122*#REF!</f>
        <v>#REF!</v>
      </c>
      <c r="BJ122" s="790" t="e">
        <f>BX122*#REF!</f>
        <v>#REF!</v>
      </c>
      <c r="BK122" s="790" t="e">
        <f>BY122*#REF!</f>
        <v>#REF!</v>
      </c>
      <c r="BL122" s="790" t="e">
        <f>BZ122*#REF!</f>
        <v>#REF!</v>
      </c>
      <c r="BM122" s="790" t="e">
        <f>CA122*#REF!</f>
        <v>#REF!</v>
      </c>
      <c r="BO122" s="732" t="str">
        <f t="shared" si="175"/>
        <v>LR1</v>
      </c>
      <c r="BP122" s="732" t="str">
        <f t="shared" si="176"/>
        <v>LR</v>
      </c>
      <c r="BQ122" s="788" t="str">
        <f t="shared" si="177"/>
        <v>エネルギー</v>
      </c>
      <c r="BR122" s="787">
        <f t="shared" si="178"/>
        <v>0.4</v>
      </c>
      <c r="BS122" s="787">
        <f t="shared" si="179"/>
        <v>0.4</v>
      </c>
      <c r="BT122" s="787">
        <f t="shared" si="180"/>
        <v>0.4</v>
      </c>
      <c r="BU122" s="787">
        <f t="shared" si="181"/>
        <v>0.4</v>
      </c>
      <c r="BV122" s="787">
        <f t="shared" si="182"/>
        <v>0.4</v>
      </c>
      <c r="BW122" s="787">
        <f t="shared" si="183"/>
        <v>0.4</v>
      </c>
      <c r="BX122" s="787">
        <f t="shared" si="184"/>
        <v>0.4</v>
      </c>
      <c r="BY122" s="787">
        <f t="shared" si="185"/>
        <v>0.4</v>
      </c>
      <c r="BZ122" s="787">
        <f t="shared" si="186"/>
        <v>0.4</v>
      </c>
      <c r="CA122" s="787">
        <f t="shared" si="187"/>
        <v>0.4</v>
      </c>
      <c r="CB122" s="877">
        <f t="shared" si="188"/>
        <v>0</v>
      </c>
      <c r="CC122" s="787">
        <f t="shared" si="189"/>
        <v>0</v>
      </c>
      <c r="CD122" s="787">
        <f t="shared" si="190"/>
        <v>0</v>
      </c>
      <c r="CF122" s="441" t="s">
        <v>857</v>
      </c>
      <c r="CG122" s="444" t="s">
        <v>861</v>
      </c>
      <c r="CH122" s="442" t="s">
        <v>858</v>
      </c>
      <c r="CI122" s="445">
        <v>0.4</v>
      </c>
      <c r="CJ122" s="445">
        <v>0.4</v>
      </c>
      <c r="CK122" s="445">
        <v>0.4</v>
      </c>
      <c r="CL122" s="445">
        <v>0.4</v>
      </c>
      <c r="CM122" s="445">
        <v>0.4</v>
      </c>
      <c r="CN122" s="445">
        <v>0.4</v>
      </c>
      <c r="CO122" s="445">
        <v>0.4</v>
      </c>
      <c r="CP122" s="445">
        <v>0.4</v>
      </c>
      <c r="CQ122" s="445">
        <v>0.4</v>
      </c>
      <c r="CR122" s="445">
        <v>0.4</v>
      </c>
      <c r="CS122" s="446"/>
      <c r="CT122" s="445"/>
      <c r="CU122" s="445"/>
      <c r="CW122" s="441" t="s">
        <v>860</v>
      </c>
      <c r="CX122" s="444" t="s">
        <v>855</v>
      </c>
      <c r="CY122" s="442" t="s">
        <v>859</v>
      </c>
      <c r="CZ122" s="445">
        <v>0.4</v>
      </c>
      <c r="DA122" s="445">
        <v>0.4</v>
      </c>
      <c r="DB122" s="445">
        <v>0.4</v>
      </c>
      <c r="DC122" s="445">
        <v>0.4</v>
      </c>
      <c r="DD122" s="445">
        <v>0.4</v>
      </c>
      <c r="DE122" s="445">
        <v>0.4</v>
      </c>
      <c r="DF122" s="445">
        <v>0.4</v>
      </c>
      <c r="DG122" s="445">
        <v>0.4</v>
      </c>
      <c r="DH122" s="445">
        <v>0.4</v>
      </c>
      <c r="DI122" s="445">
        <v>0.4</v>
      </c>
      <c r="DJ122" s="446"/>
      <c r="DK122" s="445"/>
      <c r="DL122" s="445"/>
      <c r="DN122" s="441" t="s">
        <v>857</v>
      </c>
      <c r="DO122" s="444" t="s">
        <v>855</v>
      </c>
      <c r="DP122" s="442" t="s">
        <v>858</v>
      </c>
      <c r="DQ122" s="445">
        <v>0.4</v>
      </c>
      <c r="DR122" s="445">
        <v>0.4</v>
      </c>
      <c r="DS122" s="445">
        <v>0.4</v>
      </c>
      <c r="DT122" s="445">
        <v>0.4</v>
      </c>
      <c r="DU122" s="445">
        <v>0.4</v>
      </c>
      <c r="DV122" s="445">
        <v>0.4</v>
      </c>
      <c r="DW122" s="445">
        <v>0.4</v>
      </c>
      <c r="DX122" s="445">
        <v>0.4</v>
      </c>
      <c r="DY122" s="445">
        <v>0.4</v>
      </c>
      <c r="DZ122" s="445">
        <v>0.4</v>
      </c>
      <c r="EA122" s="446"/>
      <c r="EB122" s="445"/>
      <c r="EC122" s="445"/>
      <c r="ED122" s="553"/>
      <c r="EF122" s="441" t="s">
        <v>857</v>
      </c>
      <c r="EG122" s="444" t="s">
        <v>855</v>
      </c>
      <c r="EH122" s="442" t="s">
        <v>854</v>
      </c>
      <c r="EI122" s="594">
        <v>0.2</v>
      </c>
      <c r="EJ122" s="594">
        <v>0.2</v>
      </c>
      <c r="EK122" s="594">
        <v>0.2</v>
      </c>
      <c r="EL122" s="594">
        <v>0.2</v>
      </c>
      <c r="EM122" s="594">
        <v>0.2</v>
      </c>
      <c r="EN122" s="594">
        <v>0.2</v>
      </c>
      <c r="EO122" s="594">
        <v>0.2</v>
      </c>
      <c r="EP122" s="594">
        <v>0.2</v>
      </c>
      <c r="EQ122" s="594">
        <v>0.2</v>
      </c>
      <c r="ER122" s="594">
        <v>0.2</v>
      </c>
      <c r="ES122" s="595">
        <f t="shared" ref="ES122:ES153" si="214">EA122</f>
        <v>0</v>
      </c>
      <c r="ET122" s="594">
        <f t="shared" ref="ET122:ET153" si="215">EB122</f>
        <v>0</v>
      </c>
      <c r="EU122" s="594">
        <f t="shared" ref="EU122:EU153" si="216">EC122</f>
        <v>0</v>
      </c>
      <c r="EW122" s="441" t="s">
        <v>856</v>
      </c>
      <c r="EX122" s="444" t="s">
        <v>855</v>
      </c>
      <c r="EY122" s="442" t="s">
        <v>854</v>
      </c>
      <c r="EZ122" s="665">
        <v>0.55000000000000004</v>
      </c>
      <c r="FA122" s="594"/>
      <c r="FB122" s="594"/>
      <c r="FC122" s="594"/>
      <c r="FD122" s="594"/>
      <c r="FE122" s="594"/>
      <c r="FF122" s="594"/>
      <c r="FG122" s="594"/>
      <c r="FH122" s="594"/>
      <c r="FI122" s="594"/>
      <c r="FJ122" s="595"/>
      <c r="FK122" s="594"/>
      <c r="FL122" s="594"/>
    </row>
    <row r="123" spans="2:168" ht="14.25" thickBot="1">
      <c r="B123" s="732">
        <f t="shared" si="210"/>
        <v>1</v>
      </c>
      <c r="C123" s="759" t="str">
        <f t="shared" si="170"/>
        <v>建物外皮の熱負荷抑制</v>
      </c>
      <c r="D123" s="770" t="e">
        <f>IF(I$122=0,0,G123/I$122)</f>
        <v>#REF!</v>
      </c>
      <c r="E123" s="769" t="e">
        <f>IF(J$122=0,0,H123/J$122)</f>
        <v>#REF!</v>
      </c>
      <c r="G123" s="769" t="e">
        <f t="shared" si="171"/>
        <v>#REF!</v>
      </c>
      <c r="H123" s="769" t="e">
        <f t="shared" si="172"/>
        <v>#REF!</v>
      </c>
      <c r="I123" s="769"/>
      <c r="J123" s="769"/>
      <c r="K123" s="769" t="e">
        <f>IF(#REF!=0,0,1)</f>
        <v>#REF!</v>
      </c>
      <c r="L123" s="769" t="e">
        <f>IF(#REF!=0,0,1)</f>
        <v>#REF!</v>
      </c>
      <c r="M123" s="769">
        <f t="shared" si="173"/>
        <v>0.2</v>
      </c>
      <c r="N123" s="769">
        <f t="shared" si="212"/>
        <v>0</v>
      </c>
      <c r="P123" s="775">
        <v>1</v>
      </c>
      <c r="Q123" s="754" t="s">
        <v>513</v>
      </c>
      <c r="R123" s="754"/>
      <c r="S123" s="754"/>
      <c r="T123" s="546"/>
      <c r="U123" s="726"/>
      <c r="V123" s="814">
        <f t="shared" si="205"/>
        <v>0</v>
      </c>
      <c r="W123" s="813">
        <f t="shared" si="206"/>
        <v>0</v>
      </c>
      <c r="Y123" s="1">
        <f t="shared" si="192"/>
        <v>0</v>
      </c>
      <c r="Z123" s="1">
        <f t="shared" si="193"/>
        <v>0</v>
      </c>
      <c r="AA123" s="1">
        <f t="shared" si="194"/>
        <v>0</v>
      </c>
      <c r="AB123" s="1">
        <f t="shared" si="195"/>
        <v>0</v>
      </c>
      <c r="AC123" s="1">
        <f t="shared" si="196"/>
        <v>0</v>
      </c>
      <c r="AD123" s="1">
        <f t="shared" si="197"/>
        <v>0</v>
      </c>
      <c r="AE123" s="1">
        <f t="shared" si="198"/>
        <v>0</v>
      </c>
      <c r="AF123" s="1">
        <f t="shared" si="199"/>
        <v>0</v>
      </c>
      <c r="AG123" s="1">
        <f t="shared" si="200"/>
        <v>0</v>
      </c>
      <c r="AH123" s="1">
        <f t="shared" si="201"/>
        <v>0</v>
      </c>
      <c r="AI123" s="1">
        <f t="shared" si="202"/>
        <v>0</v>
      </c>
      <c r="AJ123" s="1">
        <f t="shared" si="203"/>
        <v>0</v>
      </c>
      <c r="AK123" s="1">
        <f t="shared" si="204"/>
        <v>0</v>
      </c>
      <c r="AM123" s="812" t="s">
        <v>853</v>
      </c>
      <c r="AN123" s="812" t="s">
        <v>853</v>
      </c>
      <c r="AO123" s="812" t="s">
        <v>851</v>
      </c>
      <c r="AP123" s="812" t="s">
        <v>848</v>
      </c>
      <c r="AQ123" s="812" t="s">
        <v>851</v>
      </c>
      <c r="AR123" s="812" t="s">
        <v>852</v>
      </c>
      <c r="AS123" s="812" t="s">
        <v>852</v>
      </c>
      <c r="AT123" s="812" t="s">
        <v>849</v>
      </c>
      <c r="AU123" s="812" t="s">
        <v>851</v>
      </c>
      <c r="AV123" s="812" t="s">
        <v>849</v>
      </c>
      <c r="AW123" s="812" t="s">
        <v>850</v>
      </c>
      <c r="AX123" s="812" t="s">
        <v>849</v>
      </c>
      <c r="AY123" s="812" t="s">
        <v>848</v>
      </c>
      <c r="BA123" s="763" t="e">
        <f>BB123/$BC$122</f>
        <v>#REF!</v>
      </c>
      <c r="BB123" s="780" t="e">
        <f>D123</f>
        <v>#REF!</v>
      </c>
      <c r="BC123" s="848"/>
      <c r="BD123" s="846" t="e">
        <f>BR123*#REF!</f>
        <v>#REF!</v>
      </c>
      <c r="BE123" s="846" t="e">
        <f>BS123*#REF!</f>
        <v>#REF!</v>
      </c>
      <c r="BF123" s="846" t="e">
        <f>BT123*#REF!</f>
        <v>#REF!</v>
      </c>
      <c r="BG123" s="846" t="e">
        <f>BU123*#REF!</f>
        <v>#REF!</v>
      </c>
      <c r="BH123" s="847" t="e">
        <f>BV123*#REF!</f>
        <v>#REF!</v>
      </c>
      <c r="BI123" s="846" t="e">
        <f>BW123*#REF!</f>
        <v>#REF!</v>
      </c>
      <c r="BJ123" s="846" t="e">
        <f>BX123*#REF!</f>
        <v>#REF!</v>
      </c>
      <c r="BK123" s="846" t="e">
        <f>BY123*#REF!</f>
        <v>#REF!</v>
      </c>
      <c r="BL123" s="846" t="e">
        <f>BZ123*#REF!</f>
        <v>#REF!</v>
      </c>
      <c r="BM123" s="846" t="e">
        <f>CA123*#REF!</f>
        <v>#REF!</v>
      </c>
      <c r="BO123" s="840">
        <f t="shared" si="175"/>
        <v>1</v>
      </c>
      <c r="BP123" s="823" t="str">
        <f t="shared" si="176"/>
        <v>LR1</v>
      </c>
      <c r="BQ123" s="759" t="str">
        <f t="shared" si="177"/>
        <v>建物外皮の熱負荷抑制</v>
      </c>
      <c r="BR123" s="844">
        <f t="shared" si="178"/>
        <v>0.2</v>
      </c>
      <c r="BS123" s="844">
        <f t="shared" si="179"/>
        <v>0.2</v>
      </c>
      <c r="BT123" s="844">
        <f t="shared" si="180"/>
        <v>0.2</v>
      </c>
      <c r="BU123" s="844">
        <f t="shared" si="181"/>
        <v>0.2</v>
      </c>
      <c r="BV123" s="845">
        <f t="shared" si="182"/>
        <v>0.2</v>
      </c>
      <c r="BW123" s="844">
        <f t="shared" si="183"/>
        <v>0</v>
      </c>
      <c r="BX123" s="844">
        <f t="shared" si="184"/>
        <v>0.2</v>
      </c>
      <c r="BY123" s="844">
        <f t="shared" si="185"/>
        <v>0.2</v>
      </c>
      <c r="BZ123" s="844">
        <f t="shared" si="186"/>
        <v>0.2</v>
      </c>
      <c r="CA123" s="844">
        <f t="shared" si="187"/>
        <v>0.2</v>
      </c>
      <c r="CB123" s="758">
        <f t="shared" si="188"/>
        <v>0</v>
      </c>
      <c r="CC123" s="757">
        <f t="shared" si="189"/>
        <v>0</v>
      </c>
      <c r="CD123" s="757">
        <f t="shared" si="190"/>
        <v>0</v>
      </c>
      <c r="CF123" s="505">
        <v>1</v>
      </c>
      <c r="CG123" s="451" t="s">
        <v>405</v>
      </c>
      <c r="CH123" s="448" t="s">
        <v>513</v>
      </c>
      <c r="CI123" s="493">
        <v>0.2</v>
      </c>
      <c r="CJ123" s="493">
        <v>0.2</v>
      </c>
      <c r="CK123" s="493">
        <v>0.2</v>
      </c>
      <c r="CL123" s="493">
        <v>0.2</v>
      </c>
      <c r="CM123" s="493">
        <v>0.2</v>
      </c>
      <c r="CN123" s="493"/>
      <c r="CO123" s="493">
        <v>0.2</v>
      </c>
      <c r="CP123" s="493">
        <v>0.2</v>
      </c>
      <c r="CQ123" s="493">
        <v>0.2</v>
      </c>
      <c r="CR123" s="493">
        <v>0.2</v>
      </c>
      <c r="CS123" s="453"/>
      <c r="CT123" s="452"/>
      <c r="CU123" s="452"/>
      <c r="CW123" s="505">
        <v>1</v>
      </c>
      <c r="CX123" s="451" t="s">
        <v>405</v>
      </c>
      <c r="CY123" s="448" t="s">
        <v>513</v>
      </c>
      <c r="CZ123" s="493">
        <v>0.2</v>
      </c>
      <c r="DA123" s="493">
        <v>0.2</v>
      </c>
      <c r="DB123" s="493">
        <v>0.2</v>
      </c>
      <c r="DC123" s="493">
        <v>0.2</v>
      </c>
      <c r="DD123" s="493">
        <v>0.2</v>
      </c>
      <c r="DE123" s="493"/>
      <c r="DF123" s="493">
        <v>0.2</v>
      </c>
      <c r="DG123" s="493">
        <v>0.2</v>
      </c>
      <c r="DH123" s="493">
        <v>0.2</v>
      </c>
      <c r="DI123" s="493">
        <v>0.2</v>
      </c>
      <c r="DJ123" s="453"/>
      <c r="DK123" s="452"/>
      <c r="DL123" s="452"/>
      <c r="DN123" s="505">
        <v>1</v>
      </c>
      <c r="DO123" s="451" t="s">
        <v>405</v>
      </c>
      <c r="DP123" s="448" t="s">
        <v>513</v>
      </c>
      <c r="DQ123" s="493">
        <v>0.2</v>
      </c>
      <c r="DR123" s="493">
        <v>0.2</v>
      </c>
      <c r="DS123" s="493">
        <v>0.2</v>
      </c>
      <c r="DT123" s="493">
        <v>0.2</v>
      </c>
      <c r="DU123" s="493">
        <v>0.2</v>
      </c>
      <c r="DV123" s="493"/>
      <c r="DW123" s="493">
        <v>0.2</v>
      </c>
      <c r="DX123" s="493">
        <v>0.2</v>
      </c>
      <c r="DY123" s="493">
        <v>0.2</v>
      </c>
      <c r="DZ123" s="493">
        <v>0.2</v>
      </c>
      <c r="EA123" s="453"/>
      <c r="EB123" s="452"/>
      <c r="EC123" s="452"/>
      <c r="ED123" s="554"/>
      <c r="EF123" s="505">
        <v>1</v>
      </c>
      <c r="EG123" s="451" t="s">
        <v>405</v>
      </c>
      <c r="EH123" s="448" t="s">
        <v>513</v>
      </c>
      <c r="EI123" s="619">
        <f t="shared" ref="EI123:EI144" si="217">DQ123</f>
        <v>0.2</v>
      </c>
      <c r="EJ123" s="619">
        <f t="shared" ref="EJ123:EJ144" si="218">DR123</f>
        <v>0.2</v>
      </c>
      <c r="EK123" s="619">
        <f t="shared" ref="EK123:EK144" si="219">DS123</f>
        <v>0.2</v>
      </c>
      <c r="EL123" s="619">
        <f t="shared" ref="EL123:EL144" si="220">DT123</f>
        <v>0.2</v>
      </c>
      <c r="EM123" s="619">
        <f t="shared" ref="EM123:EM144" si="221">DU123</f>
        <v>0.2</v>
      </c>
      <c r="EN123" s="619">
        <f t="shared" ref="EN123:EN144" si="222">DV123</f>
        <v>0</v>
      </c>
      <c r="EO123" s="619">
        <f t="shared" ref="EO123:EO144" si="223">DW123</f>
        <v>0.2</v>
      </c>
      <c r="EP123" s="619">
        <f t="shared" ref="EP123:EP144" si="224">DX123</f>
        <v>0.2</v>
      </c>
      <c r="EQ123" s="619">
        <f t="shared" ref="EQ123:EQ144" si="225">DY123</f>
        <v>0.2</v>
      </c>
      <c r="ER123" s="619">
        <f t="shared" ref="ER123:ER144" si="226">DZ123</f>
        <v>0.2</v>
      </c>
      <c r="ES123" s="608">
        <f t="shared" si="214"/>
        <v>0</v>
      </c>
      <c r="ET123" s="606">
        <f t="shared" si="215"/>
        <v>0</v>
      </c>
      <c r="EU123" s="606">
        <f t="shared" si="216"/>
        <v>0</v>
      </c>
      <c r="EW123" s="505">
        <v>1</v>
      </c>
      <c r="EX123" s="451" t="s">
        <v>405</v>
      </c>
      <c r="EY123" s="448" t="s">
        <v>513</v>
      </c>
      <c r="EZ123" s="599">
        <f t="shared" ref="EZ123:EZ144" si="227">DQ123</f>
        <v>0.2</v>
      </c>
      <c r="FA123" s="599"/>
      <c r="FB123" s="599"/>
      <c r="FC123" s="599"/>
      <c r="FD123" s="599"/>
      <c r="FE123" s="599"/>
      <c r="FF123" s="599"/>
      <c r="FG123" s="599"/>
      <c r="FH123" s="599"/>
      <c r="FI123" s="599"/>
      <c r="FJ123" s="597"/>
      <c r="FK123" s="596"/>
      <c r="FL123" s="596"/>
    </row>
    <row r="124" spans="2:168" ht="14.25" thickBot="1">
      <c r="B124" s="732">
        <f t="shared" si="210"/>
        <v>2</v>
      </c>
      <c r="C124" s="759" t="str">
        <f t="shared" si="170"/>
        <v>自然エネルギー利用</v>
      </c>
      <c r="D124" s="770" t="e">
        <f>IF(I$122=0,0,G124/I$122)</f>
        <v>#REF!</v>
      </c>
      <c r="E124" s="769" t="e">
        <f>IF(J$122=0,0,H124/J$122)</f>
        <v>#REF!</v>
      </c>
      <c r="G124" s="769" t="e">
        <f t="shared" si="171"/>
        <v>#REF!</v>
      </c>
      <c r="H124" s="769" t="e">
        <f t="shared" si="172"/>
        <v>#REF!</v>
      </c>
      <c r="I124" s="506" t="e">
        <f>SUM(G125:G126)</f>
        <v>#REF!</v>
      </c>
      <c r="J124" s="506" t="e">
        <f>SUM(H125:H126)</f>
        <v>#REF!</v>
      </c>
      <c r="K124" s="769" t="e">
        <f>IF(#REF!=0,0,1)</f>
        <v>#REF!</v>
      </c>
      <c r="L124" s="769" t="e">
        <f>IF(#REF!=0,0,1)</f>
        <v>#REF!</v>
      </c>
      <c r="M124" s="769">
        <f t="shared" si="173"/>
        <v>0.1</v>
      </c>
      <c r="N124" s="769">
        <f t="shared" si="212"/>
        <v>0</v>
      </c>
      <c r="P124" s="768">
        <v>2</v>
      </c>
      <c r="Q124" s="767" t="s">
        <v>282</v>
      </c>
      <c r="R124" s="767"/>
      <c r="S124" s="767"/>
      <c r="T124" s="865"/>
      <c r="U124" s="726"/>
      <c r="V124" s="876">
        <f t="shared" si="205"/>
        <v>0</v>
      </c>
      <c r="W124" s="875">
        <f t="shared" si="206"/>
        <v>0</v>
      </c>
      <c r="Y124" s="1">
        <f t="shared" si="192"/>
        <v>0</v>
      </c>
      <c r="Z124" s="1">
        <f t="shared" si="193"/>
        <v>0</v>
      </c>
      <c r="AA124" s="1">
        <f t="shared" si="194"/>
        <v>0</v>
      </c>
      <c r="AB124" s="1">
        <f t="shared" si="195"/>
        <v>0</v>
      </c>
      <c r="AC124" s="1">
        <f t="shared" si="196"/>
        <v>0</v>
      </c>
      <c r="AD124" s="1">
        <f t="shared" si="197"/>
        <v>0</v>
      </c>
      <c r="AE124" s="1">
        <f t="shared" si="198"/>
        <v>0</v>
      </c>
      <c r="AF124" s="1">
        <f t="shared" si="199"/>
        <v>0</v>
      </c>
      <c r="AG124" s="1">
        <f t="shared" si="200"/>
        <v>0</v>
      </c>
      <c r="AH124" s="1">
        <f t="shared" si="201"/>
        <v>0</v>
      </c>
      <c r="AI124" s="1">
        <f t="shared" si="202"/>
        <v>0</v>
      </c>
      <c r="AJ124" s="1">
        <f t="shared" si="203"/>
        <v>0</v>
      </c>
      <c r="AK124" s="1">
        <f t="shared" si="204"/>
        <v>0</v>
      </c>
      <c r="AM124" s="817"/>
      <c r="AN124" s="817"/>
      <c r="AO124" s="817"/>
      <c r="AP124" s="817"/>
      <c r="AQ124" s="817"/>
      <c r="AR124" s="817"/>
      <c r="AS124" s="817"/>
      <c r="AT124" s="817"/>
      <c r="AU124" s="817"/>
      <c r="AV124" s="817"/>
      <c r="AW124" s="817"/>
      <c r="AX124" s="817"/>
      <c r="AY124" s="817"/>
      <c r="BA124" s="763" t="e">
        <f>BB124/$BC$122</f>
        <v>#REF!</v>
      </c>
      <c r="BB124" s="848" t="e">
        <f>SUMPRODUCT($BD$7:$BM$7,BD124:BM124)</f>
        <v>#REF!</v>
      </c>
      <c r="BC124" s="848"/>
      <c r="BD124" s="846" t="e">
        <f>BR124*#REF!</f>
        <v>#REF!</v>
      </c>
      <c r="BE124" s="846" t="e">
        <f>BS124*#REF!</f>
        <v>#REF!</v>
      </c>
      <c r="BF124" s="846" t="e">
        <f>BT124*#REF!</f>
        <v>#REF!</v>
      </c>
      <c r="BG124" s="846" t="e">
        <f>BU124*#REF!</f>
        <v>#REF!</v>
      </c>
      <c r="BH124" s="847" t="e">
        <f>BV124*#REF!</f>
        <v>#REF!</v>
      </c>
      <c r="BI124" s="846" t="e">
        <f>BW124*#REF!</f>
        <v>#REF!</v>
      </c>
      <c r="BJ124" s="846" t="e">
        <f>BX124*#REF!</f>
        <v>#REF!</v>
      </c>
      <c r="BK124" s="846" t="e">
        <f>BY124*#REF!</f>
        <v>#REF!</v>
      </c>
      <c r="BL124" s="846" t="e">
        <f>BZ124*#REF!</f>
        <v>#REF!</v>
      </c>
      <c r="BM124" s="846" t="e">
        <f>CA124*#REF!</f>
        <v>#REF!</v>
      </c>
      <c r="BO124" s="823">
        <f t="shared" si="175"/>
        <v>2</v>
      </c>
      <c r="BP124" s="823" t="str">
        <f t="shared" si="176"/>
        <v>LR1</v>
      </c>
      <c r="BQ124" s="759" t="str">
        <f t="shared" si="177"/>
        <v>自然エネルギー利用</v>
      </c>
      <c r="BR124" s="844">
        <f t="shared" si="178"/>
        <v>0.1</v>
      </c>
      <c r="BS124" s="844">
        <f t="shared" si="179"/>
        <v>0.1</v>
      </c>
      <c r="BT124" s="844">
        <f t="shared" si="180"/>
        <v>0.1</v>
      </c>
      <c r="BU124" s="844">
        <f t="shared" si="181"/>
        <v>0.1</v>
      </c>
      <c r="BV124" s="845">
        <f t="shared" si="182"/>
        <v>0.1</v>
      </c>
      <c r="BW124" s="844">
        <f t="shared" si="183"/>
        <v>0.125</v>
      </c>
      <c r="BX124" s="844">
        <f t="shared" si="184"/>
        <v>0.1</v>
      </c>
      <c r="BY124" s="844">
        <f t="shared" si="185"/>
        <v>0.1</v>
      </c>
      <c r="BZ124" s="844">
        <f t="shared" si="186"/>
        <v>0.1</v>
      </c>
      <c r="CA124" s="844">
        <f t="shared" si="187"/>
        <v>0.1</v>
      </c>
      <c r="CB124" s="758">
        <f t="shared" si="188"/>
        <v>0</v>
      </c>
      <c r="CC124" s="757">
        <f t="shared" si="189"/>
        <v>0</v>
      </c>
      <c r="CD124" s="757">
        <f t="shared" si="190"/>
        <v>0</v>
      </c>
      <c r="CF124" s="447">
        <v>2</v>
      </c>
      <c r="CG124" s="451" t="s">
        <v>405</v>
      </c>
      <c r="CH124" s="448" t="s">
        <v>282</v>
      </c>
      <c r="CI124" s="493">
        <v>0.1</v>
      </c>
      <c r="CJ124" s="493">
        <v>0.1</v>
      </c>
      <c r="CK124" s="493">
        <v>0.1</v>
      </c>
      <c r="CL124" s="493">
        <v>0.1</v>
      </c>
      <c r="CM124" s="493">
        <v>0.1</v>
      </c>
      <c r="CN124" s="532">
        <v>0.125</v>
      </c>
      <c r="CO124" s="493">
        <v>0.1</v>
      </c>
      <c r="CP124" s="493">
        <v>0.1</v>
      </c>
      <c r="CQ124" s="493">
        <v>0.1</v>
      </c>
      <c r="CR124" s="493">
        <v>0.1</v>
      </c>
      <c r="CS124" s="453"/>
      <c r="CT124" s="452"/>
      <c r="CU124" s="452"/>
      <c r="CW124" s="447">
        <v>2</v>
      </c>
      <c r="CX124" s="451" t="s">
        <v>405</v>
      </c>
      <c r="CY124" s="448" t="s">
        <v>282</v>
      </c>
      <c r="CZ124" s="493">
        <v>0.1</v>
      </c>
      <c r="DA124" s="493">
        <v>0.1</v>
      </c>
      <c r="DB124" s="493">
        <v>0.1</v>
      </c>
      <c r="DC124" s="493">
        <v>0.1</v>
      </c>
      <c r="DD124" s="493">
        <v>0.1</v>
      </c>
      <c r="DE124" s="532">
        <v>0.125</v>
      </c>
      <c r="DF124" s="493">
        <v>0.1</v>
      </c>
      <c r="DG124" s="493">
        <v>0.1</v>
      </c>
      <c r="DH124" s="493">
        <v>0.1</v>
      </c>
      <c r="DI124" s="493">
        <v>0.1</v>
      </c>
      <c r="DJ124" s="453"/>
      <c r="DK124" s="452"/>
      <c r="DL124" s="452"/>
      <c r="DN124" s="447">
        <v>2</v>
      </c>
      <c r="DO124" s="451" t="s">
        <v>405</v>
      </c>
      <c r="DP124" s="448" t="s">
        <v>282</v>
      </c>
      <c r="DQ124" s="493">
        <v>0.1</v>
      </c>
      <c r="DR124" s="493">
        <v>0.1</v>
      </c>
      <c r="DS124" s="493">
        <v>0.1</v>
      </c>
      <c r="DT124" s="493">
        <v>0.1</v>
      </c>
      <c r="DU124" s="493">
        <v>0.1</v>
      </c>
      <c r="DV124" s="532">
        <v>0.125</v>
      </c>
      <c r="DW124" s="493">
        <v>0.1</v>
      </c>
      <c r="DX124" s="493">
        <v>0.1</v>
      </c>
      <c r="DY124" s="493">
        <v>0.1</v>
      </c>
      <c r="DZ124" s="493">
        <v>0.1</v>
      </c>
      <c r="EA124" s="453"/>
      <c r="EB124" s="452"/>
      <c r="EC124" s="452"/>
      <c r="ED124" s="554"/>
      <c r="EF124" s="447">
        <v>2</v>
      </c>
      <c r="EG124" s="451" t="s">
        <v>405</v>
      </c>
      <c r="EH124" s="448" t="s">
        <v>282</v>
      </c>
      <c r="EI124" s="619">
        <f t="shared" si="217"/>
        <v>0.1</v>
      </c>
      <c r="EJ124" s="619">
        <f t="shared" si="218"/>
        <v>0.1</v>
      </c>
      <c r="EK124" s="619">
        <f t="shared" si="219"/>
        <v>0.1</v>
      </c>
      <c r="EL124" s="619">
        <f t="shared" si="220"/>
        <v>0.1</v>
      </c>
      <c r="EM124" s="619">
        <f t="shared" si="221"/>
        <v>0.1</v>
      </c>
      <c r="EN124" s="619">
        <f t="shared" si="222"/>
        <v>0.125</v>
      </c>
      <c r="EO124" s="619">
        <f t="shared" si="223"/>
        <v>0.1</v>
      </c>
      <c r="EP124" s="619">
        <f t="shared" si="224"/>
        <v>0.1</v>
      </c>
      <c r="EQ124" s="619">
        <f t="shared" si="225"/>
        <v>0.1</v>
      </c>
      <c r="ER124" s="619">
        <f t="shared" si="226"/>
        <v>0.1</v>
      </c>
      <c r="ES124" s="608">
        <f t="shared" si="214"/>
        <v>0</v>
      </c>
      <c r="ET124" s="606">
        <f t="shared" si="215"/>
        <v>0</v>
      </c>
      <c r="EU124" s="606">
        <f t="shared" si="216"/>
        <v>0</v>
      </c>
      <c r="EW124" s="447">
        <v>2</v>
      </c>
      <c r="EX124" s="451" t="s">
        <v>405</v>
      </c>
      <c r="EY124" s="448" t="s">
        <v>282</v>
      </c>
      <c r="EZ124" s="599">
        <f t="shared" si="227"/>
        <v>0.1</v>
      </c>
      <c r="FA124" s="599"/>
      <c r="FB124" s="599"/>
      <c r="FC124" s="599"/>
      <c r="FD124" s="599"/>
      <c r="FE124" s="599"/>
      <c r="FF124" s="599"/>
      <c r="FG124" s="599"/>
      <c r="FH124" s="599"/>
      <c r="FI124" s="599"/>
      <c r="FJ124" s="597"/>
      <c r="FK124" s="596"/>
      <c r="FL124" s="596"/>
    </row>
    <row r="125" spans="2:168" hidden="1">
      <c r="B125" s="732">
        <f t="shared" si="210"/>
        <v>0</v>
      </c>
      <c r="C125" s="759">
        <f t="shared" si="170"/>
        <v>0</v>
      </c>
      <c r="D125" s="731" t="e">
        <f>IF(I$124=0,0,G125/I$124)</f>
        <v>#REF!</v>
      </c>
      <c r="E125" s="731" t="e">
        <f>IF(J$124=0,0,H125/J$124)</f>
        <v>#REF!</v>
      </c>
      <c r="G125" s="769" t="e">
        <f t="shared" si="171"/>
        <v>#REF!</v>
      </c>
      <c r="H125" s="769" t="e">
        <f t="shared" si="172"/>
        <v>#REF!</v>
      </c>
      <c r="I125" s="769"/>
      <c r="J125" s="769"/>
      <c r="K125" s="730" t="e">
        <f>IF(#REF!=0,0,1)</f>
        <v>#REF!</v>
      </c>
      <c r="L125" s="730" t="e">
        <f>IF(#REF!=0,0,1)</f>
        <v>#REF!</v>
      </c>
      <c r="M125" s="730">
        <f t="shared" si="173"/>
        <v>0</v>
      </c>
      <c r="N125" s="730">
        <f t="shared" si="212"/>
        <v>0</v>
      </c>
      <c r="P125" s="756"/>
      <c r="Q125" s="778"/>
      <c r="R125" s="767"/>
      <c r="S125" s="767"/>
      <c r="T125" s="865"/>
      <c r="U125" s="726"/>
      <c r="V125" s="734">
        <f t="shared" si="205"/>
        <v>0</v>
      </c>
      <c r="W125" s="733">
        <f t="shared" si="206"/>
        <v>0</v>
      </c>
      <c r="Y125" s="1">
        <f t="shared" si="192"/>
        <v>0</v>
      </c>
      <c r="Z125" s="1">
        <f t="shared" si="193"/>
        <v>0</v>
      </c>
      <c r="AA125" s="1">
        <f t="shared" si="194"/>
        <v>0</v>
      </c>
      <c r="AB125" s="1">
        <f t="shared" si="195"/>
        <v>0</v>
      </c>
      <c r="AC125" s="1">
        <f t="shared" si="196"/>
        <v>0</v>
      </c>
      <c r="AD125" s="1">
        <f t="shared" si="197"/>
        <v>0</v>
      </c>
      <c r="AE125" s="1">
        <f t="shared" si="198"/>
        <v>0</v>
      </c>
      <c r="AF125" s="1">
        <f t="shared" si="199"/>
        <v>0</v>
      </c>
      <c r="AG125" s="1">
        <f t="shared" si="200"/>
        <v>0</v>
      </c>
      <c r="AH125" s="1">
        <f t="shared" si="201"/>
        <v>0</v>
      </c>
      <c r="AI125" s="1">
        <f t="shared" si="202"/>
        <v>0</v>
      </c>
      <c r="AJ125" s="1">
        <f t="shared" si="203"/>
        <v>0</v>
      </c>
      <c r="AK125" s="1">
        <f t="shared" si="204"/>
        <v>0</v>
      </c>
      <c r="AM125" s="858"/>
      <c r="AN125" s="858"/>
      <c r="AO125" s="858"/>
      <c r="AP125" s="858"/>
      <c r="AQ125" s="858"/>
      <c r="AR125" s="858"/>
      <c r="AS125" s="858"/>
      <c r="AT125" s="858"/>
      <c r="AU125" s="858"/>
      <c r="AV125" s="858"/>
      <c r="AW125" s="858"/>
      <c r="AX125" s="858"/>
      <c r="AY125" s="858"/>
      <c r="BA125" s="723"/>
      <c r="BB125" s="723" t="e">
        <f>SUMPRODUCT($BD$7:$BM$7,BD125:BM125)</f>
        <v>#REF!</v>
      </c>
      <c r="BC125" s="723"/>
      <c r="BD125" s="722" t="e">
        <f>BR125*#REF!</f>
        <v>#REF!</v>
      </c>
      <c r="BE125" s="722" t="e">
        <f>BS125*#REF!</f>
        <v>#REF!</v>
      </c>
      <c r="BF125" s="722" t="e">
        <f>BT125*#REF!</f>
        <v>#REF!</v>
      </c>
      <c r="BG125" s="722" t="e">
        <f>BU125*#REF!</f>
        <v>#REF!</v>
      </c>
      <c r="BH125" s="803" t="e">
        <f>BV125*#REF!</f>
        <v>#REF!</v>
      </c>
      <c r="BI125" s="722" t="e">
        <f>BW125*#REF!</f>
        <v>#REF!</v>
      </c>
      <c r="BJ125" s="722" t="e">
        <f>BX125*#REF!</f>
        <v>#REF!</v>
      </c>
      <c r="BK125" s="722" t="e">
        <f>BY125*#REF!</f>
        <v>#REF!</v>
      </c>
      <c r="BL125" s="722" t="e">
        <f>BZ125*#REF!</f>
        <v>#REF!</v>
      </c>
      <c r="BM125" s="722" t="e">
        <f>CA125*#REF!</f>
        <v>#REF!</v>
      </c>
      <c r="BO125" s="823">
        <f t="shared" si="175"/>
        <v>0</v>
      </c>
      <c r="BP125" s="823" t="str">
        <f t="shared" si="176"/>
        <v>LR</v>
      </c>
      <c r="BQ125" s="759">
        <f t="shared" si="177"/>
        <v>0</v>
      </c>
      <c r="BR125" s="719">
        <f t="shared" si="178"/>
        <v>0</v>
      </c>
      <c r="BS125" s="719">
        <f t="shared" si="179"/>
        <v>0</v>
      </c>
      <c r="BT125" s="719">
        <f t="shared" si="180"/>
        <v>0</v>
      </c>
      <c r="BU125" s="719">
        <f t="shared" si="181"/>
        <v>0</v>
      </c>
      <c r="BV125" s="802">
        <f t="shared" si="182"/>
        <v>0</v>
      </c>
      <c r="BW125" s="719">
        <f t="shared" si="183"/>
        <v>0</v>
      </c>
      <c r="BX125" s="719">
        <f t="shared" si="184"/>
        <v>0</v>
      </c>
      <c r="BY125" s="719">
        <f t="shared" si="185"/>
        <v>0</v>
      </c>
      <c r="BZ125" s="719">
        <f t="shared" si="186"/>
        <v>0</v>
      </c>
      <c r="CA125" s="719">
        <f t="shared" si="187"/>
        <v>0</v>
      </c>
      <c r="CB125" s="758">
        <f t="shared" si="188"/>
        <v>0</v>
      </c>
      <c r="CC125" s="757">
        <f t="shared" si="189"/>
        <v>0</v>
      </c>
      <c r="CD125" s="757">
        <f t="shared" si="190"/>
        <v>0</v>
      </c>
      <c r="CF125" s="447"/>
      <c r="CG125" s="451" t="s">
        <v>37</v>
      </c>
      <c r="CH125" s="448" t="s">
        <v>283</v>
      </c>
      <c r="CI125" s="493"/>
      <c r="CJ125" s="493"/>
      <c r="CK125" s="493"/>
      <c r="CL125" s="493"/>
      <c r="CM125" s="493"/>
      <c r="CN125" s="493"/>
      <c r="CO125" s="493"/>
      <c r="CP125" s="493"/>
      <c r="CQ125" s="493"/>
      <c r="CR125" s="493"/>
      <c r="CS125" s="453"/>
      <c r="CT125" s="452"/>
      <c r="CU125" s="452"/>
      <c r="CW125" s="447"/>
      <c r="CX125" s="451" t="s">
        <v>37</v>
      </c>
      <c r="CY125" s="448" t="s">
        <v>234</v>
      </c>
      <c r="CZ125" s="493"/>
      <c r="DA125" s="493"/>
      <c r="DB125" s="493"/>
      <c r="DC125" s="493"/>
      <c r="DD125" s="493"/>
      <c r="DE125" s="493"/>
      <c r="DF125" s="493"/>
      <c r="DG125" s="493"/>
      <c r="DH125" s="493"/>
      <c r="DI125" s="493"/>
      <c r="DJ125" s="453"/>
      <c r="DK125" s="452"/>
      <c r="DL125" s="452"/>
      <c r="DN125" s="447"/>
      <c r="DO125" s="451" t="s">
        <v>37</v>
      </c>
      <c r="DP125" s="448"/>
      <c r="DQ125" s="493"/>
      <c r="DR125" s="493"/>
      <c r="DS125" s="493"/>
      <c r="DT125" s="493"/>
      <c r="DU125" s="493"/>
      <c r="DV125" s="493"/>
      <c r="DW125" s="493"/>
      <c r="DX125" s="493"/>
      <c r="DY125" s="493"/>
      <c r="DZ125" s="493"/>
      <c r="EA125" s="453"/>
      <c r="EB125" s="452"/>
      <c r="EC125" s="452"/>
      <c r="ED125" s="554"/>
      <c r="EF125" s="447"/>
      <c r="EG125" s="451" t="s">
        <v>37</v>
      </c>
      <c r="EH125" s="448"/>
      <c r="EI125" s="619">
        <f t="shared" si="217"/>
        <v>0</v>
      </c>
      <c r="EJ125" s="619">
        <f t="shared" si="218"/>
        <v>0</v>
      </c>
      <c r="EK125" s="619">
        <f t="shared" si="219"/>
        <v>0</v>
      </c>
      <c r="EL125" s="619">
        <f t="shared" si="220"/>
        <v>0</v>
      </c>
      <c r="EM125" s="619">
        <f t="shared" si="221"/>
        <v>0</v>
      </c>
      <c r="EN125" s="619">
        <f t="shared" si="222"/>
        <v>0</v>
      </c>
      <c r="EO125" s="619">
        <f t="shared" si="223"/>
        <v>0</v>
      </c>
      <c r="EP125" s="619">
        <f t="shared" si="224"/>
        <v>0</v>
      </c>
      <c r="EQ125" s="619">
        <f t="shared" si="225"/>
        <v>0</v>
      </c>
      <c r="ER125" s="619">
        <f t="shared" si="226"/>
        <v>0</v>
      </c>
      <c r="ES125" s="608">
        <f t="shared" si="214"/>
        <v>0</v>
      </c>
      <c r="ET125" s="606">
        <f t="shared" si="215"/>
        <v>0</v>
      </c>
      <c r="EU125" s="606">
        <f t="shared" si="216"/>
        <v>0</v>
      </c>
      <c r="EW125" s="447"/>
      <c r="EX125" s="451" t="s">
        <v>37</v>
      </c>
      <c r="EY125" s="448"/>
      <c r="EZ125" s="599">
        <f t="shared" si="227"/>
        <v>0</v>
      </c>
      <c r="FA125" s="599"/>
      <c r="FB125" s="599"/>
      <c r="FC125" s="599"/>
      <c r="FD125" s="599"/>
      <c r="FE125" s="599"/>
      <c r="FF125" s="599"/>
      <c r="FG125" s="599"/>
      <c r="FH125" s="599"/>
      <c r="FI125" s="599"/>
      <c r="FJ125" s="597"/>
      <c r="FK125" s="596"/>
      <c r="FL125" s="596"/>
    </row>
    <row r="126" spans="2:168" ht="14.25" hidden="1" thickBot="1">
      <c r="B126" s="732">
        <f t="shared" si="210"/>
        <v>0</v>
      </c>
      <c r="C126" s="759">
        <f t="shared" si="170"/>
        <v>0</v>
      </c>
      <c r="D126" s="731" t="e">
        <f>IF(I$124=0,0,G126/I$124)</f>
        <v>#REF!</v>
      </c>
      <c r="E126" s="731" t="e">
        <f>IF(J$124=0,0,H126/J$124)</f>
        <v>#REF!</v>
      </c>
      <c r="G126" s="769" t="e">
        <f t="shared" si="171"/>
        <v>#REF!</v>
      </c>
      <c r="H126" s="769" t="e">
        <f t="shared" si="172"/>
        <v>#REF!</v>
      </c>
      <c r="I126" s="506" t="e">
        <f>SUM(G127:G128)</f>
        <v>#REF!</v>
      </c>
      <c r="J126" s="506" t="e">
        <f>SUM(H127:H128)</f>
        <v>#REF!</v>
      </c>
      <c r="K126" s="730" t="e">
        <f>IF(#REF!=0,0,1)</f>
        <v>#REF!</v>
      </c>
      <c r="L126" s="730" t="e">
        <f>IF(#REF!=0,0,1)</f>
        <v>#REF!</v>
      </c>
      <c r="M126" s="730">
        <f t="shared" si="173"/>
        <v>0</v>
      </c>
      <c r="N126" s="730">
        <f t="shared" si="212"/>
        <v>0</v>
      </c>
      <c r="P126" s="756"/>
      <c r="Q126" s="778"/>
      <c r="R126" s="743"/>
      <c r="S126" s="767"/>
      <c r="T126" s="865"/>
      <c r="U126" s="726"/>
      <c r="V126" s="819">
        <f t="shared" si="205"/>
        <v>0</v>
      </c>
      <c r="W126" s="818">
        <f t="shared" si="206"/>
        <v>0</v>
      </c>
      <c r="Y126" s="1">
        <f t="shared" si="192"/>
        <v>0</v>
      </c>
      <c r="Z126" s="1">
        <f t="shared" si="193"/>
        <v>0</v>
      </c>
      <c r="AA126" s="1">
        <f t="shared" si="194"/>
        <v>0</v>
      </c>
      <c r="AB126" s="1">
        <f t="shared" si="195"/>
        <v>0</v>
      </c>
      <c r="AC126" s="1">
        <f t="shared" si="196"/>
        <v>0</v>
      </c>
      <c r="AD126" s="1">
        <f t="shared" si="197"/>
        <v>0</v>
      </c>
      <c r="AE126" s="1">
        <f t="shared" si="198"/>
        <v>0</v>
      </c>
      <c r="AF126" s="1">
        <f t="shared" si="199"/>
        <v>0</v>
      </c>
      <c r="AG126" s="1">
        <f t="shared" si="200"/>
        <v>0</v>
      </c>
      <c r="AH126" s="1">
        <f t="shared" si="201"/>
        <v>0</v>
      </c>
      <c r="AI126" s="1">
        <f t="shared" si="202"/>
        <v>0</v>
      </c>
      <c r="AJ126" s="1">
        <f t="shared" si="203"/>
        <v>0</v>
      </c>
      <c r="AK126" s="1">
        <f t="shared" si="204"/>
        <v>0</v>
      </c>
      <c r="AM126" s="874"/>
      <c r="AN126" s="874"/>
      <c r="AO126" s="874"/>
      <c r="AP126" s="874"/>
      <c r="AQ126" s="874"/>
      <c r="AR126" s="874"/>
      <c r="AS126" s="874"/>
      <c r="AT126" s="874"/>
      <c r="AU126" s="874"/>
      <c r="AV126" s="874"/>
      <c r="AW126" s="874"/>
      <c r="AX126" s="874"/>
      <c r="AY126" s="874"/>
      <c r="BA126" s="723"/>
      <c r="BB126" s="723" t="e">
        <f>SUMPRODUCT($BD$7:$BM$7,BD126:BM126)</f>
        <v>#REF!</v>
      </c>
      <c r="BC126" s="723"/>
      <c r="BD126" s="722" t="e">
        <f>BR126*#REF!</f>
        <v>#REF!</v>
      </c>
      <c r="BE126" s="722" t="e">
        <f>BS126*#REF!</f>
        <v>#REF!</v>
      </c>
      <c r="BF126" s="722" t="e">
        <f>BT126*#REF!</f>
        <v>#REF!</v>
      </c>
      <c r="BG126" s="722" t="e">
        <f>BU126*#REF!</f>
        <v>#REF!</v>
      </c>
      <c r="BH126" s="803" t="e">
        <f>BV126*#REF!</f>
        <v>#REF!</v>
      </c>
      <c r="BI126" s="722" t="e">
        <f>BW126*#REF!</f>
        <v>#REF!</v>
      </c>
      <c r="BJ126" s="722" t="e">
        <f>BX126*#REF!</f>
        <v>#REF!</v>
      </c>
      <c r="BK126" s="722" t="e">
        <f>BY126*#REF!</f>
        <v>#REF!</v>
      </c>
      <c r="BL126" s="722" t="e">
        <f>BZ126*#REF!</f>
        <v>#REF!</v>
      </c>
      <c r="BM126" s="722" t="e">
        <f>CA126*#REF!</f>
        <v>#REF!</v>
      </c>
      <c r="BO126" s="823">
        <f t="shared" si="175"/>
        <v>0</v>
      </c>
      <c r="BP126" s="823" t="str">
        <f t="shared" si="176"/>
        <v>LR</v>
      </c>
      <c r="BQ126" s="759">
        <f t="shared" si="177"/>
        <v>0</v>
      </c>
      <c r="BR126" s="719">
        <f t="shared" si="178"/>
        <v>0</v>
      </c>
      <c r="BS126" s="719">
        <f t="shared" si="179"/>
        <v>0</v>
      </c>
      <c r="BT126" s="719">
        <f t="shared" si="180"/>
        <v>0</v>
      </c>
      <c r="BU126" s="719">
        <f t="shared" si="181"/>
        <v>0</v>
      </c>
      <c r="BV126" s="802">
        <f t="shared" si="182"/>
        <v>0</v>
      </c>
      <c r="BW126" s="719">
        <f t="shared" si="183"/>
        <v>0</v>
      </c>
      <c r="BX126" s="719">
        <f t="shared" si="184"/>
        <v>0</v>
      </c>
      <c r="BY126" s="719">
        <f t="shared" si="185"/>
        <v>0</v>
      </c>
      <c r="BZ126" s="719">
        <f t="shared" si="186"/>
        <v>0</v>
      </c>
      <c r="CA126" s="719">
        <f t="shared" si="187"/>
        <v>0</v>
      </c>
      <c r="CB126" s="758">
        <f t="shared" si="188"/>
        <v>0</v>
      </c>
      <c r="CC126" s="757">
        <f t="shared" si="189"/>
        <v>0</v>
      </c>
      <c r="CD126" s="757">
        <f t="shared" si="190"/>
        <v>0</v>
      </c>
      <c r="CF126" s="447"/>
      <c r="CG126" s="451" t="s">
        <v>37</v>
      </c>
      <c r="CH126" s="448" t="s">
        <v>284</v>
      </c>
      <c r="CI126" s="493"/>
      <c r="CJ126" s="493"/>
      <c r="CK126" s="493"/>
      <c r="CL126" s="493"/>
      <c r="CM126" s="493"/>
      <c r="CN126" s="493"/>
      <c r="CO126" s="493"/>
      <c r="CP126" s="493"/>
      <c r="CQ126" s="493"/>
      <c r="CR126" s="493"/>
      <c r="CS126" s="453"/>
      <c r="CT126" s="452"/>
      <c r="CU126" s="452"/>
      <c r="CW126" s="447"/>
      <c r="CX126" s="451" t="s">
        <v>37</v>
      </c>
      <c r="CY126" s="448" t="s">
        <v>233</v>
      </c>
      <c r="CZ126" s="493">
        <v>1</v>
      </c>
      <c r="DA126" s="493">
        <v>1</v>
      </c>
      <c r="DB126" s="493">
        <v>1</v>
      </c>
      <c r="DC126" s="493">
        <v>1</v>
      </c>
      <c r="DD126" s="493">
        <v>1</v>
      </c>
      <c r="DE126" s="493">
        <v>1</v>
      </c>
      <c r="DF126" s="493">
        <v>1</v>
      </c>
      <c r="DG126" s="493">
        <v>1</v>
      </c>
      <c r="DH126" s="493">
        <v>1</v>
      </c>
      <c r="DI126" s="493">
        <v>1</v>
      </c>
      <c r="DJ126" s="453"/>
      <c r="DK126" s="452"/>
      <c r="DL126" s="452"/>
      <c r="DN126" s="447"/>
      <c r="DO126" s="451" t="s">
        <v>37</v>
      </c>
      <c r="DP126" s="448"/>
      <c r="DQ126" s="493"/>
      <c r="DR126" s="493"/>
      <c r="DS126" s="493"/>
      <c r="DT126" s="493"/>
      <c r="DU126" s="493"/>
      <c r="DV126" s="493"/>
      <c r="DW126" s="493"/>
      <c r="DX126" s="493"/>
      <c r="DY126" s="493"/>
      <c r="DZ126" s="493"/>
      <c r="EA126" s="453"/>
      <c r="EB126" s="452"/>
      <c r="EC126" s="452"/>
      <c r="ED126" s="554"/>
      <c r="EF126" s="447"/>
      <c r="EG126" s="451" t="s">
        <v>37</v>
      </c>
      <c r="EH126" s="448"/>
      <c r="EI126" s="619">
        <f t="shared" si="217"/>
        <v>0</v>
      </c>
      <c r="EJ126" s="619">
        <f t="shared" si="218"/>
        <v>0</v>
      </c>
      <c r="EK126" s="619">
        <f t="shared" si="219"/>
        <v>0</v>
      </c>
      <c r="EL126" s="619">
        <f t="shared" si="220"/>
        <v>0</v>
      </c>
      <c r="EM126" s="619">
        <f t="shared" si="221"/>
        <v>0</v>
      </c>
      <c r="EN126" s="619">
        <f t="shared" si="222"/>
        <v>0</v>
      </c>
      <c r="EO126" s="619">
        <f t="shared" si="223"/>
        <v>0</v>
      </c>
      <c r="EP126" s="619">
        <f t="shared" si="224"/>
        <v>0</v>
      </c>
      <c r="EQ126" s="619">
        <f t="shared" si="225"/>
        <v>0</v>
      </c>
      <c r="ER126" s="619">
        <f t="shared" si="226"/>
        <v>0</v>
      </c>
      <c r="ES126" s="608">
        <f t="shared" si="214"/>
        <v>0</v>
      </c>
      <c r="ET126" s="606">
        <f t="shared" si="215"/>
        <v>0</v>
      </c>
      <c r="EU126" s="606">
        <f t="shared" si="216"/>
        <v>0</v>
      </c>
      <c r="EW126" s="447"/>
      <c r="EX126" s="451" t="s">
        <v>37</v>
      </c>
      <c r="EY126" s="448"/>
      <c r="EZ126" s="599">
        <f t="shared" si="227"/>
        <v>0</v>
      </c>
      <c r="FA126" s="599"/>
      <c r="FB126" s="599"/>
      <c r="FC126" s="599"/>
      <c r="FD126" s="599"/>
      <c r="FE126" s="599"/>
      <c r="FF126" s="599"/>
      <c r="FG126" s="599"/>
      <c r="FH126" s="599"/>
      <c r="FI126" s="599"/>
      <c r="FJ126" s="597"/>
      <c r="FK126" s="596"/>
      <c r="FL126" s="596"/>
    </row>
    <row r="127" spans="2:168" hidden="1">
      <c r="B127" s="732" t="str">
        <f t="shared" si="210"/>
        <v>2.1</v>
      </c>
      <c r="C127" s="408">
        <f t="shared" si="170"/>
        <v>0</v>
      </c>
      <c r="D127" s="731" t="e">
        <f>IF(I$126=0,0,G127/I$126)</f>
        <v>#REF!</v>
      </c>
      <c r="E127" s="731" t="e">
        <f>IF(J$126=0,0,H127/J$126)</f>
        <v>#REF!</v>
      </c>
      <c r="G127" s="730" t="e">
        <f t="shared" si="171"/>
        <v>#REF!</v>
      </c>
      <c r="H127" s="730" t="e">
        <f t="shared" si="172"/>
        <v>#REF!</v>
      </c>
      <c r="I127" s="730"/>
      <c r="J127" s="730"/>
      <c r="K127" s="730" t="e">
        <f>IF(#REF!=0,0,1)</f>
        <v>#REF!</v>
      </c>
      <c r="L127" s="730" t="e">
        <f>IF(#REF!=0,0,1)</f>
        <v>#REF!</v>
      </c>
      <c r="M127" s="730">
        <f t="shared" si="173"/>
        <v>0</v>
      </c>
      <c r="N127" s="730">
        <f t="shared" si="212"/>
        <v>0</v>
      </c>
      <c r="P127" s="756"/>
      <c r="Q127" s="869"/>
      <c r="R127" s="743"/>
      <c r="S127" s="767"/>
      <c r="T127" s="865"/>
      <c r="U127" s="726"/>
      <c r="V127" s="873">
        <f t="shared" si="205"/>
        <v>0</v>
      </c>
      <c r="W127" s="872">
        <f t="shared" si="206"/>
        <v>0</v>
      </c>
      <c r="Y127" s="1">
        <f t="shared" si="192"/>
        <v>0</v>
      </c>
      <c r="Z127" s="1">
        <f t="shared" si="193"/>
        <v>0</v>
      </c>
      <c r="AA127" s="1">
        <f t="shared" si="194"/>
        <v>0</v>
      </c>
      <c r="AB127" s="1">
        <f t="shared" si="195"/>
        <v>0</v>
      </c>
      <c r="AC127" s="1">
        <f t="shared" si="196"/>
        <v>0</v>
      </c>
      <c r="AD127" s="1">
        <f t="shared" si="197"/>
        <v>0</v>
      </c>
      <c r="AE127" s="1">
        <f t="shared" si="198"/>
        <v>0</v>
      </c>
      <c r="AF127" s="1">
        <f t="shared" si="199"/>
        <v>0</v>
      </c>
      <c r="AG127" s="1">
        <f t="shared" si="200"/>
        <v>0</v>
      </c>
      <c r="AH127" s="1">
        <f t="shared" si="201"/>
        <v>0</v>
      </c>
      <c r="AI127" s="1">
        <f t="shared" si="202"/>
        <v>0</v>
      </c>
      <c r="AJ127" s="1">
        <f t="shared" si="203"/>
        <v>0</v>
      </c>
      <c r="AK127" s="1">
        <f t="shared" si="204"/>
        <v>0</v>
      </c>
      <c r="AM127" s="871"/>
      <c r="AN127" s="871"/>
      <c r="AO127" s="871"/>
      <c r="AP127" s="871"/>
      <c r="AQ127" s="871"/>
      <c r="AR127" s="871"/>
      <c r="AS127" s="871"/>
      <c r="AT127" s="871"/>
      <c r="AU127" s="871"/>
      <c r="AV127" s="871"/>
      <c r="AW127" s="871"/>
      <c r="AX127" s="871"/>
      <c r="AY127" s="871"/>
      <c r="BA127" s="723"/>
      <c r="BB127" s="723" t="e">
        <f>SUMPRODUCT($BD$7:$BM$7,BD127:BM127)</f>
        <v>#REF!</v>
      </c>
      <c r="BC127" s="723"/>
      <c r="BD127" s="722" t="e">
        <f>BR127*#REF!</f>
        <v>#REF!</v>
      </c>
      <c r="BE127" s="722" t="e">
        <f>BS127*#REF!</f>
        <v>#REF!</v>
      </c>
      <c r="BF127" s="722" t="e">
        <f>BT127*#REF!</f>
        <v>#REF!</v>
      </c>
      <c r="BG127" s="722" t="e">
        <f>BU127*#REF!</f>
        <v>#REF!</v>
      </c>
      <c r="BH127" s="803" t="e">
        <f>BV127*#REF!</f>
        <v>#REF!</v>
      </c>
      <c r="BI127" s="722" t="e">
        <f>BW127*#REF!</f>
        <v>#REF!</v>
      </c>
      <c r="BJ127" s="722" t="e">
        <f>BX127*#REF!</f>
        <v>#REF!</v>
      </c>
      <c r="BK127" s="722" t="e">
        <f>BY127*#REF!</f>
        <v>#REF!</v>
      </c>
      <c r="BL127" s="722" t="e">
        <f>BZ127*#REF!</f>
        <v>#REF!</v>
      </c>
      <c r="BM127" s="722" t="e">
        <f>CA127*#REF!</f>
        <v>#REF!</v>
      </c>
      <c r="BO127" s="749" t="str">
        <f t="shared" si="175"/>
        <v>2.1</v>
      </c>
      <c r="BP127" s="749" t="str">
        <f t="shared" si="176"/>
        <v>LR1 2</v>
      </c>
      <c r="BQ127" s="408">
        <f t="shared" si="177"/>
        <v>0</v>
      </c>
      <c r="BR127" s="719">
        <f t="shared" si="178"/>
        <v>0</v>
      </c>
      <c r="BS127" s="719">
        <f t="shared" si="179"/>
        <v>0</v>
      </c>
      <c r="BT127" s="719">
        <f t="shared" si="180"/>
        <v>0</v>
      </c>
      <c r="BU127" s="719">
        <f t="shared" si="181"/>
        <v>0</v>
      </c>
      <c r="BV127" s="802">
        <f t="shared" si="182"/>
        <v>0</v>
      </c>
      <c r="BW127" s="719">
        <f t="shared" si="183"/>
        <v>0</v>
      </c>
      <c r="BX127" s="719">
        <f t="shared" si="184"/>
        <v>0</v>
      </c>
      <c r="BY127" s="719">
        <f t="shared" si="185"/>
        <v>0</v>
      </c>
      <c r="BZ127" s="719">
        <f t="shared" si="186"/>
        <v>0</v>
      </c>
      <c r="CA127" s="719">
        <f t="shared" si="187"/>
        <v>0</v>
      </c>
      <c r="CB127" s="718">
        <f t="shared" si="188"/>
        <v>0</v>
      </c>
      <c r="CC127" s="717">
        <f t="shared" si="189"/>
        <v>0</v>
      </c>
      <c r="CD127" s="717">
        <f t="shared" si="190"/>
        <v>0</v>
      </c>
      <c r="CF127" s="455" t="s">
        <v>847</v>
      </c>
      <c r="CG127" s="459" t="s">
        <v>38</v>
      </c>
      <c r="CH127" s="456" t="s">
        <v>285</v>
      </c>
      <c r="CI127" s="461"/>
      <c r="CJ127" s="461"/>
      <c r="CK127" s="461"/>
      <c r="CL127" s="461"/>
      <c r="CM127" s="461"/>
      <c r="CN127" s="461"/>
      <c r="CO127" s="461"/>
      <c r="CP127" s="461"/>
      <c r="CQ127" s="461"/>
      <c r="CR127" s="461"/>
      <c r="CS127" s="504"/>
      <c r="CT127" s="503"/>
      <c r="CU127" s="503"/>
      <c r="CW127" s="455" t="s">
        <v>847</v>
      </c>
      <c r="CX127" s="459" t="s">
        <v>38</v>
      </c>
      <c r="CY127" s="456" t="s">
        <v>285</v>
      </c>
      <c r="CZ127" s="461"/>
      <c r="DA127" s="461"/>
      <c r="DB127" s="461"/>
      <c r="DC127" s="461"/>
      <c r="DD127" s="461"/>
      <c r="DE127" s="461"/>
      <c r="DF127" s="461"/>
      <c r="DG127" s="461"/>
      <c r="DH127" s="461"/>
      <c r="DI127" s="461"/>
      <c r="DJ127" s="504"/>
      <c r="DK127" s="503"/>
      <c r="DL127" s="503"/>
      <c r="DN127" s="455" t="s">
        <v>847</v>
      </c>
      <c r="DO127" s="459" t="s">
        <v>38</v>
      </c>
      <c r="DP127" s="456"/>
      <c r="DQ127" s="461"/>
      <c r="DR127" s="461"/>
      <c r="DS127" s="461"/>
      <c r="DT127" s="461"/>
      <c r="DU127" s="461"/>
      <c r="DV127" s="461"/>
      <c r="DW127" s="461"/>
      <c r="DX127" s="461"/>
      <c r="DY127" s="461"/>
      <c r="DZ127" s="461"/>
      <c r="EA127" s="504"/>
      <c r="EB127" s="503"/>
      <c r="EC127" s="503"/>
      <c r="ED127" s="558"/>
      <c r="EF127" s="455" t="s">
        <v>847</v>
      </c>
      <c r="EG127" s="459" t="s">
        <v>38</v>
      </c>
      <c r="EH127" s="456"/>
      <c r="EI127" s="609">
        <f t="shared" si="217"/>
        <v>0</v>
      </c>
      <c r="EJ127" s="609">
        <f t="shared" si="218"/>
        <v>0</v>
      </c>
      <c r="EK127" s="609">
        <f t="shared" si="219"/>
        <v>0</v>
      </c>
      <c r="EL127" s="609">
        <f t="shared" si="220"/>
        <v>0</v>
      </c>
      <c r="EM127" s="609">
        <f t="shared" si="221"/>
        <v>0</v>
      </c>
      <c r="EN127" s="609">
        <f t="shared" si="222"/>
        <v>0</v>
      </c>
      <c r="EO127" s="609">
        <f t="shared" si="223"/>
        <v>0</v>
      </c>
      <c r="EP127" s="609">
        <f t="shared" si="224"/>
        <v>0</v>
      </c>
      <c r="EQ127" s="609">
        <f t="shared" si="225"/>
        <v>0</v>
      </c>
      <c r="ER127" s="609">
        <f t="shared" si="226"/>
        <v>0</v>
      </c>
      <c r="ES127" s="625">
        <f t="shared" si="214"/>
        <v>0</v>
      </c>
      <c r="ET127" s="624">
        <f t="shared" si="215"/>
        <v>0</v>
      </c>
      <c r="EU127" s="624">
        <f t="shared" si="216"/>
        <v>0</v>
      </c>
      <c r="EW127" s="455" t="s">
        <v>846</v>
      </c>
      <c r="EX127" s="459" t="s">
        <v>38</v>
      </c>
      <c r="EY127" s="456"/>
      <c r="EZ127" s="598">
        <f t="shared" si="227"/>
        <v>0</v>
      </c>
      <c r="FA127" s="598"/>
      <c r="FB127" s="598"/>
      <c r="FC127" s="598"/>
      <c r="FD127" s="598"/>
      <c r="FE127" s="598"/>
      <c r="FF127" s="598"/>
      <c r="FG127" s="598"/>
      <c r="FH127" s="598"/>
      <c r="FI127" s="598"/>
      <c r="FJ127" s="657"/>
      <c r="FK127" s="601"/>
      <c r="FL127" s="601"/>
    </row>
    <row r="128" spans="2:168" ht="14.25" hidden="1" thickBot="1">
      <c r="B128" s="732" t="str">
        <f t="shared" si="210"/>
        <v>2.2</v>
      </c>
      <c r="C128" s="408">
        <f t="shared" si="170"/>
        <v>0</v>
      </c>
      <c r="D128" s="731" t="e">
        <f>IF(I$126=0,0,G128/I$126)</f>
        <v>#REF!</v>
      </c>
      <c r="E128" s="731" t="e">
        <f>IF(J$126=0,0,H128/J$126)</f>
        <v>#REF!</v>
      </c>
      <c r="G128" s="730" t="e">
        <f t="shared" si="171"/>
        <v>#REF!</v>
      </c>
      <c r="H128" s="730" t="e">
        <f t="shared" si="172"/>
        <v>#REF!</v>
      </c>
      <c r="I128" s="730"/>
      <c r="J128" s="730"/>
      <c r="K128" s="730" t="e">
        <f>IF(#REF!=0,0,1)</f>
        <v>#REF!</v>
      </c>
      <c r="L128" s="730" t="e">
        <f>IF(#REF!=0,0,1)</f>
        <v>#REF!</v>
      </c>
      <c r="M128" s="730">
        <f t="shared" si="173"/>
        <v>0</v>
      </c>
      <c r="N128" s="730">
        <f t="shared" si="212"/>
        <v>0</v>
      </c>
      <c r="P128" s="870"/>
      <c r="Q128" s="869"/>
      <c r="R128" s="743"/>
      <c r="S128" s="767"/>
      <c r="T128" s="865"/>
      <c r="U128" s="726"/>
      <c r="V128" s="868">
        <f t="shared" si="205"/>
        <v>0</v>
      </c>
      <c r="W128" s="867">
        <f t="shared" si="206"/>
        <v>0</v>
      </c>
      <c r="Y128" s="1">
        <f t="shared" si="192"/>
        <v>0</v>
      </c>
      <c r="Z128" s="1">
        <f t="shared" si="193"/>
        <v>0</v>
      </c>
      <c r="AA128" s="1">
        <f t="shared" si="194"/>
        <v>0</v>
      </c>
      <c r="AB128" s="1">
        <f t="shared" si="195"/>
        <v>0</v>
      </c>
      <c r="AC128" s="1">
        <f t="shared" si="196"/>
        <v>0</v>
      </c>
      <c r="AD128" s="1">
        <f t="shared" si="197"/>
        <v>0</v>
      </c>
      <c r="AE128" s="1">
        <f t="shared" si="198"/>
        <v>0</v>
      </c>
      <c r="AF128" s="1">
        <f t="shared" si="199"/>
        <v>0</v>
      </c>
      <c r="AG128" s="1">
        <f t="shared" si="200"/>
        <v>0</v>
      </c>
      <c r="AH128" s="1">
        <f t="shared" si="201"/>
        <v>0</v>
      </c>
      <c r="AI128" s="1">
        <f t="shared" si="202"/>
        <v>0</v>
      </c>
      <c r="AJ128" s="1">
        <f t="shared" si="203"/>
        <v>0</v>
      </c>
      <c r="AK128" s="1">
        <f t="shared" si="204"/>
        <v>0</v>
      </c>
      <c r="AM128" s="866"/>
      <c r="AN128" s="866"/>
      <c r="AO128" s="866"/>
      <c r="AP128" s="866"/>
      <c r="AQ128" s="866"/>
      <c r="AR128" s="866"/>
      <c r="AS128" s="866"/>
      <c r="AT128" s="866"/>
      <c r="AU128" s="866"/>
      <c r="AV128" s="866"/>
      <c r="AW128" s="866"/>
      <c r="AX128" s="866"/>
      <c r="AY128" s="866"/>
      <c r="BA128" s="723"/>
      <c r="BB128" s="723" t="e">
        <f>SUMPRODUCT($BD$7:$BM$7,BD128:BM128)</f>
        <v>#REF!</v>
      </c>
      <c r="BC128" s="723"/>
      <c r="BD128" s="722" t="e">
        <f>BR128*#REF!</f>
        <v>#REF!</v>
      </c>
      <c r="BE128" s="722" t="e">
        <f>BS128*#REF!</f>
        <v>#REF!</v>
      </c>
      <c r="BF128" s="722" t="e">
        <f>BT128*#REF!</f>
        <v>#REF!</v>
      </c>
      <c r="BG128" s="722" t="e">
        <f>BU128*#REF!</f>
        <v>#REF!</v>
      </c>
      <c r="BH128" s="803" t="e">
        <f>BV128*#REF!</f>
        <v>#REF!</v>
      </c>
      <c r="BI128" s="722" t="e">
        <f>BW128*#REF!</f>
        <v>#REF!</v>
      </c>
      <c r="BJ128" s="722" t="e">
        <f>BX128*#REF!</f>
        <v>#REF!</v>
      </c>
      <c r="BK128" s="722" t="e">
        <f>BY128*#REF!</f>
        <v>#REF!</v>
      </c>
      <c r="BL128" s="722" t="e">
        <f>BZ128*#REF!</f>
        <v>#REF!</v>
      </c>
      <c r="BM128" s="722" t="e">
        <f>CA128*#REF!</f>
        <v>#REF!</v>
      </c>
      <c r="BO128" s="749" t="str">
        <f t="shared" si="175"/>
        <v>2.2</v>
      </c>
      <c r="BP128" s="749" t="str">
        <f t="shared" si="176"/>
        <v>LR1 2</v>
      </c>
      <c r="BQ128" s="408">
        <f t="shared" si="177"/>
        <v>0</v>
      </c>
      <c r="BR128" s="719">
        <f t="shared" si="178"/>
        <v>0</v>
      </c>
      <c r="BS128" s="719">
        <f t="shared" si="179"/>
        <v>0</v>
      </c>
      <c r="BT128" s="719">
        <f t="shared" si="180"/>
        <v>0</v>
      </c>
      <c r="BU128" s="719">
        <f t="shared" si="181"/>
        <v>0</v>
      </c>
      <c r="BV128" s="802">
        <f t="shared" si="182"/>
        <v>0</v>
      </c>
      <c r="BW128" s="719">
        <f t="shared" si="183"/>
        <v>0</v>
      </c>
      <c r="BX128" s="719">
        <f t="shared" si="184"/>
        <v>0</v>
      </c>
      <c r="BY128" s="719">
        <f t="shared" si="185"/>
        <v>0</v>
      </c>
      <c r="BZ128" s="719">
        <f t="shared" si="186"/>
        <v>0</v>
      </c>
      <c r="CA128" s="719">
        <f t="shared" si="187"/>
        <v>0</v>
      </c>
      <c r="CB128" s="718">
        <f t="shared" si="188"/>
        <v>0</v>
      </c>
      <c r="CC128" s="717">
        <f t="shared" si="189"/>
        <v>0</v>
      </c>
      <c r="CD128" s="717">
        <f t="shared" si="190"/>
        <v>0</v>
      </c>
      <c r="CF128" s="455" t="s">
        <v>337</v>
      </c>
      <c r="CG128" s="459" t="s">
        <v>38</v>
      </c>
      <c r="CH128" s="456" t="s">
        <v>286</v>
      </c>
      <c r="CI128" s="461"/>
      <c r="CJ128" s="461"/>
      <c r="CK128" s="461"/>
      <c r="CL128" s="461"/>
      <c r="CM128" s="461"/>
      <c r="CN128" s="461"/>
      <c r="CO128" s="461"/>
      <c r="CP128" s="461"/>
      <c r="CQ128" s="461"/>
      <c r="CR128" s="461"/>
      <c r="CS128" s="504"/>
      <c r="CT128" s="503"/>
      <c r="CU128" s="503"/>
      <c r="CW128" s="455" t="s">
        <v>337</v>
      </c>
      <c r="CX128" s="459" t="s">
        <v>38</v>
      </c>
      <c r="CY128" s="456" t="s">
        <v>286</v>
      </c>
      <c r="CZ128" s="461"/>
      <c r="DA128" s="461"/>
      <c r="DB128" s="461"/>
      <c r="DC128" s="461"/>
      <c r="DD128" s="461"/>
      <c r="DE128" s="461"/>
      <c r="DF128" s="461"/>
      <c r="DG128" s="461"/>
      <c r="DH128" s="461"/>
      <c r="DI128" s="461"/>
      <c r="DJ128" s="504"/>
      <c r="DK128" s="503"/>
      <c r="DL128" s="503"/>
      <c r="DN128" s="455" t="s">
        <v>337</v>
      </c>
      <c r="DO128" s="459" t="s">
        <v>38</v>
      </c>
      <c r="DP128" s="456"/>
      <c r="DQ128" s="461"/>
      <c r="DR128" s="461"/>
      <c r="DS128" s="461"/>
      <c r="DT128" s="461"/>
      <c r="DU128" s="461"/>
      <c r="DV128" s="461"/>
      <c r="DW128" s="461"/>
      <c r="DX128" s="461"/>
      <c r="DY128" s="461"/>
      <c r="DZ128" s="461"/>
      <c r="EA128" s="504"/>
      <c r="EB128" s="503"/>
      <c r="EC128" s="503"/>
      <c r="ED128" s="558"/>
      <c r="EF128" s="455" t="s">
        <v>845</v>
      </c>
      <c r="EG128" s="459" t="s">
        <v>38</v>
      </c>
      <c r="EH128" s="456"/>
      <c r="EI128" s="609">
        <f t="shared" si="217"/>
        <v>0</v>
      </c>
      <c r="EJ128" s="609">
        <f t="shared" si="218"/>
        <v>0</v>
      </c>
      <c r="EK128" s="609">
        <f t="shared" si="219"/>
        <v>0</v>
      </c>
      <c r="EL128" s="609">
        <f t="shared" si="220"/>
        <v>0</v>
      </c>
      <c r="EM128" s="609">
        <f t="shared" si="221"/>
        <v>0</v>
      </c>
      <c r="EN128" s="609">
        <f t="shared" si="222"/>
        <v>0</v>
      </c>
      <c r="EO128" s="609">
        <f t="shared" si="223"/>
        <v>0</v>
      </c>
      <c r="EP128" s="609">
        <f t="shared" si="224"/>
        <v>0</v>
      </c>
      <c r="EQ128" s="609">
        <f t="shared" si="225"/>
        <v>0</v>
      </c>
      <c r="ER128" s="609">
        <f t="shared" si="226"/>
        <v>0</v>
      </c>
      <c r="ES128" s="625">
        <f t="shared" si="214"/>
        <v>0</v>
      </c>
      <c r="ET128" s="624">
        <f t="shared" si="215"/>
        <v>0</v>
      </c>
      <c r="EU128" s="624">
        <f t="shared" si="216"/>
        <v>0</v>
      </c>
      <c r="EW128" s="455" t="s">
        <v>844</v>
      </c>
      <c r="EX128" s="459" t="s">
        <v>38</v>
      </c>
      <c r="EY128" s="456"/>
      <c r="EZ128" s="598">
        <f t="shared" si="227"/>
        <v>0</v>
      </c>
      <c r="FA128" s="598"/>
      <c r="FB128" s="598"/>
      <c r="FC128" s="598"/>
      <c r="FD128" s="598"/>
      <c r="FE128" s="598"/>
      <c r="FF128" s="598"/>
      <c r="FG128" s="598"/>
      <c r="FH128" s="598"/>
      <c r="FI128" s="598"/>
      <c r="FJ128" s="657"/>
      <c r="FK128" s="601"/>
      <c r="FL128" s="601"/>
    </row>
    <row r="129" spans="2:168" ht="14.25" thickBot="1">
      <c r="B129" s="732">
        <f t="shared" si="210"/>
        <v>3</v>
      </c>
      <c r="C129" s="759" t="str">
        <f t="shared" si="170"/>
        <v>設備システムの高効率化</v>
      </c>
      <c r="D129" s="770" t="e">
        <f>IF(I$122=0,0,G129/I$122)</f>
        <v>#REF!</v>
      </c>
      <c r="E129" s="769" t="e">
        <f>IF(J$122=0,0,H129/J$122)</f>
        <v>#REF!</v>
      </c>
      <c r="G129" s="769" t="e">
        <f t="shared" si="171"/>
        <v>#REF!</v>
      </c>
      <c r="H129" s="769" t="e">
        <f t="shared" si="172"/>
        <v>#REF!</v>
      </c>
      <c r="I129" s="506" t="e">
        <f>SUM(G130:G131)</f>
        <v>#REF!</v>
      </c>
      <c r="J129" s="506" t="e">
        <f>SUM(H130:H131)</f>
        <v>#REF!</v>
      </c>
      <c r="K129" s="769" t="e">
        <f>IF(#REF!=0,0,1)</f>
        <v>#REF!</v>
      </c>
      <c r="L129" s="769" t="e">
        <f>IF(#REF!=0,0,1)</f>
        <v>#REF!</v>
      </c>
      <c r="M129" s="769">
        <f t="shared" si="173"/>
        <v>0.5</v>
      </c>
      <c r="N129" s="769">
        <f t="shared" si="212"/>
        <v>0</v>
      </c>
      <c r="P129" s="768">
        <v>3</v>
      </c>
      <c r="Q129" s="767" t="s">
        <v>287</v>
      </c>
      <c r="R129" s="767"/>
      <c r="S129" s="767"/>
      <c r="T129" s="865"/>
      <c r="U129" s="726"/>
      <c r="V129" s="814">
        <f t="shared" si="205"/>
        <v>0</v>
      </c>
      <c r="W129" s="813">
        <f t="shared" si="206"/>
        <v>0</v>
      </c>
      <c r="Y129" s="1">
        <f t="shared" si="192"/>
        <v>0</v>
      </c>
      <c r="Z129" s="1">
        <f t="shared" si="193"/>
        <v>0</v>
      </c>
      <c r="AA129" s="1">
        <f t="shared" si="194"/>
        <v>0</v>
      </c>
      <c r="AB129" s="1">
        <f t="shared" si="195"/>
        <v>0</v>
      </c>
      <c r="AC129" s="1">
        <f t="shared" si="196"/>
        <v>0</v>
      </c>
      <c r="AD129" s="1">
        <f t="shared" si="197"/>
        <v>0</v>
      </c>
      <c r="AE129" s="1">
        <f t="shared" si="198"/>
        <v>0</v>
      </c>
      <c r="AF129" s="1">
        <f t="shared" si="199"/>
        <v>0</v>
      </c>
      <c r="AG129" s="1">
        <f t="shared" si="200"/>
        <v>0</v>
      </c>
      <c r="AH129" s="1">
        <f t="shared" si="201"/>
        <v>0</v>
      </c>
      <c r="AI129" s="1">
        <f t="shared" si="202"/>
        <v>0</v>
      </c>
      <c r="AJ129" s="1">
        <f t="shared" si="203"/>
        <v>0</v>
      </c>
      <c r="AK129" s="1">
        <f t="shared" si="204"/>
        <v>0</v>
      </c>
      <c r="AM129" s="812" t="s">
        <v>842</v>
      </c>
      <c r="AN129" s="812" t="s">
        <v>49</v>
      </c>
      <c r="AO129" s="812" t="s">
        <v>843</v>
      </c>
      <c r="AP129" s="812" t="s">
        <v>843</v>
      </c>
      <c r="AQ129" s="812" t="s">
        <v>49</v>
      </c>
      <c r="AR129" s="812" t="s">
        <v>843</v>
      </c>
      <c r="AS129" s="812" t="s">
        <v>843</v>
      </c>
      <c r="AT129" s="812" t="s">
        <v>49</v>
      </c>
      <c r="AU129" s="812" t="s">
        <v>49</v>
      </c>
      <c r="AV129" s="812" t="s">
        <v>49</v>
      </c>
      <c r="AW129" s="812" t="s">
        <v>822</v>
      </c>
      <c r="AX129" s="812" t="s">
        <v>49</v>
      </c>
      <c r="AY129" s="812" t="s">
        <v>842</v>
      </c>
      <c r="BA129" s="763" t="e">
        <f>BB129/$BC$122</f>
        <v>#REF!</v>
      </c>
      <c r="BB129" s="780" t="e">
        <f>D129</f>
        <v>#REF!</v>
      </c>
      <c r="BC129" s="848"/>
      <c r="BD129" s="846" t="e">
        <f>BR129*#REF!</f>
        <v>#REF!</v>
      </c>
      <c r="BE129" s="846" t="e">
        <f>BS129*#REF!</f>
        <v>#REF!</v>
      </c>
      <c r="BF129" s="846" t="e">
        <f>BT129*#REF!</f>
        <v>#REF!</v>
      </c>
      <c r="BG129" s="846" t="e">
        <f>BU129*#REF!</f>
        <v>#REF!</v>
      </c>
      <c r="BH129" s="847" t="e">
        <f>BV129*#REF!</f>
        <v>#REF!</v>
      </c>
      <c r="BI129" s="846" t="e">
        <f>BW129*#REF!</f>
        <v>#REF!</v>
      </c>
      <c r="BJ129" s="846" t="e">
        <f>BX129*#REF!</f>
        <v>#REF!</v>
      </c>
      <c r="BK129" s="846" t="e">
        <f>BY129*#REF!</f>
        <v>#REF!</v>
      </c>
      <c r="BL129" s="846" t="e">
        <f>BZ129*#REF!</f>
        <v>#REF!</v>
      </c>
      <c r="BM129" s="846" t="e">
        <f>CA129*#REF!</f>
        <v>#REF!</v>
      </c>
      <c r="BO129" s="823">
        <f t="shared" si="175"/>
        <v>3</v>
      </c>
      <c r="BP129" s="823" t="str">
        <f t="shared" si="176"/>
        <v>LR1</v>
      </c>
      <c r="BQ129" s="759" t="str">
        <f t="shared" si="177"/>
        <v>設備システムの高効率化</v>
      </c>
      <c r="BR129" s="844">
        <f t="shared" si="178"/>
        <v>0.5</v>
      </c>
      <c r="BS129" s="844">
        <f t="shared" si="179"/>
        <v>0.5</v>
      </c>
      <c r="BT129" s="844">
        <f t="shared" si="180"/>
        <v>0.5</v>
      </c>
      <c r="BU129" s="844">
        <f t="shared" si="181"/>
        <v>0.5</v>
      </c>
      <c r="BV129" s="845">
        <f t="shared" si="182"/>
        <v>0.5</v>
      </c>
      <c r="BW129" s="844">
        <f t="shared" si="183"/>
        <v>0.625</v>
      </c>
      <c r="BX129" s="844">
        <f t="shared" si="184"/>
        <v>0.5</v>
      </c>
      <c r="BY129" s="844">
        <f t="shared" si="185"/>
        <v>0.5</v>
      </c>
      <c r="BZ129" s="844">
        <f t="shared" si="186"/>
        <v>0.5</v>
      </c>
      <c r="CA129" s="844">
        <f t="shared" si="187"/>
        <v>0.5</v>
      </c>
      <c r="CB129" s="758">
        <f t="shared" si="188"/>
        <v>0</v>
      </c>
      <c r="CC129" s="757">
        <f t="shared" si="189"/>
        <v>0</v>
      </c>
      <c r="CD129" s="757">
        <f t="shared" si="190"/>
        <v>0</v>
      </c>
      <c r="CF129" s="447">
        <v>3</v>
      </c>
      <c r="CG129" s="451" t="s">
        <v>405</v>
      </c>
      <c r="CH129" s="448" t="s">
        <v>287</v>
      </c>
      <c r="CI129" s="493">
        <v>0.5</v>
      </c>
      <c r="CJ129" s="493">
        <v>0.5</v>
      </c>
      <c r="CK129" s="493">
        <v>0.5</v>
      </c>
      <c r="CL129" s="493">
        <v>0.5</v>
      </c>
      <c r="CM129" s="493">
        <v>0.5</v>
      </c>
      <c r="CN129" s="532">
        <v>0.625</v>
      </c>
      <c r="CO129" s="493">
        <v>0.5</v>
      </c>
      <c r="CP129" s="493">
        <v>0.5</v>
      </c>
      <c r="CQ129" s="493">
        <v>0.5</v>
      </c>
      <c r="CR129" s="493">
        <v>0.5</v>
      </c>
      <c r="CS129" s="453"/>
      <c r="CT129" s="452"/>
      <c r="CU129" s="452"/>
      <c r="CW129" s="447">
        <v>3</v>
      </c>
      <c r="CX129" s="451" t="s">
        <v>405</v>
      </c>
      <c r="CY129" s="448" t="s">
        <v>287</v>
      </c>
      <c r="CZ129" s="493">
        <v>0.5</v>
      </c>
      <c r="DA129" s="493">
        <v>0.5</v>
      </c>
      <c r="DB129" s="493">
        <v>0.5</v>
      </c>
      <c r="DC129" s="493">
        <v>0.5</v>
      </c>
      <c r="DD129" s="493">
        <v>0.5</v>
      </c>
      <c r="DE129" s="532">
        <v>0.625</v>
      </c>
      <c r="DF129" s="493">
        <v>0.5</v>
      </c>
      <c r="DG129" s="493">
        <v>0.5</v>
      </c>
      <c r="DH129" s="493">
        <v>0.5</v>
      </c>
      <c r="DI129" s="493">
        <v>0.5</v>
      </c>
      <c r="DJ129" s="453"/>
      <c r="DK129" s="452"/>
      <c r="DL129" s="452"/>
      <c r="DN129" s="447">
        <v>3</v>
      </c>
      <c r="DO129" s="451" t="s">
        <v>405</v>
      </c>
      <c r="DP129" s="448" t="s">
        <v>287</v>
      </c>
      <c r="DQ129" s="493">
        <v>0.5</v>
      </c>
      <c r="DR129" s="493">
        <v>0.5</v>
      </c>
      <c r="DS129" s="493">
        <v>0.5</v>
      </c>
      <c r="DT129" s="493">
        <v>0.5</v>
      </c>
      <c r="DU129" s="493">
        <v>0.5</v>
      </c>
      <c r="DV129" s="532">
        <v>0.625</v>
      </c>
      <c r="DW129" s="493">
        <v>0.5</v>
      </c>
      <c r="DX129" s="493">
        <v>0.5</v>
      </c>
      <c r="DY129" s="493">
        <v>0.5</v>
      </c>
      <c r="DZ129" s="493">
        <v>0.5</v>
      </c>
      <c r="EA129" s="453"/>
      <c r="EB129" s="452"/>
      <c r="EC129" s="452"/>
      <c r="ED129" s="554"/>
      <c r="EF129" s="447">
        <v>3</v>
      </c>
      <c r="EG129" s="451" t="s">
        <v>405</v>
      </c>
      <c r="EH129" s="448" t="s">
        <v>287</v>
      </c>
      <c r="EI129" s="619">
        <f t="shared" si="217"/>
        <v>0.5</v>
      </c>
      <c r="EJ129" s="619">
        <f t="shared" si="218"/>
        <v>0.5</v>
      </c>
      <c r="EK129" s="619">
        <f t="shared" si="219"/>
        <v>0.5</v>
      </c>
      <c r="EL129" s="619">
        <f t="shared" si="220"/>
        <v>0.5</v>
      </c>
      <c r="EM129" s="619">
        <f t="shared" si="221"/>
        <v>0.5</v>
      </c>
      <c r="EN129" s="619">
        <f t="shared" si="222"/>
        <v>0.625</v>
      </c>
      <c r="EO129" s="619">
        <f t="shared" si="223"/>
        <v>0.5</v>
      </c>
      <c r="EP129" s="619">
        <f t="shared" si="224"/>
        <v>0.5</v>
      </c>
      <c r="EQ129" s="619">
        <f t="shared" si="225"/>
        <v>0.5</v>
      </c>
      <c r="ER129" s="619">
        <f t="shared" si="226"/>
        <v>0.5</v>
      </c>
      <c r="ES129" s="608">
        <f t="shared" si="214"/>
        <v>0</v>
      </c>
      <c r="ET129" s="606">
        <f t="shared" si="215"/>
        <v>0</v>
      </c>
      <c r="EU129" s="606">
        <f t="shared" si="216"/>
        <v>0</v>
      </c>
      <c r="EW129" s="447">
        <v>3</v>
      </c>
      <c r="EX129" s="451" t="s">
        <v>405</v>
      </c>
      <c r="EY129" s="448" t="s">
        <v>287</v>
      </c>
      <c r="EZ129" s="599">
        <f t="shared" si="227"/>
        <v>0.5</v>
      </c>
      <c r="FA129" s="599"/>
      <c r="FB129" s="599"/>
      <c r="FC129" s="599"/>
      <c r="FD129" s="599"/>
      <c r="FE129" s="599"/>
      <c r="FF129" s="599"/>
      <c r="FG129" s="599"/>
      <c r="FH129" s="599"/>
      <c r="FI129" s="599"/>
      <c r="FJ129" s="597"/>
      <c r="FK129" s="596"/>
      <c r="FL129" s="596"/>
    </row>
    <row r="130" spans="2:168" ht="14.25" hidden="1" thickBot="1">
      <c r="B130" s="732" t="str">
        <f t="shared" si="210"/>
        <v>3a.3b</v>
      </c>
      <c r="C130" s="759" t="str">
        <f t="shared" si="170"/>
        <v>非住宅部分</v>
      </c>
      <c r="D130" s="770" t="e">
        <f>IF(I$129=0,0,G130/I$129)</f>
        <v>#REF!</v>
      </c>
      <c r="E130" s="769" t="e">
        <f>IF(J$129=0,0,H130/J$129)</f>
        <v>#REF!</v>
      </c>
      <c r="G130" s="769" t="e">
        <f t="shared" si="171"/>
        <v>#REF!</v>
      </c>
      <c r="H130" s="769" t="e">
        <f t="shared" si="172"/>
        <v>#REF!</v>
      </c>
      <c r="I130" s="769"/>
      <c r="J130" s="769"/>
      <c r="K130" s="769" t="e">
        <f>IF(#REF!=0,0,1)</f>
        <v>#REF!</v>
      </c>
      <c r="L130" s="769" t="e">
        <f>IF(#REF!=0,0,1)</f>
        <v>#REF!</v>
      </c>
      <c r="M130" s="769">
        <f t="shared" si="173"/>
        <v>1</v>
      </c>
      <c r="N130" s="769">
        <f t="shared" si="212"/>
        <v>0</v>
      </c>
      <c r="P130" s="862"/>
      <c r="Q130" s="861"/>
      <c r="R130" s="854" t="s">
        <v>704</v>
      </c>
      <c r="S130" s="545"/>
      <c r="T130" s="853"/>
      <c r="U130" s="726"/>
      <c r="V130" s="864">
        <f t="shared" si="205"/>
        <v>0</v>
      </c>
      <c r="W130" s="863">
        <f t="shared" si="206"/>
        <v>0</v>
      </c>
      <c r="Y130" s="1">
        <f t="shared" si="192"/>
        <v>0</v>
      </c>
      <c r="Z130" s="1">
        <f t="shared" si="193"/>
        <v>0</v>
      </c>
      <c r="AA130" s="1">
        <f t="shared" si="194"/>
        <v>0</v>
      </c>
      <c r="AB130" s="1">
        <f t="shared" si="195"/>
        <v>0</v>
      </c>
      <c r="AC130" s="1">
        <f t="shared" si="196"/>
        <v>0</v>
      </c>
      <c r="AD130" s="1">
        <f t="shared" si="197"/>
        <v>0</v>
      </c>
      <c r="AE130" s="1">
        <f t="shared" si="198"/>
        <v>0</v>
      </c>
      <c r="AF130" s="1">
        <f t="shared" si="199"/>
        <v>0</v>
      </c>
      <c r="AG130" s="1">
        <f t="shared" si="200"/>
        <v>0</v>
      </c>
      <c r="AH130" s="1">
        <f t="shared" si="201"/>
        <v>0</v>
      </c>
      <c r="AI130" s="1">
        <f t="shared" si="202"/>
        <v>0</v>
      </c>
      <c r="AJ130" s="1">
        <f t="shared" si="203"/>
        <v>0</v>
      </c>
      <c r="AK130" s="1">
        <f t="shared" si="204"/>
        <v>0</v>
      </c>
      <c r="AM130" s="849" t="s">
        <v>49</v>
      </c>
      <c r="AN130" s="849" t="s">
        <v>49</v>
      </c>
      <c r="AO130" s="849" t="s">
        <v>49</v>
      </c>
      <c r="AP130" s="849" t="s">
        <v>49</v>
      </c>
      <c r="AQ130" s="849" t="s">
        <v>49</v>
      </c>
      <c r="AR130" s="849" t="s">
        <v>49</v>
      </c>
      <c r="AS130" s="849" t="s">
        <v>49</v>
      </c>
      <c r="AT130" s="849" t="s">
        <v>49</v>
      </c>
      <c r="AU130" s="849" t="s">
        <v>49</v>
      </c>
      <c r="AV130" s="849" t="s">
        <v>49</v>
      </c>
      <c r="AW130" s="849" t="s">
        <v>49</v>
      </c>
      <c r="AX130" s="849" t="s">
        <v>49</v>
      </c>
      <c r="AY130" s="849" t="s">
        <v>49</v>
      </c>
      <c r="BA130" s="723"/>
      <c r="BB130" s="723" t="e">
        <f t="shared" ref="BB130:BB172" si="228">SUMPRODUCT($BD$7:$BM$7,BD130:BM130)</f>
        <v>#REF!</v>
      </c>
      <c r="BC130" s="723"/>
      <c r="BD130" s="722" t="e">
        <f>BR130*#REF!</f>
        <v>#REF!</v>
      </c>
      <c r="BE130" s="722" t="e">
        <f>BS130*#REF!</f>
        <v>#REF!</v>
      </c>
      <c r="BF130" s="722" t="e">
        <f>BT130*#REF!</f>
        <v>#REF!</v>
      </c>
      <c r="BG130" s="722" t="e">
        <f>BU130*#REF!</f>
        <v>#REF!</v>
      </c>
      <c r="BH130" s="803" t="e">
        <f>BV130*#REF!</f>
        <v>#REF!</v>
      </c>
      <c r="BI130" s="722" t="e">
        <f>BW130*#REF!</f>
        <v>#REF!</v>
      </c>
      <c r="BJ130" s="722" t="e">
        <f>BX130*#REF!</f>
        <v>#REF!</v>
      </c>
      <c r="BK130" s="722" t="e">
        <f>BY130*#REF!</f>
        <v>#REF!</v>
      </c>
      <c r="BL130" s="722" t="e">
        <f>BZ130*#REF!</f>
        <v>#REF!</v>
      </c>
      <c r="BM130" s="722" t="e">
        <f>CA130*#REF!</f>
        <v>#REF!</v>
      </c>
      <c r="BO130" s="823" t="str">
        <f t="shared" si="175"/>
        <v>3a.3b</v>
      </c>
      <c r="BP130" s="823" t="str">
        <f t="shared" si="176"/>
        <v>LR1 3</v>
      </c>
      <c r="BQ130" s="759" t="str">
        <f t="shared" si="177"/>
        <v>非住宅部分</v>
      </c>
      <c r="BR130" s="719">
        <f t="shared" si="178"/>
        <v>1</v>
      </c>
      <c r="BS130" s="719">
        <f t="shared" si="179"/>
        <v>1</v>
      </c>
      <c r="BT130" s="719">
        <f t="shared" si="180"/>
        <v>1</v>
      </c>
      <c r="BU130" s="719">
        <f t="shared" si="181"/>
        <v>1</v>
      </c>
      <c r="BV130" s="802">
        <f t="shared" si="182"/>
        <v>1</v>
      </c>
      <c r="BW130" s="719">
        <f t="shared" si="183"/>
        <v>1</v>
      </c>
      <c r="BX130" s="719">
        <f t="shared" si="184"/>
        <v>1</v>
      </c>
      <c r="BY130" s="719">
        <f t="shared" si="185"/>
        <v>1</v>
      </c>
      <c r="BZ130" s="719">
        <f t="shared" si="186"/>
        <v>1</v>
      </c>
      <c r="CA130" s="719">
        <f t="shared" si="187"/>
        <v>0</v>
      </c>
      <c r="CB130" s="758">
        <f t="shared" si="188"/>
        <v>0</v>
      </c>
      <c r="CC130" s="757">
        <f t="shared" si="189"/>
        <v>0</v>
      </c>
      <c r="CD130" s="757">
        <f t="shared" si="190"/>
        <v>0</v>
      </c>
      <c r="CF130" s="447" t="s">
        <v>338</v>
      </c>
      <c r="CG130" s="451" t="s">
        <v>339</v>
      </c>
      <c r="CH130" s="448" t="s">
        <v>39</v>
      </c>
      <c r="CI130" s="523"/>
      <c r="CJ130" s="523"/>
      <c r="CK130" s="523"/>
      <c r="CL130" s="523"/>
      <c r="CM130" s="523"/>
      <c r="CN130" s="523"/>
      <c r="CO130" s="524"/>
      <c r="CP130" s="523"/>
      <c r="CQ130" s="523"/>
      <c r="CR130" s="524"/>
      <c r="CS130" s="453"/>
      <c r="CT130" s="452"/>
      <c r="CU130" s="452"/>
      <c r="CW130" s="447" t="s">
        <v>338</v>
      </c>
      <c r="CX130" s="451" t="s">
        <v>339</v>
      </c>
      <c r="CY130" s="448" t="s">
        <v>841</v>
      </c>
      <c r="CZ130" s="524">
        <v>1</v>
      </c>
      <c r="DA130" s="524">
        <v>1</v>
      </c>
      <c r="DB130" s="524">
        <v>1</v>
      </c>
      <c r="DC130" s="524">
        <v>1</v>
      </c>
      <c r="DD130" s="524">
        <v>1</v>
      </c>
      <c r="DE130" s="524">
        <v>1</v>
      </c>
      <c r="DF130" s="524">
        <v>1</v>
      </c>
      <c r="DG130" s="524">
        <v>1</v>
      </c>
      <c r="DH130" s="524">
        <v>1</v>
      </c>
      <c r="DI130" s="524"/>
      <c r="DJ130" s="453"/>
      <c r="DK130" s="452"/>
      <c r="DL130" s="452"/>
      <c r="DN130" s="447" t="s">
        <v>706</v>
      </c>
      <c r="DO130" s="451" t="s">
        <v>339</v>
      </c>
      <c r="DP130" s="448" t="s">
        <v>841</v>
      </c>
      <c r="DQ130" s="524">
        <v>1</v>
      </c>
      <c r="DR130" s="524">
        <v>1</v>
      </c>
      <c r="DS130" s="524">
        <v>1</v>
      </c>
      <c r="DT130" s="524">
        <v>1</v>
      </c>
      <c r="DU130" s="524">
        <v>1</v>
      </c>
      <c r="DV130" s="524">
        <v>1</v>
      </c>
      <c r="DW130" s="524">
        <v>1</v>
      </c>
      <c r="DX130" s="524">
        <v>1</v>
      </c>
      <c r="DY130" s="524">
        <v>1</v>
      </c>
      <c r="DZ130" s="524"/>
      <c r="EA130" s="453"/>
      <c r="EB130" s="452"/>
      <c r="EC130" s="452"/>
      <c r="ED130" s="554"/>
      <c r="EF130" s="447" t="s">
        <v>706</v>
      </c>
      <c r="EG130" s="451" t="s">
        <v>339</v>
      </c>
      <c r="EH130" s="448" t="s">
        <v>841</v>
      </c>
      <c r="EI130" s="620">
        <f t="shared" si="217"/>
        <v>1</v>
      </c>
      <c r="EJ130" s="620">
        <f t="shared" si="218"/>
        <v>1</v>
      </c>
      <c r="EK130" s="620">
        <f t="shared" si="219"/>
        <v>1</v>
      </c>
      <c r="EL130" s="620">
        <f t="shared" si="220"/>
        <v>1</v>
      </c>
      <c r="EM130" s="620">
        <f t="shared" si="221"/>
        <v>1</v>
      </c>
      <c r="EN130" s="620">
        <f t="shared" si="222"/>
        <v>1</v>
      </c>
      <c r="EO130" s="620">
        <f t="shared" si="223"/>
        <v>1</v>
      </c>
      <c r="EP130" s="620">
        <f t="shared" si="224"/>
        <v>1</v>
      </c>
      <c r="EQ130" s="620">
        <f t="shared" si="225"/>
        <v>1</v>
      </c>
      <c r="ER130" s="620">
        <f t="shared" si="226"/>
        <v>0</v>
      </c>
      <c r="ES130" s="608">
        <f t="shared" si="214"/>
        <v>0</v>
      </c>
      <c r="ET130" s="606">
        <f t="shared" si="215"/>
        <v>0</v>
      </c>
      <c r="EU130" s="606">
        <f t="shared" si="216"/>
        <v>0</v>
      </c>
      <c r="EW130" s="447" t="s">
        <v>706</v>
      </c>
      <c r="EX130" s="451" t="s">
        <v>339</v>
      </c>
      <c r="EY130" s="448" t="s">
        <v>841</v>
      </c>
      <c r="EZ130" s="600">
        <f t="shared" si="227"/>
        <v>1</v>
      </c>
      <c r="FA130" s="600"/>
      <c r="FB130" s="600"/>
      <c r="FC130" s="600"/>
      <c r="FD130" s="600"/>
      <c r="FE130" s="600"/>
      <c r="FF130" s="600"/>
      <c r="FG130" s="600"/>
      <c r="FH130" s="600"/>
      <c r="FI130" s="600"/>
      <c r="FJ130" s="597"/>
      <c r="FK130" s="596"/>
      <c r="FL130" s="596"/>
    </row>
    <row r="131" spans="2:168" ht="14.25" hidden="1" thickBot="1">
      <c r="B131" s="732" t="str">
        <f t="shared" si="210"/>
        <v>3b.c</v>
      </c>
      <c r="C131" s="759" t="str">
        <f t="shared" si="170"/>
        <v>集合住宅の評価</v>
      </c>
      <c r="D131" s="770" t="e">
        <f>IF(I$129=0,0,G131/I$129)</f>
        <v>#REF!</v>
      </c>
      <c r="E131" s="769" t="e">
        <f>IF(J$129=0,0,H131/J$129)</f>
        <v>#REF!</v>
      </c>
      <c r="G131" s="769" t="e">
        <f t="shared" si="171"/>
        <v>#REF!</v>
      </c>
      <c r="H131" s="769" t="e">
        <f t="shared" si="172"/>
        <v>#REF!</v>
      </c>
      <c r="I131" s="769" t="e">
        <f>G132+G133+G134+G135+G136</f>
        <v>#REF!</v>
      </c>
      <c r="J131" s="769" t="e">
        <f>H132+H133+H134+H135+H136</f>
        <v>#REF!</v>
      </c>
      <c r="K131" s="769" t="e">
        <f>IF(#REF!=0,0,1)</f>
        <v>#REF!</v>
      </c>
      <c r="L131" s="769" t="e">
        <f>IF(#REF!=0,0,1)</f>
        <v>#REF!</v>
      </c>
      <c r="M131" s="769">
        <f t="shared" si="173"/>
        <v>0</v>
      </c>
      <c r="N131" s="769">
        <f t="shared" si="212"/>
        <v>0</v>
      </c>
      <c r="P131" s="862"/>
      <c r="Q131" s="861"/>
      <c r="R131" s="854" t="s">
        <v>705</v>
      </c>
      <c r="S131" s="545"/>
      <c r="T131" s="853"/>
      <c r="U131" s="726"/>
      <c r="V131" s="860">
        <f t="shared" si="205"/>
        <v>0</v>
      </c>
      <c r="W131" s="859">
        <f t="shared" si="206"/>
        <v>0</v>
      </c>
      <c r="Y131" s="1">
        <f t="shared" si="192"/>
        <v>0</v>
      </c>
      <c r="Z131" s="1">
        <f t="shared" si="193"/>
        <v>0</v>
      </c>
      <c r="AA131" s="1">
        <f t="shared" si="194"/>
        <v>0</v>
      </c>
      <c r="AB131" s="1">
        <f t="shared" si="195"/>
        <v>0</v>
      </c>
      <c r="AC131" s="1">
        <f t="shared" si="196"/>
        <v>0</v>
      </c>
      <c r="AD131" s="1">
        <f t="shared" si="197"/>
        <v>0</v>
      </c>
      <c r="AE131" s="1">
        <f t="shared" si="198"/>
        <v>0</v>
      </c>
      <c r="AF131" s="1">
        <f t="shared" si="199"/>
        <v>0</v>
      </c>
      <c r="AG131" s="1">
        <f t="shared" si="200"/>
        <v>0</v>
      </c>
      <c r="AH131" s="1">
        <f t="shared" si="201"/>
        <v>0</v>
      </c>
      <c r="AI131" s="1">
        <f t="shared" si="202"/>
        <v>0</v>
      </c>
      <c r="AJ131" s="1">
        <f t="shared" si="203"/>
        <v>0</v>
      </c>
      <c r="AK131" s="1">
        <f t="shared" si="204"/>
        <v>0</v>
      </c>
      <c r="AM131" s="812" t="s">
        <v>49</v>
      </c>
      <c r="AN131" s="812" t="s">
        <v>49</v>
      </c>
      <c r="AO131" s="812" t="s">
        <v>49</v>
      </c>
      <c r="AP131" s="812" t="s">
        <v>49</v>
      </c>
      <c r="AQ131" s="812" t="s">
        <v>49</v>
      </c>
      <c r="AR131" s="812" t="s">
        <v>49</v>
      </c>
      <c r="AS131" s="812" t="s">
        <v>49</v>
      </c>
      <c r="AT131" s="812" t="s">
        <v>49</v>
      </c>
      <c r="AU131" s="812" t="s">
        <v>49</v>
      </c>
      <c r="AV131" s="812" t="s">
        <v>49</v>
      </c>
      <c r="AW131" s="812" t="s">
        <v>49</v>
      </c>
      <c r="AX131" s="812" t="s">
        <v>49</v>
      </c>
      <c r="AY131" s="812" t="s">
        <v>49</v>
      </c>
      <c r="BA131" s="723"/>
      <c r="BB131" s="723" t="e">
        <f t="shared" si="228"/>
        <v>#REF!</v>
      </c>
      <c r="BC131" s="723"/>
      <c r="BD131" s="722" t="e">
        <f>BR131*#REF!</f>
        <v>#REF!</v>
      </c>
      <c r="BE131" s="722" t="e">
        <f>BS131*#REF!</f>
        <v>#REF!</v>
      </c>
      <c r="BF131" s="722" t="e">
        <f>BT131*#REF!</f>
        <v>#REF!</v>
      </c>
      <c r="BG131" s="722" t="e">
        <f>BU131*#REF!</f>
        <v>#REF!</v>
      </c>
      <c r="BH131" s="803" t="e">
        <f>BV131*#REF!</f>
        <v>#REF!</v>
      </c>
      <c r="BI131" s="722" t="e">
        <f>BW131*#REF!</f>
        <v>#REF!</v>
      </c>
      <c r="BJ131" s="722" t="e">
        <f>BX131*#REF!</f>
        <v>#REF!</v>
      </c>
      <c r="BK131" s="722" t="e">
        <f>BY131*#REF!</f>
        <v>#REF!</v>
      </c>
      <c r="BL131" s="722" t="e">
        <f>BZ131*#REF!</f>
        <v>#REF!</v>
      </c>
      <c r="BM131" s="722" t="e">
        <f>CA131*#REF!</f>
        <v>#REF!</v>
      </c>
      <c r="BO131" s="823" t="str">
        <f t="shared" si="175"/>
        <v>3b.c</v>
      </c>
      <c r="BP131" s="823" t="str">
        <f t="shared" si="176"/>
        <v>LR1 3</v>
      </c>
      <c r="BQ131" s="759" t="str">
        <f t="shared" si="177"/>
        <v>集合住宅の評価</v>
      </c>
      <c r="BR131" s="719">
        <f t="shared" si="178"/>
        <v>0</v>
      </c>
      <c r="BS131" s="719">
        <f t="shared" si="179"/>
        <v>0</v>
      </c>
      <c r="BT131" s="719">
        <f t="shared" si="180"/>
        <v>0</v>
      </c>
      <c r="BU131" s="719">
        <f t="shared" si="181"/>
        <v>0</v>
      </c>
      <c r="BV131" s="802">
        <f t="shared" si="182"/>
        <v>0</v>
      </c>
      <c r="BW131" s="719">
        <f t="shared" si="183"/>
        <v>0</v>
      </c>
      <c r="BX131" s="719">
        <f t="shared" si="184"/>
        <v>0</v>
      </c>
      <c r="BY131" s="719">
        <f t="shared" si="185"/>
        <v>0</v>
      </c>
      <c r="BZ131" s="719">
        <f t="shared" si="186"/>
        <v>0</v>
      </c>
      <c r="CA131" s="719">
        <f t="shared" si="187"/>
        <v>1</v>
      </c>
      <c r="CB131" s="758">
        <f t="shared" si="188"/>
        <v>0</v>
      </c>
      <c r="CC131" s="757">
        <f t="shared" si="189"/>
        <v>0</v>
      </c>
      <c r="CD131" s="757">
        <f t="shared" si="190"/>
        <v>0</v>
      </c>
      <c r="CF131" s="447" t="s">
        <v>432</v>
      </c>
      <c r="CG131" s="451" t="s">
        <v>339</v>
      </c>
      <c r="CH131" s="448" t="s">
        <v>40</v>
      </c>
      <c r="CI131" s="525"/>
      <c r="CJ131" s="525"/>
      <c r="CK131" s="525"/>
      <c r="CL131" s="525"/>
      <c r="CM131" s="525"/>
      <c r="CN131" s="525"/>
      <c r="CO131" s="524"/>
      <c r="CP131" s="525"/>
      <c r="CQ131" s="525"/>
      <c r="CR131" s="524"/>
      <c r="CS131" s="453"/>
      <c r="CT131" s="452"/>
      <c r="CU131" s="452"/>
      <c r="CW131" s="447" t="s">
        <v>432</v>
      </c>
      <c r="CX131" s="451" t="s">
        <v>339</v>
      </c>
      <c r="CY131" s="448" t="s">
        <v>360</v>
      </c>
      <c r="CZ131" s="525"/>
      <c r="DA131" s="525"/>
      <c r="DB131" s="525"/>
      <c r="DC131" s="525"/>
      <c r="DD131" s="525"/>
      <c r="DE131" s="525"/>
      <c r="DF131" s="524"/>
      <c r="DG131" s="525"/>
      <c r="DH131" s="525"/>
      <c r="DI131" s="524">
        <v>1</v>
      </c>
      <c r="DJ131" s="453"/>
      <c r="DK131" s="452"/>
      <c r="DL131" s="452"/>
      <c r="DN131" s="447" t="s">
        <v>707</v>
      </c>
      <c r="DO131" s="451" t="s">
        <v>339</v>
      </c>
      <c r="DP131" s="448" t="s">
        <v>360</v>
      </c>
      <c r="DQ131" s="525"/>
      <c r="DR131" s="525"/>
      <c r="DS131" s="525"/>
      <c r="DT131" s="525"/>
      <c r="DU131" s="525"/>
      <c r="DV131" s="525"/>
      <c r="DW131" s="524"/>
      <c r="DX131" s="525"/>
      <c r="DY131" s="525"/>
      <c r="DZ131" s="524">
        <v>1</v>
      </c>
      <c r="EA131" s="453"/>
      <c r="EB131" s="452"/>
      <c r="EC131" s="452"/>
      <c r="ED131" s="554"/>
      <c r="EF131" s="447" t="s">
        <v>707</v>
      </c>
      <c r="EG131" s="451" t="s">
        <v>339</v>
      </c>
      <c r="EH131" s="448" t="s">
        <v>360</v>
      </c>
      <c r="EI131" s="619">
        <f t="shared" si="217"/>
        <v>0</v>
      </c>
      <c r="EJ131" s="619">
        <f t="shared" si="218"/>
        <v>0</v>
      </c>
      <c r="EK131" s="619">
        <f t="shared" si="219"/>
        <v>0</v>
      </c>
      <c r="EL131" s="619">
        <f t="shared" si="220"/>
        <v>0</v>
      </c>
      <c r="EM131" s="619">
        <f t="shared" si="221"/>
        <v>0</v>
      </c>
      <c r="EN131" s="619">
        <f t="shared" si="222"/>
        <v>0</v>
      </c>
      <c r="EO131" s="620">
        <f t="shared" si="223"/>
        <v>0</v>
      </c>
      <c r="EP131" s="619">
        <f t="shared" si="224"/>
        <v>0</v>
      </c>
      <c r="EQ131" s="619">
        <f t="shared" si="225"/>
        <v>0</v>
      </c>
      <c r="ER131" s="620">
        <f t="shared" si="226"/>
        <v>1</v>
      </c>
      <c r="ES131" s="608">
        <f t="shared" si="214"/>
        <v>0</v>
      </c>
      <c r="ET131" s="606">
        <f t="shared" si="215"/>
        <v>0</v>
      </c>
      <c r="EU131" s="606">
        <f t="shared" si="216"/>
        <v>0</v>
      </c>
      <c r="EW131" s="447" t="s">
        <v>707</v>
      </c>
      <c r="EX131" s="451" t="s">
        <v>339</v>
      </c>
      <c r="EY131" s="448" t="s">
        <v>360</v>
      </c>
      <c r="EZ131" s="599">
        <f t="shared" si="227"/>
        <v>0</v>
      </c>
      <c r="FA131" s="599"/>
      <c r="FB131" s="599"/>
      <c r="FC131" s="599"/>
      <c r="FD131" s="599"/>
      <c r="FE131" s="599"/>
      <c r="FF131" s="600"/>
      <c r="FG131" s="599"/>
      <c r="FH131" s="599"/>
      <c r="FI131" s="600"/>
      <c r="FJ131" s="597"/>
      <c r="FK131" s="596"/>
      <c r="FL131" s="596"/>
    </row>
    <row r="132" spans="2:168" ht="14.25" hidden="1" thickBot="1">
      <c r="B132" s="732">
        <f t="shared" si="210"/>
        <v>3.1</v>
      </c>
      <c r="C132" s="408" t="str">
        <f t="shared" si="170"/>
        <v>空調設備</v>
      </c>
      <c r="D132" s="731" t="e">
        <f t="shared" ref="D132:E136" si="229">IF(I$131=0,0,G132/I$131)</f>
        <v>#REF!</v>
      </c>
      <c r="E132" s="730" t="e">
        <f t="shared" si="229"/>
        <v>#REF!</v>
      </c>
      <c r="G132" s="730" t="e">
        <f t="shared" si="171"/>
        <v>#REF!</v>
      </c>
      <c r="H132" s="730" t="e">
        <f t="shared" si="172"/>
        <v>#REF!</v>
      </c>
      <c r="I132" s="730"/>
      <c r="J132" s="730"/>
      <c r="K132" s="730" t="e">
        <f>IF(#REF!=0,0,1)</f>
        <v>#REF!</v>
      </c>
      <c r="L132" s="730" t="e">
        <f>IF(#REF!=0,0,1)</f>
        <v>#REF!</v>
      </c>
      <c r="M132" s="730">
        <f t="shared" si="173"/>
        <v>0</v>
      </c>
      <c r="N132" s="730">
        <f t="shared" si="212"/>
        <v>0</v>
      </c>
      <c r="P132" s="857"/>
      <c r="Q132" s="855">
        <v>3.1</v>
      </c>
      <c r="R132" s="854" t="s">
        <v>288</v>
      </c>
      <c r="S132" s="545"/>
      <c r="T132" s="853"/>
      <c r="U132" s="726"/>
      <c r="V132" s="734">
        <f t="shared" si="205"/>
        <v>0</v>
      </c>
      <c r="W132" s="733">
        <f t="shared" si="206"/>
        <v>0</v>
      </c>
      <c r="Y132" s="1">
        <f t="shared" si="192"/>
        <v>0</v>
      </c>
      <c r="Z132" s="1">
        <f t="shared" si="193"/>
        <v>0</v>
      </c>
      <c r="AA132" s="1">
        <f t="shared" si="194"/>
        <v>0</v>
      </c>
      <c r="AB132" s="1">
        <f t="shared" si="195"/>
        <v>0</v>
      </c>
      <c r="AC132" s="1">
        <f t="shared" si="196"/>
        <v>0</v>
      </c>
      <c r="AD132" s="1">
        <f t="shared" si="197"/>
        <v>0</v>
      </c>
      <c r="AE132" s="1">
        <f t="shared" si="198"/>
        <v>0</v>
      </c>
      <c r="AF132" s="1">
        <f t="shared" si="199"/>
        <v>0</v>
      </c>
      <c r="AG132" s="1">
        <f t="shared" si="200"/>
        <v>0</v>
      </c>
      <c r="AH132" s="1">
        <f t="shared" si="201"/>
        <v>0</v>
      </c>
      <c r="AI132" s="1">
        <f t="shared" si="202"/>
        <v>0</v>
      </c>
      <c r="AJ132" s="1">
        <f t="shared" si="203"/>
        <v>0</v>
      </c>
      <c r="AK132" s="1">
        <f t="shared" si="204"/>
        <v>0</v>
      </c>
      <c r="AM132" s="858"/>
      <c r="AN132" s="858"/>
      <c r="AO132" s="858"/>
      <c r="AP132" s="858"/>
      <c r="AQ132" s="858"/>
      <c r="AR132" s="858"/>
      <c r="AS132" s="858"/>
      <c r="AT132" s="858"/>
      <c r="AU132" s="858"/>
      <c r="AV132" s="858"/>
      <c r="AW132" s="858"/>
      <c r="AX132" s="858"/>
      <c r="AY132" s="858"/>
      <c r="BA132" s="723"/>
      <c r="BB132" s="723" t="e">
        <f t="shared" si="228"/>
        <v>#REF!</v>
      </c>
      <c r="BC132" s="723"/>
      <c r="BD132" s="722" t="e">
        <f>BR132*#REF!</f>
        <v>#REF!</v>
      </c>
      <c r="BE132" s="722" t="e">
        <f>BS132*#REF!</f>
        <v>#REF!</v>
      </c>
      <c r="BF132" s="722" t="e">
        <f>BT132*#REF!</f>
        <v>#REF!</v>
      </c>
      <c r="BG132" s="722" t="e">
        <f>BU132*#REF!</f>
        <v>#REF!</v>
      </c>
      <c r="BH132" s="803" t="e">
        <f>BV132*#REF!</f>
        <v>#REF!</v>
      </c>
      <c r="BI132" s="722" t="e">
        <f>BW132*#REF!</f>
        <v>#REF!</v>
      </c>
      <c r="BJ132" s="722" t="e">
        <f>BX132*#REF!</f>
        <v>#REF!</v>
      </c>
      <c r="BK132" s="722" t="e">
        <f>BY132*#REF!</f>
        <v>#REF!</v>
      </c>
      <c r="BL132" s="722" t="e">
        <f>BZ132*#REF!</f>
        <v>#REF!</v>
      </c>
      <c r="BM132" s="722" t="e">
        <f>CA132*#REF!</f>
        <v>#REF!</v>
      </c>
      <c r="BO132" s="749">
        <f t="shared" si="175"/>
        <v>3.1</v>
      </c>
      <c r="BP132" s="749" t="str">
        <f t="shared" si="176"/>
        <v>LR1 3b</v>
      </c>
      <c r="BQ132" s="408" t="str">
        <f t="shared" si="177"/>
        <v>空調設備</v>
      </c>
      <c r="BR132" s="719">
        <f t="shared" si="178"/>
        <v>0</v>
      </c>
      <c r="BS132" s="719">
        <f t="shared" si="179"/>
        <v>0</v>
      </c>
      <c r="BT132" s="719">
        <f t="shared" si="180"/>
        <v>0</v>
      </c>
      <c r="BU132" s="719">
        <f t="shared" si="181"/>
        <v>0</v>
      </c>
      <c r="BV132" s="802">
        <f t="shared" si="182"/>
        <v>0</v>
      </c>
      <c r="BW132" s="719">
        <f t="shared" si="183"/>
        <v>0</v>
      </c>
      <c r="BX132" s="719">
        <f t="shared" si="184"/>
        <v>0</v>
      </c>
      <c r="BY132" s="719">
        <f t="shared" si="185"/>
        <v>0</v>
      </c>
      <c r="BZ132" s="719">
        <f t="shared" si="186"/>
        <v>0</v>
      </c>
      <c r="CA132" s="719">
        <f t="shared" si="187"/>
        <v>0</v>
      </c>
      <c r="CB132" s="748">
        <f t="shared" si="188"/>
        <v>0</v>
      </c>
      <c r="CC132" s="719">
        <f t="shared" si="189"/>
        <v>0</v>
      </c>
      <c r="CD132" s="719">
        <f t="shared" si="190"/>
        <v>0</v>
      </c>
      <c r="CF132" s="455">
        <v>3.1</v>
      </c>
      <c r="CG132" s="459" t="s">
        <v>340</v>
      </c>
      <c r="CH132" s="456" t="s">
        <v>288</v>
      </c>
      <c r="CI132" s="461"/>
      <c r="CJ132" s="461"/>
      <c r="CK132" s="461"/>
      <c r="CL132" s="461"/>
      <c r="CM132" s="468"/>
      <c r="CN132" s="461"/>
      <c r="CO132" s="533">
        <v>0.65</v>
      </c>
      <c r="CP132" s="461"/>
      <c r="CQ132" s="461"/>
      <c r="CR132" s="461"/>
      <c r="CS132" s="462"/>
      <c r="CT132" s="461"/>
      <c r="CU132" s="461"/>
      <c r="CW132" s="455">
        <v>3.1</v>
      </c>
      <c r="CX132" s="459" t="s">
        <v>340</v>
      </c>
      <c r="CY132" s="456" t="s">
        <v>288</v>
      </c>
      <c r="CZ132" s="461"/>
      <c r="DA132" s="461"/>
      <c r="DB132" s="461"/>
      <c r="DC132" s="461"/>
      <c r="DD132" s="468"/>
      <c r="DE132" s="461"/>
      <c r="DF132" s="533">
        <v>0.65</v>
      </c>
      <c r="DG132" s="461"/>
      <c r="DH132" s="461"/>
      <c r="DI132" s="461"/>
      <c r="DJ132" s="462"/>
      <c r="DK132" s="461"/>
      <c r="DL132" s="461"/>
      <c r="DN132" s="455">
        <v>3.1</v>
      </c>
      <c r="DO132" s="459" t="s">
        <v>340</v>
      </c>
      <c r="DP132" s="456" t="s">
        <v>288</v>
      </c>
      <c r="DQ132" s="461"/>
      <c r="DR132" s="461"/>
      <c r="DS132" s="461"/>
      <c r="DT132" s="461"/>
      <c r="DU132" s="468"/>
      <c r="DV132" s="461"/>
      <c r="DW132" s="461"/>
      <c r="DX132" s="461"/>
      <c r="DY132" s="461"/>
      <c r="DZ132" s="461"/>
      <c r="EA132" s="462"/>
      <c r="EB132" s="461"/>
      <c r="EC132" s="461"/>
      <c r="ED132" s="555"/>
      <c r="EE132">
        <f>ROWS($EE$5:EE131)</f>
        <v>127</v>
      </c>
      <c r="EF132" s="455">
        <v>3.1</v>
      </c>
      <c r="EG132" s="459" t="s">
        <v>340</v>
      </c>
      <c r="EH132" s="456"/>
      <c r="EI132" s="609">
        <f t="shared" si="217"/>
        <v>0</v>
      </c>
      <c r="EJ132" s="609">
        <f t="shared" si="218"/>
        <v>0</v>
      </c>
      <c r="EK132" s="609">
        <f t="shared" si="219"/>
        <v>0</v>
      </c>
      <c r="EL132" s="609">
        <f t="shared" si="220"/>
        <v>0</v>
      </c>
      <c r="EM132" s="621">
        <f t="shared" si="221"/>
        <v>0</v>
      </c>
      <c r="EN132" s="609">
        <f t="shared" si="222"/>
        <v>0</v>
      </c>
      <c r="EO132" s="609">
        <f t="shared" si="223"/>
        <v>0</v>
      </c>
      <c r="EP132" s="609">
        <f t="shared" si="224"/>
        <v>0</v>
      </c>
      <c r="EQ132" s="609">
        <f t="shared" si="225"/>
        <v>0</v>
      </c>
      <c r="ER132" s="609">
        <f t="shared" si="226"/>
        <v>0</v>
      </c>
      <c r="ES132" s="611">
        <f t="shared" si="214"/>
        <v>0</v>
      </c>
      <c r="ET132" s="609">
        <f t="shared" si="215"/>
        <v>0</v>
      </c>
      <c r="EU132" s="609">
        <f t="shared" si="216"/>
        <v>0</v>
      </c>
      <c r="EW132" s="455">
        <v>3.1</v>
      </c>
      <c r="EX132" s="459" t="s">
        <v>340</v>
      </c>
      <c r="EY132" s="456"/>
      <c r="EZ132" s="598">
        <f t="shared" si="227"/>
        <v>0</v>
      </c>
      <c r="FA132" s="598"/>
      <c r="FB132" s="598"/>
      <c r="FC132" s="598"/>
      <c r="FD132" s="641"/>
      <c r="FE132" s="598"/>
      <c r="FF132" s="598"/>
      <c r="FG132" s="598"/>
      <c r="FH132" s="598"/>
      <c r="FI132" s="598"/>
      <c r="FJ132" s="647"/>
      <c r="FK132" s="598"/>
      <c r="FL132" s="598"/>
    </row>
    <row r="133" spans="2:168" ht="14.25" hidden="1" thickBot="1">
      <c r="B133" s="732">
        <f t="shared" si="210"/>
        <v>3.2</v>
      </c>
      <c r="C133" s="408" t="str">
        <f t="shared" si="170"/>
        <v>換気設備</v>
      </c>
      <c r="D133" s="731" t="e">
        <f t="shared" si="229"/>
        <v>#REF!</v>
      </c>
      <c r="E133" s="730" t="e">
        <f t="shared" si="229"/>
        <v>#REF!</v>
      </c>
      <c r="G133" s="730" t="e">
        <f t="shared" si="171"/>
        <v>#REF!</v>
      </c>
      <c r="H133" s="730" t="e">
        <f t="shared" si="172"/>
        <v>#REF!</v>
      </c>
      <c r="I133" s="730"/>
      <c r="J133" s="730"/>
      <c r="K133" s="730" t="e">
        <f>IF(#REF!=0,0,1)</f>
        <v>#REF!</v>
      </c>
      <c r="L133" s="730" t="e">
        <f>IF(#REF!=0,0,1)</f>
        <v>#REF!</v>
      </c>
      <c r="M133" s="730">
        <f t="shared" si="173"/>
        <v>0</v>
      </c>
      <c r="N133" s="730">
        <f t="shared" si="212"/>
        <v>0</v>
      </c>
      <c r="P133" s="857"/>
      <c r="Q133" s="855">
        <v>3.2</v>
      </c>
      <c r="R133" s="854" t="s">
        <v>289</v>
      </c>
      <c r="S133" s="545"/>
      <c r="T133" s="853"/>
      <c r="U133" s="726"/>
      <c r="V133" s="747">
        <f t="shared" si="205"/>
        <v>0</v>
      </c>
      <c r="W133" s="746">
        <f t="shared" si="206"/>
        <v>0</v>
      </c>
      <c r="Y133" s="1">
        <f t="shared" si="192"/>
        <v>0</v>
      </c>
      <c r="Z133" s="1">
        <f t="shared" si="193"/>
        <v>0</v>
      </c>
      <c r="AA133" s="1">
        <f t="shared" si="194"/>
        <v>0</v>
      </c>
      <c r="AB133" s="1">
        <f t="shared" si="195"/>
        <v>0</v>
      </c>
      <c r="AC133" s="1">
        <f t="shared" si="196"/>
        <v>0</v>
      </c>
      <c r="AD133" s="1">
        <f t="shared" si="197"/>
        <v>0</v>
      </c>
      <c r="AE133" s="1">
        <f t="shared" si="198"/>
        <v>0</v>
      </c>
      <c r="AF133" s="1">
        <f t="shared" si="199"/>
        <v>0</v>
      </c>
      <c r="AG133" s="1">
        <f t="shared" si="200"/>
        <v>0</v>
      </c>
      <c r="AH133" s="1">
        <f t="shared" si="201"/>
        <v>0</v>
      </c>
      <c r="AI133" s="1">
        <f t="shared" si="202"/>
        <v>0</v>
      </c>
      <c r="AJ133" s="1">
        <f t="shared" si="203"/>
        <v>0</v>
      </c>
      <c r="AK133" s="1">
        <f t="shared" si="204"/>
        <v>0</v>
      </c>
      <c r="AM133" s="772"/>
      <c r="AN133" s="772"/>
      <c r="AO133" s="772"/>
      <c r="AP133" s="772"/>
      <c r="AQ133" s="772"/>
      <c r="AR133" s="772"/>
      <c r="AS133" s="772"/>
      <c r="AT133" s="772"/>
      <c r="AU133" s="772"/>
      <c r="AV133" s="772"/>
      <c r="AW133" s="772"/>
      <c r="AX133" s="772"/>
      <c r="AY133" s="772"/>
      <c r="BA133" s="723"/>
      <c r="BB133" s="723" t="e">
        <f t="shared" si="228"/>
        <v>#REF!</v>
      </c>
      <c r="BC133" s="723"/>
      <c r="BD133" s="722" t="e">
        <f>BR133*#REF!</f>
        <v>#REF!</v>
      </c>
      <c r="BE133" s="722" t="e">
        <f>BS133*#REF!</f>
        <v>#REF!</v>
      </c>
      <c r="BF133" s="722" t="e">
        <f>BT133*#REF!</f>
        <v>#REF!</v>
      </c>
      <c r="BG133" s="722" t="e">
        <f>BU133*#REF!</f>
        <v>#REF!</v>
      </c>
      <c r="BH133" s="803" t="e">
        <f>BV133*#REF!</f>
        <v>#REF!</v>
      </c>
      <c r="BI133" s="722" t="e">
        <f>BW133*#REF!</f>
        <v>#REF!</v>
      </c>
      <c r="BJ133" s="722" t="e">
        <f>BX133*#REF!</f>
        <v>#REF!</v>
      </c>
      <c r="BK133" s="722" t="e">
        <f>BY133*#REF!</f>
        <v>#REF!</v>
      </c>
      <c r="BL133" s="722" t="e">
        <f>BZ133*#REF!</f>
        <v>#REF!</v>
      </c>
      <c r="BM133" s="722" t="e">
        <f>CA133*#REF!</f>
        <v>#REF!</v>
      </c>
      <c r="BO133" s="749">
        <f t="shared" si="175"/>
        <v>3.2</v>
      </c>
      <c r="BP133" s="749" t="str">
        <f t="shared" si="176"/>
        <v>LR1 3b</v>
      </c>
      <c r="BQ133" s="408" t="str">
        <f t="shared" si="177"/>
        <v>換気設備</v>
      </c>
      <c r="BR133" s="719">
        <f t="shared" si="178"/>
        <v>0</v>
      </c>
      <c r="BS133" s="719">
        <f t="shared" si="179"/>
        <v>0</v>
      </c>
      <c r="BT133" s="719">
        <f t="shared" si="180"/>
        <v>0</v>
      </c>
      <c r="BU133" s="719">
        <f t="shared" si="181"/>
        <v>0</v>
      </c>
      <c r="BV133" s="802">
        <f t="shared" si="182"/>
        <v>0</v>
      </c>
      <c r="BW133" s="719">
        <f t="shared" si="183"/>
        <v>0</v>
      </c>
      <c r="BX133" s="719">
        <f t="shared" si="184"/>
        <v>0</v>
      </c>
      <c r="BY133" s="719">
        <f t="shared" si="185"/>
        <v>0</v>
      </c>
      <c r="BZ133" s="719">
        <f t="shared" si="186"/>
        <v>0</v>
      </c>
      <c r="CA133" s="719">
        <f t="shared" si="187"/>
        <v>0</v>
      </c>
      <c r="CB133" s="748">
        <f t="shared" si="188"/>
        <v>0</v>
      </c>
      <c r="CC133" s="719">
        <f t="shared" si="189"/>
        <v>0</v>
      </c>
      <c r="CD133" s="719">
        <f t="shared" si="190"/>
        <v>0</v>
      </c>
      <c r="CF133" s="455">
        <v>3.2</v>
      </c>
      <c r="CG133" s="459" t="s">
        <v>340</v>
      </c>
      <c r="CH133" s="456" t="s">
        <v>289</v>
      </c>
      <c r="CI133" s="461"/>
      <c r="CJ133" s="461"/>
      <c r="CK133" s="461"/>
      <c r="CL133" s="461"/>
      <c r="CM133" s="468"/>
      <c r="CN133" s="461"/>
      <c r="CO133" s="533">
        <v>0.1</v>
      </c>
      <c r="CP133" s="461"/>
      <c r="CQ133" s="461"/>
      <c r="CR133" s="461"/>
      <c r="CS133" s="462"/>
      <c r="CT133" s="461"/>
      <c r="CU133" s="461"/>
      <c r="CW133" s="455">
        <v>3.2</v>
      </c>
      <c r="CX133" s="459" t="s">
        <v>340</v>
      </c>
      <c r="CY133" s="456" t="s">
        <v>289</v>
      </c>
      <c r="CZ133" s="461"/>
      <c r="DA133" s="461"/>
      <c r="DB133" s="461"/>
      <c r="DC133" s="461"/>
      <c r="DD133" s="468"/>
      <c r="DE133" s="461"/>
      <c r="DF133" s="533">
        <v>0.1</v>
      </c>
      <c r="DG133" s="461"/>
      <c r="DH133" s="461"/>
      <c r="DI133" s="461"/>
      <c r="DJ133" s="462"/>
      <c r="DK133" s="461"/>
      <c r="DL133" s="461"/>
      <c r="DN133" s="455">
        <v>3.2</v>
      </c>
      <c r="DO133" s="459" t="s">
        <v>340</v>
      </c>
      <c r="DP133" s="456" t="s">
        <v>289</v>
      </c>
      <c r="DQ133" s="461"/>
      <c r="DR133" s="461"/>
      <c r="DS133" s="461"/>
      <c r="DT133" s="461"/>
      <c r="DU133" s="468"/>
      <c r="DV133" s="461"/>
      <c r="DW133" s="461"/>
      <c r="DX133" s="461"/>
      <c r="DY133" s="461"/>
      <c r="DZ133" s="461"/>
      <c r="EA133" s="462"/>
      <c r="EB133" s="461"/>
      <c r="EC133" s="461"/>
      <c r="ED133" s="555"/>
      <c r="EE133">
        <f>ROWS($EE$5:EE132)</f>
        <v>128</v>
      </c>
      <c r="EF133" s="455">
        <v>3.2</v>
      </c>
      <c r="EG133" s="459" t="s">
        <v>340</v>
      </c>
      <c r="EH133" s="456"/>
      <c r="EI133" s="609">
        <f t="shared" si="217"/>
        <v>0</v>
      </c>
      <c r="EJ133" s="609">
        <f t="shared" si="218"/>
        <v>0</v>
      </c>
      <c r="EK133" s="609">
        <f t="shared" si="219"/>
        <v>0</v>
      </c>
      <c r="EL133" s="609">
        <f t="shared" si="220"/>
        <v>0</v>
      </c>
      <c r="EM133" s="621">
        <f t="shared" si="221"/>
        <v>0</v>
      </c>
      <c r="EN133" s="609">
        <f t="shared" si="222"/>
        <v>0</v>
      </c>
      <c r="EO133" s="609">
        <f t="shared" si="223"/>
        <v>0</v>
      </c>
      <c r="EP133" s="609">
        <f t="shared" si="224"/>
        <v>0</v>
      </c>
      <c r="EQ133" s="609">
        <f t="shared" si="225"/>
        <v>0</v>
      </c>
      <c r="ER133" s="609">
        <f t="shared" si="226"/>
        <v>0</v>
      </c>
      <c r="ES133" s="611">
        <f t="shared" si="214"/>
        <v>0</v>
      </c>
      <c r="ET133" s="609">
        <f t="shared" si="215"/>
        <v>0</v>
      </c>
      <c r="EU133" s="609">
        <f t="shared" si="216"/>
        <v>0</v>
      </c>
      <c r="EW133" s="455">
        <v>3.2</v>
      </c>
      <c r="EX133" s="459" t="s">
        <v>340</v>
      </c>
      <c r="EY133" s="456"/>
      <c r="EZ133" s="598">
        <f t="shared" si="227"/>
        <v>0</v>
      </c>
      <c r="FA133" s="598"/>
      <c r="FB133" s="598"/>
      <c r="FC133" s="598"/>
      <c r="FD133" s="641"/>
      <c r="FE133" s="598"/>
      <c r="FF133" s="598"/>
      <c r="FG133" s="598"/>
      <c r="FH133" s="598"/>
      <c r="FI133" s="598"/>
      <c r="FJ133" s="647"/>
      <c r="FK133" s="598"/>
      <c r="FL133" s="598"/>
    </row>
    <row r="134" spans="2:168" ht="14.25" hidden="1" thickBot="1">
      <c r="B134" s="732">
        <f t="shared" si="210"/>
        <v>3.3</v>
      </c>
      <c r="C134" s="408" t="str">
        <f t="shared" si="170"/>
        <v>照明設備</v>
      </c>
      <c r="D134" s="731" t="e">
        <f t="shared" si="229"/>
        <v>#REF!</v>
      </c>
      <c r="E134" s="730" t="e">
        <f t="shared" si="229"/>
        <v>#REF!</v>
      </c>
      <c r="G134" s="730" t="e">
        <f t="shared" si="171"/>
        <v>#REF!</v>
      </c>
      <c r="H134" s="730" t="e">
        <f t="shared" si="172"/>
        <v>#REF!</v>
      </c>
      <c r="I134" s="730"/>
      <c r="J134" s="730"/>
      <c r="K134" s="730" t="e">
        <f>IF(#REF!=0,0,1)</f>
        <v>#REF!</v>
      </c>
      <c r="L134" s="730" t="e">
        <f>IF(#REF!=0,0,1)</f>
        <v>#REF!</v>
      </c>
      <c r="M134" s="730">
        <f t="shared" si="173"/>
        <v>0</v>
      </c>
      <c r="N134" s="730">
        <f t="shared" si="212"/>
        <v>0</v>
      </c>
      <c r="P134" s="857"/>
      <c r="Q134" s="855">
        <v>3.3</v>
      </c>
      <c r="R134" s="854" t="s">
        <v>290</v>
      </c>
      <c r="S134" s="545"/>
      <c r="T134" s="853"/>
      <c r="U134" s="726"/>
      <c r="V134" s="747">
        <f t="shared" si="205"/>
        <v>0</v>
      </c>
      <c r="W134" s="746">
        <f t="shared" si="206"/>
        <v>0</v>
      </c>
      <c r="Y134" s="1">
        <f t="shared" si="192"/>
        <v>0</v>
      </c>
      <c r="Z134" s="1">
        <f t="shared" si="193"/>
        <v>0</v>
      </c>
      <c r="AA134" s="1">
        <f t="shared" si="194"/>
        <v>0</v>
      </c>
      <c r="AB134" s="1">
        <f t="shared" si="195"/>
        <v>0</v>
      </c>
      <c r="AC134" s="1">
        <f t="shared" si="196"/>
        <v>0</v>
      </c>
      <c r="AD134" s="1">
        <f t="shared" si="197"/>
        <v>0</v>
      </c>
      <c r="AE134" s="1">
        <f t="shared" si="198"/>
        <v>0</v>
      </c>
      <c r="AF134" s="1">
        <f t="shared" si="199"/>
        <v>0</v>
      </c>
      <c r="AG134" s="1">
        <f t="shared" si="200"/>
        <v>0</v>
      </c>
      <c r="AH134" s="1">
        <f t="shared" si="201"/>
        <v>0</v>
      </c>
      <c r="AI134" s="1">
        <f t="shared" si="202"/>
        <v>0</v>
      </c>
      <c r="AJ134" s="1">
        <f t="shared" si="203"/>
        <v>0</v>
      </c>
      <c r="AK134" s="1">
        <f t="shared" si="204"/>
        <v>0</v>
      </c>
      <c r="AM134" s="772"/>
      <c r="AN134" s="772"/>
      <c r="AO134" s="772"/>
      <c r="AP134" s="772"/>
      <c r="AQ134" s="772"/>
      <c r="AR134" s="772"/>
      <c r="AS134" s="772"/>
      <c r="AT134" s="772"/>
      <c r="AU134" s="772"/>
      <c r="AV134" s="772"/>
      <c r="AW134" s="772"/>
      <c r="AX134" s="772"/>
      <c r="AY134" s="772"/>
      <c r="BA134" s="723"/>
      <c r="BB134" s="723" t="e">
        <f t="shared" si="228"/>
        <v>#REF!</v>
      </c>
      <c r="BC134" s="723"/>
      <c r="BD134" s="722" t="e">
        <f>BR134*#REF!</f>
        <v>#REF!</v>
      </c>
      <c r="BE134" s="722" t="e">
        <f>BS134*#REF!</f>
        <v>#REF!</v>
      </c>
      <c r="BF134" s="722" t="e">
        <f>BT134*#REF!</f>
        <v>#REF!</v>
      </c>
      <c r="BG134" s="722" t="e">
        <f>BU134*#REF!</f>
        <v>#REF!</v>
      </c>
      <c r="BH134" s="803" t="e">
        <f>BV134*#REF!</f>
        <v>#REF!</v>
      </c>
      <c r="BI134" s="722" t="e">
        <f>BW134*#REF!</f>
        <v>#REF!</v>
      </c>
      <c r="BJ134" s="722" t="e">
        <f>BX134*#REF!</f>
        <v>#REF!</v>
      </c>
      <c r="BK134" s="722" t="e">
        <f>BY134*#REF!</f>
        <v>#REF!</v>
      </c>
      <c r="BL134" s="722" t="e">
        <f>BZ134*#REF!</f>
        <v>#REF!</v>
      </c>
      <c r="BM134" s="722" t="e">
        <f>CA134*#REF!</f>
        <v>#REF!</v>
      </c>
      <c r="BO134" s="749">
        <f t="shared" si="175"/>
        <v>3.3</v>
      </c>
      <c r="BP134" s="749" t="str">
        <f t="shared" si="176"/>
        <v>LR1 3b</v>
      </c>
      <c r="BQ134" s="408" t="str">
        <f t="shared" si="177"/>
        <v>照明設備</v>
      </c>
      <c r="BR134" s="719">
        <f t="shared" si="178"/>
        <v>0</v>
      </c>
      <c r="BS134" s="719">
        <f t="shared" si="179"/>
        <v>0</v>
      </c>
      <c r="BT134" s="719">
        <f t="shared" si="180"/>
        <v>0</v>
      </c>
      <c r="BU134" s="719">
        <f t="shared" si="181"/>
        <v>0</v>
      </c>
      <c r="BV134" s="802">
        <f t="shared" si="182"/>
        <v>0</v>
      </c>
      <c r="BW134" s="719">
        <f t="shared" si="183"/>
        <v>0</v>
      </c>
      <c r="BX134" s="719">
        <f t="shared" si="184"/>
        <v>0</v>
      </c>
      <c r="BY134" s="719">
        <f t="shared" si="185"/>
        <v>0</v>
      </c>
      <c r="BZ134" s="719">
        <f t="shared" si="186"/>
        <v>0</v>
      </c>
      <c r="CA134" s="719">
        <f t="shared" si="187"/>
        <v>0</v>
      </c>
      <c r="CB134" s="748">
        <f t="shared" si="188"/>
        <v>0</v>
      </c>
      <c r="CC134" s="719">
        <f t="shared" si="189"/>
        <v>0</v>
      </c>
      <c r="CD134" s="719">
        <f t="shared" si="190"/>
        <v>0</v>
      </c>
      <c r="CF134" s="455">
        <v>3.3</v>
      </c>
      <c r="CG134" s="459" t="s">
        <v>340</v>
      </c>
      <c r="CH134" s="456" t="s">
        <v>290</v>
      </c>
      <c r="CI134" s="461"/>
      <c r="CJ134" s="461"/>
      <c r="CK134" s="461"/>
      <c r="CL134" s="461"/>
      <c r="CM134" s="468"/>
      <c r="CN134" s="461"/>
      <c r="CO134" s="533">
        <v>0.2</v>
      </c>
      <c r="CP134" s="461"/>
      <c r="CQ134" s="461"/>
      <c r="CR134" s="461"/>
      <c r="CS134" s="462"/>
      <c r="CT134" s="461"/>
      <c r="CU134" s="461"/>
      <c r="CW134" s="455">
        <v>3.3</v>
      </c>
      <c r="CX134" s="459" t="s">
        <v>340</v>
      </c>
      <c r="CY134" s="456" t="s">
        <v>290</v>
      </c>
      <c r="CZ134" s="461"/>
      <c r="DA134" s="461"/>
      <c r="DB134" s="461"/>
      <c r="DC134" s="461"/>
      <c r="DD134" s="468"/>
      <c r="DE134" s="461"/>
      <c r="DF134" s="533">
        <v>0.2</v>
      </c>
      <c r="DG134" s="461"/>
      <c r="DH134" s="461"/>
      <c r="DI134" s="461"/>
      <c r="DJ134" s="462"/>
      <c r="DK134" s="461"/>
      <c r="DL134" s="461"/>
      <c r="DN134" s="455">
        <v>3.3</v>
      </c>
      <c r="DO134" s="459" t="s">
        <v>340</v>
      </c>
      <c r="DP134" s="456" t="s">
        <v>290</v>
      </c>
      <c r="DQ134" s="461"/>
      <c r="DR134" s="461"/>
      <c r="DS134" s="461"/>
      <c r="DT134" s="461"/>
      <c r="DU134" s="468"/>
      <c r="DV134" s="461"/>
      <c r="DW134" s="461"/>
      <c r="DX134" s="461"/>
      <c r="DY134" s="461"/>
      <c r="DZ134" s="461"/>
      <c r="EA134" s="462"/>
      <c r="EB134" s="461"/>
      <c r="EC134" s="461"/>
      <c r="ED134" s="555"/>
      <c r="EE134">
        <f>ROWS($EE$5:EE133)</f>
        <v>129</v>
      </c>
      <c r="EF134" s="455">
        <v>3.3</v>
      </c>
      <c r="EG134" s="459" t="s">
        <v>340</v>
      </c>
      <c r="EH134" s="456"/>
      <c r="EI134" s="609">
        <f t="shared" si="217"/>
        <v>0</v>
      </c>
      <c r="EJ134" s="609">
        <f t="shared" si="218"/>
        <v>0</v>
      </c>
      <c r="EK134" s="609">
        <f t="shared" si="219"/>
        <v>0</v>
      </c>
      <c r="EL134" s="609">
        <f t="shared" si="220"/>
        <v>0</v>
      </c>
      <c r="EM134" s="621">
        <f t="shared" si="221"/>
        <v>0</v>
      </c>
      <c r="EN134" s="609">
        <f t="shared" si="222"/>
        <v>0</v>
      </c>
      <c r="EO134" s="609">
        <f t="shared" si="223"/>
        <v>0</v>
      </c>
      <c r="EP134" s="609">
        <f t="shared" si="224"/>
        <v>0</v>
      </c>
      <c r="EQ134" s="609">
        <f t="shared" si="225"/>
        <v>0</v>
      </c>
      <c r="ER134" s="609">
        <f t="shared" si="226"/>
        <v>0</v>
      </c>
      <c r="ES134" s="611">
        <f t="shared" si="214"/>
        <v>0</v>
      </c>
      <c r="ET134" s="609">
        <f t="shared" si="215"/>
        <v>0</v>
      </c>
      <c r="EU134" s="609">
        <f t="shared" si="216"/>
        <v>0</v>
      </c>
      <c r="EW134" s="455">
        <v>3.3</v>
      </c>
      <c r="EX134" s="459" t="s">
        <v>340</v>
      </c>
      <c r="EY134" s="456"/>
      <c r="EZ134" s="598">
        <f t="shared" si="227"/>
        <v>0</v>
      </c>
      <c r="FA134" s="598"/>
      <c r="FB134" s="598"/>
      <c r="FC134" s="598"/>
      <c r="FD134" s="641"/>
      <c r="FE134" s="598"/>
      <c r="FF134" s="598"/>
      <c r="FG134" s="598"/>
      <c r="FH134" s="598"/>
      <c r="FI134" s="598"/>
      <c r="FJ134" s="647"/>
      <c r="FK134" s="598"/>
      <c r="FL134" s="598"/>
    </row>
    <row r="135" spans="2:168" ht="14.25" hidden="1" thickBot="1">
      <c r="B135" s="732">
        <f t="shared" si="210"/>
        <v>3.4</v>
      </c>
      <c r="C135" s="408" t="str">
        <f t="shared" si="170"/>
        <v>給湯設備</v>
      </c>
      <c r="D135" s="731" t="e">
        <f t="shared" si="229"/>
        <v>#REF!</v>
      </c>
      <c r="E135" s="730" t="e">
        <f t="shared" si="229"/>
        <v>#REF!</v>
      </c>
      <c r="G135" s="730" t="e">
        <f t="shared" si="171"/>
        <v>#REF!</v>
      </c>
      <c r="H135" s="730" t="e">
        <f t="shared" si="172"/>
        <v>#REF!</v>
      </c>
      <c r="I135" s="730"/>
      <c r="J135" s="730"/>
      <c r="K135" s="730" t="e">
        <f>IF(#REF!=0,0,1)</f>
        <v>#REF!</v>
      </c>
      <c r="L135" s="730" t="e">
        <f>IF(#REF!=0,0,1)</f>
        <v>#REF!</v>
      </c>
      <c r="M135" s="730">
        <f t="shared" si="173"/>
        <v>0</v>
      </c>
      <c r="N135" s="730">
        <f t="shared" si="212"/>
        <v>0</v>
      </c>
      <c r="P135" s="857"/>
      <c r="Q135" s="855">
        <v>3.4</v>
      </c>
      <c r="R135" s="854" t="s">
        <v>291</v>
      </c>
      <c r="S135" s="545"/>
      <c r="T135" s="853"/>
      <c r="U135" s="726"/>
      <c r="V135" s="747">
        <f t="shared" si="205"/>
        <v>0</v>
      </c>
      <c r="W135" s="746">
        <f t="shared" si="206"/>
        <v>0</v>
      </c>
      <c r="Y135" s="1">
        <f t="shared" si="192"/>
        <v>0</v>
      </c>
      <c r="Z135" s="1">
        <f t="shared" si="193"/>
        <v>0</v>
      </c>
      <c r="AA135" s="1">
        <f t="shared" si="194"/>
        <v>0</v>
      </c>
      <c r="AB135" s="1">
        <f t="shared" si="195"/>
        <v>0</v>
      </c>
      <c r="AC135" s="1">
        <f t="shared" si="196"/>
        <v>0</v>
      </c>
      <c r="AD135" s="1">
        <f t="shared" si="197"/>
        <v>0</v>
      </c>
      <c r="AE135" s="1">
        <f t="shared" si="198"/>
        <v>0</v>
      </c>
      <c r="AF135" s="1">
        <f t="shared" si="199"/>
        <v>0</v>
      </c>
      <c r="AG135" s="1">
        <f t="shared" si="200"/>
        <v>0</v>
      </c>
      <c r="AH135" s="1">
        <f t="shared" si="201"/>
        <v>0</v>
      </c>
      <c r="AI135" s="1">
        <f t="shared" si="202"/>
        <v>0</v>
      </c>
      <c r="AJ135" s="1">
        <f t="shared" si="203"/>
        <v>0</v>
      </c>
      <c r="AK135" s="1">
        <f t="shared" si="204"/>
        <v>0</v>
      </c>
      <c r="AM135" s="772"/>
      <c r="AN135" s="772"/>
      <c r="AO135" s="772"/>
      <c r="AP135" s="772"/>
      <c r="AQ135" s="772"/>
      <c r="AR135" s="772"/>
      <c r="AS135" s="772"/>
      <c r="AT135" s="772"/>
      <c r="AU135" s="772"/>
      <c r="AV135" s="772"/>
      <c r="AW135" s="772"/>
      <c r="AX135" s="772"/>
      <c r="AY135" s="772"/>
      <c r="BA135" s="723"/>
      <c r="BB135" s="723" t="e">
        <f t="shared" si="228"/>
        <v>#REF!</v>
      </c>
      <c r="BC135" s="723"/>
      <c r="BD135" s="722" t="e">
        <f>BR135*#REF!</f>
        <v>#REF!</v>
      </c>
      <c r="BE135" s="722" t="e">
        <f>BS135*#REF!</f>
        <v>#REF!</v>
      </c>
      <c r="BF135" s="722" t="e">
        <f>BT135*#REF!</f>
        <v>#REF!</v>
      </c>
      <c r="BG135" s="722" t="e">
        <f>BU135*#REF!</f>
        <v>#REF!</v>
      </c>
      <c r="BH135" s="803" t="e">
        <f>BV135*#REF!</f>
        <v>#REF!</v>
      </c>
      <c r="BI135" s="722" t="e">
        <f>BW135*#REF!</f>
        <v>#REF!</v>
      </c>
      <c r="BJ135" s="722" t="e">
        <f>BX135*#REF!</f>
        <v>#REF!</v>
      </c>
      <c r="BK135" s="722" t="e">
        <f>BY135*#REF!</f>
        <v>#REF!</v>
      </c>
      <c r="BL135" s="722" t="e">
        <f>BZ135*#REF!</f>
        <v>#REF!</v>
      </c>
      <c r="BM135" s="722" t="e">
        <f>CA135*#REF!</f>
        <v>#REF!</v>
      </c>
      <c r="BO135" s="837">
        <f t="shared" si="175"/>
        <v>3.4</v>
      </c>
      <c r="BP135" s="749" t="str">
        <f t="shared" si="176"/>
        <v>LR1 3b</v>
      </c>
      <c r="BQ135" s="408" t="str">
        <f t="shared" si="177"/>
        <v>給湯設備</v>
      </c>
      <c r="BR135" s="719">
        <f t="shared" si="178"/>
        <v>0</v>
      </c>
      <c r="BS135" s="719">
        <f t="shared" si="179"/>
        <v>0</v>
      </c>
      <c r="BT135" s="719">
        <f t="shared" si="180"/>
        <v>0</v>
      </c>
      <c r="BU135" s="719">
        <f t="shared" si="181"/>
        <v>0</v>
      </c>
      <c r="BV135" s="802">
        <f t="shared" si="182"/>
        <v>0</v>
      </c>
      <c r="BW135" s="719">
        <f t="shared" si="183"/>
        <v>0</v>
      </c>
      <c r="BX135" s="719">
        <f t="shared" si="184"/>
        <v>0</v>
      </c>
      <c r="BY135" s="719">
        <f t="shared" si="185"/>
        <v>0</v>
      </c>
      <c r="BZ135" s="719">
        <f t="shared" si="186"/>
        <v>0</v>
      </c>
      <c r="CA135" s="719">
        <f t="shared" si="187"/>
        <v>0</v>
      </c>
      <c r="CB135" s="748">
        <f t="shared" si="188"/>
        <v>0</v>
      </c>
      <c r="CC135" s="719">
        <f t="shared" si="189"/>
        <v>0</v>
      </c>
      <c r="CD135" s="719">
        <f t="shared" si="190"/>
        <v>0</v>
      </c>
      <c r="CF135" s="507">
        <v>3.4</v>
      </c>
      <c r="CG135" s="459" t="s">
        <v>340</v>
      </c>
      <c r="CH135" s="456" t="s">
        <v>291</v>
      </c>
      <c r="CI135" s="461"/>
      <c r="CJ135" s="461"/>
      <c r="CK135" s="461"/>
      <c r="CL135" s="461"/>
      <c r="CM135" s="468"/>
      <c r="CN135" s="461"/>
      <c r="CO135" s="533">
        <v>0.05</v>
      </c>
      <c r="CP135" s="461"/>
      <c r="CQ135" s="461"/>
      <c r="CR135" s="461"/>
      <c r="CS135" s="462"/>
      <c r="CT135" s="461"/>
      <c r="CU135" s="461"/>
      <c r="CW135" s="507">
        <v>3.4</v>
      </c>
      <c r="CX135" s="459" t="s">
        <v>340</v>
      </c>
      <c r="CY135" s="456" t="s">
        <v>291</v>
      </c>
      <c r="CZ135" s="461"/>
      <c r="DA135" s="461"/>
      <c r="DB135" s="461"/>
      <c r="DC135" s="461"/>
      <c r="DD135" s="468"/>
      <c r="DE135" s="461"/>
      <c r="DF135" s="533">
        <v>0.05</v>
      </c>
      <c r="DG135" s="461"/>
      <c r="DH135" s="461"/>
      <c r="DI135" s="461"/>
      <c r="DJ135" s="462"/>
      <c r="DK135" s="461"/>
      <c r="DL135" s="461"/>
      <c r="DN135" s="507">
        <v>3.4</v>
      </c>
      <c r="DO135" s="459" t="s">
        <v>840</v>
      </c>
      <c r="DP135" s="456" t="s">
        <v>291</v>
      </c>
      <c r="DQ135" s="461"/>
      <c r="DR135" s="461"/>
      <c r="DS135" s="461"/>
      <c r="DT135" s="461"/>
      <c r="DU135" s="468"/>
      <c r="DV135" s="461"/>
      <c r="DW135" s="461"/>
      <c r="DX135" s="461"/>
      <c r="DY135" s="461"/>
      <c r="DZ135" s="461"/>
      <c r="EA135" s="462"/>
      <c r="EB135" s="461"/>
      <c r="EC135" s="461"/>
      <c r="ED135" s="555"/>
      <c r="EE135">
        <f>ROWS($EE$5:EE134)</f>
        <v>130</v>
      </c>
      <c r="EF135" s="507">
        <v>3.4</v>
      </c>
      <c r="EG135" s="459" t="s">
        <v>840</v>
      </c>
      <c r="EH135" s="456"/>
      <c r="EI135" s="609">
        <f t="shared" si="217"/>
        <v>0</v>
      </c>
      <c r="EJ135" s="609">
        <f t="shared" si="218"/>
        <v>0</v>
      </c>
      <c r="EK135" s="609">
        <f t="shared" si="219"/>
        <v>0</v>
      </c>
      <c r="EL135" s="609">
        <f t="shared" si="220"/>
        <v>0</v>
      </c>
      <c r="EM135" s="621">
        <f t="shared" si="221"/>
        <v>0</v>
      </c>
      <c r="EN135" s="609">
        <f t="shared" si="222"/>
        <v>0</v>
      </c>
      <c r="EO135" s="609">
        <f t="shared" si="223"/>
        <v>0</v>
      </c>
      <c r="EP135" s="609">
        <f t="shared" si="224"/>
        <v>0</v>
      </c>
      <c r="EQ135" s="609">
        <f t="shared" si="225"/>
        <v>0</v>
      </c>
      <c r="ER135" s="609">
        <f t="shared" si="226"/>
        <v>0</v>
      </c>
      <c r="ES135" s="611">
        <f t="shared" si="214"/>
        <v>0</v>
      </c>
      <c r="ET135" s="609">
        <f t="shared" si="215"/>
        <v>0</v>
      </c>
      <c r="EU135" s="609">
        <f t="shared" si="216"/>
        <v>0</v>
      </c>
      <c r="EW135" s="507">
        <v>3.4</v>
      </c>
      <c r="EX135" s="459" t="s">
        <v>340</v>
      </c>
      <c r="EY135" s="456"/>
      <c r="EZ135" s="598">
        <f t="shared" si="227"/>
        <v>0</v>
      </c>
      <c r="FA135" s="598"/>
      <c r="FB135" s="598"/>
      <c r="FC135" s="598"/>
      <c r="FD135" s="641"/>
      <c r="FE135" s="598"/>
      <c r="FF135" s="598"/>
      <c r="FG135" s="598"/>
      <c r="FH135" s="598"/>
      <c r="FI135" s="598"/>
      <c r="FJ135" s="647"/>
      <c r="FK135" s="598"/>
      <c r="FL135" s="598"/>
    </row>
    <row r="136" spans="2:168" ht="14.25" hidden="1" thickBot="1">
      <c r="B136" s="732">
        <f t="shared" si="210"/>
        <v>3.5</v>
      </c>
      <c r="C136" s="408" t="str">
        <f t="shared" si="170"/>
        <v>昇降機設備</v>
      </c>
      <c r="D136" s="731" t="e">
        <f t="shared" si="229"/>
        <v>#REF!</v>
      </c>
      <c r="E136" s="730" t="e">
        <f t="shared" si="229"/>
        <v>#REF!</v>
      </c>
      <c r="G136" s="730" t="e">
        <f t="shared" si="171"/>
        <v>#REF!</v>
      </c>
      <c r="H136" s="730" t="e">
        <f t="shared" si="172"/>
        <v>#REF!</v>
      </c>
      <c r="I136" s="730"/>
      <c r="J136" s="730"/>
      <c r="K136" s="730" t="e">
        <f>IF(#REF!=0,0,1)</f>
        <v>#REF!</v>
      </c>
      <c r="L136" s="730" t="e">
        <f>IF(#REF!=0,0,1)</f>
        <v>#REF!</v>
      </c>
      <c r="M136" s="730">
        <f t="shared" si="173"/>
        <v>0</v>
      </c>
      <c r="N136" s="730">
        <f t="shared" si="212"/>
        <v>0</v>
      </c>
      <c r="P136" s="857"/>
      <c r="Q136" s="855">
        <v>3.5</v>
      </c>
      <c r="R136" s="854" t="s">
        <v>292</v>
      </c>
      <c r="S136" s="545"/>
      <c r="T136" s="853"/>
      <c r="U136" s="726"/>
      <c r="V136" s="747">
        <f t="shared" si="205"/>
        <v>0</v>
      </c>
      <c r="W136" s="746">
        <f t="shared" si="206"/>
        <v>0</v>
      </c>
      <c r="Y136" s="1">
        <f t="shared" si="192"/>
        <v>0</v>
      </c>
      <c r="Z136" s="1">
        <f t="shared" si="193"/>
        <v>0</v>
      </c>
      <c r="AA136" s="1">
        <f t="shared" si="194"/>
        <v>0</v>
      </c>
      <c r="AB136" s="1">
        <f t="shared" si="195"/>
        <v>0</v>
      </c>
      <c r="AC136" s="1">
        <f t="shared" si="196"/>
        <v>0</v>
      </c>
      <c r="AD136" s="1">
        <f t="shared" si="197"/>
        <v>0</v>
      </c>
      <c r="AE136" s="1">
        <f t="shared" si="198"/>
        <v>0</v>
      </c>
      <c r="AF136" s="1">
        <f t="shared" si="199"/>
        <v>0</v>
      </c>
      <c r="AG136" s="1">
        <f t="shared" si="200"/>
        <v>0</v>
      </c>
      <c r="AH136" s="1">
        <f t="shared" si="201"/>
        <v>0</v>
      </c>
      <c r="AI136" s="1">
        <f t="shared" si="202"/>
        <v>0</v>
      </c>
      <c r="AJ136" s="1">
        <f t="shared" si="203"/>
        <v>0</v>
      </c>
      <c r="AK136" s="1">
        <f t="shared" si="204"/>
        <v>0</v>
      </c>
      <c r="AM136" s="772"/>
      <c r="AN136" s="772"/>
      <c r="AO136" s="772"/>
      <c r="AP136" s="772"/>
      <c r="AQ136" s="772"/>
      <c r="AR136" s="772"/>
      <c r="AS136" s="772"/>
      <c r="AT136" s="772"/>
      <c r="AU136" s="772"/>
      <c r="AV136" s="772"/>
      <c r="AW136" s="772"/>
      <c r="AX136" s="772"/>
      <c r="AY136" s="772"/>
      <c r="BA136" s="723"/>
      <c r="BB136" s="723" t="e">
        <f t="shared" si="228"/>
        <v>#REF!</v>
      </c>
      <c r="BC136" s="723"/>
      <c r="BD136" s="722" t="e">
        <f>BR136*#REF!</f>
        <v>#REF!</v>
      </c>
      <c r="BE136" s="722" t="e">
        <f>BS136*#REF!</f>
        <v>#REF!</v>
      </c>
      <c r="BF136" s="722" t="e">
        <f>BT136*#REF!</f>
        <v>#REF!</v>
      </c>
      <c r="BG136" s="722" t="e">
        <f>BU136*#REF!</f>
        <v>#REF!</v>
      </c>
      <c r="BH136" s="803" t="e">
        <f>BV136*#REF!</f>
        <v>#REF!</v>
      </c>
      <c r="BI136" s="722" t="e">
        <f>BW136*#REF!</f>
        <v>#REF!</v>
      </c>
      <c r="BJ136" s="722" t="e">
        <f>BX136*#REF!</f>
        <v>#REF!</v>
      </c>
      <c r="BK136" s="722" t="e">
        <f>BY136*#REF!</f>
        <v>#REF!</v>
      </c>
      <c r="BL136" s="722" t="e">
        <f>BZ136*#REF!</f>
        <v>#REF!</v>
      </c>
      <c r="BM136" s="722" t="e">
        <f>CA136*#REF!</f>
        <v>#REF!</v>
      </c>
      <c r="BO136" s="837">
        <f t="shared" si="175"/>
        <v>3.5</v>
      </c>
      <c r="BP136" s="749" t="str">
        <f t="shared" si="176"/>
        <v>LR1 3b</v>
      </c>
      <c r="BQ136" s="408" t="str">
        <f t="shared" si="177"/>
        <v>昇降機設備</v>
      </c>
      <c r="BR136" s="719">
        <f t="shared" si="178"/>
        <v>0</v>
      </c>
      <c r="BS136" s="719">
        <f t="shared" si="179"/>
        <v>0</v>
      </c>
      <c r="BT136" s="719">
        <f t="shared" si="180"/>
        <v>0</v>
      </c>
      <c r="BU136" s="719">
        <f t="shared" si="181"/>
        <v>0</v>
      </c>
      <c r="BV136" s="802">
        <f t="shared" si="182"/>
        <v>0</v>
      </c>
      <c r="BW136" s="719">
        <f t="shared" si="183"/>
        <v>0</v>
      </c>
      <c r="BX136" s="719">
        <f t="shared" si="184"/>
        <v>0</v>
      </c>
      <c r="BY136" s="719">
        <f t="shared" si="185"/>
        <v>0</v>
      </c>
      <c r="BZ136" s="719">
        <f t="shared" si="186"/>
        <v>0</v>
      </c>
      <c r="CA136" s="719">
        <f t="shared" si="187"/>
        <v>0</v>
      </c>
      <c r="CB136" s="748">
        <f t="shared" si="188"/>
        <v>0</v>
      </c>
      <c r="CC136" s="719">
        <f t="shared" si="189"/>
        <v>0</v>
      </c>
      <c r="CD136" s="719">
        <f t="shared" si="190"/>
        <v>0</v>
      </c>
      <c r="CF136" s="507">
        <v>3.5</v>
      </c>
      <c r="CG136" s="459" t="s">
        <v>340</v>
      </c>
      <c r="CH136" s="456" t="s">
        <v>292</v>
      </c>
      <c r="CI136" s="461"/>
      <c r="CJ136" s="461"/>
      <c r="CK136" s="461"/>
      <c r="CL136" s="461"/>
      <c r="CM136" s="468"/>
      <c r="CN136" s="461"/>
      <c r="CO136" s="461"/>
      <c r="CP136" s="461"/>
      <c r="CQ136" s="461"/>
      <c r="CR136" s="461"/>
      <c r="CS136" s="462"/>
      <c r="CT136" s="461"/>
      <c r="CU136" s="461"/>
      <c r="CW136" s="507">
        <v>3.5</v>
      </c>
      <c r="CX136" s="459" t="s">
        <v>340</v>
      </c>
      <c r="CY136" s="456" t="s">
        <v>292</v>
      </c>
      <c r="CZ136" s="461"/>
      <c r="DA136" s="461"/>
      <c r="DB136" s="461"/>
      <c r="DC136" s="461"/>
      <c r="DD136" s="468"/>
      <c r="DE136" s="461"/>
      <c r="DF136" s="461"/>
      <c r="DG136" s="461"/>
      <c r="DH136" s="461"/>
      <c r="DI136" s="461"/>
      <c r="DJ136" s="462"/>
      <c r="DK136" s="461"/>
      <c r="DL136" s="461"/>
      <c r="DN136" s="507">
        <v>3.5</v>
      </c>
      <c r="DO136" s="459" t="s">
        <v>340</v>
      </c>
      <c r="DP136" s="456" t="s">
        <v>292</v>
      </c>
      <c r="DQ136" s="461"/>
      <c r="DR136" s="461"/>
      <c r="DS136" s="461"/>
      <c r="DT136" s="461"/>
      <c r="DU136" s="468"/>
      <c r="DV136" s="461"/>
      <c r="DW136" s="461"/>
      <c r="DX136" s="461"/>
      <c r="DY136" s="461"/>
      <c r="DZ136" s="461"/>
      <c r="EA136" s="462"/>
      <c r="EB136" s="461"/>
      <c r="EC136" s="461"/>
      <c r="ED136" s="555"/>
      <c r="EE136">
        <f>ROWS($EE$5:EE135)</f>
        <v>131</v>
      </c>
      <c r="EF136" s="507">
        <v>3.5</v>
      </c>
      <c r="EG136" s="459" t="s">
        <v>340</v>
      </c>
      <c r="EH136" s="456"/>
      <c r="EI136" s="609">
        <f t="shared" si="217"/>
        <v>0</v>
      </c>
      <c r="EJ136" s="609">
        <f t="shared" si="218"/>
        <v>0</v>
      </c>
      <c r="EK136" s="609">
        <f t="shared" si="219"/>
        <v>0</v>
      </c>
      <c r="EL136" s="609">
        <f t="shared" si="220"/>
        <v>0</v>
      </c>
      <c r="EM136" s="621">
        <f t="shared" si="221"/>
        <v>0</v>
      </c>
      <c r="EN136" s="609">
        <f t="shared" si="222"/>
        <v>0</v>
      </c>
      <c r="EO136" s="609">
        <f t="shared" si="223"/>
        <v>0</v>
      </c>
      <c r="EP136" s="609">
        <f t="shared" si="224"/>
        <v>0</v>
      </c>
      <c r="EQ136" s="609">
        <f t="shared" si="225"/>
        <v>0</v>
      </c>
      <c r="ER136" s="609">
        <f t="shared" si="226"/>
        <v>0</v>
      </c>
      <c r="ES136" s="611">
        <f t="shared" si="214"/>
        <v>0</v>
      </c>
      <c r="ET136" s="609">
        <f t="shared" si="215"/>
        <v>0</v>
      </c>
      <c r="EU136" s="609">
        <f t="shared" si="216"/>
        <v>0</v>
      </c>
      <c r="EW136" s="507">
        <v>3.5</v>
      </c>
      <c r="EX136" s="459" t="s">
        <v>839</v>
      </c>
      <c r="EY136" s="456"/>
      <c r="EZ136" s="598">
        <f t="shared" si="227"/>
        <v>0</v>
      </c>
      <c r="FA136" s="598"/>
      <c r="FB136" s="598"/>
      <c r="FC136" s="598"/>
      <c r="FD136" s="641"/>
      <c r="FE136" s="598"/>
      <c r="FF136" s="598"/>
      <c r="FG136" s="598"/>
      <c r="FH136" s="598"/>
      <c r="FI136" s="598"/>
      <c r="FJ136" s="647"/>
      <c r="FK136" s="598"/>
      <c r="FL136" s="598"/>
    </row>
    <row r="137" spans="2:168" ht="14.25" hidden="1" thickBot="1">
      <c r="B137" s="732">
        <f t="shared" si="210"/>
        <v>0</v>
      </c>
      <c r="C137" s="408">
        <f t="shared" ref="C137:C168" si="230">BQ137</f>
        <v>0</v>
      </c>
      <c r="D137" s="731"/>
      <c r="E137" s="730"/>
      <c r="G137" s="730" t="e">
        <f t="shared" ref="G137:G168" si="231">K137*M137</f>
        <v>#REF!</v>
      </c>
      <c r="H137" s="730" t="e">
        <f t="shared" ref="H137:H168" si="232">L137*N137</f>
        <v>#REF!</v>
      </c>
      <c r="I137" s="730"/>
      <c r="J137" s="730"/>
      <c r="K137" s="730" t="e">
        <f>IF(#REF!=0,0,1)</f>
        <v>#REF!</v>
      </c>
      <c r="L137" s="730" t="e">
        <f>IF(#REF!=0,0,1)</f>
        <v>#REF!</v>
      </c>
      <c r="M137" s="730">
        <f t="shared" ref="M137:M168" si="233">SUMPRODUCT($BR$7:$CA$7,BR137:CA137)</f>
        <v>0</v>
      </c>
      <c r="N137" s="730">
        <f t="shared" si="212"/>
        <v>0</v>
      </c>
      <c r="P137" s="856"/>
      <c r="Q137" s="855">
        <v>3.6</v>
      </c>
      <c r="R137" s="854" t="s">
        <v>433</v>
      </c>
      <c r="S137" s="545"/>
      <c r="T137" s="853"/>
      <c r="U137" s="726"/>
      <c r="V137" s="725">
        <f t="shared" si="205"/>
        <v>0</v>
      </c>
      <c r="W137" s="724">
        <f t="shared" si="206"/>
        <v>0</v>
      </c>
      <c r="Y137" s="1">
        <f t="shared" si="192"/>
        <v>0</v>
      </c>
      <c r="Z137" s="1">
        <f t="shared" si="193"/>
        <v>0</v>
      </c>
      <c r="AA137" s="1">
        <f t="shared" si="194"/>
        <v>0</v>
      </c>
      <c r="AB137" s="1">
        <f t="shared" si="195"/>
        <v>0</v>
      </c>
      <c r="AC137" s="1">
        <f t="shared" si="196"/>
        <v>0</v>
      </c>
      <c r="AD137" s="1">
        <f t="shared" si="197"/>
        <v>0</v>
      </c>
      <c r="AE137" s="1">
        <f t="shared" si="198"/>
        <v>0</v>
      </c>
      <c r="AF137" s="1">
        <f t="shared" si="199"/>
        <v>0</v>
      </c>
      <c r="AG137" s="1">
        <f t="shared" si="200"/>
        <v>0</v>
      </c>
      <c r="AH137" s="1">
        <f t="shared" si="201"/>
        <v>0</v>
      </c>
      <c r="AI137" s="1">
        <f t="shared" si="202"/>
        <v>0</v>
      </c>
      <c r="AJ137" s="1">
        <f t="shared" si="203"/>
        <v>0</v>
      </c>
      <c r="AK137" s="1">
        <f t="shared" si="204"/>
        <v>0</v>
      </c>
      <c r="AM137" s="852"/>
      <c r="AN137" s="852"/>
      <c r="AO137" s="852"/>
      <c r="AP137" s="852"/>
      <c r="AQ137" s="852"/>
      <c r="AR137" s="852"/>
      <c r="AS137" s="852"/>
      <c r="AT137" s="852"/>
      <c r="AU137" s="852"/>
      <c r="AV137" s="852"/>
      <c r="AW137" s="852"/>
      <c r="AX137" s="852"/>
      <c r="AY137" s="852"/>
      <c r="BA137" s="723"/>
      <c r="BB137" s="723" t="e">
        <f t="shared" si="228"/>
        <v>#REF!</v>
      </c>
      <c r="BC137" s="723"/>
      <c r="BD137" s="722" t="e">
        <f>BR137*#REF!</f>
        <v>#REF!</v>
      </c>
      <c r="BE137" s="722" t="e">
        <f>BS137*#REF!</f>
        <v>#REF!</v>
      </c>
      <c r="BF137" s="722" t="e">
        <f>BT137*#REF!</f>
        <v>#REF!</v>
      </c>
      <c r="BG137" s="722" t="e">
        <f>BU137*#REF!</f>
        <v>#REF!</v>
      </c>
      <c r="BH137" s="803" t="e">
        <f>BV137*#REF!</f>
        <v>#REF!</v>
      </c>
      <c r="BI137" s="722" t="e">
        <f>BW137*#REF!</f>
        <v>#REF!</v>
      </c>
      <c r="BJ137" s="722" t="e">
        <f>BX137*#REF!</f>
        <v>#REF!</v>
      </c>
      <c r="BK137" s="722" t="e">
        <f>BY137*#REF!</f>
        <v>#REF!</v>
      </c>
      <c r="BL137" s="722" t="e">
        <f>BZ137*#REF!</f>
        <v>#REF!</v>
      </c>
      <c r="BM137" s="722" t="e">
        <f>CA137*#REF!</f>
        <v>#REF!</v>
      </c>
      <c r="BO137" s="837">
        <f t="shared" ref="BO137:BO168" si="234">IF($BO$3=1,CW137,IF($BO$3=2,DN137,IF($BO$3=3,EF137,IF($BO$3=4,EW137,CF137))))</f>
        <v>0</v>
      </c>
      <c r="BP137" s="837" t="str">
        <f t="shared" ref="BP137:BP168" si="235">IF($BO$3=1,CX137,IF($BO$3=2,DO137,IF($BO$3=3,EG137,IF($BO$3=4,EX137,CG137))))</f>
        <v>LR</v>
      </c>
      <c r="BQ137" s="408">
        <f t="shared" ref="BQ137:BQ168" si="236">IF($BO$3=1,CY137,IF($BO$3=2,DP137,IF($BO$3=3,EH137,IF($BO$3=4,EY137,CH137))))</f>
        <v>0</v>
      </c>
      <c r="BR137" s="719">
        <f t="shared" ref="BR137:BR168" si="237">IF($BO$3=1,CZ137,IF($BO$3=2,DQ137,IF($BO$3=3,EI137,IF($BO$3=4,EZ137,CI137))))</f>
        <v>0</v>
      </c>
      <c r="BS137" s="719">
        <f t="shared" ref="BS137:BS168" si="238">IF($BO$3=1,DA137,IF($BO$3=2,DR137,IF($BO$3=3,EJ137,IF($BO$3=4,FA137,CJ137))))</f>
        <v>0</v>
      </c>
      <c r="BT137" s="719">
        <f t="shared" ref="BT137:BT168" si="239">IF($BO$3=1,DB137,IF($BO$3=2,DS137,IF($BO$3=3,EK137,IF($BO$3=4,FB137,CK137))))</f>
        <v>0</v>
      </c>
      <c r="BU137" s="719">
        <f t="shared" ref="BU137:BU168" si="240">IF($BO$3=1,DC137,IF($BO$3=2,DT137,IF($BO$3=3,EL137,IF($BO$3=4,FC137,CL137))))</f>
        <v>0</v>
      </c>
      <c r="BV137" s="802">
        <f t="shared" ref="BV137:BV168" si="241">IF($BO$3=1,DD137,IF($BO$3=2,DU137,IF($BO$3=3,EM137,IF($BO$3=4,FD137,CM137))))</f>
        <v>0</v>
      </c>
      <c r="BW137" s="719">
        <f t="shared" ref="BW137:BW168" si="242">IF($BO$3=1,DE137,IF($BO$3=2,DV137,IF($BO$3=3,EN137,IF($BO$3=4,FE137,CN137))))</f>
        <v>0</v>
      </c>
      <c r="BX137" s="719">
        <f t="shared" ref="BX137:BX168" si="243">IF($BO$3=1,DF137,IF($BO$3=2,DW137,IF($BO$3=3,EO137,IF($BO$3=4,FF137,CO137))))</f>
        <v>0</v>
      </c>
      <c r="BY137" s="719">
        <f t="shared" ref="BY137:BY168" si="244">IF($BO$3=1,DG137,IF($BO$3=2,DX137,IF($BO$3=3,EP137,IF($BO$3=4,FG137,CP137))))</f>
        <v>0</v>
      </c>
      <c r="BZ137" s="719">
        <f t="shared" ref="BZ137:BZ168" si="245">IF($BO$3=1,DH137,IF($BO$3=2,DY137,IF($BO$3=3,EQ137,IF($BO$3=4,FH137,CQ137))))</f>
        <v>0</v>
      </c>
      <c r="CA137" s="719">
        <f t="shared" ref="CA137:CA168" si="246">IF($BO$3=1,DI137,IF($BO$3=2,DZ137,IF($BO$3=3,ER137,IF($BO$3=4,FI137,CR137))))</f>
        <v>0</v>
      </c>
      <c r="CB137" s="748">
        <f t="shared" ref="CB137:CB168" si="247">IF($BO$3=1,DJ137,IF($BO$3=2,EA137,IF($BO$3=3,ES137,IF($BO$3=4,FJ137,CS137))))</f>
        <v>0</v>
      </c>
      <c r="CC137" s="719">
        <f t="shared" ref="CC137:CC168" si="248">IF($BO$3=1,DK137,IF($BO$3=2,EB137,IF($BO$3=3,ET137,IF($BO$3=4,FK137,CT137))))</f>
        <v>0</v>
      </c>
      <c r="CD137" s="719">
        <f t="shared" ref="CD137:CD168" si="249">IF($BO$3=1,DL137,IF($BO$3=2,EC137,IF($BO$3=3,EU137,IF($BO$3=4,FL137,CU137))))</f>
        <v>0</v>
      </c>
      <c r="CF137" s="507"/>
      <c r="CG137" s="508" t="s">
        <v>37</v>
      </c>
      <c r="CH137" s="456"/>
      <c r="CI137" s="461"/>
      <c r="CJ137" s="461"/>
      <c r="CK137" s="461"/>
      <c r="CL137" s="461"/>
      <c r="CM137" s="468"/>
      <c r="CN137" s="461"/>
      <c r="CO137" s="461"/>
      <c r="CP137" s="461"/>
      <c r="CQ137" s="461"/>
      <c r="CR137" s="461"/>
      <c r="CS137" s="462"/>
      <c r="CT137" s="461"/>
      <c r="CU137" s="461"/>
      <c r="CW137" s="507"/>
      <c r="CX137" s="508" t="s">
        <v>37</v>
      </c>
      <c r="CY137" s="456"/>
      <c r="CZ137" s="461"/>
      <c r="DA137" s="461"/>
      <c r="DB137" s="461"/>
      <c r="DC137" s="461"/>
      <c r="DD137" s="468"/>
      <c r="DE137" s="461"/>
      <c r="DF137" s="461"/>
      <c r="DG137" s="461"/>
      <c r="DH137" s="461"/>
      <c r="DI137" s="461"/>
      <c r="DJ137" s="462"/>
      <c r="DK137" s="461"/>
      <c r="DL137" s="461"/>
      <c r="DN137" s="507"/>
      <c r="DO137" s="508" t="s">
        <v>37</v>
      </c>
      <c r="DP137" s="456"/>
      <c r="DQ137" s="461"/>
      <c r="DR137" s="461"/>
      <c r="DS137" s="461"/>
      <c r="DT137" s="461"/>
      <c r="DU137" s="468"/>
      <c r="DV137" s="461"/>
      <c r="DW137" s="461"/>
      <c r="DX137" s="461"/>
      <c r="DY137" s="461"/>
      <c r="DZ137" s="461"/>
      <c r="EA137" s="462"/>
      <c r="EB137" s="461"/>
      <c r="EC137" s="461"/>
      <c r="ED137" s="555"/>
      <c r="EE137">
        <f>ROWS($EE$5:EE136)</f>
        <v>132</v>
      </c>
      <c r="EF137" s="507"/>
      <c r="EG137" s="508" t="s">
        <v>37</v>
      </c>
      <c r="EH137" s="456"/>
      <c r="EI137" s="609">
        <f t="shared" si="217"/>
        <v>0</v>
      </c>
      <c r="EJ137" s="609">
        <f t="shared" si="218"/>
        <v>0</v>
      </c>
      <c r="EK137" s="609">
        <f t="shared" si="219"/>
        <v>0</v>
      </c>
      <c r="EL137" s="609">
        <f t="shared" si="220"/>
        <v>0</v>
      </c>
      <c r="EM137" s="621">
        <f t="shared" si="221"/>
        <v>0</v>
      </c>
      <c r="EN137" s="609">
        <f t="shared" si="222"/>
        <v>0</v>
      </c>
      <c r="EO137" s="609">
        <f t="shared" si="223"/>
        <v>0</v>
      </c>
      <c r="EP137" s="609">
        <f t="shared" si="224"/>
        <v>0</v>
      </c>
      <c r="EQ137" s="609">
        <f t="shared" si="225"/>
        <v>0</v>
      </c>
      <c r="ER137" s="609">
        <f t="shared" si="226"/>
        <v>0</v>
      </c>
      <c r="ES137" s="611">
        <f t="shared" si="214"/>
        <v>0</v>
      </c>
      <c r="ET137" s="609">
        <f t="shared" si="215"/>
        <v>0</v>
      </c>
      <c r="EU137" s="609">
        <f t="shared" si="216"/>
        <v>0</v>
      </c>
      <c r="EW137" s="507"/>
      <c r="EX137" s="508" t="s">
        <v>37</v>
      </c>
      <c r="EY137" s="456"/>
      <c r="EZ137" s="598">
        <f t="shared" si="227"/>
        <v>0</v>
      </c>
      <c r="FA137" s="598"/>
      <c r="FB137" s="598"/>
      <c r="FC137" s="598"/>
      <c r="FD137" s="641"/>
      <c r="FE137" s="598"/>
      <c r="FF137" s="598"/>
      <c r="FG137" s="598"/>
      <c r="FH137" s="598"/>
      <c r="FI137" s="598"/>
      <c r="FJ137" s="647"/>
      <c r="FK137" s="598"/>
      <c r="FL137" s="598"/>
    </row>
    <row r="138" spans="2:168">
      <c r="B138" s="732">
        <f t="shared" si="210"/>
        <v>4</v>
      </c>
      <c r="C138" s="759" t="str">
        <f t="shared" si="230"/>
        <v>効率的運用</v>
      </c>
      <c r="D138" s="770" t="e">
        <f>IF(I$122=0,0,G138/I$122)</f>
        <v>#REF!</v>
      </c>
      <c r="E138" s="769" t="e">
        <f>IF(J$122=0,0,H138/J$122)</f>
        <v>#REF!</v>
      </c>
      <c r="G138" s="769" t="e">
        <f t="shared" si="231"/>
        <v>#REF!</v>
      </c>
      <c r="H138" s="769" t="e">
        <f t="shared" si="232"/>
        <v>#REF!</v>
      </c>
      <c r="I138" s="769" t="e">
        <f>G139+G142</f>
        <v>#REF!</v>
      </c>
      <c r="J138" s="769" t="e">
        <f>H139+H142</f>
        <v>#REF!</v>
      </c>
      <c r="K138" s="769" t="e">
        <f>IF(#REF!=0,0,1)</f>
        <v>#REF!</v>
      </c>
      <c r="L138" s="769" t="e">
        <f>IF(#REF!=0,0,1)</f>
        <v>#REF!</v>
      </c>
      <c r="M138" s="769">
        <f t="shared" si="233"/>
        <v>0.2</v>
      </c>
      <c r="N138" s="769">
        <f t="shared" si="212"/>
        <v>0</v>
      </c>
      <c r="P138" s="768">
        <v>4</v>
      </c>
      <c r="Q138" s="767" t="s">
        <v>293</v>
      </c>
      <c r="R138" s="754"/>
      <c r="S138" s="754"/>
      <c r="T138" s="753"/>
      <c r="U138" s="726"/>
      <c r="V138" s="851">
        <f t="shared" si="205"/>
        <v>0</v>
      </c>
      <c r="W138" s="850">
        <f t="shared" si="206"/>
        <v>0</v>
      </c>
      <c r="Y138" s="1">
        <f t="shared" ref="Y138:Y169" si="250">IF(OR(AM138=0,AM138="-"),0,1)</f>
        <v>0</v>
      </c>
      <c r="Z138" s="1">
        <f t="shared" ref="Z138:Z169" si="251">IF(OR(AN138=0,AN138="-"),0,1)</f>
        <v>0</v>
      </c>
      <c r="AA138" s="1">
        <f t="shared" ref="AA138:AA169" si="252">IF(OR(AO138=0,AO138="-"),0,1)</f>
        <v>0</v>
      </c>
      <c r="AB138" s="1">
        <f t="shared" ref="AB138:AB169" si="253">IF(OR(AP138=0,AP138="-"),0,1)</f>
        <v>0</v>
      </c>
      <c r="AC138" s="1">
        <f t="shared" ref="AC138:AC169" si="254">IF(OR(AQ138=0,AQ138="-"),0,1)</f>
        <v>0</v>
      </c>
      <c r="AD138" s="1">
        <f t="shared" ref="AD138:AD169" si="255">IF(OR(AR138=0,AR138="-"),0,1)</f>
        <v>0</v>
      </c>
      <c r="AE138" s="1">
        <f t="shared" ref="AE138:AE169" si="256">IF(OR(AS138=0,AS138="-"),0,1)</f>
        <v>0</v>
      </c>
      <c r="AF138" s="1">
        <f t="shared" ref="AF138:AF169" si="257">IF(OR(AT138=0,AT138="-"),0,1)</f>
        <v>0</v>
      </c>
      <c r="AG138" s="1">
        <f t="shared" ref="AG138:AG169" si="258">IF(OR(AU138=0,AU138="-"),0,1)</f>
        <v>0</v>
      </c>
      <c r="AH138" s="1">
        <f t="shared" ref="AH138:AH169" si="259">IF(OR(AV138=0,AV138="-"),0,1)</f>
        <v>0</v>
      </c>
      <c r="AI138" s="1">
        <f t="shared" ref="AI138:AI169" si="260">IF(OR(AW138=0,AW138="-"),0,1)</f>
        <v>0</v>
      </c>
      <c r="AJ138" s="1">
        <f t="shared" ref="AJ138:AJ169" si="261">IF(OR(AX138=0,AX138="-"),0,1)</f>
        <v>0</v>
      </c>
      <c r="AK138" s="1">
        <f t="shared" ref="AK138:AK169" si="262">IF(OR(AY138=0,AY138="-"),0,1)</f>
        <v>0</v>
      </c>
      <c r="AM138" s="849" t="s">
        <v>49</v>
      </c>
      <c r="AN138" s="849" t="s">
        <v>49</v>
      </c>
      <c r="AO138" s="849" t="s">
        <v>49</v>
      </c>
      <c r="AP138" s="849" t="s">
        <v>49</v>
      </c>
      <c r="AQ138" s="849" t="s">
        <v>49</v>
      </c>
      <c r="AR138" s="849" t="s">
        <v>49</v>
      </c>
      <c r="AS138" s="849" t="s">
        <v>49</v>
      </c>
      <c r="AT138" s="849" t="s">
        <v>49</v>
      </c>
      <c r="AU138" s="849" t="s">
        <v>49</v>
      </c>
      <c r="AV138" s="849" t="s">
        <v>49</v>
      </c>
      <c r="AW138" s="849" t="s">
        <v>49</v>
      </c>
      <c r="AX138" s="849" t="s">
        <v>49</v>
      </c>
      <c r="AY138" s="849" t="s">
        <v>49</v>
      </c>
      <c r="BA138" s="763" t="e">
        <f>BB138/$BC$122</f>
        <v>#REF!</v>
      </c>
      <c r="BB138" s="848" t="e">
        <f t="shared" si="228"/>
        <v>#REF!</v>
      </c>
      <c r="BC138" s="848"/>
      <c r="BD138" s="846" t="e">
        <f>BR138*#REF!</f>
        <v>#REF!</v>
      </c>
      <c r="BE138" s="846" t="e">
        <f>BS138*#REF!</f>
        <v>#REF!</v>
      </c>
      <c r="BF138" s="846" t="e">
        <f>BT138*#REF!</f>
        <v>#REF!</v>
      </c>
      <c r="BG138" s="846" t="e">
        <f>BU138*#REF!</f>
        <v>#REF!</v>
      </c>
      <c r="BH138" s="847" t="e">
        <f>BV138*#REF!</f>
        <v>#REF!</v>
      </c>
      <c r="BI138" s="846" t="e">
        <f>BW138*#REF!</f>
        <v>#REF!</v>
      </c>
      <c r="BJ138" s="846" t="e">
        <f>BX138*#REF!</f>
        <v>#REF!</v>
      </c>
      <c r="BK138" s="846" t="e">
        <f>BY138*#REF!</f>
        <v>#REF!</v>
      </c>
      <c r="BL138" s="846" t="e">
        <f>BZ138*#REF!</f>
        <v>#REF!</v>
      </c>
      <c r="BM138" s="846" t="e">
        <f>CA138*#REF!</f>
        <v>#REF!</v>
      </c>
      <c r="BO138" s="840">
        <f t="shared" si="234"/>
        <v>4</v>
      </c>
      <c r="BP138" s="823" t="str">
        <f t="shared" si="235"/>
        <v>LR1</v>
      </c>
      <c r="BQ138" s="759" t="str">
        <f t="shared" si="236"/>
        <v>効率的運用</v>
      </c>
      <c r="BR138" s="844">
        <f t="shared" si="237"/>
        <v>0.2</v>
      </c>
      <c r="BS138" s="844">
        <f t="shared" si="238"/>
        <v>0.2</v>
      </c>
      <c r="BT138" s="844">
        <f t="shared" si="239"/>
        <v>0.2</v>
      </c>
      <c r="BU138" s="844">
        <f t="shared" si="240"/>
        <v>0.2</v>
      </c>
      <c r="BV138" s="845">
        <f t="shared" si="241"/>
        <v>0.2</v>
      </c>
      <c r="BW138" s="844">
        <f t="shared" si="242"/>
        <v>0.25</v>
      </c>
      <c r="BX138" s="844">
        <f t="shared" si="243"/>
        <v>0.2</v>
      </c>
      <c r="BY138" s="844">
        <f t="shared" si="244"/>
        <v>0.2</v>
      </c>
      <c r="BZ138" s="844">
        <f t="shared" si="245"/>
        <v>0.2</v>
      </c>
      <c r="CA138" s="844">
        <f t="shared" si="246"/>
        <v>0.2</v>
      </c>
      <c r="CB138" s="758">
        <f t="shared" si="247"/>
        <v>0</v>
      </c>
      <c r="CC138" s="757">
        <f t="shared" si="248"/>
        <v>0</v>
      </c>
      <c r="CD138" s="757">
        <f t="shared" si="249"/>
        <v>0</v>
      </c>
      <c r="CF138" s="505">
        <v>4</v>
      </c>
      <c r="CG138" s="451" t="s">
        <v>405</v>
      </c>
      <c r="CH138" s="448" t="s">
        <v>293</v>
      </c>
      <c r="CI138" s="493">
        <v>0.2</v>
      </c>
      <c r="CJ138" s="493">
        <v>0.2</v>
      </c>
      <c r="CK138" s="493">
        <v>0.2</v>
      </c>
      <c r="CL138" s="493">
        <v>0.2</v>
      </c>
      <c r="CM138" s="493">
        <v>0.2</v>
      </c>
      <c r="CN138" s="493">
        <v>0.25</v>
      </c>
      <c r="CO138" s="493">
        <v>0.2</v>
      </c>
      <c r="CP138" s="493">
        <v>0.2</v>
      </c>
      <c r="CQ138" s="493">
        <v>0.2</v>
      </c>
      <c r="CR138" s="493">
        <v>0.2</v>
      </c>
      <c r="CS138" s="453"/>
      <c r="CT138" s="452"/>
      <c r="CU138" s="452"/>
      <c r="CW138" s="505">
        <v>4</v>
      </c>
      <c r="CX138" s="451" t="s">
        <v>405</v>
      </c>
      <c r="CY138" s="448" t="s">
        <v>293</v>
      </c>
      <c r="CZ138" s="493">
        <v>0.2</v>
      </c>
      <c r="DA138" s="493">
        <v>0.2</v>
      </c>
      <c r="DB138" s="493">
        <v>0.2</v>
      </c>
      <c r="DC138" s="493">
        <v>0.2</v>
      </c>
      <c r="DD138" s="493">
        <v>0.2</v>
      </c>
      <c r="DE138" s="493">
        <v>0.25</v>
      </c>
      <c r="DF138" s="493">
        <v>0.2</v>
      </c>
      <c r="DG138" s="493">
        <v>0.2</v>
      </c>
      <c r="DH138" s="493">
        <v>0.2</v>
      </c>
      <c r="DI138" s="493">
        <v>0.2</v>
      </c>
      <c r="DJ138" s="453"/>
      <c r="DK138" s="452"/>
      <c r="DL138" s="452"/>
      <c r="DN138" s="505">
        <v>4</v>
      </c>
      <c r="DO138" s="451" t="s">
        <v>405</v>
      </c>
      <c r="DP138" s="448" t="s">
        <v>293</v>
      </c>
      <c r="DQ138" s="493">
        <v>0.2</v>
      </c>
      <c r="DR138" s="493">
        <v>0.2</v>
      </c>
      <c r="DS138" s="493">
        <v>0.2</v>
      </c>
      <c r="DT138" s="493">
        <v>0.2</v>
      </c>
      <c r="DU138" s="493">
        <v>0.2</v>
      </c>
      <c r="DV138" s="493">
        <v>0.25</v>
      </c>
      <c r="DW138" s="493">
        <v>0.2</v>
      </c>
      <c r="DX138" s="493">
        <v>0.2</v>
      </c>
      <c r="DY138" s="493">
        <v>0.2</v>
      </c>
      <c r="DZ138" s="493">
        <v>0.2</v>
      </c>
      <c r="EA138" s="453"/>
      <c r="EB138" s="452"/>
      <c r="EC138" s="452"/>
      <c r="ED138" s="554"/>
      <c r="EE138">
        <f>ROWS($EE$5:EE137)</f>
        <v>133</v>
      </c>
      <c r="EF138" s="505">
        <v>4</v>
      </c>
      <c r="EG138" s="451" t="s">
        <v>405</v>
      </c>
      <c r="EH138" s="448" t="s">
        <v>293</v>
      </c>
      <c r="EI138" s="619">
        <f t="shared" si="217"/>
        <v>0.2</v>
      </c>
      <c r="EJ138" s="619">
        <f t="shared" si="218"/>
        <v>0.2</v>
      </c>
      <c r="EK138" s="619">
        <f t="shared" si="219"/>
        <v>0.2</v>
      </c>
      <c r="EL138" s="619">
        <f t="shared" si="220"/>
        <v>0.2</v>
      </c>
      <c r="EM138" s="619">
        <f t="shared" si="221"/>
        <v>0.2</v>
      </c>
      <c r="EN138" s="619">
        <f t="shared" si="222"/>
        <v>0.25</v>
      </c>
      <c r="EO138" s="619">
        <f t="shared" si="223"/>
        <v>0.2</v>
      </c>
      <c r="EP138" s="619">
        <f t="shared" si="224"/>
        <v>0.2</v>
      </c>
      <c r="EQ138" s="619">
        <f t="shared" si="225"/>
        <v>0.2</v>
      </c>
      <c r="ER138" s="619">
        <f t="shared" si="226"/>
        <v>0.2</v>
      </c>
      <c r="ES138" s="608">
        <f t="shared" si="214"/>
        <v>0</v>
      </c>
      <c r="ET138" s="606">
        <f t="shared" si="215"/>
        <v>0</v>
      </c>
      <c r="EU138" s="606">
        <f t="shared" si="216"/>
        <v>0</v>
      </c>
      <c r="EW138" s="505">
        <v>4</v>
      </c>
      <c r="EX138" s="451" t="s">
        <v>405</v>
      </c>
      <c r="EY138" s="448" t="s">
        <v>293</v>
      </c>
      <c r="EZ138" s="599">
        <f t="shared" si="227"/>
        <v>0.2</v>
      </c>
      <c r="FA138" s="599"/>
      <c r="FB138" s="599"/>
      <c r="FC138" s="599"/>
      <c r="FD138" s="599"/>
      <c r="FE138" s="599"/>
      <c r="FF138" s="599"/>
      <c r="FG138" s="599"/>
      <c r="FH138" s="599"/>
      <c r="FI138" s="599"/>
      <c r="FJ138" s="597"/>
      <c r="FK138" s="596"/>
      <c r="FL138" s="596"/>
    </row>
    <row r="139" spans="2:168" ht="14.25" thickBot="1">
      <c r="B139" s="732">
        <f t="shared" si="210"/>
        <v>4.0999999999999996</v>
      </c>
      <c r="C139" s="408" t="str">
        <f t="shared" si="230"/>
        <v>住宅以外の評価</v>
      </c>
      <c r="D139" s="731" t="e">
        <f>IF(I$138=0,0,G139/I$138)</f>
        <v>#REF!</v>
      </c>
      <c r="E139" s="731" t="e">
        <f>IF(J$138=0,0,H139/J$138)</f>
        <v>#REF!</v>
      </c>
      <c r="G139" s="730" t="e">
        <f t="shared" si="231"/>
        <v>#REF!</v>
      </c>
      <c r="H139" s="730" t="e">
        <f t="shared" si="232"/>
        <v>#REF!</v>
      </c>
      <c r="I139" s="730" t="e">
        <f>SUM(G140:G141)</f>
        <v>#REF!</v>
      </c>
      <c r="J139" s="730" t="e">
        <f>SUM(H140:H141)</f>
        <v>#REF!</v>
      </c>
      <c r="K139" s="730" t="e">
        <f>IF(#REF!=0,0,1)</f>
        <v>#REF!</v>
      </c>
      <c r="L139" s="730" t="e">
        <f>IF(#REF!=0,0,1)</f>
        <v>#REF!</v>
      </c>
      <c r="M139" s="730">
        <f t="shared" si="233"/>
        <v>1</v>
      </c>
      <c r="N139" s="730">
        <f t="shared" si="212"/>
        <v>0</v>
      </c>
      <c r="P139" s="832"/>
      <c r="Q139" s="777"/>
      <c r="R139" s="838" t="s">
        <v>838</v>
      </c>
      <c r="S139" s="816"/>
      <c r="T139" s="815"/>
      <c r="U139" s="726"/>
      <c r="V139" s="814">
        <f t="shared" si="205"/>
        <v>0</v>
      </c>
      <c r="W139" s="813">
        <f t="shared" si="206"/>
        <v>0</v>
      </c>
      <c r="Y139" s="1">
        <f t="shared" si="250"/>
        <v>0</v>
      </c>
      <c r="Z139" s="1">
        <f t="shared" si="251"/>
        <v>0</v>
      </c>
      <c r="AA139" s="1">
        <f t="shared" si="252"/>
        <v>0</v>
      </c>
      <c r="AB139" s="1">
        <f t="shared" si="253"/>
        <v>0</v>
      </c>
      <c r="AC139" s="1">
        <f t="shared" si="254"/>
        <v>0</v>
      </c>
      <c r="AD139" s="1">
        <f t="shared" si="255"/>
        <v>0</v>
      </c>
      <c r="AE139" s="1">
        <f t="shared" si="256"/>
        <v>0</v>
      </c>
      <c r="AF139" s="1">
        <f t="shared" si="257"/>
        <v>0</v>
      </c>
      <c r="AG139" s="1">
        <f t="shared" si="258"/>
        <v>0</v>
      </c>
      <c r="AH139" s="1">
        <f t="shared" si="259"/>
        <v>0</v>
      </c>
      <c r="AI139" s="1">
        <f t="shared" si="260"/>
        <v>0</v>
      </c>
      <c r="AJ139" s="1">
        <f t="shared" si="261"/>
        <v>0</v>
      </c>
      <c r="AK139" s="1">
        <f t="shared" si="262"/>
        <v>0</v>
      </c>
      <c r="AM139" s="812" t="s">
        <v>49</v>
      </c>
      <c r="AN139" s="812" t="s">
        <v>49</v>
      </c>
      <c r="AO139" s="812" t="s">
        <v>49</v>
      </c>
      <c r="AP139" s="812" t="s">
        <v>49</v>
      </c>
      <c r="AQ139" s="812" t="s">
        <v>49</v>
      </c>
      <c r="AR139" s="812" t="s">
        <v>49</v>
      </c>
      <c r="AS139" s="812" t="s">
        <v>49</v>
      </c>
      <c r="AT139" s="812" t="s">
        <v>49</v>
      </c>
      <c r="AU139" s="812" t="s">
        <v>49</v>
      </c>
      <c r="AV139" s="812" t="s">
        <v>49</v>
      </c>
      <c r="AW139" s="812" t="s">
        <v>49</v>
      </c>
      <c r="AX139" s="812" t="s">
        <v>49</v>
      </c>
      <c r="AY139" s="812" t="s">
        <v>49</v>
      </c>
      <c r="BA139" s="723"/>
      <c r="BB139" s="723" t="e">
        <f t="shared" si="228"/>
        <v>#REF!</v>
      </c>
      <c r="BC139" s="723"/>
      <c r="BD139" s="722" t="e">
        <f>BR139*#REF!</f>
        <v>#REF!</v>
      </c>
      <c r="BE139" s="722" t="e">
        <f>BS139*#REF!</f>
        <v>#REF!</v>
      </c>
      <c r="BF139" s="722" t="e">
        <f>BT139*#REF!</f>
        <v>#REF!</v>
      </c>
      <c r="BG139" s="722" t="e">
        <f>BU139*#REF!</f>
        <v>#REF!</v>
      </c>
      <c r="BH139" s="803" t="e">
        <f>BV139*#REF!</f>
        <v>#REF!</v>
      </c>
      <c r="BI139" s="722" t="e">
        <f>BW139*#REF!</f>
        <v>#REF!</v>
      </c>
      <c r="BJ139" s="722" t="e">
        <f>BX139*#REF!</f>
        <v>#REF!</v>
      </c>
      <c r="BK139" s="722" t="e">
        <f>BY139*#REF!</f>
        <v>#REF!</v>
      </c>
      <c r="BL139" s="722" t="e">
        <f>BZ139*#REF!</f>
        <v>#REF!</v>
      </c>
      <c r="BM139" s="722" t="e">
        <f>CA139*#REF!</f>
        <v>#REF!</v>
      </c>
      <c r="BO139" s="749">
        <f t="shared" si="234"/>
        <v>4.0999999999999996</v>
      </c>
      <c r="BP139" s="749" t="str">
        <f t="shared" si="235"/>
        <v>LR1 4</v>
      </c>
      <c r="BQ139" s="408" t="str">
        <f t="shared" si="236"/>
        <v>住宅以外の評価</v>
      </c>
      <c r="BR139" s="719">
        <f t="shared" si="237"/>
        <v>1</v>
      </c>
      <c r="BS139" s="719">
        <f t="shared" si="238"/>
        <v>1</v>
      </c>
      <c r="BT139" s="719">
        <f t="shared" si="239"/>
        <v>1</v>
      </c>
      <c r="BU139" s="719">
        <f t="shared" si="240"/>
        <v>1</v>
      </c>
      <c r="BV139" s="802">
        <f t="shared" si="241"/>
        <v>1</v>
      </c>
      <c r="BW139" s="719">
        <f t="shared" si="242"/>
        <v>1</v>
      </c>
      <c r="BX139" s="719">
        <f t="shared" si="243"/>
        <v>1</v>
      </c>
      <c r="BY139" s="719">
        <f t="shared" si="244"/>
        <v>1</v>
      </c>
      <c r="BZ139" s="719">
        <f t="shared" si="245"/>
        <v>1</v>
      </c>
      <c r="CA139" s="719">
        <f t="shared" si="246"/>
        <v>0</v>
      </c>
      <c r="CB139" s="748">
        <f t="shared" si="247"/>
        <v>0</v>
      </c>
      <c r="CC139" s="717">
        <f t="shared" si="248"/>
        <v>0</v>
      </c>
      <c r="CD139" s="717">
        <f t="shared" si="249"/>
        <v>0</v>
      </c>
      <c r="CF139" s="455">
        <v>4.0999999999999996</v>
      </c>
      <c r="CG139" s="459" t="s">
        <v>41</v>
      </c>
      <c r="CH139" s="456" t="s">
        <v>837</v>
      </c>
      <c r="CI139" s="461">
        <v>1</v>
      </c>
      <c r="CJ139" s="461">
        <v>1</v>
      </c>
      <c r="CK139" s="461">
        <v>1</v>
      </c>
      <c r="CL139" s="461">
        <v>1</v>
      </c>
      <c r="CM139" s="461">
        <v>1</v>
      </c>
      <c r="CN139" s="461">
        <v>1</v>
      </c>
      <c r="CO139" s="461">
        <v>1</v>
      </c>
      <c r="CP139" s="461">
        <v>1</v>
      </c>
      <c r="CQ139" s="461">
        <v>1</v>
      </c>
      <c r="CR139" s="461"/>
      <c r="CS139" s="462"/>
      <c r="CT139" s="503"/>
      <c r="CU139" s="503"/>
      <c r="CW139" s="455">
        <v>4.0999999999999996</v>
      </c>
      <c r="CX139" s="459" t="s">
        <v>41</v>
      </c>
      <c r="CY139" s="456" t="s">
        <v>837</v>
      </c>
      <c r="CZ139" s="461">
        <v>1</v>
      </c>
      <c r="DA139" s="461">
        <v>1</v>
      </c>
      <c r="DB139" s="461">
        <v>1</v>
      </c>
      <c r="DC139" s="461">
        <v>1</v>
      </c>
      <c r="DD139" s="461">
        <v>1</v>
      </c>
      <c r="DE139" s="461">
        <v>1</v>
      </c>
      <c r="DF139" s="461">
        <v>1</v>
      </c>
      <c r="DG139" s="461">
        <v>1</v>
      </c>
      <c r="DH139" s="461">
        <v>1</v>
      </c>
      <c r="DI139" s="461"/>
      <c r="DJ139" s="462"/>
      <c r="DK139" s="503"/>
      <c r="DL139" s="503"/>
      <c r="DN139" s="455">
        <v>4.0999999999999996</v>
      </c>
      <c r="DO139" s="459" t="s">
        <v>41</v>
      </c>
      <c r="DP139" s="456" t="s">
        <v>837</v>
      </c>
      <c r="DQ139" s="461">
        <v>1</v>
      </c>
      <c r="DR139" s="461">
        <v>1</v>
      </c>
      <c r="DS139" s="461">
        <v>1</v>
      </c>
      <c r="DT139" s="461">
        <v>1</v>
      </c>
      <c r="DU139" s="461">
        <v>1</v>
      </c>
      <c r="DV139" s="461">
        <v>1</v>
      </c>
      <c r="DW139" s="461">
        <v>1</v>
      </c>
      <c r="DX139" s="461">
        <v>1</v>
      </c>
      <c r="DY139" s="461">
        <v>1</v>
      </c>
      <c r="DZ139" s="461"/>
      <c r="EA139" s="462"/>
      <c r="EB139" s="503"/>
      <c r="EC139" s="503"/>
      <c r="ED139" s="558"/>
      <c r="EE139">
        <f>ROWS($EE$5:EE138)</f>
        <v>134</v>
      </c>
      <c r="EF139" s="455">
        <v>4.0999999999999996</v>
      </c>
      <c r="EG139" s="459" t="s">
        <v>41</v>
      </c>
      <c r="EH139" s="456" t="s">
        <v>837</v>
      </c>
      <c r="EI139" s="609">
        <f t="shared" si="217"/>
        <v>1</v>
      </c>
      <c r="EJ139" s="609">
        <f t="shared" si="218"/>
        <v>1</v>
      </c>
      <c r="EK139" s="609">
        <f t="shared" si="219"/>
        <v>1</v>
      </c>
      <c r="EL139" s="609">
        <f t="shared" si="220"/>
        <v>1</v>
      </c>
      <c r="EM139" s="609">
        <f t="shared" si="221"/>
        <v>1</v>
      </c>
      <c r="EN139" s="609">
        <f t="shared" si="222"/>
        <v>1</v>
      </c>
      <c r="EO139" s="609">
        <f t="shared" si="223"/>
        <v>1</v>
      </c>
      <c r="EP139" s="609">
        <f t="shared" si="224"/>
        <v>1</v>
      </c>
      <c r="EQ139" s="609">
        <f t="shared" si="225"/>
        <v>1</v>
      </c>
      <c r="ER139" s="609">
        <f t="shared" si="226"/>
        <v>0</v>
      </c>
      <c r="ES139" s="611">
        <f t="shared" si="214"/>
        <v>0</v>
      </c>
      <c r="ET139" s="624">
        <f t="shared" si="215"/>
        <v>0</v>
      </c>
      <c r="EU139" s="624">
        <f t="shared" si="216"/>
        <v>0</v>
      </c>
      <c r="EW139" s="455">
        <v>4.0999999999999996</v>
      </c>
      <c r="EX139" s="459" t="s">
        <v>41</v>
      </c>
      <c r="EY139" s="456" t="s">
        <v>837</v>
      </c>
      <c r="EZ139" s="598">
        <f t="shared" si="227"/>
        <v>1</v>
      </c>
      <c r="FA139" s="598"/>
      <c r="FB139" s="598"/>
      <c r="FC139" s="598"/>
      <c r="FD139" s="598"/>
      <c r="FE139" s="598"/>
      <c r="FF139" s="598"/>
      <c r="FG139" s="598"/>
      <c r="FH139" s="598"/>
      <c r="FI139" s="598"/>
      <c r="FJ139" s="647"/>
      <c r="FK139" s="601"/>
      <c r="FL139" s="601"/>
    </row>
    <row r="140" spans="2:168">
      <c r="B140" s="732" t="str">
        <f t="shared" si="210"/>
        <v>4.1.1</v>
      </c>
      <c r="C140" s="408" t="str">
        <f t="shared" si="230"/>
        <v>モニタリング</v>
      </c>
      <c r="D140" s="731" t="e">
        <f>IF(I$139=0,0,G140/I$139)</f>
        <v>#REF!</v>
      </c>
      <c r="E140" s="731" t="e">
        <f>IF(J$139=0,0,H140/J$139)</f>
        <v>#REF!</v>
      </c>
      <c r="G140" s="730" t="e">
        <f t="shared" si="231"/>
        <v>#REF!</v>
      </c>
      <c r="H140" s="730" t="e">
        <f t="shared" si="232"/>
        <v>#REF!</v>
      </c>
      <c r="I140" s="730"/>
      <c r="J140" s="730"/>
      <c r="K140" s="730" t="e">
        <f>IF(#REF!=0,0,1)</f>
        <v>#REF!</v>
      </c>
      <c r="L140" s="730" t="e">
        <f>IF(#REF!=0,0,1)</f>
        <v>#REF!</v>
      </c>
      <c r="M140" s="730">
        <f t="shared" si="233"/>
        <v>0.5</v>
      </c>
      <c r="N140" s="730">
        <f t="shared" si="212"/>
        <v>0</v>
      </c>
      <c r="P140" s="832"/>
      <c r="Q140" s="836"/>
      <c r="R140" s="414">
        <v>4.0999999999999996</v>
      </c>
      <c r="S140" s="579" t="s">
        <v>232</v>
      </c>
      <c r="T140" s="745"/>
      <c r="U140" s="726"/>
      <c r="V140" s="734">
        <f t="shared" si="205"/>
        <v>0</v>
      </c>
      <c r="W140" s="733">
        <f t="shared" si="206"/>
        <v>0</v>
      </c>
      <c r="Y140" s="1">
        <f t="shared" si="250"/>
        <v>0</v>
      </c>
      <c r="Z140" s="1">
        <f t="shared" si="251"/>
        <v>0</v>
      </c>
      <c r="AA140" s="1">
        <f t="shared" si="252"/>
        <v>0</v>
      </c>
      <c r="AB140" s="1">
        <f t="shared" si="253"/>
        <v>0</v>
      </c>
      <c r="AC140" s="1">
        <f t="shared" si="254"/>
        <v>0</v>
      </c>
      <c r="AD140" s="1">
        <f t="shared" si="255"/>
        <v>0</v>
      </c>
      <c r="AE140" s="1">
        <f t="shared" si="256"/>
        <v>0</v>
      </c>
      <c r="AF140" s="1">
        <f t="shared" si="257"/>
        <v>0</v>
      </c>
      <c r="AG140" s="1">
        <f t="shared" si="258"/>
        <v>0</v>
      </c>
      <c r="AH140" s="1">
        <f t="shared" si="259"/>
        <v>0</v>
      </c>
      <c r="AI140" s="1">
        <f t="shared" si="260"/>
        <v>0</v>
      </c>
      <c r="AJ140" s="1">
        <f t="shared" si="261"/>
        <v>0</v>
      </c>
      <c r="AK140" s="1">
        <f t="shared" si="262"/>
        <v>0</v>
      </c>
      <c r="AM140" s="679"/>
      <c r="AN140" s="679"/>
      <c r="AO140" s="679"/>
      <c r="AP140" s="679"/>
      <c r="AQ140" s="679"/>
      <c r="AR140" s="679"/>
      <c r="AS140" s="679"/>
      <c r="AT140" s="679"/>
      <c r="AU140" s="679"/>
      <c r="AV140" s="679"/>
      <c r="AW140" s="679"/>
      <c r="AX140" s="679"/>
      <c r="AY140" s="679"/>
      <c r="BA140" s="723"/>
      <c r="BB140" s="723" t="e">
        <f t="shared" si="228"/>
        <v>#REF!</v>
      </c>
      <c r="BC140" s="723"/>
      <c r="BD140" s="722" t="e">
        <f>BR140*#REF!</f>
        <v>#REF!</v>
      </c>
      <c r="BE140" s="722" t="e">
        <f>BS140*#REF!</f>
        <v>#REF!</v>
      </c>
      <c r="BF140" s="722" t="e">
        <f>BT140*#REF!</f>
        <v>#REF!</v>
      </c>
      <c r="BG140" s="722" t="e">
        <f>BU140*#REF!</f>
        <v>#REF!</v>
      </c>
      <c r="BH140" s="803" t="e">
        <f>BV140*#REF!</f>
        <v>#REF!</v>
      </c>
      <c r="BI140" s="722" t="e">
        <f>BW140*#REF!</f>
        <v>#REF!</v>
      </c>
      <c r="BJ140" s="722" t="e">
        <f>BX140*#REF!</f>
        <v>#REF!</v>
      </c>
      <c r="BK140" s="722" t="e">
        <f>BY140*#REF!</f>
        <v>#REF!</v>
      </c>
      <c r="BL140" s="722" t="e">
        <f>BZ140*#REF!</f>
        <v>#REF!</v>
      </c>
      <c r="BM140" s="722" t="e">
        <f>CA140*#REF!</f>
        <v>#REF!</v>
      </c>
      <c r="BO140" s="749" t="str">
        <f t="shared" si="234"/>
        <v>4.1.1</v>
      </c>
      <c r="BP140" s="749" t="str">
        <f t="shared" si="235"/>
        <v>LR1 4.1</v>
      </c>
      <c r="BQ140" s="408" t="str">
        <f t="shared" si="236"/>
        <v>モニタリング</v>
      </c>
      <c r="BR140" s="719">
        <f t="shared" si="237"/>
        <v>0.5</v>
      </c>
      <c r="BS140" s="719">
        <f t="shared" si="238"/>
        <v>0.5</v>
      </c>
      <c r="BT140" s="719">
        <f t="shared" si="239"/>
        <v>0.5</v>
      </c>
      <c r="BU140" s="719">
        <f t="shared" si="240"/>
        <v>0.5</v>
      </c>
      <c r="BV140" s="802">
        <f t="shared" si="241"/>
        <v>0.5</v>
      </c>
      <c r="BW140" s="719">
        <f t="shared" si="242"/>
        <v>0.5</v>
      </c>
      <c r="BX140" s="719">
        <f t="shared" si="243"/>
        <v>0.5</v>
      </c>
      <c r="BY140" s="719">
        <f t="shared" si="244"/>
        <v>0.5</v>
      </c>
      <c r="BZ140" s="719">
        <f t="shared" si="245"/>
        <v>0.5</v>
      </c>
      <c r="CA140" s="719">
        <f t="shared" si="246"/>
        <v>0</v>
      </c>
      <c r="CB140" s="748">
        <f t="shared" si="247"/>
        <v>0</v>
      </c>
      <c r="CC140" s="717">
        <f t="shared" si="248"/>
        <v>0</v>
      </c>
      <c r="CD140" s="717">
        <f t="shared" si="249"/>
        <v>0</v>
      </c>
      <c r="CF140" s="455" t="s">
        <v>365</v>
      </c>
      <c r="CG140" s="459" t="s">
        <v>369</v>
      </c>
      <c r="CH140" s="456" t="s">
        <v>434</v>
      </c>
      <c r="CI140" s="461">
        <v>0.5</v>
      </c>
      <c r="CJ140" s="461">
        <v>0.5</v>
      </c>
      <c r="CK140" s="461">
        <v>0.5</v>
      </c>
      <c r="CL140" s="461">
        <v>0.5</v>
      </c>
      <c r="CM140" s="461">
        <v>0.5</v>
      </c>
      <c r="CN140" s="461">
        <v>0.5</v>
      </c>
      <c r="CO140" s="461">
        <v>0.5</v>
      </c>
      <c r="CP140" s="461">
        <v>0.5</v>
      </c>
      <c r="CQ140" s="461">
        <v>0.5</v>
      </c>
      <c r="CR140" s="461"/>
      <c r="CS140" s="462"/>
      <c r="CT140" s="503"/>
      <c r="CU140" s="503"/>
      <c r="CW140" s="455" t="s">
        <v>365</v>
      </c>
      <c r="CX140" s="459" t="s">
        <v>369</v>
      </c>
      <c r="CY140" s="456" t="s">
        <v>434</v>
      </c>
      <c r="CZ140" s="461">
        <v>0.5</v>
      </c>
      <c r="DA140" s="461">
        <v>0.5</v>
      </c>
      <c r="DB140" s="461">
        <v>0.5</v>
      </c>
      <c r="DC140" s="461">
        <v>0.5</v>
      </c>
      <c r="DD140" s="461">
        <v>0.5</v>
      </c>
      <c r="DE140" s="461">
        <v>0.5</v>
      </c>
      <c r="DF140" s="461">
        <v>0.5</v>
      </c>
      <c r="DG140" s="461">
        <v>0.5</v>
      </c>
      <c r="DH140" s="461">
        <v>0.5</v>
      </c>
      <c r="DI140" s="461"/>
      <c r="DJ140" s="462"/>
      <c r="DK140" s="503"/>
      <c r="DL140" s="503"/>
      <c r="DN140" s="455" t="s">
        <v>365</v>
      </c>
      <c r="DO140" s="459" t="s">
        <v>369</v>
      </c>
      <c r="DP140" s="456" t="s">
        <v>434</v>
      </c>
      <c r="DQ140" s="461">
        <v>0.5</v>
      </c>
      <c r="DR140" s="461">
        <v>0.5</v>
      </c>
      <c r="DS140" s="461">
        <v>0.5</v>
      </c>
      <c r="DT140" s="461">
        <v>0.5</v>
      </c>
      <c r="DU140" s="461">
        <v>0.5</v>
      </c>
      <c r="DV140" s="461">
        <v>0.5</v>
      </c>
      <c r="DW140" s="461">
        <v>0.5</v>
      </c>
      <c r="DX140" s="461">
        <v>0.5</v>
      </c>
      <c r="DY140" s="461">
        <v>0.5</v>
      </c>
      <c r="DZ140" s="461"/>
      <c r="EA140" s="462"/>
      <c r="EB140" s="503"/>
      <c r="EC140" s="503"/>
      <c r="ED140" s="558"/>
      <c r="EF140" s="455" t="s">
        <v>836</v>
      </c>
      <c r="EG140" s="459" t="s">
        <v>835</v>
      </c>
      <c r="EH140" s="456" t="s">
        <v>434</v>
      </c>
      <c r="EI140" s="609">
        <f t="shared" si="217"/>
        <v>0.5</v>
      </c>
      <c r="EJ140" s="609">
        <f t="shared" si="218"/>
        <v>0.5</v>
      </c>
      <c r="EK140" s="609">
        <f t="shared" si="219"/>
        <v>0.5</v>
      </c>
      <c r="EL140" s="609">
        <f t="shared" si="220"/>
        <v>0.5</v>
      </c>
      <c r="EM140" s="609">
        <f t="shared" si="221"/>
        <v>0.5</v>
      </c>
      <c r="EN140" s="609">
        <f t="shared" si="222"/>
        <v>0.5</v>
      </c>
      <c r="EO140" s="609">
        <f t="shared" si="223"/>
        <v>0.5</v>
      </c>
      <c r="EP140" s="609">
        <f t="shared" si="224"/>
        <v>0.5</v>
      </c>
      <c r="EQ140" s="609">
        <f t="shared" si="225"/>
        <v>0.5</v>
      </c>
      <c r="ER140" s="609">
        <f t="shared" si="226"/>
        <v>0</v>
      </c>
      <c r="ES140" s="611">
        <f t="shared" si="214"/>
        <v>0</v>
      </c>
      <c r="ET140" s="624">
        <f t="shared" si="215"/>
        <v>0</v>
      </c>
      <c r="EU140" s="624">
        <f t="shared" si="216"/>
        <v>0</v>
      </c>
      <c r="EW140" s="455" t="s">
        <v>365</v>
      </c>
      <c r="EX140" s="459" t="s">
        <v>369</v>
      </c>
      <c r="EY140" s="456" t="s">
        <v>434</v>
      </c>
      <c r="EZ140" s="598">
        <f t="shared" si="227"/>
        <v>0.5</v>
      </c>
      <c r="FA140" s="598"/>
      <c r="FB140" s="598"/>
      <c r="FC140" s="598"/>
      <c r="FD140" s="598"/>
      <c r="FE140" s="598"/>
      <c r="FF140" s="598"/>
      <c r="FG140" s="598"/>
      <c r="FH140" s="598"/>
      <c r="FI140" s="598"/>
      <c r="FJ140" s="647"/>
      <c r="FK140" s="601"/>
      <c r="FL140" s="601"/>
    </row>
    <row r="141" spans="2:168" ht="14.25" thickBot="1">
      <c r="B141" s="732" t="str">
        <f t="shared" si="210"/>
        <v>4.1.2</v>
      </c>
      <c r="C141" s="408" t="str">
        <f t="shared" si="230"/>
        <v>運用管理体制</v>
      </c>
      <c r="D141" s="809" t="e">
        <f>IF(I$139&gt;0,G141/I$139,0)</f>
        <v>#REF!</v>
      </c>
      <c r="E141" s="809" t="e">
        <f>IF(J$139&gt;0,H141/J$139,0)</f>
        <v>#REF!</v>
      </c>
      <c r="G141" s="730" t="e">
        <f t="shared" si="231"/>
        <v>#REF!</v>
      </c>
      <c r="H141" s="730" t="e">
        <f t="shared" si="232"/>
        <v>#REF!</v>
      </c>
      <c r="I141" s="730"/>
      <c r="J141" s="730"/>
      <c r="K141" s="730" t="e">
        <f>IF(#REF!=0,0,1)</f>
        <v>#REF!</v>
      </c>
      <c r="L141" s="730" t="e">
        <f>IF(#REF!=0,0,1)</f>
        <v>#REF!</v>
      </c>
      <c r="M141" s="730">
        <f t="shared" si="233"/>
        <v>0.5</v>
      </c>
      <c r="N141" s="730">
        <f t="shared" si="212"/>
        <v>0</v>
      </c>
      <c r="P141" s="832"/>
      <c r="Q141" s="834"/>
      <c r="R141" s="414">
        <v>4.2</v>
      </c>
      <c r="S141" s="579" t="s">
        <v>294</v>
      </c>
      <c r="T141" s="745"/>
      <c r="U141" s="726"/>
      <c r="V141" s="725">
        <f t="shared" si="205"/>
        <v>0</v>
      </c>
      <c r="W141" s="724">
        <f t="shared" si="206"/>
        <v>0</v>
      </c>
      <c r="Y141" s="1">
        <f t="shared" si="250"/>
        <v>0</v>
      </c>
      <c r="Z141" s="1">
        <f t="shared" si="251"/>
        <v>0</v>
      </c>
      <c r="AA141" s="1">
        <f t="shared" si="252"/>
        <v>0</v>
      </c>
      <c r="AB141" s="1">
        <f t="shared" si="253"/>
        <v>0</v>
      </c>
      <c r="AC141" s="1">
        <f t="shared" si="254"/>
        <v>0</v>
      </c>
      <c r="AD141" s="1">
        <f t="shared" si="255"/>
        <v>0</v>
      </c>
      <c r="AE141" s="1">
        <f t="shared" si="256"/>
        <v>0</v>
      </c>
      <c r="AF141" s="1">
        <f t="shared" si="257"/>
        <v>0</v>
      </c>
      <c r="AG141" s="1">
        <f t="shared" si="258"/>
        <v>0</v>
      </c>
      <c r="AH141" s="1">
        <f t="shared" si="259"/>
        <v>0</v>
      </c>
      <c r="AI141" s="1">
        <f t="shared" si="260"/>
        <v>0</v>
      </c>
      <c r="AJ141" s="1">
        <f t="shared" si="261"/>
        <v>0</v>
      </c>
      <c r="AK141" s="1">
        <f t="shared" si="262"/>
        <v>0</v>
      </c>
      <c r="AM141" s="683"/>
      <c r="AN141" s="683"/>
      <c r="AO141" s="683"/>
      <c r="AP141" s="683"/>
      <c r="AQ141" s="683"/>
      <c r="AR141" s="683"/>
      <c r="AS141" s="683"/>
      <c r="AT141" s="683"/>
      <c r="AU141" s="683"/>
      <c r="AV141" s="683"/>
      <c r="AW141" s="683"/>
      <c r="AX141" s="683"/>
      <c r="AY141" s="683"/>
      <c r="BA141" s="723"/>
      <c r="BB141" s="723" t="e">
        <f t="shared" si="228"/>
        <v>#REF!</v>
      </c>
      <c r="BC141" s="723"/>
      <c r="BD141" s="722" t="e">
        <f>BR141*#REF!</f>
        <v>#REF!</v>
      </c>
      <c r="BE141" s="722" t="e">
        <f>BS141*#REF!</f>
        <v>#REF!</v>
      </c>
      <c r="BF141" s="722" t="e">
        <f>BT141*#REF!</f>
        <v>#REF!</v>
      </c>
      <c r="BG141" s="722" t="e">
        <f>BU141*#REF!</f>
        <v>#REF!</v>
      </c>
      <c r="BH141" s="803" t="e">
        <f>BV141*#REF!</f>
        <v>#REF!</v>
      </c>
      <c r="BI141" s="722" t="e">
        <f>BW141*#REF!</f>
        <v>#REF!</v>
      </c>
      <c r="BJ141" s="722" t="e">
        <f>BX141*#REF!</f>
        <v>#REF!</v>
      </c>
      <c r="BK141" s="722" t="e">
        <f>BY141*#REF!</f>
        <v>#REF!</v>
      </c>
      <c r="BL141" s="722" t="e">
        <f>BZ141*#REF!</f>
        <v>#REF!</v>
      </c>
      <c r="BM141" s="722" t="e">
        <f>CA141*#REF!</f>
        <v>#REF!</v>
      </c>
      <c r="BO141" s="749" t="str">
        <f t="shared" si="234"/>
        <v>4.1.2</v>
      </c>
      <c r="BP141" s="749" t="str">
        <f t="shared" si="235"/>
        <v>LR1 4.1</v>
      </c>
      <c r="BQ141" s="408" t="str">
        <f t="shared" si="236"/>
        <v>運用管理体制</v>
      </c>
      <c r="BR141" s="719">
        <f t="shared" si="237"/>
        <v>0.5</v>
      </c>
      <c r="BS141" s="719">
        <f t="shared" si="238"/>
        <v>0.5</v>
      </c>
      <c r="BT141" s="719">
        <f t="shared" si="239"/>
        <v>0.5</v>
      </c>
      <c r="BU141" s="719">
        <f t="shared" si="240"/>
        <v>0.5</v>
      </c>
      <c r="BV141" s="802">
        <f t="shared" si="241"/>
        <v>0.5</v>
      </c>
      <c r="BW141" s="719">
        <f t="shared" si="242"/>
        <v>0.5</v>
      </c>
      <c r="BX141" s="719">
        <f t="shared" si="243"/>
        <v>0.5</v>
      </c>
      <c r="BY141" s="719">
        <f t="shared" si="244"/>
        <v>0.5</v>
      </c>
      <c r="BZ141" s="719">
        <f t="shared" si="245"/>
        <v>0.5</v>
      </c>
      <c r="CA141" s="719">
        <f t="shared" si="246"/>
        <v>0</v>
      </c>
      <c r="CB141" s="748">
        <f t="shared" si="247"/>
        <v>0</v>
      </c>
      <c r="CC141" s="717">
        <f t="shared" si="248"/>
        <v>0</v>
      </c>
      <c r="CD141" s="717">
        <f t="shared" si="249"/>
        <v>0</v>
      </c>
      <c r="CF141" s="455" t="s">
        <v>366</v>
      </c>
      <c r="CG141" s="459" t="s">
        <v>369</v>
      </c>
      <c r="CH141" s="456" t="s">
        <v>294</v>
      </c>
      <c r="CI141" s="461">
        <v>0.5</v>
      </c>
      <c r="CJ141" s="461">
        <v>0.5</v>
      </c>
      <c r="CK141" s="461">
        <v>0.5</v>
      </c>
      <c r="CL141" s="461">
        <v>0.5</v>
      </c>
      <c r="CM141" s="461">
        <v>0.5</v>
      </c>
      <c r="CN141" s="461">
        <v>0.5</v>
      </c>
      <c r="CO141" s="461">
        <v>0.5</v>
      </c>
      <c r="CP141" s="461">
        <v>0.5</v>
      </c>
      <c r="CQ141" s="461">
        <v>0.5</v>
      </c>
      <c r="CR141" s="461"/>
      <c r="CS141" s="462"/>
      <c r="CT141" s="503"/>
      <c r="CU141" s="503"/>
      <c r="CW141" s="455" t="s">
        <v>366</v>
      </c>
      <c r="CX141" s="459" t="s">
        <v>369</v>
      </c>
      <c r="CY141" s="456" t="s">
        <v>294</v>
      </c>
      <c r="CZ141" s="461">
        <v>0.5</v>
      </c>
      <c r="DA141" s="461">
        <v>0.5</v>
      </c>
      <c r="DB141" s="461">
        <v>0.5</v>
      </c>
      <c r="DC141" s="461">
        <v>0.5</v>
      </c>
      <c r="DD141" s="461">
        <v>0.5</v>
      </c>
      <c r="DE141" s="461">
        <v>0.5</v>
      </c>
      <c r="DF141" s="461">
        <v>0.5</v>
      </c>
      <c r="DG141" s="461">
        <v>0.5</v>
      </c>
      <c r="DH141" s="461">
        <v>0.5</v>
      </c>
      <c r="DI141" s="461"/>
      <c r="DJ141" s="462"/>
      <c r="DK141" s="503"/>
      <c r="DL141" s="503"/>
      <c r="DN141" s="455" t="s">
        <v>366</v>
      </c>
      <c r="DO141" s="459" t="s">
        <v>369</v>
      </c>
      <c r="DP141" s="456" t="s">
        <v>294</v>
      </c>
      <c r="DQ141" s="461">
        <v>0.5</v>
      </c>
      <c r="DR141" s="461">
        <v>0.5</v>
      </c>
      <c r="DS141" s="461">
        <v>0.5</v>
      </c>
      <c r="DT141" s="461">
        <v>0.5</v>
      </c>
      <c r="DU141" s="461">
        <v>0.5</v>
      </c>
      <c r="DV141" s="461">
        <v>0.5</v>
      </c>
      <c r="DW141" s="461">
        <v>0.5</v>
      </c>
      <c r="DX141" s="461">
        <v>0.5</v>
      </c>
      <c r="DY141" s="461">
        <v>0.5</v>
      </c>
      <c r="DZ141" s="461"/>
      <c r="EA141" s="462"/>
      <c r="EB141" s="503"/>
      <c r="EC141" s="503"/>
      <c r="ED141" s="558"/>
      <c r="EF141" s="455" t="s">
        <v>366</v>
      </c>
      <c r="EG141" s="459" t="s">
        <v>369</v>
      </c>
      <c r="EH141" s="456" t="s">
        <v>294</v>
      </c>
      <c r="EI141" s="609">
        <f t="shared" si="217"/>
        <v>0.5</v>
      </c>
      <c r="EJ141" s="609">
        <f t="shared" si="218"/>
        <v>0.5</v>
      </c>
      <c r="EK141" s="609">
        <f t="shared" si="219"/>
        <v>0.5</v>
      </c>
      <c r="EL141" s="609">
        <f t="shared" si="220"/>
        <v>0.5</v>
      </c>
      <c r="EM141" s="609">
        <f t="shared" si="221"/>
        <v>0.5</v>
      </c>
      <c r="EN141" s="609">
        <f t="shared" si="222"/>
        <v>0.5</v>
      </c>
      <c r="EO141" s="609">
        <f t="shared" si="223"/>
        <v>0.5</v>
      </c>
      <c r="EP141" s="609">
        <f t="shared" si="224"/>
        <v>0.5</v>
      </c>
      <c r="EQ141" s="609">
        <f t="shared" si="225"/>
        <v>0.5</v>
      </c>
      <c r="ER141" s="609">
        <f t="shared" si="226"/>
        <v>0</v>
      </c>
      <c r="ES141" s="611">
        <f t="shared" si="214"/>
        <v>0</v>
      </c>
      <c r="ET141" s="624">
        <f t="shared" si="215"/>
        <v>0</v>
      </c>
      <c r="EU141" s="624">
        <f t="shared" si="216"/>
        <v>0</v>
      </c>
      <c r="EW141" s="455" t="s">
        <v>366</v>
      </c>
      <c r="EX141" s="459" t="s">
        <v>369</v>
      </c>
      <c r="EY141" s="456" t="s">
        <v>294</v>
      </c>
      <c r="EZ141" s="598">
        <f t="shared" si="227"/>
        <v>0.5</v>
      </c>
      <c r="FA141" s="598"/>
      <c r="FB141" s="598"/>
      <c r="FC141" s="598"/>
      <c r="FD141" s="598"/>
      <c r="FE141" s="598"/>
      <c r="FF141" s="598"/>
      <c r="FG141" s="598"/>
      <c r="FH141" s="598"/>
      <c r="FI141" s="598"/>
      <c r="FJ141" s="647"/>
      <c r="FK141" s="601"/>
      <c r="FL141" s="601"/>
    </row>
    <row r="142" spans="2:168" ht="14.25" thickBot="1">
      <c r="B142" s="732">
        <f t="shared" si="210"/>
        <v>4.2</v>
      </c>
      <c r="C142" s="408" t="str">
        <f t="shared" si="230"/>
        <v>住宅の評価</v>
      </c>
      <c r="D142" s="731" t="e">
        <f>IF(I$138=0,0,G142/I$138)</f>
        <v>#REF!</v>
      </c>
      <c r="E142" s="731" t="e">
        <f>IF(J$138=0,0,H142/J$138)</f>
        <v>#REF!</v>
      </c>
      <c r="G142" s="730" t="e">
        <f t="shared" si="231"/>
        <v>#REF!</v>
      </c>
      <c r="H142" s="730" t="e">
        <f t="shared" si="232"/>
        <v>#REF!</v>
      </c>
      <c r="I142" s="730" t="e">
        <f>SUM(G143:G144)</f>
        <v>#REF!</v>
      </c>
      <c r="J142" s="730" t="e">
        <f>SUM(H143:H144)</f>
        <v>#REF!</v>
      </c>
      <c r="K142" s="730" t="e">
        <f>IF(#REF!=0,0,1)</f>
        <v>#REF!</v>
      </c>
      <c r="L142" s="730" t="e">
        <f>IF(#REF!=0,0,1)</f>
        <v>#REF!</v>
      </c>
      <c r="M142" s="730">
        <f t="shared" si="233"/>
        <v>0</v>
      </c>
      <c r="N142" s="730">
        <f t="shared" si="212"/>
        <v>0</v>
      </c>
      <c r="P142" s="832"/>
      <c r="Q142" s="777"/>
      <c r="R142" s="838" t="s">
        <v>834</v>
      </c>
      <c r="S142" s="816"/>
      <c r="T142" s="815"/>
      <c r="U142" s="726"/>
      <c r="V142" s="814">
        <f t="shared" ref="V142:V173" si="263">IF(SUMPRODUCT($AM$7:$AV$7,Y142:AH142)=0,0,SUMPRODUCT($AM$7:$AV$7,AM142:AV142)/SUMPRODUCT($AM$7:$AV$7,Y142:AH142))</f>
        <v>0</v>
      </c>
      <c r="W142" s="813">
        <f t="shared" ref="W142:W173" si="264">IF(SUMPRODUCT($AW$7:$AY$7,AI142:AK142)=0,0,SUMPRODUCT($AW$7:$AY$7,AW142:AY142)/SUMPRODUCT($AW$7:$AY$7,AI142:AK142))</f>
        <v>0</v>
      </c>
      <c r="Y142" s="1">
        <f t="shared" si="250"/>
        <v>0</v>
      </c>
      <c r="Z142" s="1">
        <f t="shared" si="251"/>
        <v>0</v>
      </c>
      <c r="AA142" s="1">
        <f t="shared" si="252"/>
        <v>0</v>
      </c>
      <c r="AB142" s="1">
        <f t="shared" si="253"/>
        <v>0</v>
      </c>
      <c r="AC142" s="1">
        <f t="shared" si="254"/>
        <v>0</v>
      </c>
      <c r="AD142" s="1">
        <f t="shared" si="255"/>
        <v>0</v>
      </c>
      <c r="AE142" s="1">
        <f t="shared" si="256"/>
        <v>0</v>
      </c>
      <c r="AF142" s="1">
        <f t="shared" si="257"/>
        <v>0</v>
      </c>
      <c r="AG142" s="1">
        <f t="shared" si="258"/>
        <v>0</v>
      </c>
      <c r="AH142" s="1">
        <f t="shared" si="259"/>
        <v>0</v>
      </c>
      <c r="AI142" s="1">
        <f t="shared" si="260"/>
        <v>0</v>
      </c>
      <c r="AJ142" s="1">
        <f t="shared" si="261"/>
        <v>0</v>
      </c>
      <c r="AK142" s="1">
        <f t="shared" si="262"/>
        <v>0</v>
      </c>
      <c r="AM142" s="812" t="s">
        <v>49</v>
      </c>
      <c r="AN142" s="812" t="s">
        <v>49</v>
      </c>
      <c r="AO142" s="812" t="s">
        <v>49</v>
      </c>
      <c r="AP142" s="812" t="s">
        <v>49</v>
      </c>
      <c r="AQ142" s="812" t="s">
        <v>49</v>
      </c>
      <c r="AR142" s="812" t="s">
        <v>49</v>
      </c>
      <c r="AS142" s="812" t="s">
        <v>49</v>
      </c>
      <c r="AT142" s="812" t="s">
        <v>49</v>
      </c>
      <c r="AU142" s="812" t="s">
        <v>49</v>
      </c>
      <c r="AV142" s="812" t="s">
        <v>49</v>
      </c>
      <c r="AW142" s="812" t="s">
        <v>49</v>
      </c>
      <c r="AX142" s="812" t="s">
        <v>49</v>
      </c>
      <c r="AY142" s="812" t="s">
        <v>49</v>
      </c>
      <c r="BA142" s="723"/>
      <c r="BB142" s="723" t="e">
        <f t="shared" si="228"/>
        <v>#REF!</v>
      </c>
      <c r="BC142" s="723"/>
      <c r="BD142" s="722" t="e">
        <f>BR142*#REF!</f>
        <v>#REF!</v>
      </c>
      <c r="BE142" s="722" t="e">
        <f>BS142*#REF!</f>
        <v>#REF!</v>
      </c>
      <c r="BF142" s="722" t="e">
        <f>BT142*#REF!</f>
        <v>#REF!</v>
      </c>
      <c r="BG142" s="722" t="e">
        <f>BU142*#REF!</f>
        <v>#REF!</v>
      </c>
      <c r="BH142" s="803" t="e">
        <f>BV142*#REF!</f>
        <v>#REF!</v>
      </c>
      <c r="BI142" s="722" t="e">
        <f>BW142*#REF!</f>
        <v>#REF!</v>
      </c>
      <c r="BJ142" s="722" t="e">
        <f>BX142*#REF!</f>
        <v>#REF!</v>
      </c>
      <c r="BK142" s="722" t="e">
        <f>BY142*#REF!</f>
        <v>#REF!</v>
      </c>
      <c r="BL142" s="722" t="e">
        <f>BZ142*#REF!</f>
        <v>#REF!</v>
      </c>
      <c r="BM142" s="722" t="e">
        <f>CA142*#REF!</f>
        <v>#REF!</v>
      </c>
      <c r="BO142" s="749">
        <f t="shared" si="234"/>
        <v>4.2</v>
      </c>
      <c r="BP142" s="749" t="str">
        <f t="shared" si="235"/>
        <v>LR1 4</v>
      </c>
      <c r="BQ142" s="408" t="str">
        <f t="shared" si="236"/>
        <v>住宅の評価</v>
      </c>
      <c r="BR142" s="719">
        <f t="shared" si="237"/>
        <v>0</v>
      </c>
      <c r="BS142" s="719">
        <f t="shared" si="238"/>
        <v>0</v>
      </c>
      <c r="BT142" s="719">
        <f t="shared" si="239"/>
        <v>0</v>
      </c>
      <c r="BU142" s="719">
        <f t="shared" si="240"/>
        <v>0</v>
      </c>
      <c r="BV142" s="802">
        <f t="shared" si="241"/>
        <v>0</v>
      </c>
      <c r="BW142" s="719">
        <f t="shared" si="242"/>
        <v>0</v>
      </c>
      <c r="BX142" s="719">
        <f t="shared" si="243"/>
        <v>0</v>
      </c>
      <c r="BY142" s="719">
        <f t="shared" si="244"/>
        <v>0</v>
      </c>
      <c r="BZ142" s="719">
        <f t="shared" si="245"/>
        <v>0</v>
      </c>
      <c r="CA142" s="719">
        <f t="shared" si="246"/>
        <v>1</v>
      </c>
      <c r="CB142" s="748">
        <f t="shared" si="247"/>
        <v>0</v>
      </c>
      <c r="CC142" s="717">
        <f t="shared" si="248"/>
        <v>0</v>
      </c>
      <c r="CD142" s="717">
        <f t="shared" si="249"/>
        <v>0</v>
      </c>
      <c r="CF142" s="455">
        <v>4.2</v>
      </c>
      <c r="CG142" s="459" t="s">
        <v>41</v>
      </c>
      <c r="CH142" s="456" t="s">
        <v>833</v>
      </c>
      <c r="CI142" s="461"/>
      <c r="CJ142" s="461"/>
      <c r="CK142" s="461"/>
      <c r="CL142" s="461"/>
      <c r="CM142" s="468"/>
      <c r="CN142" s="461"/>
      <c r="CO142" s="461"/>
      <c r="CP142" s="461"/>
      <c r="CQ142" s="461"/>
      <c r="CR142" s="461">
        <v>1</v>
      </c>
      <c r="CS142" s="462"/>
      <c r="CT142" s="503"/>
      <c r="CU142" s="503"/>
      <c r="CW142" s="455">
        <v>4.2</v>
      </c>
      <c r="CX142" s="459" t="s">
        <v>41</v>
      </c>
      <c r="CY142" s="456" t="s">
        <v>833</v>
      </c>
      <c r="CZ142" s="461"/>
      <c r="DA142" s="461"/>
      <c r="DB142" s="461"/>
      <c r="DC142" s="461"/>
      <c r="DD142" s="468"/>
      <c r="DE142" s="461"/>
      <c r="DF142" s="461"/>
      <c r="DG142" s="461"/>
      <c r="DH142" s="461"/>
      <c r="DI142" s="461">
        <v>1</v>
      </c>
      <c r="DJ142" s="462"/>
      <c r="DK142" s="503"/>
      <c r="DL142" s="503"/>
      <c r="DN142" s="455">
        <v>4.2</v>
      </c>
      <c r="DO142" s="459" t="s">
        <v>41</v>
      </c>
      <c r="DP142" s="456" t="s">
        <v>833</v>
      </c>
      <c r="DQ142" s="461"/>
      <c r="DR142" s="461"/>
      <c r="DS142" s="461"/>
      <c r="DT142" s="461"/>
      <c r="DU142" s="468"/>
      <c r="DV142" s="461"/>
      <c r="DW142" s="461"/>
      <c r="DX142" s="461"/>
      <c r="DY142" s="461"/>
      <c r="DZ142" s="461">
        <v>1</v>
      </c>
      <c r="EA142" s="462"/>
      <c r="EB142" s="503"/>
      <c r="EC142" s="503"/>
      <c r="ED142" s="558"/>
      <c r="EF142" s="455">
        <v>4.2</v>
      </c>
      <c r="EG142" s="459" t="s">
        <v>41</v>
      </c>
      <c r="EH142" s="456" t="s">
        <v>833</v>
      </c>
      <c r="EI142" s="609">
        <f t="shared" si="217"/>
        <v>0</v>
      </c>
      <c r="EJ142" s="609">
        <f t="shared" si="218"/>
        <v>0</v>
      </c>
      <c r="EK142" s="609">
        <f t="shared" si="219"/>
        <v>0</v>
      </c>
      <c r="EL142" s="609">
        <f t="shared" si="220"/>
        <v>0</v>
      </c>
      <c r="EM142" s="621">
        <f t="shared" si="221"/>
        <v>0</v>
      </c>
      <c r="EN142" s="609">
        <f t="shared" si="222"/>
        <v>0</v>
      </c>
      <c r="EO142" s="609">
        <f t="shared" si="223"/>
        <v>0</v>
      </c>
      <c r="EP142" s="609">
        <f t="shared" si="224"/>
        <v>0</v>
      </c>
      <c r="EQ142" s="609">
        <f t="shared" si="225"/>
        <v>0</v>
      </c>
      <c r="ER142" s="609">
        <f t="shared" si="226"/>
        <v>1</v>
      </c>
      <c r="ES142" s="611">
        <f t="shared" si="214"/>
        <v>0</v>
      </c>
      <c r="ET142" s="624">
        <f t="shared" si="215"/>
        <v>0</v>
      </c>
      <c r="EU142" s="624">
        <f t="shared" si="216"/>
        <v>0</v>
      </c>
      <c r="EW142" s="455">
        <v>4.2</v>
      </c>
      <c r="EX142" s="459" t="s">
        <v>41</v>
      </c>
      <c r="EY142" s="456" t="s">
        <v>833</v>
      </c>
      <c r="EZ142" s="598">
        <f t="shared" si="227"/>
        <v>0</v>
      </c>
      <c r="FA142" s="598"/>
      <c r="FB142" s="598"/>
      <c r="FC142" s="598"/>
      <c r="FD142" s="641"/>
      <c r="FE142" s="598"/>
      <c r="FF142" s="598"/>
      <c r="FG142" s="598"/>
      <c r="FH142" s="598"/>
      <c r="FI142" s="598"/>
      <c r="FJ142" s="647"/>
      <c r="FK142" s="601"/>
      <c r="FL142" s="601"/>
    </row>
    <row r="143" spans="2:168">
      <c r="B143" s="732" t="str">
        <f t="shared" si="210"/>
        <v>4.2.1</v>
      </c>
      <c r="C143" s="408" t="str">
        <f t="shared" si="230"/>
        <v>モニタリング</v>
      </c>
      <c r="D143" s="809" t="e">
        <f>IF(I$142&gt;0,G143/I$142,0)</f>
        <v>#REF!</v>
      </c>
      <c r="E143" s="809" t="e">
        <f>IF(J$142&gt;0,H143/J$142,0)</f>
        <v>#REF!</v>
      </c>
      <c r="G143" s="730" t="e">
        <f t="shared" si="231"/>
        <v>#REF!</v>
      </c>
      <c r="H143" s="730" t="e">
        <f t="shared" si="232"/>
        <v>#REF!</v>
      </c>
      <c r="I143" s="730"/>
      <c r="J143" s="730"/>
      <c r="K143" s="730" t="e">
        <f>IF(#REF!=0,0,1)</f>
        <v>#REF!</v>
      </c>
      <c r="L143" s="730" t="e">
        <f>IF(#REF!=0,0,1)</f>
        <v>#REF!</v>
      </c>
      <c r="M143" s="730">
        <f t="shared" si="233"/>
        <v>0</v>
      </c>
      <c r="N143" s="730">
        <f t="shared" si="212"/>
        <v>0</v>
      </c>
      <c r="P143" s="832"/>
      <c r="Q143" s="836"/>
      <c r="R143" s="414">
        <v>4.0999999999999996</v>
      </c>
      <c r="S143" s="579" t="s">
        <v>232</v>
      </c>
      <c r="T143" s="745"/>
      <c r="U143" s="726"/>
      <c r="V143" s="734">
        <f t="shared" si="263"/>
        <v>0</v>
      </c>
      <c r="W143" s="733">
        <f t="shared" si="264"/>
        <v>0</v>
      </c>
      <c r="Y143" s="1">
        <f t="shared" si="250"/>
        <v>0</v>
      </c>
      <c r="Z143" s="1">
        <f t="shared" si="251"/>
        <v>0</v>
      </c>
      <c r="AA143" s="1">
        <f t="shared" si="252"/>
        <v>0</v>
      </c>
      <c r="AB143" s="1">
        <f t="shared" si="253"/>
        <v>0</v>
      </c>
      <c r="AC143" s="1">
        <f t="shared" si="254"/>
        <v>0</v>
      </c>
      <c r="AD143" s="1">
        <f t="shared" si="255"/>
        <v>0</v>
      </c>
      <c r="AE143" s="1">
        <f t="shared" si="256"/>
        <v>0</v>
      </c>
      <c r="AF143" s="1">
        <f t="shared" si="257"/>
        <v>0</v>
      </c>
      <c r="AG143" s="1">
        <f t="shared" si="258"/>
        <v>0</v>
      </c>
      <c r="AH143" s="1">
        <f t="shared" si="259"/>
        <v>0</v>
      </c>
      <c r="AI143" s="1">
        <f t="shared" si="260"/>
        <v>0</v>
      </c>
      <c r="AJ143" s="1">
        <f t="shared" si="261"/>
        <v>0</v>
      </c>
      <c r="AK143" s="1">
        <f t="shared" si="262"/>
        <v>0</v>
      </c>
      <c r="AM143" s="679"/>
      <c r="AN143" s="679"/>
      <c r="AO143" s="679"/>
      <c r="AP143" s="679"/>
      <c r="AQ143" s="679"/>
      <c r="AR143" s="679"/>
      <c r="AS143" s="679"/>
      <c r="AT143" s="679"/>
      <c r="AU143" s="679"/>
      <c r="AV143" s="679"/>
      <c r="AW143" s="679"/>
      <c r="AX143" s="679"/>
      <c r="AY143" s="679"/>
      <c r="BA143" s="723"/>
      <c r="BB143" s="723" t="e">
        <f t="shared" si="228"/>
        <v>#REF!</v>
      </c>
      <c r="BC143" s="723"/>
      <c r="BD143" s="722" t="e">
        <f>BR143*#REF!</f>
        <v>#REF!</v>
      </c>
      <c r="BE143" s="722" t="e">
        <f>BS143*#REF!</f>
        <v>#REF!</v>
      </c>
      <c r="BF143" s="722" t="e">
        <f>BT143*#REF!</f>
        <v>#REF!</v>
      </c>
      <c r="BG143" s="722" t="e">
        <f>BU143*#REF!</f>
        <v>#REF!</v>
      </c>
      <c r="BH143" s="803" t="e">
        <f>BV143*#REF!</f>
        <v>#REF!</v>
      </c>
      <c r="BI143" s="722" t="e">
        <f>BW143*#REF!</f>
        <v>#REF!</v>
      </c>
      <c r="BJ143" s="722" t="e">
        <f>BX143*#REF!</f>
        <v>#REF!</v>
      </c>
      <c r="BK143" s="722" t="e">
        <f>BY143*#REF!</f>
        <v>#REF!</v>
      </c>
      <c r="BL143" s="722" t="e">
        <f>BZ143*#REF!</f>
        <v>#REF!</v>
      </c>
      <c r="BM143" s="722" t="e">
        <f>CA143*#REF!</f>
        <v>#REF!</v>
      </c>
      <c r="BO143" s="749" t="str">
        <f t="shared" si="234"/>
        <v>4.2.1</v>
      </c>
      <c r="BP143" s="749" t="str">
        <f t="shared" si="235"/>
        <v>LR1 4.2</v>
      </c>
      <c r="BQ143" s="408" t="str">
        <f t="shared" si="236"/>
        <v>モニタリング</v>
      </c>
      <c r="BR143" s="719">
        <f t="shared" si="237"/>
        <v>0</v>
      </c>
      <c r="BS143" s="719">
        <f t="shared" si="238"/>
        <v>0</v>
      </c>
      <c r="BT143" s="719">
        <f t="shared" si="239"/>
        <v>0</v>
      </c>
      <c r="BU143" s="719">
        <f t="shared" si="240"/>
        <v>0</v>
      </c>
      <c r="BV143" s="802">
        <f t="shared" si="241"/>
        <v>0</v>
      </c>
      <c r="BW143" s="719">
        <f t="shared" si="242"/>
        <v>0</v>
      </c>
      <c r="BX143" s="719">
        <f t="shared" si="243"/>
        <v>0</v>
      </c>
      <c r="BY143" s="719">
        <f t="shared" si="244"/>
        <v>0</v>
      </c>
      <c r="BZ143" s="719">
        <f t="shared" si="245"/>
        <v>0</v>
      </c>
      <c r="CA143" s="719">
        <f t="shared" si="246"/>
        <v>0.5</v>
      </c>
      <c r="CB143" s="748">
        <f t="shared" si="247"/>
        <v>0</v>
      </c>
      <c r="CC143" s="717">
        <f t="shared" si="248"/>
        <v>0</v>
      </c>
      <c r="CD143" s="717">
        <f t="shared" si="249"/>
        <v>0</v>
      </c>
      <c r="CF143" s="455" t="s">
        <v>367</v>
      </c>
      <c r="CG143" s="459" t="s">
        <v>371</v>
      </c>
      <c r="CH143" s="456" t="s">
        <v>363</v>
      </c>
      <c r="CI143" s="461"/>
      <c r="CJ143" s="461"/>
      <c r="CK143" s="461"/>
      <c r="CL143" s="461"/>
      <c r="CM143" s="468"/>
      <c r="CN143" s="461"/>
      <c r="CO143" s="461"/>
      <c r="CP143" s="461"/>
      <c r="CQ143" s="461"/>
      <c r="CR143" s="461">
        <v>0.5</v>
      </c>
      <c r="CS143" s="462"/>
      <c r="CT143" s="503"/>
      <c r="CU143" s="503"/>
      <c r="CW143" s="455" t="s">
        <v>367</v>
      </c>
      <c r="CX143" s="459" t="s">
        <v>371</v>
      </c>
      <c r="CY143" s="456" t="s">
        <v>235</v>
      </c>
      <c r="CZ143" s="461"/>
      <c r="DA143" s="461"/>
      <c r="DB143" s="461"/>
      <c r="DC143" s="461"/>
      <c r="DD143" s="468"/>
      <c r="DE143" s="461"/>
      <c r="DF143" s="461"/>
      <c r="DG143" s="461"/>
      <c r="DH143" s="461"/>
      <c r="DI143" s="461">
        <v>0.5</v>
      </c>
      <c r="DJ143" s="462"/>
      <c r="DK143" s="503"/>
      <c r="DL143" s="503"/>
      <c r="DN143" s="455" t="s">
        <v>367</v>
      </c>
      <c r="DO143" s="459" t="s">
        <v>371</v>
      </c>
      <c r="DP143" s="456" t="s">
        <v>235</v>
      </c>
      <c r="DQ143" s="461"/>
      <c r="DR143" s="461"/>
      <c r="DS143" s="461"/>
      <c r="DT143" s="461"/>
      <c r="DU143" s="468"/>
      <c r="DV143" s="461"/>
      <c r="DW143" s="461"/>
      <c r="DX143" s="461"/>
      <c r="DY143" s="461"/>
      <c r="DZ143" s="461">
        <v>0.5</v>
      </c>
      <c r="EA143" s="462"/>
      <c r="EB143" s="503"/>
      <c r="EC143" s="503"/>
      <c r="ED143" s="558"/>
      <c r="EF143" s="455" t="s">
        <v>367</v>
      </c>
      <c r="EG143" s="459" t="s">
        <v>371</v>
      </c>
      <c r="EH143" s="456" t="s">
        <v>235</v>
      </c>
      <c r="EI143" s="609">
        <f t="shared" si="217"/>
        <v>0</v>
      </c>
      <c r="EJ143" s="609">
        <f t="shared" si="218"/>
        <v>0</v>
      </c>
      <c r="EK143" s="609">
        <f t="shared" si="219"/>
        <v>0</v>
      </c>
      <c r="EL143" s="609">
        <f t="shared" si="220"/>
        <v>0</v>
      </c>
      <c r="EM143" s="621">
        <f t="shared" si="221"/>
        <v>0</v>
      </c>
      <c r="EN143" s="609">
        <f t="shared" si="222"/>
        <v>0</v>
      </c>
      <c r="EO143" s="609">
        <f t="shared" si="223"/>
        <v>0</v>
      </c>
      <c r="EP143" s="609">
        <f t="shared" si="224"/>
        <v>0</v>
      </c>
      <c r="EQ143" s="609">
        <f t="shared" si="225"/>
        <v>0</v>
      </c>
      <c r="ER143" s="609">
        <f t="shared" si="226"/>
        <v>0.5</v>
      </c>
      <c r="ES143" s="611">
        <f t="shared" si="214"/>
        <v>0</v>
      </c>
      <c r="ET143" s="624">
        <f t="shared" si="215"/>
        <v>0</v>
      </c>
      <c r="EU143" s="624">
        <f t="shared" si="216"/>
        <v>0</v>
      </c>
      <c r="EW143" s="455" t="s">
        <v>367</v>
      </c>
      <c r="EX143" s="459" t="s">
        <v>371</v>
      </c>
      <c r="EY143" s="456" t="s">
        <v>235</v>
      </c>
      <c r="EZ143" s="598">
        <f t="shared" si="227"/>
        <v>0</v>
      </c>
      <c r="FA143" s="598"/>
      <c r="FB143" s="598"/>
      <c r="FC143" s="598"/>
      <c r="FD143" s="641"/>
      <c r="FE143" s="598"/>
      <c r="FF143" s="598"/>
      <c r="FG143" s="598"/>
      <c r="FH143" s="598"/>
      <c r="FI143" s="598"/>
      <c r="FJ143" s="647"/>
      <c r="FK143" s="601"/>
      <c r="FL143" s="601"/>
    </row>
    <row r="144" spans="2:168" ht="14.25" thickBot="1">
      <c r="B144" s="732" t="str">
        <f t="shared" si="210"/>
        <v>4.2.2</v>
      </c>
      <c r="C144" s="408" t="str">
        <f t="shared" si="230"/>
        <v>運用管理体制</v>
      </c>
      <c r="D144" s="809" t="e">
        <f>IF(I$142&gt;0,G144/I$142,0)</f>
        <v>#REF!</v>
      </c>
      <c r="E144" s="809" t="e">
        <f>IF(J$142&gt;0,H144/J$142,0)</f>
        <v>#REF!</v>
      </c>
      <c r="G144" s="730" t="e">
        <f t="shared" si="231"/>
        <v>#REF!</v>
      </c>
      <c r="H144" s="730" t="e">
        <f t="shared" si="232"/>
        <v>#REF!</v>
      </c>
      <c r="I144" s="730"/>
      <c r="J144" s="730"/>
      <c r="K144" s="730" t="e">
        <f>IF(#REF!=0,0,1)</f>
        <v>#REF!</v>
      </c>
      <c r="L144" s="730" t="e">
        <f>IF(#REF!=0,0,1)</f>
        <v>#REF!</v>
      </c>
      <c r="M144" s="730">
        <f t="shared" si="233"/>
        <v>0</v>
      </c>
      <c r="N144" s="730">
        <f t="shared" si="212"/>
        <v>0</v>
      </c>
      <c r="P144" s="835"/>
      <c r="Q144" s="834"/>
      <c r="R144" s="414">
        <v>4.2</v>
      </c>
      <c r="S144" s="579" t="s">
        <v>294</v>
      </c>
      <c r="T144" s="745"/>
      <c r="U144" s="726"/>
      <c r="V144" s="725">
        <f t="shared" si="263"/>
        <v>0</v>
      </c>
      <c r="W144" s="724">
        <f t="shared" si="264"/>
        <v>0</v>
      </c>
      <c r="Y144" s="1">
        <f t="shared" si="250"/>
        <v>0</v>
      </c>
      <c r="Z144" s="1">
        <f t="shared" si="251"/>
        <v>0</v>
      </c>
      <c r="AA144" s="1">
        <f t="shared" si="252"/>
        <v>0</v>
      </c>
      <c r="AB144" s="1">
        <f t="shared" si="253"/>
        <v>0</v>
      </c>
      <c r="AC144" s="1">
        <f t="shared" si="254"/>
        <v>0</v>
      </c>
      <c r="AD144" s="1">
        <f t="shared" si="255"/>
        <v>0</v>
      </c>
      <c r="AE144" s="1">
        <f t="shared" si="256"/>
        <v>0</v>
      </c>
      <c r="AF144" s="1">
        <f t="shared" si="257"/>
        <v>0</v>
      </c>
      <c r="AG144" s="1">
        <f t="shared" si="258"/>
        <v>0</v>
      </c>
      <c r="AH144" s="1">
        <f t="shared" si="259"/>
        <v>0</v>
      </c>
      <c r="AI144" s="1">
        <f t="shared" si="260"/>
        <v>0</v>
      </c>
      <c r="AJ144" s="1">
        <f t="shared" si="261"/>
        <v>0</v>
      </c>
      <c r="AK144" s="1">
        <f t="shared" si="262"/>
        <v>0</v>
      </c>
      <c r="AM144" s="683"/>
      <c r="AN144" s="683"/>
      <c r="AO144" s="683"/>
      <c r="AP144" s="683"/>
      <c r="AQ144" s="683"/>
      <c r="AR144" s="683"/>
      <c r="AS144" s="683"/>
      <c r="AT144" s="683"/>
      <c r="AU144" s="683"/>
      <c r="AV144" s="683"/>
      <c r="AW144" s="683"/>
      <c r="AX144" s="683"/>
      <c r="AY144" s="683"/>
      <c r="BA144" s="723"/>
      <c r="BB144" s="723" t="e">
        <f t="shared" si="228"/>
        <v>#REF!</v>
      </c>
      <c r="BC144" s="723"/>
      <c r="BD144" s="722" t="e">
        <f>BR144*#REF!</f>
        <v>#REF!</v>
      </c>
      <c r="BE144" s="722" t="e">
        <f>BS144*#REF!</f>
        <v>#REF!</v>
      </c>
      <c r="BF144" s="722" t="e">
        <f>BT144*#REF!</f>
        <v>#REF!</v>
      </c>
      <c r="BG144" s="722" t="e">
        <f>BU144*#REF!</f>
        <v>#REF!</v>
      </c>
      <c r="BH144" s="803" t="e">
        <f>BV144*#REF!</f>
        <v>#REF!</v>
      </c>
      <c r="BI144" s="722" t="e">
        <f>BW144*#REF!</f>
        <v>#REF!</v>
      </c>
      <c r="BJ144" s="722" t="e">
        <f>BX144*#REF!</f>
        <v>#REF!</v>
      </c>
      <c r="BK144" s="722" t="e">
        <f>BY144*#REF!</f>
        <v>#REF!</v>
      </c>
      <c r="BL144" s="722" t="e">
        <f>BZ144*#REF!</f>
        <v>#REF!</v>
      </c>
      <c r="BM144" s="722" t="e">
        <f>CA144*#REF!</f>
        <v>#REF!</v>
      </c>
      <c r="BO144" s="749" t="str">
        <f t="shared" si="234"/>
        <v>4.2.2</v>
      </c>
      <c r="BP144" s="749" t="str">
        <f t="shared" si="235"/>
        <v>LR1 4.2</v>
      </c>
      <c r="BQ144" s="408" t="str">
        <f t="shared" si="236"/>
        <v>運用管理体制</v>
      </c>
      <c r="BR144" s="719">
        <f t="shared" si="237"/>
        <v>0</v>
      </c>
      <c r="BS144" s="719">
        <f t="shared" si="238"/>
        <v>0</v>
      </c>
      <c r="BT144" s="719">
        <f t="shared" si="239"/>
        <v>0</v>
      </c>
      <c r="BU144" s="719">
        <f t="shared" si="240"/>
        <v>0</v>
      </c>
      <c r="BV144" s="802">
        <f t="shared" si="241"/>
        <v>0</v>
      </c>
      <c r="BW144" s="719">
        <f t="shared" si="242"/>
        <v>0</v>
      </c>
      <c r="BX144" s="719">
        <f t="shared" si="243"/>
        <v>0</v>
      </c>
      <c r="BY144" s="719">
        <f t="shared" si="244"/>
        <v>0</v>
      </c>
      <c r="BZ144" s="719">
        <f t="shared" si="245"/>
        <v>0</v>
      </c>
      <c r="CA144" s="719">
        <f t="shared" si="246"/>
        <v>0.5</v>
      </c>
      <c r="CB144" s="748">
        <f t="shared" si="247"/>
        <v>0</v>
      </c>
      <c r="CC144" s="717">
        <f t="shared" si="248"/>
        <v>0</v>
      </c>
      <c r="CD144" s="717">
        <f t="shared" si="249"/>
        <v>0</v>
      </c>
      <c r="CF144" s="455" t="s">
        <v>832</v>
      </c>
      <c r="CG144" s="459" t="s">
        <v>371</v>
      </c>
      <c r="CH144" s="456" t="s">
        <v>364</v>
      </c>
      <c r="CI144" s="461"/>
      <c r="CJ144" s="461"/>
      <c r="CK144" s="461"/>
      <c r="CL144" s="461"/>
      <c r="CM144" s="468"/>
      <c r="CN144" s="461"/>
      <c r="CO144" s="461"/>
      <c r="CP144" s="461"/>
      <c r="CQ144" s="461"/>
      <c r="CR144" s="461">
        <v>0.5</v>
      </c>
      <c r="CS144" s="462"/>
      <c r="CT144" s="503"/>
      <c r="CU144" s="503"/>
      <c r="CW144" s="455" t="s">
        <v>368</v>
      </c>
      <c r="CX144" s="459" t="s">
        <v>371</v>
      </c>
      <c r="CY144" s="456" t="s">
        <v>236</v>
      </c>
      <c r="CZ144" s="461"/>
      <c r="DA144" s="461"/>
      <c r="DB144" s="461"/>
      <c r="DC144" s="461"/>
      <c r="DD144" s="468"/>
      <c r="DE144" s="461"/>
      <c r="DF144" s="461"/>
      <c r="DG144" s="461"/>
      <c r="DH144" s="461"/>
      <c r="DI144" s="461">
        <v>0.5</v>
      </c>
      <c r="DJ144" s="462"/>
      <c r="DK144" s="503"/>
      <c r="DL144" s="503"/>
      <c r="DN144" s="455" t="s">
        <v>368</v>
      </c>
      <c r="DO144" s="459" t="s">
        <v>371</v>
      </c>
      <c r="DP144" s="456" t="s">
        <v>236</v>
      </c>
      <c r="DQ144" s="461"/>
      <c r="DR144" s="461"/>
      <c r="DS144" s="461"/>
      <c r="DT144" s="461"/>
      <c r="DU144" s="468"/>
      <c r="DV144" s="461"/>
      <c r="DW144" s="461"/>
      <c r="DX144" s="461"/>
      <c r="DY144" s="461"/>
      <c r="DZ144" s="461">
        <v>0.5</v>
      </c>
      <c r="EA144" s="462"/>
      <c r="EB144" s="503"/>
      <c r="EC144" s="503"/>
      <c r="ED144" s="558"/>
      <c r="EF144" s="455" t="s">
        <v>368</v>
      </c>
      <c r="EG144" s="459" t="s">
        <v>371</v>
      </c>
      <c r="EH144" s="456" t="s">
        <v>236</v>
      </c>
      <c r="EI144" s="609">
        <f t="shared" si="217"/>
        <v>0</v>
      </c>
      <c r="EJ144" s="609">
        <f t="shared" si="218"/>
        <v>0</v>
      </c>
      <c r="EK144" s="609">
        <f t="shared" si="219"/>
        <v>0</v>
      </c>
      <c r="EL144" s="609">
        <f t="shared" si="220"/>
        <v>0</v>
      </c>
      <c r="EM144" s="621">
        <f t="shared" si="221"/>
        <v>0</v>
      </c>
      <c r="EN144" s="609">
        <f t="shared" si="222"/>
        <v>0</v>
      </c>
      <c r="EO144" s="609">
        <f t="shared" si="223"/>
        <v>0</v>
      </c>
      <c r="EP144" s="609">
        <f t="shared" si="224"/>
        <v>0</v>
      </c>
      <c r="EQ144" s="609">
        <f t="shared" si="225"/>
        <v>0</v>
      </c>
      <c r="ER144" s="609">
        <f t="shared" si="226"/>
        <v>0.5</v>
      </c>
      <c r="ES144" s="611">
        <f t="shared" si="214"/>
        <v>0</v>
      </c>
      <c r="ET144" s="624">
        <f t="shared" si="215"/>
        <v>0</v>
      </c>
      <c r="EU144" s="624">
        <f t="shared" si="216"/>
        <v>0</v>
      </c>
      <c r="EW144" s="455" t="s">
        <v>368</v>
      </c>
      <c r="EX144" s="459" t="s">
        <v>371</v>
      </c>
      <c r="EY144" s="456" t="s">
        <v>236</v>
      </c>
      <c r="EZ144" s="598">
        <f t="shared" si="227"/>
        <v>0</v>
      </c>
      <c r="FA144" s="598"/>
      <c r="FB144" s="598"/>
      <c r="FC144" s="598"/>
      <c r="FD144" s="641"/>
      <c r="FE144" s="598"/>
      <c r="FF144" s="598"/>
      <c r="FG144" s="598"/>
      <c r="FH144" s="598"/>
      <c r="FI144" s="598"/>
      <c r="FJ144" s="647"/>
      <c r="FK144" s="601"/>
      <c r="FL144" s="601"/>
    </row>
    <row r="145" spans="2:168" ht="14.25" thickBot="1">
      <c r="B145" s="732" t="str">
        <f t="shared" si="210"/>
        <v>LR2</v>
      </c>
      <c r="C145" s="788" t="str">
        <f t="shared" si="230"/>
        <v>資源・マテリアル</v>
      </c>
      <c r="D145" s="799" t="e">
        <f>IF(I$121=0,0,G145/I$121)</f>
        <v>#REF!</v>
      </c>
      <c r="E145" s="798" t="e">
        <f>IF(J$121=0,0,H145/J$121)</f>
        <v>#REF!</v>
      </c>
      <c r="G145" s="798" t="e">
        <f t="shared" si="231"/>
        <v>#REF!</v>
      </c>
      <c r="H145" s="798" t="e">
        <f t="shared" si="232"/>
        <v>#REF!</v>
      </c>
      <c r="I145" s="798" t="e">
        <f>G146+G151+G166</f>
        <v>#REF!</v>
      </c>
      <c r="J145" s="798" t="e">
        <f>H146+H151+H166</f>
        <v>#REF!</v>
      </c>
      <c r="K145" s="798" t="e">
        <f>IF(#REF!=0,0,1)</f>
        <v>#REF!</v>
      </c>
      <c r="L145" s="798" t="e">
        <f>IF(#REF!=0,0,1)</f>
        <v>#REF!</v>
      </c>
      <c r="M145" s="798">
        <f t="shared" si="233"/>
        <v>0.3</v>
      </c>
      <c r="N145" s="798">
        <f t="shared" si="212"/>
        <v>0</v>
      </c>
      <c r="P145" s="797" t="s">
        <v>435</v>
      </c>
      <c r="Q145" s="796" t="s">
        <v>436</v>
      </c>
      <c r="R145" s="796"/>
      <c r="S145" s="796"/>
      <c r="T145" s="795"/>
      <c r="U145" s="726"/>
      <c r="V145" s="794">
        <f t="shared" si="263"/>
        <v>0</v>
      </c>
      <c r="W145" s="793">
        <f t="shared" si="264"/>
        <v>0</v>
      </c>
      <c r="Y145" s="1">
        <f t="shared" si="250"/>
        <v>1</v>
      </c>
      <c r="Z145" s="1">
        <f t="shared" si="251"/>
        <v>1</v>
      </c>
      <c r="AA145" s="1">
        <f t="shared" si="252"/>
        <v>1</v>
      </c>
      <c r="AB145" s="1">
        <f t="shared" si="253"/>
        <v>1</v>
      </c>
      <c r="AC145" s="1">
        <f t="shared" si="254"/>
        <v>1</v>
      </c>
      <c r="AD145" s="1">
        <f t="shared" si="255"/>
        <v>1</v>
      </c>
      <c r="AE145" s="1">
        <f t="shared" si="256"/>
        <v>1</v>
      </c>
      <c r="AF145" s="1">
        <f t="shared" si="257"/>
        <v>1</v>
      </c>
      <c r="AG145" s="1">
        <f t="shared" si="258"/>
        <v>1</v>
      </c>
      <c r="AH145" s="1">
        <f t="shared" si="259"/>
        <v>1</v>
      </c>
      <c r="AI145" s="1">
        <f t="shared" si="260"/>
        <v>1</v>
      </c>
      <c r="AJ145" s="1">
        <f t="shared" si="261"/>
        <v>1</v>
      </c>
      <c r="AK145" s="1">
        <f t="shared" si="262"/>
        <v>1</v>
      </c>
      <c r="AM145" s="792" t="str">
        <f t="shared" ref="AM145:AY145" si="265">AM$6</f>
        <v>事務所</v>
      </c>
      <c r="AN145" s="792" t="str">
        <f t="shared" si="265"/>
        <v>学校</v>
      </c>
      <c r="AO145" s="792" t="str">
        <f t="shared" si="265"/>
        <v>物販店</v>
      </c>
      <c r="AP145" s="792" t="str">
        <f t="shared" si="265"/>
        <v>飲食店</v>
      </c>
      <c r="AQ145" s="792" t="str">
        <f t="shared" si="265"/>
        <v>集会所</v>
      </c>
      <c r="AR145" s="792" t="str">
        <f t="shared" si="265"/>
        <v>工場</v>
      </c>
      <c r="AS145" s="792" t="str">
        <f t="shared" si="265"/>
        <v>小中高</v>
      </c>
      <c r="AT145" s="792" t="str">
        <f t="shared" si="265"/>
        <v>病院</v>
      </c>
      <c r="AU145" s="792" t="str">
        <f t="shared" si="265"/>
        <v>ホテル</v>
      </c>
      <c r="AV145" s="792" t="str">
        <f t="shared" si="265"/>
        <v>集合住宅</v>
      </c>
      <c r="AW145" s="792" t="str">
        <f t="shared" si="265"/>
        <v>病院o</v>
      </c>
      <c r="AX145" s="792" t="str">
        <f t="shared" si="265"/>
        <v>ホテルo</v>
      </c>
      <c r="AY145" s="792" t="str">
        <f t="shared" si="265"/>
        <v>集合住宅o</v>
      </c>
      <c r="BA145" s="791" t="e">
        <f>BB145/$BC$121</f>
        <v>#REF!</v>
      </c>
      <c r="BB145" s="791" t="e">
        <f t="shared" si="228"/>
        <v>#REF!</v>
      </c>
      <c r="BC145" s="791" t="e">
        <f>BB146+BB151+BB166</f>
        <v>#REF!</v>
      </c>
      <c r="BD145" s="790" t="e">
        <f>BR145*#REF!</f>
        <v>#REF!</v>
      </c>
      <c r="BE145" s="790" t="e">
        <f>BS145*#REF!</f>
        <v>#REF!</v>
      </c>
      <c r="BF145" s="790" t="e">
        <f>BT145*#REF!</f>
        <v>#REF!</v>
      </c>
      <c r="BG145" s="790" t="e">
        <f>BU145*#REF!</f>
        <v>#REF!</v>
      </c>
      <c r="BH145" s="843" t="e">
        <f>BV145*#REF!</f>
        <v>#REF!</v>
      </c>
      <c r="BI145" s="790" t="e">
        <f>BW145*#REF!</f>
        <v>#REF!</v>
      </c>
      <c r="BJ145" s="790" t="e">
        <f>BX145*#REF!</f>
        <v>#REF!</v>
      </c>
      <c r="BK145" s="790" t="e">
        <f>BY145*#REF!</f>
        <v>#REF!</v>
      </c>
      <c r="BL145" s="790" t="e">
        <f>BZ145*#REF!</f>
        <v>#REF!</v>
      </c>
      <c r="BM145" s="790" t="e">
        <f>CA145*#REF!</f>
        <v>#REF!</v>
      </c>
      <c r="BO145" s="789" t="str">
        <f t="shared" si="234"/>
        <v>LR2</v>
      </c>
      <c r="BP145" s="789" t="str">
        <f t="shared" si="235"/>
        <v>LR</v>
      </c>
      <c r="BQ145" s="788" t="str">
        <f t="shared" si="236"/>
        <v>資源・マテリアル</v>
      </c>
      <c r="BR145" s="787">
        <f t="shared" si="237"/>
        <v>0.3</v>
      </c>
      <c r="BS145" s="787">
        <f t="shared" si="238"/>
        <v>0.3</v>
      </c>
      <c r="BT145" s="787">
        <f t="shared" si="239"/>
        <v>0.3</v>
      </c>
      <c r="BU145" s="787">
        <f t="shared" si="240"/>
        <v>0.3</v>
      </c>
      <c r="BV145" s="842">
        <f t="shared" si="241"/>
        <v>0.3</v>
      </c>
      <c r="BW145" s="787">
        <f t="shared" si="242"/>
        <v>0.3</v>
      </c>
      <c r="BX145" s="787">
        <f t="shared" si="243"/>
        <v>0.3</v>
      </c>
      <c r="BY145" s="787">
        <f t="shared" si="244"/>
        <v>0.3</v>
      </c>
      <c r="BZ145" s="787">
        <f t="shared" si="245"/>
        <v>0.3</v>
      </c>
      <c r="CA145" s="787">
        <f t="shared" si="246"/>
        <v>0.3</v>
      </c>
      <c r="CB145" s="786">
        <f t="shared" si="247"/>
        <v>0</v>
      </c>
      <c r="CC145" s="785">
        <f t="shared" si="248"/>
        <v>0</v>
      </c>
      <c r="CD145" s="785">
        <f t="shared" si="249"/>
        <v>0</v>
      </c>
      <c r="CF145" s="509" t="s">
        <v>435</v>
      </c>
      <c r="CG145" s="510" t="s">
        <v>335</v>
      </c>
      <c r="CH145" s="442" t="s">
        <v>436</v>
      </c>
      <c r="CI145" s="445">
        <v>0.3</v>
      </c>
      <c r="CJ145" s="445">
        <v>0.3</v>
      </c>
      <c r="CK145" s="445">
        <v>0.3</v>
      </c>
      <c r="CL145" s="445">
        <v>0.3</v>
      </c>
      <c r="CM145" s="511">
        <v>0.3</v>
      </c>
      <c r="CN145" s="445">
        <v>0.3</v>
      </c>
      <c r="CO145" s="445">
        <v>0.3</v>
      </c>
      <c r="CP145" s="445">
        <v>0.3</v>
      </c>
      <c r="CQ145" s="445">
        <v>0.3</v>
      </c>
      <c r="CR145" s="445">
        <v>0.3</v>
      </c>
      <c r="CS145" s="512"/>
      <c r="CT145" s="513"/>
      <c r="CU145" s="513"/>
      <c r="CW145" s="509" t="s">
        <v>435</v>
      </c>
      <c r="CX145" s="510" t="s">
        <v>335</v>
      </c>
      <c r="CY145" s="442" t="s">
        <v>436</v>
      </c>
      <c r="CZ145" s="445">
        <v>0.3</v>
      </c>
      <c r="DA145" s="445">
        <v>0.3</v>
      </c>
      <c r="DB145" s="445">
        <v>0.3</v>
      </c>
      <c r="DC145" s="445">
        <v>0.3</v>
      </c>
      <c r="DD145" s="511">
        <v>0.3</v>
      </c>
      <c r="DE145" s="445">
        <v>0.3</v>
      </c>
      <c r="DF145" s="445">
        <v>0.3</v>
      </c>
      <c r="DG145" s="445">
        <v>0.3</v>
      </c>
      <c r="DH145" s="445">
        <v>0.3</v>
      </c>
      <c r="DI145" s="445">
        <v>0.3</v>
      </c>
      <c r="DJ145" s="512"/>
      <c r="DK145" s="513"/>
      <c r="DL145" s="513"/>
      <c r="DN145" s="509" t="s">
        <v>435</v>
      </c>
      <c r="DO145" s="510" t="s">
        <v>335</v>
      </c>
      <c r="DP145" s="442" t="s">
        <v>436</v>
      </c>
      <c r="DQ145" s="445">
        <v>0.3</v>
      </c>
      <c r="DR145" s="445">
        <v>0.3</v>
      </c>
      <c r="DS145" s="445">
        <v>0.3</v>
      </c>
      <c r="DT145" s="445">
        <v>0.3</v>
      </c>
      <c r="DU145" s="511">
        <v>0.3</v>
      </c>
      <c r="DV145" s="445">
        <v>0.3</v>
      </c>
      <c r="DW145" s="445">
        <v>0.3</v>
      </c>
      <c r="DX145" s="445">
        <v>0.3</v>
      </c>
      <c r="DY145" s="445">
        <v>0.3</v>
      </c>
      <c r="DZ145" s="445">
        <v>0.3</v>
      </c>
      <c r="EA145" s="512"/>
      <c r="EB145" s="513"/>
      <c r="EC145" s="513"/>
      <c r="ED145" s="559"/>
      <c r="EF145" s="509" t="s">
        <v>435</v>
      </c>
      <c r="EG145" s="510" t="s">
        <v>335</v>
      </c>
      <c r="EH145" s="442" t="s">
        <v>436</v>
      </c>
      <c r="EI145" s="594">
        <v>0.5</v>
      </c>
      <c r="EJ145" s="594">
        <v>0.5</v>
      </c>
      <c r="EK145" s="594">
        <v>0.5</v>
      </c>
      <c r="EL145" s="594">
        <v>0.5</v>
      </c>
      <c r="EM145" s="594">
        <v>0.5</v>
      </c>
      <c r="EN145" s="594">
        <v>0.5</v>
      </c>
      <c r="EO145" s="594">
        <v>0.5</v>
      </c>
      <c r="EP145" s="594">
        <v>0.5</v>
      </c>
      <c r="EQ145" s="594">
        <v>0.5</v>
      </c>
      <c r="ER145" s="594">
        <v>0.5</v>
      </c>
      <c r="ES145" s="602">
        <f t="shared" si="214"/>
        <v>0</v>
      </c>
      <c r="ET145" s="603">
        <f t="shared" si="215"/>
        <v>0</v>
      </c>
      <c r="EU145" s="603">
        <f t="shared" si="216"/>
        <v>0</v>
      </c>
      <c r="EW145" s="509" t="s">
        <v>831</v>
      </c>
      <c r="EX145" s="510" t="s">
        <v>830</v>
      </c>
      <c r="EY145" s="442" t="s">
        <v>436</v>
      </c>
      <c r="EZ145" s="665">
        <v>0.35</v>
      </c>
      <c r="FA145" s="594"/>
      <c r="FB145" s="594"/>
      <c r="FC145" s="594"/>
      <c r="FD145" s="594"/>
      <c r="FE145" s="594"/>
      <c r="FF145" s="594"/>
      <c r="FG145" s="594"/>
      <c r="FH145" s="594"/>
      <c r="FI145" s="594"/>
      <c r="FJ145" s="602"/>
      <c r="FK145" s="603"/>
      <c r="FL145" s="603"/>
    </row>
    <row r="146" spans="2:168" ht="14.25" thickBot="1">
      <c r="B146" s="732">
        <f t="shared" si="210"/>
        <v>1</v>
      </c>
      <c r="C146" s="759" t="str">
        <f t="shared" si="230"/>
        <v>水資源保護</v>
      </c>
      <c r="D146" s="770" t="e">
        <f>IF(I$145=0,0,G146/I$145)</f>
        <v>#REF!</v>
      </c>
      <c r="E146" s="769" t="e">
        <f>IF(J$145=0,0,H146/J$145)</f>
        <v>#REF!</v>
      </c>
      <c r="G146" s="769" t="e">
        <f t="shared" si="231"/>
        <v>#REF!</v>
      </c>
      <c r="H146" s="769" t="e">
        <f t="shared" si="232"/>
        <v>#REF!</v>
      </c>
      <c r="I146" s="769" t="e">
        <f>G147+G148</f>
        <v>#REF!</v>
      </c>
      <c r="J146" s="769" t="e">
        <f>H147+H148</f>
        <v>#REF!</v>
      </c>
      <c r="K146" s="769" t="e">
        <f>IF(#REF!=0,0,1)</f>
        <v>#REF!</v>
      </c>
      <c r="L146" s="769" t="e">
        <f>IF(#REF!=0,0,1)</f>
        <v>#REF!</v>
      </c>
      <c r="M146" s="769">
        <f t="shared" si="233"/>
        <v>0.2</v>
      </c>
      <c r="N146" s="769">
        <f t="shared" si="212"/>
        <v>0</v>
      </c>
      <c r="P146" s="841">
        <v>1</v>
      </c>
      <c r="Q146" s="754" t="s">
        <v>295</v>
      </c>
      <c r="R146" s="754"/>
      <c r="S146" s="754"/>
      <c r="T146" s="753"/>
      <c r="U146" s="726"/>
      <c r="V146" s="814">
        <f t="shared" si="263"/>
        <v>0</v>
      </c>
      <c r="W146" s="813">
        <f t="shared" si="264"/>
        <v>0</v>
      </c>
      <c r="Y146" s="1">
        <f t="shared" si="250"/>
        <v>0</v>
      </c>
      <c r="Z146" s="1">
        <f t="shared" si="251"/>
        <v>0</v>
      </c>
      <c r="AA146" s="1">
        <f t="shared" si="252"/>
        <v>0</v>
      </c>
      <c r="AB146" s="1">
        <f t="shared" si="253"/>
        <v>0</v>
      </c>
      <c r="AC146" s="1">
        <f t="shared" si="254"/>
        <v>0</v>
      </c>
      <c r="AD146" s="1">
        <f t="shared" si="255"/>
        <v>0</v>
      </c>
      <c r="AE146" s="1">
        <f t="shared" si="256"/>
        <v>0</v>
      </c>
      <c r="AF146" s="1">
        <f t="shared" si="257"/>
        <v>0</v>
      </c>
      <c r="AG146" s="1">
        <f t="shared" si="258"/>
        <v>0</v>
      </c>
      <c r="AH146" s="1">
        <f t="shared" si="259"/>
        <v>0</v>
      </c>
      <c r="AI146" s="1">
        <f t="shared" si="260"/>
        <v>0</v>
      </c>
      <c r="AJ146" s="1">
        <f t="shared" si="261"/>
        <v>0</v>
      </c>
      <c r="AK146" s="1">
        <f t="shared" si="262"/>
        <v>0</v>
      </c>
      <c r="AM146" s="812" t="s">
        <v>49</v>
      </c>
      <c r="AN146" s="812" t="s">
        <v>49</v>
      </c>
      <c r="AO146" s="812" t="s">
        <v>49</v>
      </c>
      <c r="AP146" s="812" t="s">
        <v>49</v>
      </c>
      <c r="AQ146" s="812" t="s">
        <v>49</v>
      </c>
      <c r="AR146" s="812" t="s">
        <v>49</v>
      </c>
      <c r="AS146" s="812" t="s">
        <v>49</v>
      </c>
      <c r="AT146" s="812" t="s">
        <v>49</v>
      </c>
      <c r="AU146" s="812" t="s">
        <v>49</v>
      </c>
      <c r="AV146" s="812" t="s">
        <v>49</v>
      </c>
      <c r="AW146" s="812" t="s">
        <v>49</v>
      </c>
      <c r="AX146" s="812" t="s">
        <v>49</v>
      </c>
      <c r="AY146" s="812" t="s">
        <v>49</v>
      </c>
      <c r="BA146" s="763" t="e">
        <f>BB146/$BC$145</f>
        <v>#REF!</v>
      </c>
      <c r="BB146" s="763" t="e">
        <f t="shared" si="228"/>
        <v>#REF!</v>
      </c>
      <c r="BC146" s="763"/>
      <c r="BD146" s="762" t="e">
        <f>BR146*#REF!</f>
        <v>#REF!</v>
      </c>
      <c r="BE146" s="762" t="e">
        <f>BS146*#REF!</f>
        <v>#REF!</v>
      </c>
      <c r="BF146" s="762" t="e">
        <f>BT146*#REF!</f>
        <v>#REF!</v>
      </c>
      <c r="BG146" s="762" t="e">
        <f>BU146*#REF!</f>
        <v>#REF!</v>
      </c>
      <c r="BH146" s="824" t="e">
        <f>BV146*#REF!</f>
        <v>#REF!</v>
      </c>
      <c r="BI146" s="762" t="e">
        <f>BW146*#REF!</f>
        <v>#REF!</v>
      </c>
      <c r="BJ146" s="762" t="e">
        <f>BX146*#REF!</f>
        <v>#REF!</v>
      </c>
      <c r="BK146" s="762" t="e">
        <f>BY146*#REF!</f>
        <v>#REF!</v>
      </c>
      <c r="BL146" s="762" t="e">
        <f>BZ146*#REF!</f>
        <v>#REF!</v>
      </c>
      <c r="BM146" s="762" t="e">
        <f>CA146*#REF!</f>
        <v>#REF!</v>
      </c>
      <c r="BO146" s="840">
        <f t="shared" si="234"/>
        <v>1</v>
      </c>
      <c r="BP146" s="823" t="str">
        <f t="shared" si="235"/>
        <v>LR2</v>
      </c>
      <c r="BQ146" s="759" t="str">
        <f t="shared" si="236"/>
        <v>水資源保護</v>
      </c>
      <c r="BR146" s="757">
        <f t="shared" si="237"/>
        <v>0.2</v>
      </c>
      <c r="BS146" s="757">
        <f t="shared" si="238"/>
        <v>0.2</v>
      </c>
      <c r="BT146" s="757">
        <f t="shared" si="239"/>
        <v>0.2</v>
      </c>
      <c r="BU146" s="757">
        <f t="shared" si="240"/>
        <v>0.2</v>
      </c>
      <c r="BV146" s="822">
        <f t="shared" si="241"/>
        <v>0.2</v>
      </c>
      <c r="BW146" s="757">
        <f t="shared" si="242"/>
        <v>0.2</v>
      </c>
      <c r="BX146" s="757">
        <f t="shared" si="243"/>
        <v>0.2</v>
      </c>
      <c r="BY146" s="757">
        <f t="shared" si="244"/>
        <v>0.2</v>
      </c>
      <c r="BZ146" s="757">
        <f t="shared" si="245"/>
        <v>0.2</v>
      </c>
      <c r="CA146" s="757">
        <f t="shared" si="246"/>
        <v>0.2</v>
      </c>
      <c r="CB146" s="821">
        <f t="shared" si="247"/>
        <v>0</v>
      </c>
      <c r="CC146" s="820">
        <f t="shared" si="248"/>
        <v>0</v>
      </c>
      <c r="CD146" s="820">
        <f t="shared" si="249"/>
        <v>0</v>
      </c>
      <c r="CF146" s="505">
        <v>1</v>
      </c>
      <c r="CG146" s="451" t="s">
        <v>361</v>
      </c>
      <c r="CH146" s="448" t="s">
        <v>295</v>
      </c>
      <c r="CI146" s="452">
        <v>0.2</v>
      </c>
      <c r="CJ146" s="452">
        <v>0.2</v>
      </c>
      <c r="CK146" s="452">
        <v>0.2</v>
      </c>
      <c r="CL146" s="452">
        <v>0.2</v>
      </c>
      <c r="CM146" s="498">
        <v>0.2</v>
      </c>
      <c r="CN146" s="452">
        <v>0.2</v>
      </c>
      <c r="CO146" s="452">
        <v>0.2</v>
      </c>
      <c r="CP146" s="452">
        <v>0.2</v>
      </c>
      <c r="CQ146" s="452">
        <v>0.2</v>
      </c>
      <c r="CR146" s="452">
        <v>0.2</v>
      </c>
      <c r="CS146" s="514"/>
      <c r="CT146" s="515"/>
      <c r="CU146" s="515"/>
      <c r="CW146" s="505">
        <v>1</v>
      </c>
      <c r="CX146" s="451" t="s">
        <v>361</v>
      </c>
      <c r="CY146" s="448" t="s">
        <v>295</v>
      </c>
      <c r="CZ146" s="452">
        <v>0.2</v>
      </c>
      <c r="DA146" s="452">
        <v>0.2</v>
      </c>
      <c r="DB146" s="452">
        <v>0.2</v>
      </c>
      <c r="DC146" s="452">
        <v>0.2</v>
      </c>
      <c r="DD146" s="498">
        <v>0.2</v>
      </c>
      <c r="DE146" s="452">
        <v>0.2</v>
      </c>
      <c r="DF146" s="452">
        <v>0.2</v>
      </c>
      <c r="DG146" s="452">
        <v>0.2</v>
      </c>
      <c r="DH146" s="452">
        <v>0.2</v>
      </c>
      <c r="DI146" s="452">
        <v>0.2</v>
      </c>
      <c r="DJ146" s="514"/>
      <c r="DK146" s="515"/>
      <c r="DL146" s="515"/>
      <c r="DN146" s="505">
        <v>1</v>
      </c>
      <c r="DO146" s="451" t="s">
        <v>361</v>
      </c>
      <c r="DP146" s="448" t="s">
        <v>295</v>
      </c>
      <c r="DQ146" s="452">
        <v>0.2</v>
      </c>
      <c r="DR146" s="452">
        <v>0.2</v>
      </c>
      <c r="DS146" s="452">
        <v>0.2</v>
      </c>
      <c r="DT146" s="452">
        <v>0.2</v>
      </c>
      <c r="DU146" s="498">
        <v>0.2</v>
      </c>
      <c r="DV146" s="452">
        <v>0.2</v>
      </c>
      <c r="DW146" s="452">
        <v>0.2</v>
      </c>
      <c r="DX146" s="452">
        <v>0.2</v>
      </c>
      <c r="DY146" s="452">
        <v>0.2</v>
      </c>
      <c r="DZ146" s="452">
        <v>0.2</v>
      </c>
      <c r="EA146" s="514"/>
      <c r="EB146" s="515"/>
      <c r="EC146" s="515"/>
      <c r="ED146" s="559"/>
      <c r="EF146" s="505">
        <v>1</v>
      </c>
      <c r="EG146" s="451" t="s">
        <v>361</v>
      </c>
      <c r="EH146" s="448" t="s">
        <v>295</v>
      </c>
      <c r="EI146" s="596">
        <v>0.1</v>
      </c>
      <c r="EJ146" s="596">
        <v>0.1</v>
      </c>
      <c r="EK146" s="596">
        <v>0.1</v>
      </c>
      <c r="EL146" s="596">
        <v>0.1</v>
      </c>
      <c r="EM146" s="596">
        <v>0.1</v>
      </c>
      <c r="EN146" s="596">
        <v>0.1</v>
      </c>
      <c r="EO146" s="596">
        <v>0.1</v>
      </c>
      <c r="EP146" s="596">
        <v>0.1</v>
      </c>
      <c r="EQ146" s="596">
        <v>0.1</v>
      </c>
      <c r="ER146" s="596">
        <v>0.1</v>
      </c>
      <c r="ES146" s="632">
        <f t="shared" si="214"/>
        <v>0</v>
      </c>
      <c r="ET146" s="633">
        <f t="shared" si="215"/>
        <v>0</v>
      </c>
      <c r="EU146" s="633">
        <f t="shared" si="216"/>
        <v>0</v>
      </c>
      <c r="EW146" s="505">
        <v>1</v>
      </c>
      <c r="EX146" s="451" t="s">
        <v>361</v>
      </c>
      <c r="EY146" s="448" t="s">
        <v>295</v>
      </c>
      <c r="EZ146" s="673">
        <v>0.3</v>
      </c>
      <c r="FA146" s="596"/>
      <c r="FB146" s="596"/>
      <c r="FC146" s="596"/>
      <c r="FD146" s="596"/>
      <c r="FE146" s="596"/>
      <c r="FF146" s="596"/>
      <c r="FG146" s="596"/>
      <c r="FH146" s="596"/>
      <c r="FI146" s="596"/>
      <c r="FJ146" s="662"/>
      <c r="FK146" s="663"/>
      <c r="FL146" s="663"/>
    </row>
    <row r="147" spans="2:168" ht="14.25" thickBot="1">
      <c r="B147" s="732">
        <f t="shared" si="210"/>
        <v>1.1000000000000001</v>
      </c>
      <c r="C147" s="408" t="str">
        <f t="shared" si="230"/>
        <v>節水</v>
      </c>
      <c r="D147" s="731" t="e">
        <f>IF(I$146=0,0,G147/I$146)</f>
        <v>#REF!</v>
      </c>
      <c r="E147" s="730" t="e">
        <f>IF(J$146=0,0,H147/J$146)</f>
        <v>#REF!</v>
      </c>
      <c r="G147" s="730" t="e">
        <f t="shared" si="231"/>
        <v>#REF!</v>
      </c>
      <c r="H147" s="730" t="e">
        <f t="shared" si="232"/>
        <v>#REF!</v>
      </c>
      <c r="I147" s="730"/>
      <c r="J147" s="730"/>
      <c r="K147" s="730" t="e">
        <f>IF(#REF!=0,0,1)</f>
        <v>#REF!</v>
      </c>
      <c r="L147" s="730" t="e">
        <f>IF(#REF!=0,0,1)</f>
        <v>#REF!</v>
      </c>
      <c r="M147" s="730">
        <f t="shared" si="233"/>
        <v>0.4</v>
      </c>
      <c r="N147" s="730">
        <f t="shared" si="212"/>
        <v>0</v>
      </c>
      <c r="P147" s="832"/>
      <c r="Q147" s="778">
        <v>1.1000000000000001</v>
      </c>
      <c r="R147" s="579" t="s">
        <v>296</v>
      </c>
      <c r="S147" s="579"/>
      <c r="T147" s="745"/>
      <c r="U147" s="726"/>
      <c r="V147" s="819">
        <f t="shared" si="263"/>
        <v>0</v>
      </c>
      <c r="W147" s="818">
        <f t="shared" si="264"/>
        <v>0</v>
      </c>
      <c r="Y147" s="1">
        <f t="shared" si="250"/>
        <v>0</v>
      </c>
      <c r="Z147" s="1">
        <f t="shared" si="251"/>
        <v>0</v>
      </c>
      <c r="AA147" s="1">
        <f t="shared" si="252"/>
        <v>0</v>
      </c>
      <c r="AB147" s="1">
        <f t="shared" si="253"/>
        <v>0</v>
      </c>
      <c r="AC147" s="1">
        <f t="shared" si="254"/>
        <v>0</v>
      </c>
      <c r="AD147" s="1">
        <f t="shared" si="255"/>
        <v>0</v>
      </c>
      <c r="AE147" s="1">
        <f t="shared" si="256"/>
        <v>0</v>
      </c>
      <c r="AF147" s="1">
        <f t="shared" si="257"/>
        <v>0</v>
      </c>
      <c r="AG147" s="1">
        <f t="shared" si="258"/>
        <v>0</v>
      </c>
      <c r="AH147" s="1">
        <f t="shared" si="259"/>
        <v>0</v>
      </c>
      <c r="AI147" s="1">
        <f t="shared" si="260"/>
        <v>0</v>
      </c>
      <c r="AJ147" s="1">
        <f t="shared" si="261"/>
        <v>0</v>
      </c>
      <c r="AK147" s="1">
        <f t="shared" si="262"/>
        <v>0</v>
      </c>
      <c r="AM147" s="678"/>
      <c r="AN147" s="678"/>
      <c r="AO147" s="678"/>
      <c r="AP147" s="678"/>
      <c r="AQ147" s="678"/>
      <c r="AR147" s="678"/>
      <c r="AS147" s="678"/>
      <c r="AT147" s="678"/>
      <c r="AU147" s="678"/>
      <c r="AV147" s="678"/>
      <c r="AW147" s="678"/>
      <c r="AX147" s="678"/>
      <c r="AY147" s="678"/>
      <c r="BA147" s="723"/>
      <c r="BB147" s="723" t="e">
        <f t="shared" si="228"/>
        <v>#REF!</v>
      </c>
      <c r="BC147" s="723"/>
      <c r="BD147" s="722" t="e">
        <f>BR147*#REF!</f>
        <v>#REF!</v>
      </c>
      <c r="BE147" s="722" t="e">
        <f>BS147*#REF!</f>
        <v>#REF!</v>
      </c>
      <c r="BF147" s="722" t="e">
        <f>BT147*#REF!</f>
        <v>#REF!</v>
      </c>
      <c r="BG147" s="722" t="e">
        <f>BU147*#REF!</f>
        <v>#REF!</v>
      </c>
      <c r="BH147" s="803" t="e">
        <f>BV147*#REF!</f>
        <v>#REF!</v>
      </c>
      <c r="BI147" s="722" t="e">
        <f>BW147*#REF!</f>
        <v>#REF!</v>
      </c>
      <c r="BJ147" s="722" t="e">
        <f>BX147*#REF!</f>
        <v>#REF!</v>
      </c>
      <c r="BK147" s="722" t="e">
        <f>BY147*#REF!</f>
        <v>#REF!</v>
      </c>
      <c r="BL147" s="722" t="e">
        <f>BZ147*#REF!</f>
        <v>#REF!</v>
      </c>
      <c r="BM147" s="722" t="e">
        <f>CA147*#REF!</f>
        <v>#REF!</v>
      </c>
      <c r="BO147" s="749">
        <f t="shared" si="234"/>
        <v>1.1000000000000001</v>
      </c>
      <c r="BP147" s="749" t="str">
        <f t="shared" si="235"/>
        <v>LR2 1</v>
      </c>
      <c r="BQ147" s="408" t="str">
        <f t="shared" si="236"/>
        <v>節水</v>
      </c>
      <c r="BR147" s="719">
        <f t="shared" si="237"/>
        <v>0.4</v>
      </c>
      <c r="BS147" s="719">
        <f t="shared" si="238"/>
        <v>0.4</v>
      </c>
      <c r="BT147" s="719">
        <f t="shared" si="239"/>
        <v>0.4</v>
      </c>
      <c r="BU147" s="719">
        <f t="shared" si="240"/>
        <v>0.4</v>
      </c>
      <c r="BV147" s="802">
        <f t="shared" si="241"/>
        <v>0.4</v>
      </c>
      <c r="BW147" s="719">
        <f t="shared" si="242"/>
        <v>0.4</v>
      </c>
      <c r="BX147" s="719">
        <f t="shared" si="243"/>
        <v>0.4</v>
      </c>
      <c r="BY147" s="719">
        <f t="shared" si="244"/>
        <v>0.4</v>
      </c>
      <c r="BZ147" s="719">
        <f t="shared" si="245"/>
        <v>0.4</v>
      </c>
      <c r="CA147" s="719">
        <f t="shared" si="246"/>
        <v>0.4</v>
      </c>
      <c r="CB147" s="801">
        <f t="shared" si="247"/>
        <v>0</v>
      </c>
      <c r="CC147" s="800">
        <f t="shared" si="248"/>
        <v>0</v>
      </c>
      <c r="CD147" s="800">
        <f t="shared" si="249"/>
        <v>0</v>
      </c>
      <c r="CF147" s="455">
        <v>1.1000000000000001</v>
      </c>
      <c r="CG147" s="459" t="s">
        <v>42</v>
      </c>
      <c r="CH147" s="456" t="s">
        <v>296</v>
      </c>
      <c r="CI147" s="461">
        <v>0.4</v>
      </c>
      <c r="CJ147" s="461">
        <v>0.4</v>
      </c>
      <c r="CK147" s="461">
        <v>0.4</v>
      </c>
      <c r="CL147" s="461">
        <v>0.4</v>
      </c>
      <c r="CM147" s="468">
        <v>0.4</v>
      </c>
      <c r="CN147" s="461">
        <v>0.4</v>
      </c>
      <c r="CO147" s="461">
        <v>0.4</v>
      </c>
      <c r="CP147" s="461">
        <v>0.4</v>
      </c>
      <c r="CQ147" s="461">
        <v>0.4</v>
      </c>
      <c r="CR147" s="461">
        <v>0.4</v>
      </c>
      <c r="CS147" s="516"/>
      <c r="CT147" s="473"/>
      <c r="CU147" s="473"/>
      <c r="CW147" s="455">
        <v>1.1000000000000001</v>
      </c>
      <c r="CX147" s="459" t="s">
        <v>42</v>
      </c>
      <c r="CY147" s="456" t="s">
        <v>296</v>
      </c>
      <c r="CZ147" s="461">
        <v>0.4</v>
      </c>
      <c r="DA147" s="461">
        <v>0.4</v>
      </c>
      <c r="DB147" s="461">
        <v>0.4</v>
      </c>
      <c r="DC147" s="461">
        <v>0.4</v>
      </c>
      <c r="DD147" s="468">
        <v>0.4</v>
      </c>
      <c r="DE147" s="461">
        <v>0.4</v>
      </c>
      <c r="DF147" s="461">
        <v>0.4</v>
      </c>
      <c r="DG147" s="461">
        <v>0.4</v>
      </c>
      <c r="DH147" s="461">
        <v>0.4</v>
      </c>
      <c r="DI147" s="461">
        <v>0.4</v>
      </c>
      <c r="DJ147" s="516"/>
      <c r="DK147" s="473"/>
      <c r="DL147" s="473"/>
      <c r="DN147" s="455">
        <v>1.1000000000000001</v>
      </c>
      <c r="DO147" s="459" t="s">
        <v>42</v>
      </c>
      <c r="DP147" s="456" t="s">
        <v>296</v>
      </c>
      <c r="DQ147" s="461">
        <v>0.4</v>
      </c>
      <c r="DR147" s="461">
        <v>0.4</v>
      </c>
      <c r="DS147" s="461">
        <v>0.4</v>
      </c>
      <c r="DT147" s="461">
        <v>0.4</v>
      </c>
      <c r="DU147" s="468">
        <v>0.4</v>
      </c>
      <c r="DV147" s="461">
        <v>0.4</v>
      </c>
      <c r="DW147" s="461">
        <v>0.4</v>
      </c>
      <c r="DX147" s="461">
        <v>0.4</v>
      </c>
      <c r="DY147" s="461">
        <v>0.4</v>
      </c>
      <c r="DZ147" s="461">
        <v>0.4</v>
      </c>
      <c r="EA147" s="516"/>
      <c r="EB147" s="473"/>
      <c r="EC147" s="473"/>
      <c r="ED147" s="549"/>
      <c r="EF147" s="455">
        <v>1.1000000000000001</v>
      </c>
      <c r="EG147" s="459" t="s">
        <v>42</v>
      </c>
      <c r="EH147" s="456" t="s">
        <v>296</v>
      </c>
      <c r="EI147" s="609">
        <f t="shared" ref="EI147:ER150" si="266">DQ147</f>
        <v>0.4</v>
      </c>
      <c r="EJ147" s="609">
        <f t="shared" si="266"/>
        <v>0.4</v>
      </c>
      <c r="EK147" s="609">
        <f t="shared" si="266"/>
        <v>0.4</v>
      </c>
      <c r="EL147" s="609">
        <f t="shared" si="266"/>
        <v>0.4</v>
      </c>
      <c r="EM147" s="609">
        <f t="shared" si="266"/>
        <v>0.4</v>
      </c>
      <c r="EN147" s="609">
        <f t="shared" si="266"/>
        <v>0.4</v>
      </c>
      <c r="EO147" s="609">
        <f t="shared" si="266"/>
        <v>0.4</v>
      </c>
      <c r="EP147" s="609">
        <f t="shared" si="266"/>
        <v>0.4</v>
      </c>
      <c r="EQ147" s="609">
        <f t="shared" si="266"/>
        <v>0.4</v>
      </c>
      <c r="ER147" s="609">
        <f t="shared" si="266"/>
        <v>0.4</v>
      </c>
      <c r="ES147" s="634">
        <f t="shared" si="214"/>
        <v>0</v>
      </c>
      <c r="ET147" s="615">
        <f t="shared" si="215"/>
        <v>0</v>
      </c>
      <c r="EU147" s="615">
        <f t="shared" si="216"/>
        <v>0</v>
      </c>
      <c r="EW147" s="455">
        <v>1.1000000000000001</v>
      </c>
      <c r="EX147" s="459" t="s">
        <v>42</v>
      </c>
      <c r="EY147" s="456" t="s">
        <v>296</v>
      </c>
      <c r="EZ147" s="598">
        <f>DQ147</f>
        <v>0.4</v>
      </c>
      <c r="FA147" s="598"/>
      <c r="FB147" s="598"/>
      <c r="FC147" s="598"/>
      <c r="FD147" s="598"/>
      <c r="FE147" s="598"/>
      <c r="FF147" s="598"/>
      <c r="FG147" s="598"/>
      <c r="FH147" s="598"/>
      <c r="FI147" s="598"/>
      <c r="FJ147" s="664"/>
      <c r="FK147" s="650"/>
      <c r="FL147" s="650"/>
    </row>
    <row r="148" spans="2:168" ht="14.25" thickBot="1">
      <c r="B148" s="732">
        <f t="shared" si="210"/>
        <v>1.2</v>
      </c>
      <c r="C148" s="408" t="str">
        <f t="shared" si="230"/>
        <v>雨水利用・雑排水再利用</v>
      </c>
      <c r="D148" s="731" t="e">
        <f>IF(I$146=0,0,G148/I$146)</f>
        <v>#REF!</v>
      </c>
      <c r="E148" s="730" t="e">
        <f>IF(J$146=0,0,H148/J$146)</f>
        <v>#REF!</v>
      </c>
      <c r="G148" s="730" t="e">
        <f t="shared" si="231"/>
        <v>#REF!</v>
      </c>
      <c r="H148" s="730" t="e">
        <f t="shared" si="232"/>
        <v>#REF!</v>
      </c>
      <c r="I148" s="730" t="e">
        <f>SUM(G149:G150)</f>
        <v>#REF!</v>
      </c>
      <c r="J148" s="730" t="e">
        <f>SUM(H149:H150)</f>
        <v>#REF!</v>
      </c>
      <c r="K148" s="730" t="e">
        <f>IF(#REF!=0,0,1)</f>
        <v>#REF!</v>
      </c>
      <c r="L148" s="730" t="e">
        <f>IF(#REF!=0,0,1)</f>
        <v>#REF!</v>
      </c>
      <c r="M148" s="730">
        <f t="shared" si="233"/>
        <v>0.6</v>
      </c>
      <c r="N148" s="730">
        <f t="shared" si="212"/>
        <v>0</v>
      </c>
      <c r="P148" s="832"/>
      <c r="Q148" s="839">
        <v>1.2</v>
      </c>
      <c r="R148" s="838" t="s">
        <v>297</v>
      </c>
      <c r="S148" s="816"/>
      <c r="T148" s="815"/>
      <c r="U148" s="726"/>
      <c r="V148" s="814">
        <f t="shared" si="263"/>
        <v>0</v>
      </c>
      <c r="W148" s="813">
        <f t="shared" si="264"/>
        <v>0</v>
      </c>
      <c r="Y148" s="1">
        <f t="shared" si="250"/>
        <v>0</v>
      </c>
      <c r="Z148" s="1">
        <f t="shared" si="251"/>
        <v>0</v>
      </c>
      <c r="AA148" s="1">
        <f t="shared" si="252"/>
        <v>0</v>
      </c>
      <c r="AB148" s="1">
        <f t="shared" si="253"/>
        <v>0</v>
      </c>
      <c r="AC148" s="1">
        <f t="shared" si="254"/>
        <v>0</v>
      </c>
      <c r="AD148" s="1">
        <f t="shared" si="255"/>
        <v>0</v>
      </c>
      <c r="AE148" s="1">
        <f t="shared" si="256"/>
        <v>0</v>
      </c>
      <c r="AF148" s="1">
        <f t="shared" si="257"/>
        <v>0</v>
      </c>
      <c r="AG148" s="1">
        <f t="shared" si="258"/>
        <v>0</v>
      </c>
      <c r="AH148" s="1">
        <f t="shared" si="259"/>
        <v>0</v>
      </c>
      <c r="AI148" s="1">
        <f t="shared" si="260"/>
        <v>0</v>
      </c>
      <c r="AJ148" s="1">
        <f t="shared" si="261"/>
        <v>0</v>
      </c>
      <c r="AK148" s="1">
        <f t="shared" si="262"/>
        <v>0</v>
      </c>
      <c r="AM148" s="812" t="s">
        <v>49</v>
      </c>
      <c r="AN148" s="812" t="s">
        <v>802</v>
      </c>
      <c r="AO148" s="812" t="s">
        <v>49</v>
      </c>
      <c r="AP148" s="812" t="s">
        <v>802</v>
      </c>
      <c r="AQ148" s="812" t="s">
        <v>49</v>
      </c>
      <c r="AR148" s="812" t="s">
        <v>49</v>
      </c>
      <c r="AS148" s="812" t="s">
        <v>49</v>
      </c>
      <c r="AT148" s="812" t="s">
        <v>49</v>
      </c>
      <c r="AU148" s="812" t="s">
        <v>49</v>
      </c>
      <c r="AV148" s="812" t="s">
        <v>49</v>
      </c>
      <c r="AW148" s="812" t="s">
        <v>49</v>
      </c>
      <c r="AX148" s="812" t="s">
        <v>49</v>
      </c>
      <c r="AY148" s="812" t="s">
        <v>49</v>
      </c>
      <c r="BA148" s="723"/>
      <c r="BB148" s="723" t="e">
        <f t="shared" si="228"/>
        <v>#REF!</v>
      </c>
      <c r="BC148" s="723"/>
      <c r="BD148" s="722" t="e">
        <f>BR148*#REF!</f>
        <v>#REF!</v>
      </c>
      <c r="BE148" s="722" t="e">
        <f>BS148*#REF!</f>
        <v>#REF!</v>
      </c>
      <c r="BF148" s="722" t="e">
        <f>BT148*#REF!</f>
        <v>#REF!</v>
      </c>
      <c r="BG148" s="722" t="e">
        <f>BU148*#REF!</f>
        <v>#REF!</v>
      </c>
      <c r="BH148" s="803" t="e">
        <f>BV148*#REF!</f>
        <v>#REF!</v>
      </c>
      <c r="BI148" s="722" t="e">
        <f>BW148*#REF!</f>
        <v>#REF!</v>
      </c>
      <c r="BJ148" s="722" t="e">
        <f>BX148*#REF!</f>
        <v>#REF!</v>
      </c>
      <c r="BK148" s="722" t="e">
        <f>BY148*#REF!</f>
        <v>#REF!</v>
      </c>
      <c r="BL148" s="722" t="e">
        <f>BZ148*#REF!</f>
        <v>#REF!</v>
      </c>
      <c r="BM148" s="722" t="e">
        <f>CA148*#REF!</f>
        <v>#REF!</v>
      </c>
      <c r="BO148" s="837">
        <f t="shared" si="234"/>
        <v>1.2</v>
      </c>
      <c r="BP148" s="749" t="str">
        <f t="shared" si="235"/>
        <v>LR2 1</v>
      </c>
      <c r="BQ148" s="408" t="str">
        <f t="shared" si="236"/>
        <v>雨水利用・雑排水再利用</v>
      </c>
      <c r="BR148" s="719">
        <f t="shared" si="237"/>
        <v>0.6</v>
      </c>
      <c r="BS148" s="719">
        <f t="shared" si="238"/>
        <v>0.6</v>
      </c>
      <c r="BT148" s="719">
        <f t="shared" si="239"/>
        <v>0.6</v>
      </c>
      <c r="BU148" s="719">
        <f t="shared" si="240"/>
        <v>0.6</v>
      </c>
      <c r="BV148" s="802">
        <f t="shared" si="241"/>
        <v>0.6</v>
      </c>
      <c r="BW148" s="719">
        <f t="shared" si="242"/>
        <v>0.6</v>
      </c>
      <c r="BX148" s="719">
        <f t="shared" si="243"/>
        <v>0.6</v>
      </c>
      <c r="BY148" s="719">
        <f t="shared" si="244"/>
        <v>0.6</v>
      </c>
      <c r="BZ148" s="719">
        <f t="shared" si="245"/>
        <v>0.6</v>
      </c>
      <c r="CA148" s="719">
        <f t="shared" si="246"/>
        <v>0.6</v>
      </c>
      <c r="CB148" s="801">
        <f t="shared" si="247"/>
        <v>0</v>
      </c>
      <c r="CC148" s="800">
        <f t="shared" si="248"/>
        <v>0</v>
      </c>
      <c r="CD148" s="800">
        <f t="shared" si="249"/>
        <v>0</v>
      </c>
      <c r="CF148" s="507">
        <v>1.2</v>
      </c>
      <c r="CG148" s="459" t="s">
        <v>42</v>
      </c>
      <c r="CH148" s="456" t="s">
        <v>43</v>
      </c>
      <c r="CI148" s="461">
        <v>0.6</v>
      </c>
      <c r="CJ148" s="461">
        <v>0.6</v>
      </c>
      <c r="CK148" s="461">
        <v>0.6</v>
      </c>
      <c r="CL148" s="461">
        <v>0.6</v>
      </c>
      <c r="CM148" s="468">
        <v>0.6</v>
      </c>
      <c r="CN148" s="461">
        <v>0.6</v>
      </c>
      <c r="CO148" s="461">
        <v>0.6</v>
      </c>
      <c r="CP148" s="461">
        <v>0.6</v>
      </c>
      <c r="CQ148" s="461">
        <v>0.6</v>
      </c>
      <c r="CR148" s="461">
        <v>0.6</v>
      </c>
      <c r="CS148" s="516"/>
      <c r="CT148" s="473"/>
      <c r="CU148" s="473"/>
      <c r="CW148" s="507">
        <v>1.2</v>
      </c>
      <c r="CX148" s="459" t="s">
        <v>42</v>
      </c>
      <c r="CY148" s="456" t="s">
        <v>43</v>
      </c>
      <c r="CZ148" s="461">
        <v>0.6</v>
      </c>
      <c r="DA148" s="461">
        <v>0.6</v>
      </c>
      <c r="DB148" s="461">
        <v>0.6</v>
      </c>
      <c r="DC148" s="461">
        <v>0.6</v>
      </c>
      <c r="DD148" s="468">
        <v>0.6</v>
      </c>
      <c r="DE148" s="461">
        <v>0.6</v>
      </c>
      <c r="DF148" s="461">
        <v>0.6</v>
      </c>
      <c r="DG148" s="461">
        <v>0.6</v>
      </c>
      <c r="DH148" s="461">
        <v>0.6</v>
      </c>
      <c r="DI148" s="461">
        <v>0.6</v>
      </c>
      <c r="DJ148" s="516"/>
      <c r="DK148" s="473"/>
      <c r="DL148" s="473"/>
      <c r="DN148" s="507">
        <v>1.2</v>
      </c>
      <c r="DO148" s="459" t="s">
        <v>42</v>
      </c>
      <c r="DP148" s="456" t="s">
        <v>43</v>
      </c>
      <c r="DQ148" s="461">
        <v>0.6</v>
      </c>
      <c r="DR148" s="461">
        <v>0.6</v>
      </c>
      <c r="DS148" s="461">
        <v>0.6</v>
      </c>
      <c r="DT148" s="461">
        <v>0.6</v>
      </c>
      <c r="DU148" s="468">
        <v>0.6</v>
      </c>
      <c r="DV148" s="461">
        <v>0.6</v>
      </c>
      <c r="DW148" s="461">
        <v>0.6</v>
      </c>
      <c r="DX148" s="461">
        <v>0.6</v>
      </c>
      <c r="DY148" s="461">
        <v>0.6</v>
      </c>
      <c r="DZ148" s="461">
        <v>0.6</v>
      </c>
      <c r="EA148" s="516"/>
      <c r="EB148" s="473"/>
      <c r="EC148" s="473"/>
      <c r="ED148" s="549"/>
      <c r="EF148" s="507">
        <v>1.2</v>
      </c>
      <c r="EG148" s="459" t="s">
        <v>42</v>
      </c>
      <c r="EH148" s="456" t="s">
        <v>43</v>
      </c>
      <c r="EI148" s="609">
        <f t="shared" si="266"/>
        <v>0.6</v>
      </c>
      <c r="EJ148" s="609">
        <f t="shared" si="266"/>
        <v>0.6</v>
      </c>
      <c r="EK148" s="609">
        <f t="shared" si="266"/>
        <v>0.6</v>
      </c>
      <c r="EL148" s="609">
        <f t="shared" si="266"/>
        <v>0.6</v>
      </c>
      <c r="EM148" s="609">
        <f t="shared" si="266"/>
        <v>0.6</v>
      </c>
      <c r="EN148" s="609">
        <f t="shared" si="266"/>
        <v>0.6</v>
      </c>
      <c r="EO148" s="609">
        <f t="shared" si="266"/>
        <v>0.6</v>
      </c>
      <c r="EP148" s="609">
        <f t="shared" si="266"/>
        <v>0.6</v>
      </c>
      <c r="EQ148" s="609">
        <f t="shared" si="266"/>
        <v>0.6</v>
      </c>
      <c r="ER148" s="609">
        <f t="shared" si="266"/>
        <v>0.6</v>
      </c>
      <c r="ES148" s="634">
        <f t="shared" si="214"/>
        <v>0</v>
      </c>
      <c r="ET148" s="615">
        <f t="shared" si="215"/>
        <v>0</v>
      </c>
      <c r="EU148" s="615">
        <f t="shared" si="216"/>
        <v>0</v>
      </c>
      <c r="EW148" s="507">
        <v>1.2</v>
      </c>
      <c r="EX148" s="459" t="s">
        <v>42</v>
      </c>
      <c r="EY148" s="456" t="s">
        <v>43</v>
      </c>
      <c r="EZ148" s="598">
        <f>DQ148</f>
        <v>0.6</v>
      </c>
      <c r="FA148" s="598"/>
      <c r="FB148" s="598"/>
      <c r="FC148" s="598"/>
      <c r="FD148" s="598"/>
      <c r="FE148" s="598"/>
      <c r="FF148" s="598"/>
      <c r="FG148" s="598"/>
      <c r="FH148" s="598"/>
      <c r="FI148" s="598"/>
      <c r="FJ148" s="664"/>
      <c r="FK148" s="650"/>
      <c r="FL148" s="650"/>
    </row>
    <row r="149" spans="2:168">
      <c r="B149" s="732" t="str">
        <f t="shared" si="210"/>
        <v>1.2.1</v>
      </c>
      <c r="C149" s="408" t="str">
        <f t="shared" si="230"/>
        <v>雨水利用システム導入の有無</v>
      </c>
      <c r="D149" s="809" t="e">
        <f>IF(I$148&gt;0,G149/I$148,0)</f>
        <v>#REF!</v>
      </c>
      <c r="E149" s="730" t="e">
        <f>IF(J$148&gt;0,H149/J$148,0)</f>
        <v>#REF!</v>
      </c>
      <c r="G149" s="730" t="e">
        <f t="shared" si="231"/>
        <v>#REF!</v>
      </c>
      <c r="H149" s="730" t="e">
        <f t="shared" si="232"/>
        <v>#REF!</v>
      </c>
      <c r="I149" s="730"/>
      <c r="J149" s="730"/>
      <c r="K149" s="730" t="e">
        <f>IF(#REF!=0,0,1)</f>
        <v>#REF!</v>
      </c>
      <c r="L149" s="730" t="e">
        <f>IF(#REF!=0,0,1)</f>
        <v>#REF!</v>
      </c>
      <c r="M149" s="730">
        <f t="shared" si="233"/>
        <v>0.7</v>
      </c>
      <c r="N149" s="730">
        <f t="shared" si="212"/>
        <v>0</v>
      </c>
      <c r="P149" s="832"/>
      <c r="Q149" s="836"/>
      <c r="R149" s="414">
        <v>1</v>
      </c>
      <c r="S149" s="579" t="s">
        <v>298</v>
      </c>
      <c r="T149" s="745"/>
      <c r="U149" s="726"/>
      <c r="V149" s="734">
        <f t="shared" si="263"/>
        <v>0</v>
      </c>
      <c r="W149" s="733">
        <f t="shared" si="264"/>
        <v>0</v>
      </c>
      <c r="Y149" s="1">
        <f t="shared" si="250"/>
        <v>0</v>
      </c>
      <c r="Z149" s="1">
        <f t="shared" si="251"/>
        <v>0</v>
      </c>
      <c r="AA149" s="1">
        <f t="shared" si="252"/>
        <v>0</v>
      </c>
      <c r="AB149" s="1">
        <f t="shared" si="253"/>
        <v>0</v>
      </c>
      <c r="AC149" s="1">
        <f t="shared" si="254"/>
        <v>0</v>
      </c>
      <c r="AD149" s="1">
        <f t="shared" si="255"/>
        <v>0</v>
      </c>
      <c r="AE149" s="1">
        <f t="shared" si="256"/>
        <v>0</v>
      </c>
      <c r="AF149" s="1">
        <f t="shared" si="257"/>
        <v>0</v>
      </c>
      <c r="AG149" s="1">
        <f t="shared" si="258"/>
        <v>0</v>
      </c>
      <c r="AH149" s="1">
        <f t="shared" si="259"/>
        <v>0</v>
      </c>
      <c r="AI149" s="1">
        <f t="shared" si="260"/>
        <v>0</v>
      </c>
      <c r="AJ149" s="1">
        <f t="shared" si="261"/>
        <v>0</v>
      </c>
      <c r="AK149" s="1">
        <f t="shared" si="262"/>
        <v>0</v>
      </c>
      <c r="AM149" s="679"/>
      <c r="AN149" s="679"/>
      <c r="AO149" s="679"/>
      <c r="AP149" s="679"/>
      <c r="AQ149" s="679"/>
      <c r="AR149" s="679"/>
      <c r="AS149" s="679"/>
      <c r="AT149" s="679"/>
      <c r="AU149" s="679"/>
      <c r="AV149" s="679"/>
      <c r="AW149" s="679"/>
      <c r="AX149" s="679"/>
      <c r="AY149" s="679"/>
      <c r="BA149" s="723"/>
      <c r="BB149" s="723" t="e">
        <f t="shared" si="228"/>
        <v>#REF!</v>
      </c>
      <c r="BC149" s="723"/>
      <c r="BD149" s="722" t="e">
        <f>BR149*#REF!</f>
        <v>#REF!</v>
      </c>
      <c r="BE149" s="722" t="e">
        <f>BS149*#REF!</f>
        <v>#REF!</v>
      </c>
      <c r="BF149" s="722" t="e">
        <f>BT149*#REF!</f>
        <v>#REF!</v>
      </c>
      <c r="BG149" s="722" t="e">
        <f>BU149*#REF!</f>
        <v>#REF!</v>
      </c>
      <c r="BH149" s="803" t="e">
        <f>BV149*#REF!</f>
        <v>#REF!</v>
      </c>
      <c r="BI149" s="722" t="e">
        <f>BW149*#REF!</f>
        <v>#REF!</v>
      </c>
      <c r="BJ149" s="722" t="e">
        <f>BX149*#REF!</f>
        <v>#REF!</v>
      </c>
      <c r="BK149" s="722" t="e">
        <f>BY149*#REF!</f>
        <v>#REF!</v>
      </c>
      <c r="BL149" s="722" t="e">
        <f>BZ149*#REF!</f>
        <v>#REF!</v>
      </c>
      <c r="BM149" s="722" t="e">
        <f>CA149*#REF!</f>
        <v>#REF!</v>
      </c>
      <c r="BO149" s="749" t="str">
        <f t="shared" si="234"/>
        <v>1.2.1</v>
      </c>
      <c r="BP149" s="749" t="str">
        <f t="shared" si="235"/>
        <v>LR2 1.2</v>
      </c>
      <c r="BQ149" s="408" t="str">
        <f t="shared" si="236"/>
        <v>雨水利用システム導入の有無</v>
      </c>
      <c r="BR149" s="719">
        <f t="shared" si="237"/>
        <v>0.7</v>
      </c>
      <c r="BS149" s="719">
        <f t="shared" si="238"/>
        <v>0.7</v>
      </c>
      <c r="BT149" s="719">
        <f t="shared" si="239"/>
        <v>0.7</v>
      </c>
      <c r="BU149" s="719">
        <f t="shared" si="240"/>
        <v>0.7</v>
      </c>
      <c r="BV149" s="802">
        <f t="shared" si="241"/>
        <v>0.7</v>
      </c>
      <c r="BW149" s="719">
        <f t="shared" si="242"/>
        <v>0.7</v>
      </c>
      <c r="BX149" s="719">
        <f t="shared" si="243"/>
        <v>0.7</v>
      </c>
      <c r="BY149" s="719">
        <f t="shared" si="244"/>
        <v>0.7</v>
      </c>
      <c r="BZ149" s="719">
        <f t="shared" si="245"/>
        <v>0.7</v>
      </c>
      <c r="CA149" s="719">
        <f t="shared" si="246"/>
        <v>0.7</v>
      </c>
      <c r="CB149" s="801">
        <f t="shared" si="247"/>
        <v>0</v>
      </c>
      <c r="CC149" s="800">
        <f t="shared" si="248"/>
        <v>0</v>
      </c>
      <c r="CD149" s="800">
        <f t="shared" si="249"/>
        <v>0</v>
      </c>
      <c r="CF149" s="455" t="s">
        <v>54</v>
      </c>
      <c r="CG149" s="459" t="s">
        <v>44</v>
      </c>
      <c r="CH149" s="456" t="s">
        <v>683</v>
      </c>
      <c r="CI149" s="461">
        <v>0.7</v>
      </c>
      <c r="CJ149" s="461">
        <v>0.7</v>
      </c>
      <c r="CK149" s="461">
        <v>0.7</v>
      </c>
      <c r="CL149" s="461">
        <v>0.7</v>
      </c>
      <c r="CM149" s="468">
        <v>0.7</v>
      </c>
      <c r="CN149" s="461">
        <v>0.7</v>
      </c>
      <c r="CO149" s="461">
        <v>0.7</v>
      </c>
      <c r="CP149" s="461">
        <v>0.7</v>
      </c>
      <c r="CQ149" s="461">
        <v>0.7</v>
      </c>
      <c r="CR149" s="461">
        <v>0.7</v>
      </c>
      <c r="CS149" s="516"/>
      <c r="CT149" s="473"/>
      <c r="CU149" s="473"/>
      <c r="CW149" s="455" t="s">
        <v>54</v>
      </c>
      <c r="CX149" s="459" t="s">
        <v>44</v>
      </c>
      <c r="CY149" s="456" t="s">
        <v>683</v>
      </c>
      <c r="CZ149" s="461">
        <v>0.7</v>
      </c>
      <c r="DA149" s="461">
        <v>0.7</v>
      </c>
      <c r="DB149" s="461">
        <v>0.7</v>
      </c>
      <c r="DC149" s="461">
        <v>0.7</v>
      </c>
      <c r="DD149" s="468">
        <v>0.7</v>
      </c>
      <c r="DE149" s="461">
        <v>0.7</v>
      </c>
      <c r="DF149" s="461">
        <v>0.7</v>
      </c>
      <c r="DG149" s="461">
        <v>0.7</v>
      </c>
      <c r="DH149" s="461">
        <v>0.7</v>
      </c>
      <c r="DI149" s="461">
        <v>0.7</v>
      </c>
      <c r="DJ149" s="516"/>
      <c r="DK149" s="473"/>
      <c r="DL149" s="473"/>
      <c r="DN149" s="455" t="s">
        <v>54</v>
      </c>
      <c r="DO149" s="459" t="s">
        <v>44</v>
      </c>
      <c r="DP149" s="456" t="s">
        <v>829</v>
      </c>
      <c r="DQ149" s="461">
        <v>0.7</v>
      </c>
      <c r="DR149" s="461">
        <v>0.7</v>
      </c>
      <c r="DS149" s="461">
        <v>0.7</v>
      </c>
      <c r="DT149" s="461">
        <v>0.7</v>
      </c>
      <c r="DU149" s="468">
        <v>0.7</v>
      </c>
      <c r="DV149" s="461">
        <v>0.7</v>
      </c>
      <c r="DW149" s="461">
        <v>0.7</v>
      </c>
      <c r="DX149" s="461">
        <v>0.7</v>
      </c>
      <c r="DY149" s="461">
        <v>0.7</v>
      </c>
      <c r="DZ149" s="461">
        <v>0.7</v>
      </c>
      <c r="EA149" s="516"/>
      <c r="EB149" s="473"/>
      <c r="EC149" s="473"/>
      <c r="ED149" s="549"/>
      <c r="EF149" s="455" t="s">
        <v>54</v>
      </c>
      <c r="EG149" s="459" t="s">
        <v>44</v>
      </c>
      <c r="EH149" s="456" t="s">
        <v>683</v>
      </c>
      <c r="EI149" s="609">
        <f t="shared" si="266"/>
        <v>0.7</v>
      </c>
      <c r="EJ149" s="609">
        <f t="shared" si="266"/>
        <v>0.7</v>
      </c>
      <c r="EK149" s="609">
        <f t="shared" si="266"/>
        <v>0.7</v>
      </c>
      <c r="EL149" s="609">
        <f t="shared" si="266"/>
        <v>0.7</v>
      </c>
      <c r="EM149" s="609">
        <f t="shared" si="266"/>
        <v>0.7</v>
      </c>
      <c r="EN149" s="609">
        <f t="shared" si="266"/>
        <v>0.7</v>
      </c>
      <c r="EO149" s="609">
        <f t="shared" si="266"/>
        <v>0.7</v>
      </c>
      <c r="EP149" s="609">
        <f t="shared" si="266"/>
        <v>0.7</v>
      </c>
      <c r="EQ149" s="609">
        <f t="shared" si="266"/>
        <v>0.7</v>
      </c>
      <c r="ER149" s="609">
        <f t="shared" si="266"/>
        <v>0.7</v>
      </c>
      <c r="ES149" s="634">
        <f t="shared" si="214"/>
        <v>0</v>
      </c>
      <c r="ET149" s="615">
        <f t="shared" si="215"/>
        <v>0</v>
      </c>
      <c r="EU149" s="615">
        <f t="shared" si="216"/>
        <v>0</v>
      </c>
      <c r="EW149" s="455" t="s">
        <v>54</v>
      </c>
      <c r="EX149" s="459" t="s">
        <v>44</v>
      </c>
      <c r="EY149" s="456" t="s">
        <v>683</v>
      </c>
      <c r="EZ149" s="598">
        <f>DQ149</f>
        <v>0.7</v>
      </c>
      <c r="FA149" s="598"/>
      <c r="FB149" s="598"/>
      <c r="FC149" s="598"/>
      <c r="FD149" s="598"/>
      <c r="FE149" s="598"/>
      <c r="FF149" s="598"/>
      <c r="FG149" s="598"/>
      <c r="FH149" s="598"/>
      <c r="FI149" s="598"/>
      <c r="FJ149" s="664"/>
      <c r="FK149" s="650"/>
      <c r="FL149" s="650"/>
    </row>
    <row r="150" spans="2:168" ht="14.25" thickBot="1">
      <c r="B150" s="732" t="str">
        <f t="shared" si="210"/>
        <v>1.2.2</v>
      </c>
      <c r="C150" s="408" t="str">
        <f t="shared" si="230"/>
        <v>雑排水等再利用システム導入の有無</v>
      </c>
      <c r="D150" s="809" t="e">
        <f>IF(I$148&gt;0,G150/I$148,0)</f>
        <v>#REF!</v>
      </c>
      <c r="E150" s="730" t="e">
        <f>IF(J$148&gt;0,H150/J$148,0)</f>
        <v>#REF!</v>
      </c>
      <c r="G150" s="730" t="e">
        <f t="shared" si="231"/>
        <v>#REF!</v>
      </c>
      <c r="H150" s="730" t="e">
        <f t="shared" si="232"/>
        <v>#REF!</v>
      </c>
      <c r="I150" s="730"/>
      <c r="J150" s="730"/>
      <c r="K150" s="730" t="e">
        <f>IF(#REF!=0,0,1)</f>
        <v>#REF!</v>
      </c>
      <c r="L150" s="730" t="e">
        <f>IF(#REF!=0,0,1)</f>
        <v>#REF!</v>
      </c>
      <c r="M150" s="730">
        <f t="shared" si="233"/>
        <v>0.3</v>
      </c>
      <c r="N150" s="730">
        <f t="shared" si="212"/>
        <v>0</v>
      </c>
      <c r="P150" s="835"/>
      <c r="Q150" s="834"/>
      <c r="R150" s="414">
        <v>2</v>
      </c>
      <c r="S150" s="3875" t="s">
        <v>299</v>
      </c>
      <c r="T150" s="3867"/>
      <c r="U150" s="726"/>
      <c r="V150" s="725">
        <f t="shared" si="263"/>
        <v>0</v>
      </c>
      <c r="W150" s="724">
        <f t="shared" si="264"/>
        <v>0</v>
      </c>
      <c r="Y150" s="1">
        <f t="shared" si="250"/>
        <v>0</v>
      </c>
      <c r="Z150" s="1">
        <f t="shared" si="251"/>
        <v>0</v>
      </c>
      <c r="AA150" s="1">
        <f t="shared" si="252"/>
        <v>0</v>
      </c>
      <c r="AB150" s="1">
        <f t="shared" si="253"/>
        <v>0</v>
      </c>
      <c r="AC150" s="1">
        <f t="shared" si="254"/>
        <v>0</v>
      </c>
      <c r="AD150" s="1">
        <f t="shared" si="255"/>
        <v>0</v>
      </c>
      <c r="AE150" s="1">
        <f t="shared" si="256"/>
        <v>0</v>
      </c>
      <c r="AF150" s="1">
        <f t="shared" si="257"/>
        <v>0</v>
      </c>
      <c r="AG150" s="1">
        <f t="shared" si="258"/>
        <v>0</v>
      </c>
      <c r="AH150" s="1">
        <f t="shared" si="259"/>
        <v>0</v>
      </c>
      <c r="AI150" s="1">
        <f t="shared" si="260"/>
        <v>0</v>
      </c>
      <c r="AJ150" s="1">
        <f t="shared" si="261"/>
        <v>0</v>
      </c>
      <c r="AK150" s="1">
        <f t="shared" si="262"/>
        <v>0</v>
      </c>
      <c r="AM150" s="683"/>
      <c r="AN150" s="683"/>
      <c r="AO150" s="683"/>
      <c r="AP150" s="683"/>
      <c r="AQ150" s="683"/>
      <c r="AR150" s="683"/>
      <c r="AS150" s="683"/>
      <c r="AT150" s="683"/>
      <c r="AU150" s="683"/>
      <c r="AV150" s="683"/>
      <c r="AW150" s="683"/>
      <c r="AX150" s="683"/>
      <c r="AY150" s="683"/>
      <c r="BA150" s="723"/>
      <c r="BB150" s="723" t="e">
        <f t="shared" si="228"/>
        <v>#REF!</v>
      </c>
      <c r="BC150" s="723"/>
      <c r="BD150" s="722" t="e">
        <f>BR150*#REF!</f>
        <v>#REF!</v>
      </c>
      <c r="BE150" s="722" t="e">
        <f>BS150*#REF!</f>
        <v>#REF!</v>
      </c>
      <c r="BF150" s="722" t="e">
        <f>BT150*#REF!</f>
        <v>#REF!</v>
      </c>
      <c r="BG150" s="722" t="e">
        <f>BU150*#REF!</f>
        <v>#REF!</v>
      </c>
      <c r="BH150" s="803" t="e">
        <f>BV150*#REF!</f>
        <v>#REF!</v>
      </c>
      <c r="BI150" s="722" t="e">
        <f>BW150*#REF!</f>
        <v>#REF!</v>
      </c>
      <c r="BJ150" s="722" t="e">
        <f>BX150*#REF!</f>
        <v>#REF!</v>
      </c>
      <c r="BK150" s="722" t="e">
        <f>BY150*#REF!</f>
        <v>#REF!</v>
      </c>
      <c r="BL150" s="722" t="e">
        <f>BZ150*#REF!</f>
        <v>#REF!</v>
      </c>
      <c r="BM150" s="722" t="e">
        <f>CA150*#REF!</f>
        <v>#REF!</v>
      </c>
      <c r="BO150" s="749" t="str">
        <f t="shared" si="234"/>
        <v>1.2.2</v>
      </c>
      <c r="BP150" s="749" t="str">
        <f t="shared" si="235"/>
        <v>LR2 1.2</v>
      </c>
      <c r="BQ150" s="408" t="str">
        <f t="shared" si="236"/>
        <v>雑排水等再利用システム導入の有無</v>
      </c>
      <c r="BR150" s="719">
        <f t="shared" si="237"/>
        <v>0.3</v>
      </c>
      <c r="BS150" s="719">
        <f t="shared" si="238"/>
        <v>0.3</v>
      </c>
      <c r="BT150" s="719">
        <f t="shared" si="239"/>
        <v>0.3</v>
      </c>
      <c r="BU150" s="719">
        <f t="shared" si="240"/>
        <v>0.3</v>
      </c>
      <c r="BV150" s="802">
        <f t="shared" si="241"/>
        <v>0.3</v>
      </c>
      <c r="BW150" s="719">
        <f t="shared" si="242"/>
        <v>0.3</v>
      </c>
      <c r="BX150" s="719">
        <f t="shared" si="243"/>
        <v>0.3</v>
      </c>
      <c r="BY150" s="719">
        <f t="shared" si="244"/>
        <v>0.3</v>
      </c>
      <c r="BZ150" s="719">
        <f t="shared" si="245"/>
        <v>0.3</v>
      </c>
      <c r="CA150" s="719">
        <f t="shared" si="246"/>
        <v>0.3</v>
      </c>
      <c r="CB150" s="801">
        <f t="shared" si="247"/>
        <v>0</v>
      </c>
      <c r="CC150" s="800">
        <f t="shared" si="248"/>
        <v>0</v>
      </c>
      <c r="CD150" s="800">
        <f t="shared" si="249"/>
        <v>0</v>
      </c>
      <c r="CF150" s="455" t="s">
        <v>55</v>
      </c>
      <c r="CG150" s="459" t="s">
        <v>44</v>
      </c>
      <c r="CH150" s="456" t="s">
        <v>45</v>
      </c>
      <c r="CI150" s="461">
        <v>0.3</v>
      </c>
      <c r="CJ150" s="461">
        <v>0.3</v>
      </c>
      <c r="CK150" s="461">
        <v>0.3</v>
      </c>
      <c r="CL150" s="461">
        <v>0.3</v>
      </c>
      <c r="CM150" s="468">
        <v>0.3</v>
      </c>
      <c r="CN150" s="461">
        <v>0.3</v>
      </c>
      <c r="CO150" s="461">
        <v>0.3</v>
      </c>
      <c r="CP150" s="461">
        <v>0.3</v>
      </c>
      <c r="CQ150" s="461">
        <v>0.3</v>
      </c>
      <c r="CR150" s="461">
        <v>0.3</v>
      </c>
      <c r="CS150" s="516"/>
      <c r="CT150" s="473"/>
      <c r="CU150" s="473"/>
      <c r="CW150" s="455" t="s">
        <v>55</v>
      </c>
      <c r="CX150" s="459" t="s">
        <v>44</v>
      </c>
      <c r="CY150" s="456" t="s">
        <v>45</v>
      </c>
      <c r="CZ150" s="461">
        <v>0.3</v>
      </c>
      <c r="DA150" s="461">
        <v>0.3</v>
      </c>
      <c r="DB150" s="461">
        <v>0.3</v>
      </c>
      <c r="DC150" s="461">
        <v>0.3</v>
      </c>
      <c r="DD150" s="468">
        <v>0.3</v>
      </c>
      <c r="DE150" s="461">
        <v>0.3</v>
      </c>
      <c r="DF150" s="461">
        <v>0.3</v>
      </c>
      <c r="DG150" s="461">
        <v>0.3</v>
      </c>
      <c r="DH150" s="461">
        <v>0.3</v>
      </c>
      <c r="DI150" s="461">
        <v>0.3</v>
      </c>
      <c r="DJ150" s="516"/>
      <c r="DK150" s="473"/>
      <c r="DL150" s="473"/>
      <c r="DN150" s="455" t="s">
        <v>55</v>
      </c>
      <c r="DO150" s="459" t="s">
        <v>44</v>
      </c>
      <c r="DP150" s="456" t="s">
        <v>45</v>
      </c>
      <c r="DQ150" s="461">
        <v>0.3</v>
      </c>
      <c r="DR150" s="461">
        <v>0.3</v>
      </c>
      <c r="DS150" s="461">
        <v>0.3</v>
      </c>
      <c r="DT150" s="461">
        <v>0.3</v>
      </c>
      <c r="DU150" s="468">
        <v>0.3</v>
      </c>
      <c r="DV150" s="461">
        <v>0.3</v>
      </c>
      <c r="DW150" s="461">
        <v>0.3</v>
      </c>
      <c r="DX150" s="461">
        <v>0.3</v>
      </c>
      <c r="DY150" s="461">
        <v>0.3</v>
      </c>
      <c r="DZ150" s="461">
        <v>0.3</v>
      </c>
      <c r="EA150" s="516"/>
      <c r="EB150" s="473"/>
      <c r="EC150" s="473"/>
      <c r="ED150" s="549"/>
      <c r="EF150" s="455" t="s">
        <v>55</v>
      </c>
      <c r="EG150" s="459" t="s">
        <v>44</v>
      </c>
      <c r="EH150" s="456" t="s">
        <v>45</v>
      </c>
      <c r="EI150" s="609">
        <f t="shared" si="266"/>
        <v>0.3</v>
      </c>
      <c r="EJ150" s="609">
        <f t="shared" si="266"/>
        <v>0.3</v>
      </c>
      <c r="EK150" s="609">
        <f t="shared" si="266"/>
        <v>0.3</v>
      </c>
      <c r="EL150" s="609">
        <f t="shared" si="266"/>
        <v>0.3</v>
      </c>
      <c r="EM150" s="609">
        <f t="shared" si="266"/>
        <v>0.3</v>
      </c>
      <c r="EN150" s="609">
        <f t="shared" si="266"/>
        <v>0.3</v>
      </c>
      <c r="EO150" s="609">
        <f t="shared" si="266"/>
        <v>0.3</v>
      </c>
      <c r="EP150" s="609">
        <f t="shared" si="266"/>
        <v>0.3</v>
      </c>
      <c r="EQ150" s="609">
        <f t="shared" si="266"/>
        <v>0.3</v>
      </c>
      <c r="ER150" s="609">
        <f t="shared" si="266"/>
        <v>0.3</v>
      </c>
      <c r="ES150" s="634">
        <f t="shared" si="214"/>
        <v>0</v>
      </c>
      <c r="ET150" s="615">
        <f t="shared" si="215"/>
        <v>0</v>
      </c>
      <c r="EU150" s="615">
        <f t="shared" si="216"/>
        <v>0</v>
      </c>
      <c r="EW150" s="455" t="s">
        <v>55</v>
      </c>
      <c r="EX150" s="459" t="s">
        <v>44</v>
      </c>
      <c r="EY150" s="456" t="s">
        <v>45</v>
      </c>
      <c r="EZ150" s="598">
        <f>DQ150</f>
        <v>0.3</v>
      </c>
      <c r="FA150" s="598"/>
      <c r="FB150" s="598"/>
      <c r="FC150" s="598"/>
      <c r="FD150" s="598"/>
      <c r="FE150" s="598"/>
      <c r="FF150" s="598"/>
      <c r="FG150" s="598"/>
      <c r="FH150" s="598"/>
      <c r="FI150" s="598"/>
      <c r="FJ150" s="664"/>
      <c r="FK150" s="650"/>
      <c r="FL150" s="650"/>
    </row>
    <row r="151" spans="2:168" ht="14.25" thickBot="1">
      <c r="B151" s="732">
        <f t="shared" si="210"/>
        <v>2</v>
      </c>
      <c r="C151" s="759" t="str">
        <f t="shared" si="230"/>
        <v>非再生性資源の使用量削減</v>
      </c>
      <c r="D151" s="770" t="e">
        <f>IF(I$145=0,0,G151/I$145)</f>
        <v>#REF!</v>
      </c>
      <c r="E151" s="769" t="e">
        <f>IF(J$145=0,0,H151/J$145)</f>
        <v>#REF!</v>
      </c>
      <c r="G151" s="769" t="e">
        <f t="shared" si="231"/>
        <v>#REF!</v>
      </c>
      <c r="H151" s="769" t="e">
        <f t="shared" si="232"/>
        <v>#REF!</v>
      </c>
      <c r="I151" s="769" t="e">
        <f>G152+G153+G154+G155+G156+G157+G158+G165</f>
        <v>#REF!</v>
      </c>
      <c r="J151" s="769" t="e">
        <f>H152+H153+H154+H155+H156+H157+H158+H165</f>
        <v>#REF!</v>
      </c>
      <c r="K151" s="769" t="e">
        <f>IF(#REF!=0,0,1)</f>
        <v>#REF!</v>
      </c>
      <c r="L151" s="769" t="e">
        <f>IF(#REF!=0,0,1)</f>
        <v>#REF!</v>
      </c>
      <c r="M151" s="769">
        <f t="shared" si="233"/>
        <v>0.6</v>
      </c>
      <c r="N151" s="769">
        <f t="shared" si="212"/>
        <v>0</v>
      </c>
      <c r="P151" s="768">
        <v>2</v>
      </c>
      <c r="Q151" s="825" t="s">
        <v>300</v>
      </c>
      <c r="R151" s="825"/>
      <c r="S151" s="825"/>
      <c r="T151" s="815"/>
      <c r="U151" s="726"/>
      <c r="V151" s="814">
        <f t="shared" si="263"/>
        <v>0</v>
      </c>
      <c r="W151" s="813">
        <f t="shared" si="264"/>
        <v>0</v>
      </c>
      <c r="Y151" s="1">
        <f t="shared" si="250"/>
        <v>0</v>
      </c>
      <c r="Z151" s="1">
        <f t="shared" si="251"/>
        <v>0</v>
      </c>
      <c r="AA151" s="1">
        <f t="shared" si="252"/>
        <v>0</v>
      </c>
      <c r="AB151" s="1">
        <f t="shared" si="253"/>
        <v>0</v>
      </c>
      <c r="AC151" s="1">
        <f t="shared" si="254"/>
        <v>0</v>
      </c>
      <c r="AD151" s="1">
        <f t="shared" si="255"/>
        <v>0</v>
      </c>
      <c r="AE151" s="1">
        <f t="shared" si="256"/>
        <v>0</v>
      </c>
      <c r="AF151" s="1">
        <f t="shared" si="257"/>
        <v>0</v>
      </c>
      <c r="AG151" s="1">
        <f t="shared" si="258"/>
        <v>0</v>
      </c>
      <c r="AH151" s="1">
        <f t="shared" si="259"/>
        <v>0</v>
      </c>
      <c r="AI151" s="1">
        <f t="shared" si="260"/>
        <v>0</v>
      </c>
      <c r="AJ151" s="1">
        <f t="shared" si="261"/>
        <v>0</v>
      </c>
      <c r="AK151" s="1">
        <f t="shared" si="262"/>
        <v>0</v>
      </c>
      <c r="AM151" s="812" t="s">
        <v>828</v>
      </c>
      <c r="AN151" s="812" t="s">
        <v>49</v>
      </c>
      <c r="AO151" s="812" t="s">
        <v>49</v>
      </c>
      <c r="AP151" s="812" t="s">
        <v>49</v>
      </c>
      <c r="AQ151" s="812" t="s">
        <v>49</v>
      </c>
      <c r="AR151" s="812" t="s">
        <v>49</v>
      </c>
      <c r="AS151" s="812" t="s">
        <v>49</v>
      </c>
      <c r="AT151" s="812" t="s">
        <v>49</v>
      </c>
      <c r="AU151" s="812" t="s">
        <v>49</v>
      </c>
      <c r="AV151" s="812" t="s">
        <v>49</v>
      </c>
      <c r="AW151" s="812" t="s">
        <v>828</v>
      </c>
      <c r="AX151" s="812" t="s">
        <v>49</v>
      </c>
      <c r="AY151" s="812" t="s">
        <v>49</v>
      </c>
      <c r="BA151" s="763" t="e">
        <f>BB151/$BC$145</f>
        <v>#REF!</v>
      </c>
      <c r="BB151" s="763" t="e">
        <f t="shared" si="228"/>
        <v>#REF!</v>
      </c>
      <c r="BC151" s="763"/>
      <c r="BD151" s="762" t="e">
        <f>BR151*#REF!</f>
        <v>#REF!</v>
      </c>
      <c r="BE151" s="762" t="e">
        <f>BS151*#REF!</f>
        <v>#REF!</v>
      </c>
      <c r="BF151" s="762" t="e">
        <f>BT151*#REF!</f>
        <v>#REF!</v>
      </c>
      <c r="BG151" s="762" t="e">
        <f>BU151*#REF!</f>
        <v>#REF!</v>
      </c>
      <c r="BH151" s="824" t="e">
        <f>BV151*#REF!</f>
        <v>#REF!</v>
      </c>
      <c r="BI151" s="762" t="e">
        <f>BW151*#REF!</f>
        <v>#REF!</v>
      </c>
      <c r="BJ151" s="762" t="e">
        <f>BX151*#REF!</f>
        <v>#REF!</v>
      </c>
      <c r="BK151" s="762" t="e">
        <f>BY151*#REF!</f>
        <v>#REF!</v>
      </c>
      <c r="BL151" s="762" t="e">
        <f>BZ151*#REF!</f>
        <v>#REF!</v>
      </c>
      <c r="BM151" s="762" t="e">
        <f>CA151*#REF!</f>
        <v>#REF!</v>
      </c>
      <c r="BO151" s="823">
        <f t="shared" si="234"/>
        <v>2</v>
      </c>
      <c r="BP151" s="823" t="str">
        <f t="shared" si="235"/>
        <v>LR2</v>
      </c>
      <c r="BQ151" s="759" t="str">
        <f t="shared" si="236"/>
        <v>非再生性資源の使用量削減</v>
      </c>
      <c r="BR151" s="757">
        <f t="shared" si="237"/>
        <v>0.6</v>
      </c>
      <c r="BS151" s="757">
        <f t="shared" si="238"/>
        <v>0.6</v>
      </c>
      <c r="BT151" s="757">
        <f t="shared" si="239"/>
        <v>0.6</v>
      </c>
      <c r="BU151" s="757">
        <f t="shared" si="240"/>
        <v>0.6</v>
      </c>
      <c r="BV151" s="822">
        <f t="shared" si="241"/>
        <v>0.6</v>
      </c>
      <c r="BW151" s="757">
        <f t="shared" si="242"/>
        <v>0.6</v>
      </c>
      <c r="BX151" s="757">
        <f t="shared" si="243"/>
        <v>0.6</v>
      </c>
      <c r="BY151" s="757">
        <f t="shared" si="244"/>
        <v>0.6</v>
      </c>
      <c r="BZ151" s="757">
        <f t="shared" si="245"/>
        <v>0.6</v>
      </c>
      <c r="CA151" s="757">
        <f t="shared" si="246"/>
        <v>0.6</v>
      </c>
      <c r="CB151" s="821">
        <f t="shared" si="247"/>
        <v>0</v>
      </c>
      <c r="CC151" s="820">
        <f t="shared" si="248"/>
        <v>0</v>
      </c>
      <c r="CD151" s="820">
        <f t="shared" si="249"/>
        <v>0</v>
      </c>
      <c r="CF151" s="447">
        <v>2</v>
      </c>
      <c r="CG151" s="451" t="s">
        <v>361</v>
      </c>
      <c r="CH151" s="448" t="s">
        <v>300</v>
      </c>
      <c r="CI151" s="452">
        <v>0.6</v>
      </c>
      <c r="CJ151" s="452">
        <v>0.6</v>
      </c>
      <c r="CK151" s="452">
        <v>0.6</v>
      </c>
      <c r="CL151" s="452">
        <v>0.6</v>
      </c>
      <c r="CM151" s="452">
        <v>0.6</v>
      </c>
      <c r="CN151" s="452">
        <v>0.6</v>
      </c>
      <c r="CO151" s="452">
        <v>0.6</v>
      </c>
      <c r="CP151" s="452">
        <v>0.6</v>
      </c>
      <c r="CQ151" s="452">
        <v>0.6</v>
      </c>
      <c r="CR151" s="452">
        <v>0.6</v>
      </c>
      <c r="CS151" s="514"/>
      <c r="CT151" s="515"/>
      <c r="CU151" s="515"/>
      <c r="CW151" s="447">
        <v>2</v>
      </c>
      <c r="CX151" s="451" t="s">
        <v>361</v>
      </c>
      <c r="CY151" s="448" t="s">
        <v>300</v>
      </c>
      <c r="CZ151" s="452">
        <v>0.6</v>
      </c>
      <c r="DA151" s="452">
        <v>0.6</v>
      </c>
      <c r="DB151" s="452">
        <v>0.6</v>
      </c>
      <c r="DC151" s="452">
        <v>0.6</v>
      </c>
      <c r="DD151" s="452">
        <v>0.6</v>
      </c>
      <c r="DE151" s="452">
        <v>0.6</v>
      </c>
      <c r="DF151" s="452">
        <v>0.6</v>
      </c>
      <c r="DG151" s="452">
        <v>0.6</v>
      </c>
      <c r="DH151" s="452">
        <v>0.6</v>
      </c>
      <c r="DI151" s="452">
        <v>0.6</v>
      </c>
      <c r="DJ151" s="514"/>
      <c r="DK151" s="515"/>
      <c r="DL151" s="515"/>
      <c r="DN151" s="447">
        <v>2</v>
      </c>
      <c r="DO151" s="451" t="s">
        <v>361</v>
      </c>
      <c r="DP151" s="448" t="s">
        <v>300</v>
      </c>
      <c r="DQ151" s="452">
        <v>0.6</v>
      </c>
      <c r="DR151" s="452">
        <v>0.6</v>
      </c>
      <c r="DS151" s="452">
        <v>0.6</v>
      </c>
      <c r="DT151" s="452">
        <v>0.6</v>
      </c>
      <c r="DU151" s="452">
        <v>0.6</v>
      </c>
      <c r="DV151" s="452">
        <v>0.6</v>
      </c>
      <c r="DW151" s="452">
        <v>0.6</v>
      </c>
      <c r="DX151" s="452">
        <v>0.6</v>
      </c>
      <c r="DY151" s="452">
        <v>0.6</v>
      </c>
      <c r="DZ151" s="452">
        <v>0.6</v>
      </c>
      <c r="EA151" s="514"/>
      <c r="EB151" s="515"/>
      <c r="EC151" s="515"/>
      <c r="ED151" s="559"/>
      <c r="EF151" s="447">
        <v>2</v>
      </c>
      <c r="EG151" s="451" t="s">
        <v>361</v>
      </c>
      <c r="EH151" s="448" t="s">
        <v>300</v>
      </c>
      <c r="EI151" s="596">
        <v>0.85</v>
      </c>
      <c r="EJ151" s="596">
        <v>0.85</v>
      </c>
      <c r="EK151" s="596">
        <v>0.85</v>
      </c>
      <c r="EL151" s="596">
        <v>0.85</v>
      </c>
      <c r="EM151" s="596">
        <v>0.85</v>
      </c>
      <c r="EN151" s="596">
        <v>0.85</v>
      </c>
      <c r="EO151" s="596">
        <v>0.85</v>
      </c>
      <c r="EP151" s="596">
        <v>0.85</v>
      </c>
      <c r="EQ151" s="596">
        <v>0.85</v>
      </c>
      <c r="ER151" s="596">
        <v>0.85</v>
      </c>
      <c r="ES151" s="632">
        <f t="shared" si="214"/>
        <v>0</v>
      </c>
      <c r="ET151" s="633">
        <f t="shared" si="215"/>
        <v>0</v>
      </c>
      <c r="EU151" s="633">
        <f t="shared" si="216"/>
        <v>0</v>
      </c>
      <c r="EW151" s="447">
        <v>2</v>
      </c>
      <c r="EX151" s="451" t="s">
        <v>361</v>
      </c>
      <c r="EY151" s="448" t="s">
        <v>300</v>
      </c>
      <c r="EZ151" s="673">
        <v>0.5</v>
      </c>
      <c r="FA151" s="596"/>
      <c r="FB151" s="596"/>
      <c r="FC151" s="596"/>
      <c r="FD151" s="596"/>
      <c r="FE151" s="596"/>
      <c r="FF151" s="596"/>
      <c r="FG151" s="596"/>
      <c r="FH151" s="596"/>
      <c r="FI151" s="596"/>
      <c r="FJ151" s="662"/>
      <c r="FK151" s="663"/>
      <c r="FL151" s="663"/>
    </row>
    <row r="152" spans="2:168">
      <c r="B152" s="732" t="str">
        <f t="shared" si="210"/>
        <v>2.1</v>
      </c>
      <c r="C152" s="408" t="str">
        <f t="shared" si="230"/>
        <v>材料使用量の削減</v>
      </c>
      <c r="D152" s="731" t="e">
        <f t="shared" ref="D152:E158" si="267">IF(I$151=0,0,G152/I$151)</f>
        <v>#REF!</v>
      </c>
      <c r="E152" s="730" t="e">
        <f t="shared" si="267"/>
        <v>#REF!</v>
      </c>
      <c r="G152" s="730" t="e">
        <f t="shared" si="231"/>
        <v>#REF!</v>
      </c>
      <c r="H152" s="730" t="e">
        <f t="shared" si="232"/>
        <v>#REF!</v>
      </c>
      <c r="I152" s="730"/>
      <c r="J152" s="730"/>
      <c r="K152" s="730" t="e">
        <f>IF(#REF!=0,0,1)</f>
        <v>#REF!</v>
      </c>
      <c r="L152" s="730" t="e">
        <f>IF(#REF!=0,0,1)</f>
        <v>#REF!</v>
      </c>
      <c r="M152" s="730">
        <f t="shared" si="233"/>
        <v>0.1</v>
      </c>
      <c r="N152" s="730">
        <f t="shared" si="212"/>
        <v>0</v>
      </c>
      <c r="P152" s="756"/>
      <c r="Q152" s="778">
        <v>2.1</v>
      </c>
      <c r="R152" s="743" t="s">
        <v>301</v>
      </c>
      <c r="S152" s="579"/>
      <c r="T152" s="745"/>
      <c r="U152" s="726"/>
      <c r="V152" s="734">
        <f t="shared" si="263"/>
        <v>0</v>
      </c>
      <c r="W152" s="733">
        <f t="shared" si="264"/>
        <v>0</v>
      </c>
      <c r="Y152" s="1">
        <f t="shared" si="250"/>
        <v>0</v>
      </c>
      <c r="Z152" s="1">
        <f t="shared" si="251"/>
        <v>0</v>
      </c>
      <c r="AA152" s="1">
        <f t="shared" si="252"/>
        <v>0</v>
      </c>
      <c r="AB152" s="1">
        <f t="shared" si="253"/>
        <v>0</v>
      </c>
      <c r="AC152" s="1">
        <f t="shared" si="254"/>
        <v>0</v>
      </c>
      <c r="AD152" s="1">
        <f t="shared" si="255"/>
        <v>0</v>
      </c>
      <c r="AE152" s="1">
        <f t="shared" si="256"/>
        <v>0</v>
      </c>
      <c r="AF152" s="1">
        <f t="shared" si="257"/>
        <v>0</v>
      </c>
      <c r="AG152" s="1">
        <f t="shared" si="258"/>
        <v>0</v>
      </c>
      <c r="AH152" s="1">
        <f t="shared" si="259"/>
        <v>0</v>
      </c>
      <c r="AI152" s="1">
        <f t="shared" si="260"/>
        <v>0</v>
      </c>
      <c r="AJ152" s="1">
        <f t="shared" si="261"/>
        <v>0</v>
      </c>
      <c r="AK152" s="1">
        <f t="shared" si="262"/>
        <v>0</v>
      </c>
      <c r="AM152" s="679"/>
      <c r="AN152" s="679"/>
      <c r="AO152" s="679"/>
      <c r="AP152" s="679"/>
      <c r="AQ152" s="679"/>
      <c r="AR152" s="679"/>
      <c r="AS152" s="679"/>
      <c r="AT152" s="679"/>
      <c r="AU152" s="679"/>
      <c r="AV152" s="679"/>
      <c r="AW152" s="679"/>
      <c r="AX152" s="679"/>
      <c r="AY152" s="679"/>
      <c r="BA152" s="723"/>
      <c r="BB152" s="723" t="e">
        <f t="shared" si="228"/>
        <v>#REF!</v>
      </c>
      <c r="BC152" s="723"/>
      <c r="BD152" s="722" t="e">
        <f>BR152*#REF!</f>
        <v>#REF!</v>
      </c>
      <c r="BE152" s="722" t="e">
        <f>BS152*#REF!</f>
        <v>#REF!</v>
      </c>
      <c r="BF152" s="722" t="e">
        <f>BT152*#REF!</f>
        <v>#REF!</v>
      </c>
      <c r="BG152" s="722" t="e">
        <f>BU152*#REF!</f>
        <v>#REF!</v>
      </c>
      <c r="BH152" s="803" t="e">
        <f>BV152*#REF!</f>
        <v>#REF!</v>
      </c>
      <c r="BI152" s="722" t="e">
        <f>BW152*#REF!</f>
        <v>#REF!</v>
      </c>
      <c r="BJ152" s="722" t="e">
        <f>BX152*#REF!</f>
        <v>#REF!</v>
      </c>
      <c r="BK152" s="722" t="e">
        <f>BY152*#REF!</f>
        <v>#REF!</v>
      </c>
      <c r="BL152" s="722" t="e">
        <f>BZ152*#REF!</f>
        <v>#REF!</v>
      </c>
      <c r="BM152" s="722" t="e">
        <f>CA152*#REF!</f>
        <v>#REF!</v>
      </c>
      <c r="BO152" s="749" t="str">
        <f t="shared" si="234"/>
        <v>2.1</v>
      </c>
      <c r="BP152" s="749" t="str">
        <f t="shared" si="235"/>
        <v>LR2 2</v>
      </c>
      <c r="BQ152" s="408" t="str">
        <f t="shared" si="236"/>
        <v>材料使用量の削減</v>
      </c>
      <c r="BR152" s="719">
        <f t="shared" si="237"/>
        <v>0.1</v>
      </c>
      <c r="BS152" s="719">
        <f t="shared" si="238"/>
        <v>0.1</v>
      </c>
      <c r="BT152" s="719">
        <f t="shared" si="239"/>
        <v>0.1</v>
      </c>
      <c r="BU152" s="719">
        <f t="shared" si="240"/>
        <v>0.1</v>
      </c>
      <c r="BV152" s="802">
        <f t="shared" si="241"/>
        <v>0.1</v>
      </c>
      <c r="BW152" s="719">
        <f t="shared" si="242"/>
        <v>0.1</v>
      </c>
      <c r="BX152" s="719">
        <f t="shared" si="243"/>
        <v>0.1</v>
      </c>
      <c r="BY152" s="719">
        <f t="shared" si="244"/>
        <v>0.1</v>
      </c>
      <c r="BZ152" s="719">
        <f t="shared" si="245"/>
        <v>0.1</v>
      </c>
      <c r="CA152" s="719">
        <f t="shared" si="246"/>
        <v>0.1</v>
      </c>
      <c r="CB152" s="801">
        <f t="shared" si="247"/>
        <v>0</v>
      </c>
      <c r="CC152" s="800">
        <f t="shared" si="248"/>
        <v>0</v>
      </c>
      <c r="CD152" s="800">
        <f t="shared" si="249"/>
        <v>0</v>
      </c>
      <c r="CF152" s="455" t="s">
        <v>336</v>
      </c>
      <c r="CG152" s="451" t="s">
        <v>46</v>
      </c>
      <c r="CH152" s="456" t="s">
        <v>301</v>
      </c>
      <c r="CI152" s="503">
        <v>0.1</v>
      </c>
      <c r="CJ152" s="503">
        <v>0.1</v>
      </c>
      <c r="CK152" s="503">
        <v>0.1</v>
      </c>
      <c r="CL152" s="503">
        <v>0.1</v>
      </c>
      <c r="CM152" s="503">
        <v>0.1</v>
      </c>
      <c r="CN152" s="503">
        <v>0.1</v>
      </c>
      <c r="CO152" s="503">
        <v>0.1</v>
      </c>
      <c r="CP152" s="503">
        <v>0.1</v>
      </c>
      <c r="CQ152" s="503">
        <v>0.1</v>
      </c>
      <c r="CR152" s="503">
        <v>0.1</v>
      </c>
      <c r="CS152" s="517"/>
      <c r="CT152" s="515"/>
      <c r="CU152" s="515"/>
      <c r="CW152" s="455" t="s">
        <v>336</v>
      </c>
      <c r="CX152" s="451" t="s">
        <v>46</v>
      </c>
      <c r="CY152" s="456" t="s">
        <v>301</v>
      </c>
      <c r="CZ152" s="503">
        <v>0.1</v>
      </c>
      <c r="DA152" s="503">
        <v>0.1</v>
      </c>
      <c r="DB152" s="503">
        <v>0.1</v>
      </c>
      <c r="DC152" s="503">
        <v>0.1</v>
      </c>
      <c r="DD152" s="503">
        <v>0.1</v>
      </c>
      <c r="DE152" s="503">
        <v>0.1</v>
      </c>
      <c r="DF152" s="503">
        <v>0.1</v>
      </c>
      <c r="DG152" s="503">
        <v>0.1</v>
      </c>
      <c r="DH152" s="503">
        <v>0.1</v>
      </c>
      <c r="DI152" s="503">
        <v>0.1</v>
      </c>
      <c r="DJ152" s="517"/>
      <c r="DK152" s="515"/>
      <c r="DL152" s="515"/>
      <c r="DN152" s="455" t="s">
        <v>336</v>
      </c>
      <c r="DO152" s="451" t="s">
        <v>46</v>
      </c>
      <c r="DP152" s="456" t="s">
        <v>301</v>
      </c>
      <c r="DQ152" s="503">
        <v>0.1</v>
      </c>
      <c r="DR152" s="503">
        <v>0.1</v>
      </c>
      <c r="DS152" s="503">
        <v>0.1</v>
      </c>
      <c r="DT152" s="503">
        <v>0.1</v>
      </c>
      <c r="DU152" s="503">
        <v>0.1</v>
      </c>
      <c r="DV152" s="503">
        <v>0.1</v>
      </c>
      <c r="DW152" s="503">
        <v>0.1</v>
      </c>
      <c r="DX152" s="503">
        <v>0.1</v>
      </c>
      <c r="DY152" s="503">
        <v>0.1</v>
      </c>
      <c r="DZ152" s="503">
        <v>0.1</v>
      </c>
      <c r="EA152" s="514"/>
      <c r="EB152" s="515"/>
      <c r="EC152" s="515"/>
      <c r="ED152" s="559"/>
      <c r="EF152" s="455" t="s">
        <v>336</v>
      </c>
      <c r="EG152" s="451" t="s">
        <v>46</v>
      </c>
      <c r="EH152" s="456" t="s">
        <v>301</v>
      </c>
      <c r="EI152" s="601">
        <v>0</v>
      </c>
      <c r="EJ152" s="601">
        <v>0</v>
      </c>
      <c r="EK152" s="601">
        <v>0</v>
      </c>
      <c r="EL152" s="601">
        <v>0</v>
      </c>
      <c r="EM152" s="601">
        <v>0</v>
      </c>
      <c r="EN152" s="601">
        <v>0</v>
      </c>
      <c r="EO152" s="601">
        <v>0</v>
      </c>
      <c r="EP152" s="601">
        <v>0</v>
      </c>
      <c r="EQ152" s="601">
        <v>0</v>
      </c>
      <c r="ER152" s="601">
        <v>0</v>
      </c>
      <c r="ES152" s="632">
        <f t="shared" si="214"/>
        <v>0</v>
      </c>
      <c r="ET152" s="633">
        <f t="shared" si="215"/>
        <v>0</v>
      </c>
      <c r="EU152" s="633">
        <f t="shared" si="216"/>
        <v>0</v>
      </c>
      <c r="EW152" s="455" t="s">
        <v>336</v>
      </c>
      <c r="EX152" s="451" t="s">
        <v>46</v>
      </c>
      <c r="EY152" s="456" t="s">
        <v>301</v>
      </c>
      <c r="EZ152" s="676">
        <v>0</v>
      </c>
      <c r="FA152" s="601"/>
      <c r="FB152" s="601"/>
      <c r="FC152" s="601"/>
      <c r="FD152" s="601"/>
      <c r="FE152" s="601"/>
      <c r="FF152" s="601"/>
      <c r="FG152" s="601"/>
      <c r="FH152" s="601"/>
      <c r="FI152" s="601"/>
      <c r="FJ152" s="662"/>
      <c r="FK152" s="663"/>
      <c r="FL152" s="663"/>
    </row>
    <row r="153" spans="2:168">
      <c r="B153" s="732" t="str">
        <f t="shared" si="210"/>
        <v>2.2</v>
      </c>
      <c r="C153" s="408" t="str">
        <f t="shared" si="230"/>
        <v>既存建築躯体等の継続使用</v>
      </c>
      <c r="D153" s="731" t="e">
        <f t="shared" si="267"/>
        <v>#REF!</v>
      </c>
      <c r="E153" s="730" t="e">
        <f t="shared" si="267"/>
        <v>#REF!</v>
      </c>
      <c r="G153" s="730" t="e">
        <f t="shared" si="231"/>
        <v>#REF!</v>
      </c>
      <c r="H153" s="730" t="e">
        <f t="shared" si="232"/>
        <v>#REF!</v>
      </c>
      <c r="I153" s="730"/>
      <c r="J153" s="730"/>
      <c r="K153" s="730" t="e">
        <f>IF(#REF!=0,0,1)</f>
        <v>#REF!</v>
      </c>
      <c r="L153" s="730" t="e">
        <f>IF(#REF!=0,0,1)</f>
        <v>#REF!</v>
      </c>
      <c r="M153" s="730">
        <f t="shared" si="233"/>
        <v>0.2</v>
      </c>
      <c r="N153" s="730">
        <f t="shared" ref="N153:N184" si="268">(CB$7*CB153)+(CC$7*CC153)+(CD$7*CD153)</f>
        <v>0</v>
      </c>
      <c r="P153" s="811"/>
      <c r="Q153" s="778">
        <v>2.2000000000000002</v>
      </c>
      <c r="R153" s="743" t="s">
        <v>302</v>
      </c>
      <c r="S153" s="579"/>
      <c r="T153" s="745"/>
      <c r="U153" s="726"/>
      <c r="V153" s="747">
        <f t="shared" si="263"/>
        <v>0</v>
      </c>
      <c r="W153" s="746">
        <f t="shared" si="264"/>
        <v>0</v>
      </c>
      <c r="Y153" s="1">
        <f t="shared" si="250"/>
        <v>0</v>
      </c>
      <c r="Z153" s="1">
        <f t="shared" si="251"/>
        <v>0</v>
      </c>
      <c r="AA153" s="1">
        <f t="shared" si="252"/>
        <v>0</v>
      </c>
      <c r="AB153" s="1">
        <f t="shared" si="253"/>
        <v>0</v>
      </c>
      <c r="AC153" s="1">
        <f t="shared" si="254"/>
        <v>0</v>
      </c>
      <c r="AD153" s="1">
        <f t="shared" si="255"/>
        <v>0</v>
      </c>
      <c r="AE153" s="1">
        <f t="shared" si="256"/>
        <v>0</v>
      </c>
      <c r="AF153" s="1">
        <f t="shared" si="257"/>
        <v>0</v>
      </c>
      <c r="AG153" s="1">
        <f t="shared" si="258"/>
        <v>0</v>
      </c>
      <c r="AH153" s="1">
        <f t="shared" si="259"/>
        <v>0</v>
      </c>
      <c r="AI153" s="1">
        <f t="shared" si="260"/>
        <v>0</v>
      </c>
      <c r="AJ153" s="1">
        <f t="shared" si="261"/>
        <v>0</v>
      </c>
      <c r="AK153" s="1">
        <f t="shared" si="262"/>
        <v>0</v>
      </c>
      <c r="AM153" s="680"/>
      <c r="AN153" s="680"/>
      <c r="AO153" s="680"/>
      <c r="AP153" s="680"/>
      <c r="AQ153" s="680"/>
      <c r="AR153" s="680"/>
      <c r="AS153" s="680"/>
      <c r="AT153" s="680"/>
      <c r="AU153" s="680"/>
      <c r="AV153" s="680"/>
      <c r="AW153" s="680"/>
      <c r="AX153" s="680"/>
      <c r="AY153" s="680"/>
      <c r="BA153" s="723"/>
      <c r="BB153" s="723" t="e">
        <f t="shared" si="228"/>
        <v>#REF!</v>
      </c>
      <c r="BC153" s="723"/>
      <c r="BD153" s="722" t="e">
        <f>BR153*#REF!</f>
        <v>#REF!</v>
      </c>
      <c r="BE153" s="722" t="e">
        <f>BS153*#REF!</f>
        <v>#REF!</v>
      </c>
      <c r="BF153" s="722" t="e">
        <f>BT153*#REF!</f>
        <v>#REF!</v>
      </c>
      <c r="BG153" s="722" t="e">
        <f>BU153*#REF!</f>
        <v>#REF!</v>
      </c>
      <c r="BH153" s="803" t="e">
        <f>BV153*#REF!</f>
        <v>#REF!</v>
      </c>
      <c r="BI153" s="722" t="e">
        <f>BW153*#REF!</f>
        <v>#REF!</v>
      </c>
      <c r="BJ153" s="722" t="e">
        <f>BX153*#REF!</f>
        <v>#REF!</v>
      </c>
      <c r="BK153" s="722" t="e">
        <f>BY153*#REF!</f>
        <v>#REF!</v>
      </c>
      <c r="BL153" s="722" t="e">
        <f>BZ153*#REF!</f>
        <v>#REF!</v>
      </c>
      <c r="BM153" s="722" t="e">
        <f>CA153*#REF!</f>
        <v>#REF!</v>
      </c>
      <c r="BO153" s="749" t="str">
        <f t="shared" si="234"/>
        <v>2.2</v>
      </c>
      <c r="BP153" s="749" t="str">
        <f t="shared" si="235"/>
        <v>LR2 2</v>
      </c>
      <c r="BQ153" s="408" t="str">
        <f t="shared" si="236"/>
        <v>既存建築躯体等の継続使用</v>
      </c>
      <c r="BR153" s="719">
        <f t="shared" si="237"/>
        <v>0.2</v>
      </c>
      <c r="BS153" s="719">
        <f t="shared" si="238"/>
        <v>0.2</v>
      </c>
      <c r="BT153" s="719">
        <f t="shared" si="239"/>
        <v>0.2</v>
      </c>
      <c r="BU153" s="719">
        <f t="shared" si="240"/>
        <v>0.2</v>
      </c>
      <c r="BV153" s="802">
        <f t="shared" si="241"/>
        <v>0.2</v>
      </c>
      <c r="BW153" s="719">
        <f t="shared" si="242"/>
        <v>0.2</v>
      </c>
      <c r="BX153" s="719">
        <f t="shared" si="243"/>
        <v>0.2</v>
      </c>
      <c r="BY153" s="719">
        <f t="shared" si="244"/>
        <v>0.2</v>
      </c>
      <c r="BZ153" s="719">
        <f t="shared" si="245"/>
        <v>0.2</v>
      </c>
      <c r="CA153" s="719">
        <f t="shared" si="246"/>
        <v>0.2</v>
      </c>
      <c r="CB153" s="801">
        <f t="shared" si="247"/>
        <v>0</v>
      </c>
      <c r="CC153" s="800">
        <f t="shared" si="248"/>
        <v>0</v>
      </c>
      <c r="CD153" s="800">
        <f t="shared" si="249"/>
        <v>0</v>
      </c>
      <c r="CF153" s="455" t="s">
        <v>337</v>
      </c>
      <c r="CG153" s="459" t="s">
        <v>46</v>
      </c>
      <c r="CH153" s="456" t="s">
        <v>302</v>
      </c>
      <c r="CI153" s="461">
        <v>0.2</v>
      </c>
      <c r="CJ153" s="461">
        <v>0.2</v>
      </c>
      <c r="CK153" s="461">
        <v>0.2</v>
      </c>
      <c r="CL153" s="461">
        <v>0.2</v>
      </c>
      <c r="CM153" s="461">
        <v>0.2</v>
      </c>
      <c r="CN153" s="461">
        <v>0.2</v>
      </c>
      <c r="CO153" s="461">
        <v>0.2</v>
      </c>
      <c r="CP153" s="461">
        <v>0.2</v>
      </c>
      <c r="CQ153" s="461">
        <v>0.2</v>
      </c>
      <c r="CR153" s="461">
        <v>0.2</v>
      </c>
      <c r="CS153" s="516"/>
      <c r="CT153" s="473"/>
      <c r="CU153" s="473"/>
      <c r="CW153" s="455" t="s">
        <v>337</v>
      </c>
      <c r="CX153" s="459" t="s">
        <v>46</v>
      </c>
      <c r="CY153" s="456" t="s">
        <v>302</v>
      </c>
      <c r="CZ153" s="461">
        <v>0.2</v>
      </c>
      <c r="DA153" s="461">
        <v>0.2</v>
      </c>
      <c r="DB153" s="461">
        <v>0.2</v>
      </c>
      <c r="DC153" s="461">
        <v>0.2</v>
      </c>
      <c r="DD153" s="461">
        <v>0.2</v>
      </c>
      <c r="DE153" s="461">
        <v>0.2</v>
      </c>
      <c r="DF153" s="461">
        <v>0.2</v>
      </c>
      <c r="DG153" s="461">
        <v>0.2</v>
      </c>
      <c r="DH153" s="461">
        <v>0.2</v>
      </c>
      <c r="DI153" s="461">
        <v>0.2</v>
      </c>
      <c r="DJ153" s="516"/>
      <c r="DK153" s="473"/>
      <c r="DL153" s="473"/>
      <c r="DN153" s="455" t="s">
        <v>337</v>
      </c>
      <c r="DO153" s="459" t="s">
        <v>46</v>
      </c>
      <c r="DP153" s="456" t="s">
        <v>302</v>
      </c>
      <c r="DQ153" s="461">
        <v>0.2</v>
      </c>
      <c r="DR153" s="461">
        <v>0.2</v>
      </c>
      <c r="DS153" s="461">
        <v>0.2</v>
      </c>
      <c r="DT153" s="461">
        <v>0.2</v>
      </c>
      <c r="DU153" s="461">
        <v>0.2</v>
      </c>
      <c r="DV153" s="461">
        <v>0.2</v>
      </c>
      <c r="DW153" s="461">
        <v>0.2</v>
      </c>
      <c r="DX153" s="461">
        <v>0.2</v>
      </c>
      <c r="DY153" s="461">
        <v>0.2</v>
      </c>
      <c r="DZ153" s="461">
        <v>0.2</v>
      </c>
      <c r="EA153" s="516"/>
      <c r="EB153" s="473"/>
      <c r="EC153" s="473"/>
      <c r="ED153" s="549"/>
      <c r="EF153" s="455" t="s">
        <v>337</v>
      </c>
      <c r="EG153" s="459" t="s">
        <v>46</v>
      </c>
      <c r="EH153" s="456" t="s">
        <v>302</v>
      </c>
      <c r="EI153" s="598">
        <v>0</v>
      </c>
      <c r="EJ153" s="598">
        <v>0</v>
      </c>
      <c r="EK153" s="598">
        <v>0</v>
      </c>
      <c r="EL153" s="598">
        <v>0</v>
      </c>
      <c r="EM153" s="598">
        <v>0</v>
      </c>
      <c r="EN153" s="598">
        <v>0</v>
      </c>
      <c r="EO153" s="598">
        <v>0</v>
      </c>
      <c r="EP153" s="598">
        <v>0</v>
      </c>
      <c r="EQ153" s="598">
        <v>0</v>
      </c>
      <c r="ER153" s="598">
        <v>0</v>
      </c>
      <c r="ES153" s="634">
        <f t="shared" si="214"/>
        <v>0</v>
      </c>
      <c r="ET153" s="615">
        <f t="shared" si="215"/>
        <v>0</v>
      </c>
      <c r="EU153" s="615">
        <f t="shared" si="216"/>
        <v>0</v>
      </c>
      <c r="EW153" s="455" t="s">
        <v>337</v>
      </c>
      <c r="EX153" s="459" t="s">
        <v>46</v>
      </c>
      <c r="EY153" s="456" t="s">
        <v>302</v>
      </c>
      <c r="EZ153" s="676">
        <v>0</v>
      </c>
      <c r="FA153" s="598"/>
      <c r="FB153" s="598"/>
      <c r="FC153" s="598"/>
      <c r="FD153" s="598"/>
      <c r="FE153" s="598"/>
      <c r="FF153" s="598"/>
      <c r="FG153" s="598"/>
      <c r="FH153" s="598"/>
      <c r="FI153" s="598"/>
      <c r="FJ153" s="664"/>
      <c r="FK153" s="650"/>
      <c r="FL153" s="650"/>
    </row>
    <row r="154" spans="2:168">
      <c r="B154" s="732" t="str">
        <f t="shared" si="210"/>
        <v>2.3</v>
      </c>
      <c r="C154" s="408" t="str">
        <f t="shared" si="230"/>
        <v>躯体材料におけるリサイクル材の使用</v>
      </c>
      <c r="D154" s="731" t="e">
        <f t="shared" si="267"/>
        <v>#REF!</v>
      </c>
      <c r="E154" s="730" t="e">
        <f t="shared" si="267"/>
        <v>#REF!</v>
      </c>
      <c r="G154" s="730" t="e">
        <f t="shared" si="231"/>
        <v>#REF!</v>
      </c>
      <c r="H154" s="730" t="e">
        <f t="shared" si="232"/>
        <v>#REF!</v>
      </c>
      <c r="I154" s="730"/>
      <c r="J154" s="730"/>
      <c r="K154" s="730" t="e">
        <f>IF(#REF!=0,0,1)</f>
        <v>#REF!</v>
      </c>
      <c r="L154" s="730" t="e">
        <f>IF(#REF!=0,0,1)</f>
        <v>#REF!</v>
      </c>
      <c r="M154" s="730">
        <f t="shared" si="233"/>
        <v>0.2</v>
      </c>
      <c r="N154" s="730">
        <f t="shared" si="268"/>
        <v>0</v>
      </c>
      <c r="P154" s="832"/>
      <c r="Q154" s="778">
        <v>2.2999999999999998</v>
      </c>
      <c r="R154" s="579" t="s">
        <v>303</v>
      </c>
      <c r="S154" s="579"/>
      <c r="T154" s="745"/>
      <c r="U154" s="726"/>
      <c r="V154" s="747">
        <f t="shared" si="263"/>
        <v>0</v>
      </c>
      <c r="W154" s="746">
        <f t="shared" si="264"/>
        <v>0</v>
      </c>
      <c r="Y154" s="1">
        <f t="shared" si="250"/>
        <v>0</v>
      </c>
      <c r="Z154" s="1">
        <f t="shared" si="251"/>
        <v>0</v>
      </c>
      <c r="AA154" s="1">
        <f t="shared" si="252"/>
        <v>0</v>
      </c>
      <c r="AB154" s="1">
        <f t="shared" si="253"/>
        <v>0</v>
      </c>
      <c r="AC154" s="1">
        <f t="shared" si="254"/>
        <v>0</v>
      </c>
      <c r="AD154" s="1">
        <f t="shared" si="255"/>
        <v>0</v>
      </c>
      <c r="AE154" s="1">
        <f t="shared" si="256"/>
        <v>0</v>
      </c>
      <c r="AF154" s="1">
        <f t="shared" si="257"/>
        <v>0</v>
      </c>
      <c r="AG154" s="1">
        <f t="shared" si="258"/>
        <v>0</v>
      </c>
      <c r="AH154" s="1">
        <f t="shared" si="259"/>
        <v>0</v>
      </c>
      <c r="AI154" s="1">
        <f t="shared" si="260"/>
        <v>0</v>
      </c>
      <c r="AJ154" s="1">
        <f t="shared" si="261"/>
        <v>0</v>
      </c>
      <c r="AK154" s="1">
        <f t="shared" si="262"/>
        <v>0</v>
      </c>
      <c r="AM154" s="680"/>
      <c r="AN154" s="680"/>
      <c r="AO154" s="680"/>
      <c r="AP154" s="680"/>
      <c r="AQ154" s="680"/>
      <c r="AR154" s="680"/>
      <c r="AS154" s="680"/>
      <c r="AT154" s="680"/>
      <c r="AU154" s="680"/>
      <c r="AV154" s="680"/>
      <c r="AW154" s="680"/>
      <c r="AX154" s="680"/>
      <c r="AY154" s="680"/>
      <c r="BA154" s="723"/>
      <c r="BB154" s="723" t="e">
        <f t="shared" si="228"/>
        <v>#REF!</v>
      </c>
      <c r="BC154" s="723"/>
      <c r="BD154" s="722" t="e">
        <f>BR154*#REF!</f>
        <v>#REF!</v>
      </c>
      <c r="BE154" s="722" t="e">
        <f>BS154*#REF!</f>
        <v>#REF!</v>
      </c>
      <c r="BF154" s="722" t="e">
        <f>BT154*#REF!</f>
        <v>#REF!</v>
      </c>
      <c r="BG154" s="722" t="e">
        <f>BU154*#REF!</f>
        <v>#REF!</v>
      </c>
      <c r="BH154" s="803" t="e">
        <f>BV154*#REF!</f>
        <v>#REF!</v>
      </c>
      <c r="BI154" s="722" t="e">
        <f>BW154*#REF!</f>
        <v>#REF!</v>
      </c>
      <c r="BJ154" s="722" t="e">
        <f>BX154*#REF!</f>
        <v>#REF!</v>
      </c>
      <c r="BK154" s="722" t="e">
        <f>BY154*#REF!</f>
        <v>#REF!</v>
      </c>
      <c r="BL154" s="722" t="e">
        <f>BZ154*#REF!</f>
        <v>#REF!</v>
      </c>
      <c r="BM154" s="722" t="e">
        <f>CA154*#REF!</f>
        <v>#REF!</v>
      </c>
      <c r="BO154" s="749" t="str">
        <f t="shared" si="234"/>
        <v>2.3</v>
      </c>
      <c r="BP154" s="749" t="str">
        <f t="shared" si="235"/>
        <v>LR2 2</v>
      </c>
      <c r="BQ154" s="408" t="str">
        <f t="shared" si="236"/>
        <v>躯体材料におけるリサイクル材の使用</v>
      </c>
      <c r="BR154" s="719">
        <f t="shared" si="237"/>
        <v>0.2</v>
      </c>
      <c r="BS154" s="719">
        <f t="shared" si="238"/>
        <v>0.2</v>
      </c>
      <c r="BT154" s="719">
        <f t="shared" si="239"/>
        <v>0.2</v>
      </c>
      <c r="BU154" s="719">
        <f t="shared" si="240"/>
        <v>0.2</v>
      </c>
      <c r="BV154" s="802">
        <f t="shared" si="241"/>
        <v>0.2</v>
      </c>
      <c r="BW154" s="719">
        <f t="shared" si="242"/>
        <v>0.2</v>
      </c>
      <c r="BX154" s="719">
        <f t="shared" si="243"/>
        <v>0.2</v>
      </c>
      <c r="BY154" s="719">
        <f t="shared" si="244"/>
        <v>0.2</v>
      </c>
      <c r="BZ154" s="719">
        <f t="shared" si="245"/>
        <v>0.2</v>
      </c>
      <c r="CA154" s="719">
        <f t="shared" si="246"/>
        <v>0.2</v>
      </c>
      <c r="CB154" s="801">
        <f t="shared" si="247"/>
        <v>0</v>
      </c>
      <c r="CC154" s="800">
        <f t="shared" si="248"/>
        <v>0</v>
      </c>
      <c r="CD154" s="800">
        <f t="shared" si="249"/>
        <v>0</v>
      </c>
      <c r="CF154" s="455" t="s">
        <v>382</v>
      </c>
      <c r="CG154" s="459" t="s">
        <v>46</v>
      </c>
      <c r="CH154" s="456" t="s">
        <v>303</v>
      </c>
      <c r="CI154" s="461">
        <v>0.2</v>
      </c>
      <c r="CJ154" s="461">
        <v>0.2</v>
      </c>
      <c r="CK154" s="461">
        <v>0.2</v>
      </c>
      <c r="CL154" s="461">
        <v>0.2</v>
      </c>
      <c r="CM154" s="461">
        <v>0.2</v>
      </c>
      <c r="CN154" s="461">
        <v>0.2</v>
      </c>
      <c r="CO154" s="461">
        <v>0.2</v>
      </c>
      <c r="CP154" s="461">
        <v>0.2</v>
      </c>
      <c r="CQ154" s="461">
        <v>0.2</v>
      </c>
      <c r="CR154" s="461">
        <v>0.2</v>
      </c>
      <c r="CS154" s="516"/>
      <c r="CT154" s="473"/>
      <c r="CU154" s="473"/>
      <c r="CW154" s="455" t="s">
        <v>382</v>
      </c>
      <c r="CX154" s="459" t="s">
        <v>46</v>
      </c>
      <c r="CY154" s="456" t="s">
        <v>303</v>
      </c>
      <c r="CZ154" s="461">
        <v>0.2</v>
      </c>
      <c r="DA154" s="461">
        <v>0.2</v>
      </c>
      <c r="DB154" s="461">
        <v>0.2</v>
      </c>
      <c r="DC154" s="461">
        <v>0.2</v>
      </c>
      <c r="DD154" s="461">
        <v>0.2</v>
      </c>
      <c r="DE154" s="461">
        <v>0.2</v>
      </c>
      <c r="DF154" s="461">
        <v>0.2</v>
      </c>
      <c r="DG154" s="461">
        <v>0.2</v>
      </c>
      <c r="DH154" s="461">
        <v>0.2</v>
      </c>
      <c r="DI154" s="461">
        <v>0.2</v>
      </c>
      <c r="DJ154" s="516"/>
      <c r="DK154" s="473"/>
      <c r="DL154" s="473"/>
      <c r="DN154" s="455" t="s">
        <v>382</v>
      </c>
      <c r="DO154" s="459" t="s">
        <v>46</v>
      </c>
      <c r="DP154" s="456" t="s">
        <v>303</v>
      </c>
      <c r="DQ154" s="461">
        <v>0.2</v>
      </c>
      <c r="DR154" s="461">
        <v>0.2</v>
      </c>
      <c r="DS154" s="461">
        <v>0.2</v>
      </c>
      <c r="DT154" s="461">
        <v>0.2</v>
      </c>
      <c r="DU154" s="461">
        <v>0.2</v>
      </c>
      <c r="DV154" s="461">
        <v>0.2</v>
      </c>
      <c r="DW154" s="461">
        <v>0.2</v>
      </c>
      <c r="DX154" s="461">
        <v>0.2</v>
      </c>
      <c r="DY154" s="461">
        <v>0.2</v>
      </c>
      <c r="DZ154" s="461">
        <v>0.2</v>
      </c>
      <c r="EA154" s="516"/>
      <c r="EB154" s="473"/>
      <c r="EC154" s="473"/>
      <c r="ED154" s="549"/>
      <c r="EF154" s="455" t="s">
        <v>382</v>
      </c>
      <c r="EG154" s="459" t="s">
        <v>46</v>
      </c>
      <c r="EH154" s="456" t="s">
        <v>303</v>
      </c>
      <c r="EI154" s="598">
        <v>7.0000000000000007E-2</v>
      </c>
      <c r="EJ154" s="598">
        <v>7.0000000000000007E-2</v>
      </c>
      <c r="EK154" s="598">
        <v>7.0000000000000007E-2</v>
      </c>
      <c r="EL154" s="598">
        <v>7.0000000000000007E-2</v>
      </c>
      <c r="EM154" s="598">
        <v>7.0000000000000007E-2</v>
      </c>
      <c r="EN154" s="598">
        <v>7.0000000000000007E-2</v>
      </c>
      <c r="EO154" s="598">
        <v>7.0000000000000007E-2</v>
      </c>
      <c r="EP154" s="598">
        <v>7.0000000000000007E-2</v>
      </c>
      <c r="EQ154" s="598">
        <v>7.0000000000000007E-2</v>
      </c>
      <c r="ER154" s="598">
        <v>7.0000000000000007E-2</v>
      </c>
      <c r="ES154" s="634">
        <f t="shared" ref="ES154:ES181" si="269">EA154</f>
        <v>0</v>
      </c>
      <c r="ET154" s="615">
        <f t="shared" ref="ET154:ET181" si="270">EB154</f>
        <v>0</v>
      </c>
      <c r="EU154" s="615">
        <f t="shared" ref="EU154:EU181" si="271">EC154</f>
        <v>0</v>
      </c>
      <c r="EW154" s="455" t="s">
        <v>382</v>
      </c>
      <c r="EX154" s="459" t="s">
        <v>46</v>
      </c>
      <c r="EY154" s="456" t="s">
        <v>303</v>
      </c>
      <c r="EZ154" s="676">
        <v>0</v>
      </c>
      <c r="FA154" s="598"/>
      <c r="FB154" s="598"/>
      <c r="FC154" s="598"/>
      <c r="FD154" s="598"/>
      <c r="FE154" s="598"/>
      <c r="FF154" s="598"/>
      <c r="FG154" s="598"/>
      <c r="FH154" s="598"/>
      <c r="FI154" s="598"/>
      <c r="FJ154" s="664"/>
      <c r="FK154" s="650"/>
      <c r="FL154" s="650"/>
    </row>
    <row r="155" spans="2:168">
      <c r="B155" s="732" t="str">
        <f t="shared" si="210"/>
        <v>2.4</v>
      </c>
      <c r="C155" s="408" t="str">
        <f t="shared" si="230"/>
        <v>躯体材料以外におけるリサイクル材の使用</v>
      </c>
      <c r="D155" s="731" t="e">
        <f t="shared" si="267"/>
        <v>#REF!</v>
      </c>
      <c r="E155" s="730" t="e">
        <f t="shared" si="267"/>
        <v>#REF!</v>
      </c>
      <c r="G155" s="730" t="e">
        <f t="shared" si="231"/>
        <v>#REF!</v>
      </c>
      <c r="H155" s="730" t="e">
        <f t="shared" si="232"/>
        <v>#REF!</v>
      </c>
      <c r="I155" s="730"/>
      <c r="J155" s="730"/>
      <c r="K155" s="730" t="e">
        <f>IF(#REF!=0,0,1)</f>
        <v>#REF!</v>
      </c>
      <c r="L155" s="730" t="e">
        <f>IF(#REF!=0,0,1)</f>
        <v>#REF!</v>
      </c>
      <c r="M155" s="730">
        <f t="shared" si="233"/>
        <v>0.2</v>
      </c>
      <c r="N155" s="730">
        <f t="shared" si="268"/>
        <v>0</v>
      </c>
      <c r="P155" s="832"/>
      <c r="Q155" s="778">
        <v>2.4</v>
      </c>
      <c r="R155" s="3866" t="s">
        <v>6</v>
      </c>
      <c r="S155" s="3867"/>
      <c r="T155" s="3867"/>
      <c r="U155" s="726"/>
      <c r="V155" s="747">
        <f t="shared" si="263"/>
        <v>0</v>
      </c>
      <c r="W155" s="746">
        <f t="shared" si="264"/>
        <v>0</v>
      </c>
      <c r="Y155" s="1">
        <f t="shared" si="250"/>
        <v>0</v>
      </c>
      <c r="Z155" s="1">
        <f t="shared" si="251"/>
        <v>0</v>
      </c>
      <c r="AA155" s="1">
        <f t="shared" si="252"/>
        <v>0</v>
      </c>
      <c r="AB155" s="1">
        <f t="shared" si="253"/>
        <v>0</v>
      </c>
      <c r="AC155" s="1">
        <f t="shared" si="254"/>
        <v>0</v>
      </c>
      <c r="AD155" s="1">
        <f t="shared" si="255"/>
        <v>0</v>
      </c>
      <c r="AE155" s="1">
        <f t="shared" si="256"/>
        <v>0</v>
      </c>
      <c r="AF155" s="1">
        <f t="shared" si="257"/>
        <v>0</v>
      </c>
      <c r="AG155" s="1">
        <f t="shared" si="258"/>
        <v>0</v>
      </c>
      <c r="AH155" s="1">
        <f t="shared" si="259"/>
        <v>0</v>
      </c>
      <c r="AI155" s="1">
        <f t="shared" si="260"/>
        <v>0</v>
      </c>
      <c r="AJ155" s="1">
        <f t="shared" si="261"/>
        <v>0</v>
      </c>
      <c r="AK155" s="1">
        <f t="shared" si="262"/>
        <v>0</v>
      </c>
      <c r="AM155" s="680"/>
      <c r="AN155" s="680"/>
      <c r="AO155" s="680"/>
      <c r="AP155" s="680"/>
      <c r="AQ155" s="680"/>
      <c r="AR155" s="680"/>
      <c r="AS155" s="680"/>
      <c r="AT155" s="680"/>
      <c r="AU155" s="680"/>
      <c r="AV155" s="680"/>
      <c r="AW155" s="680"/>
      <c r="AX155" s="680"/>
      <c r="AY155" s="680"/>
      <c r="BA155" s="723"/>
      <c r="BB155" s="723" t="e">
        <f t="shared" si="228"/>
        <v>#REF!</v>
      </c>
      <c r="BC155" s="723"/>
      <c r="BD155" s="722" t="e">
        <f>BR155*#REF!</f>
        <v>#REF!</v>
      </c>
      <c r="BE155" s="722" t="e">
        <f>BS155*#REF!</f>
        <v>#REF!</v>
      </c>
      <c r="BF155" s="722" t="e">
        <f>BT155*#REF!</f>
        <v>#REF!</v>
      </c>
      <c r="BG155" s="722" t="e">
        <f>BU155*#REF!</f>
        <v>#REF!</v>
      </c>
      <c r="BH155" s="803" t="e">
        <f>BV155*#REF!</f>
        <v>#REF!</v>
      </c>
      <c r="BI155" s="722" t="e">
        <f>BW155*#REF!</f>
        <v>#REF!</v>
      </c>
      <c r="BJ155" s="722" t="e">
        <f>BX155*#REF!</f>
        <v>#REF!</v>
      </c>
      <c r="BK155" s="722" t="e">
        <f>BY155*#REF!</f>
        <v>#REF!</v>
      </c>
      <c r="BL155" s="722" t="e">
        <f>BZ155*#REF!</f>
        <v>#REF!</v>
      </c>
      <c r="BM155" s="722" t="e">
        <f>CA155*#REF!</f>
        <v>#REF!</v>
      </c>
      <c r="BO155" s="749" t="str">
        <f t="shared" si="234"/>
        <v>2.4</v>
      </c>
      <c r="BP155" s="749" t="str">
        <f t="shared" si="235"/>
        <v>LR2 2</v>
      </c>
      <c r="BQ155" s="408" t="str">
        <f t="shared" si="236"/>
        <v>躯体材料以外におけるリサイクル材の使用</v>
      </c>
      <c r="BR155" s="719">
        <f t="shared" si="237"/>
        <v>0.2</v>
      </c>
      <c r="BS155" s="719">
        <f t="shared" si="238"/>
        <v>0.2</v>
      </c>
      <c r="BT155" s="719">
        <f t="shared" si="239"/>
        <v>0.2</v>
      </c>
      <c r="BU155" s="719">
        <f t="shared" si="240"/>
        <v>0.2</v>
      </c>
      <c r="BV155" s="802">
        <f t="shared" si="241"/>
        <v>0.2</v>
      </c>
      <c r="BW155" s="719">
        <f t="shared" si="242"/>
        <v>0.2</v>
      </c>
      <c r="BX155" s="719">
        <f t="shared" si="243"/>
        <v>0.2</v>
      </c>
      <c r="BY155" s="719">
        <f t="shared" si="244"/>
        <v>0.2</v>
      </c>
      <c r="BZ155" s="719">
        <f t="shared" si="245"/>
        <v>0.2</v>
      </c>
      <c r="CA155" s="719">
        <f t="shared" si="246"/>
        <v>0.2</v>
      </c>
      <c r="CB155" s="801">
        <f t="shared" si="247"/>
        <v>0</v>
      </c>
      <c r="CC155" s="800">
        <f t="shared" si="248"/>
        <v>0</v>
      </c>
      <c r="CD155" s="800">
        <f t="shared" si="249"/>
        <v>0</v>
      </c>
      <c r="CF155" s="455" t="s">
        <v>691</v>
      </c>
      <c r="CG155" s="459" t="s">
        <v>46</v>
      </c>
      <c r="CH155" s="456" t="s">
        <v>372</v>
      </c>
      <c r="CI155" s="461">
        <v>0.2</v>
      </c>
      <c r="CJ155" s="461">
        <v>0.2</v>
      </c>
      <c r="CK155" s="461">
        <v>0.2</v>
      </c>
      <c r="CL155" s="461">
        <v>0.2</v>
      </c>
      <c r="CM155" s="461">
        <v>0.2</v>
      </c>
      <c r="CN155" s="461">
        <v>0.2</v>
      </c>
      <c r="CO155" s="461">
        <v>0.2</v>
      </c>
      <c r="CP155" s="461">
        <v>0.2</v>
      </c>
      <c r="CQ155" s="461">
        <v>0.2</v>
      </c>
      <c r="CR155" s="461">
        <v>0.2</v>
      </c>
      <c r="CS155" s="516"/>
      <c r="CT155" s="473"/>
      <c r="CU155" s="473"/>
      <c r="CW155" s="455" t="s">
        <v>691</v>
      </c>
      <c r="CX155" s="459" t="s">
        <v>46</v>
      </c>
      <c r="CY155" s="456" t="s">
        <v>372</v>
      </c>
      <c r="CZ155" s="461">
        <v>0.2</v>
      </c>
      <c r="DA155" s="461">
        <v>0.2</v>
      </c>
      <c r="DB155" s="461">
        <v>0.2</v>
      </c>
      <c r="DC155" s="461">
        <v>0.2</v>
      </c>
      <c r="DD155" s="461">
        <v>0.2</v>
      </c>
      <c r="DE155" s="461">
        <v>0.2</v>
      </c>
      <c r="DF155" s="461">
        <v>0.2</v>
      </c>
      <c r="DG155" s="461">
        <v>0.2</v>
      </c>
      <c r="DH155" s="461">
        <v>0.2</v>
      </c>
      <c r="DI155" s="461">
        <v>0.2</v>
      </c>
      <c r="DJ155" s="516"/>
      <c r="DK155" s="473"/>
      <c r="DL155" s="473"/>
      <c r="DN155" s="455" t="s">
        <v>691</v>
      </c>
      <c r="DO155" s="459" t="s">
        <v>46</v>
      </c>
      <c r="DP155" s="456" t="s">
        <v>372</v>
      </c>
      <c r="DQ155" s="461">
        <v>0.2</v>
      </c>
      <c r="DR155" s="461">
        <v>0.2</v>
      </c>
      <c r="DS155" s="461">
        <v>0.2</v>
      </c>
      <c r="DT155" s="461">
        <v>0.2</v>
      </c>
      <c r="DU155" s="461">
        <v>0.2</v>
      </c>
      <c r="DV155" s="461">
        <v>0.2</v>
      </c>
      <c r="DW155" s="461">
        <v>0.2</v>
      </c>
      <c r="DX155" s="461">
        <v>0.2</v>
      </c>
      <c r="DY155" s="461">
        <v>0.2</v>
      </c>
      <c r="DZ155" s="461">
        <v>0.2</v>
      </c>
      <c r="EA155" s="516"/>
      <c r="EB155" s="473"/>
      <c r="EC155" s="473"/>
      <c r="ED155" s="549"/>
      <c r="EF155" s="455" t="s">
        <v>691</v>
      </c>
      <c r="EG155" s="459" t="s">
        <v>46</v>
      </c>
      <c r="EH155" s="456" t="s">
        <v>372</v>
      </c>
      <c r="EI155" s="598">
        <v>0.04</v>
      </c>
      <c r="EJ155" s="598">
        <v>0.04</v>
      </c>
      <c r="EK155" s="598">
        <v>0.04</v>
      </c>
      <c r="EL155" s="598">
        <v>0.04</v>
      </c>
      <c r="EM155" s="598">
        <v>0.04</v>
      </c>
      <c r="EN155" s="598">
        <v>0.04</v>
      </c>
      <c r="EO155" s="598">
        <v>0.04</v>
      </c>
      <c r="EP155" s="598">
        <v>0.04</v>
      </c>
      <c r="EQ155" s="598">
        <v>0.04</v>
      </c>
      <c r="ER155" s="598">
        <v>0.04</v>
      </c>
      <c r="ES155" s="634">
        <f t="shared" si="269"/>
        <v>0</v>
      </c>
      <c r="ET155" s="615">
        <f t="shared" si="270"/>
        <v>0</v>
      </c>
      <c r="EU155" s="615">
        <f t="shared" si="271"/>
        <v>0</v>
      </c>
      <c r="EW155" s="455" t="s">
        <v>691</v>
      </c>
      <c r="EX155" s="459" t="s">
        <v>46</v>
      </c>
      <c r="EY155" s="456" t="s">
        <v>372</v>
      </c>
      <c r="EZ155" s="598">
        <f>DQ155</f>
        <v>0.2</v>
      </c>
      <c r="FA155" s="598"/>
      <c r="FB155" s="598"/>
      <c r="FC155" s="598"/>
      <c r="FD155" s="598"/>
      <c r="FE155" s="598"/>
      <c r="FF155" s="598"/>
      <c r="FG155" s="598"/>
      <c r="FH155" s="598"/>
      <c r="FI155" s="598"/>
      <c r="FJ155" s="664"/>
      <c r="FK155" s="650"/>
      <c r="FL155" s="650"/>
    </row>
    <row r="156" spans="2:168">
      <c r="B156" s="732" t="str">
        <f t="shared" si="210"/>
        <v>2.5</v>
      </c>
      <c r="C156" s="408" t="str">
        <f t="shared" si="230"/>
        <v>持続可能な森林から産出された木材</v>
      </c>
      <c r="D156" s="731" t="e">
        <f t="shared" si="267"/>
        <v>#REF!</v>
      </c>
      <c r="E156" s="730" t="e">
        <f t="shared" si="267"/>
        <v>#REF!</v>
      </c>
      <c r="G156" s="730" t="e">
        <f t="shared" si="231"/>
        <v>#REF!</v>
      </c>
      <c r="H156" s="730" t="e">
        <f t="shared" si="232"/>
        <v>#REF!</v>
      </c>
      <c r="I156" s="730"/>
      <c r="J156" s="730"/>
      <c r="K156" s="730" t="e">
        <f>IF(#REF!=0,0,1)</f>
        <v>#REF!</v>
      </c>
      <c r="L156" s="730" t="e">
        <f>IF(#REF!=0,0,1)</f>
        <v>#REF!</v>
      </c>
      <c r="M156" s="730">
        <f t="shared" si="233"/>
        <v>0.1</v>
      </c>
      <c r="N156" s="730">
        <f t="shared" si="268"/>
        <v>0</v>
      </c>
      <c r="P156" s="832"/>
      <c r="Q156" s="778">
        <v>2.5</v>
      </c>
      <c r="R156" s="743" t="s">
        <v>304</v>
      </c>
      <c r="S156" s="579"/>
      <c r="T156" s="745"/>
      <c r="U156" s="726"/>
      <c r="V156" s="747">
        <f t="shared" si="263"/>
        <v>0</v>
      </c>
      <c r="W156" s="746">
        <f t="shared" si="264"/>
        <v>0</v>
      </c>
      <c r="Y156" s="1">
        <f t="shared" si="250"/>
        <v>0</v>
      </c>
      <c r="Z156" s="1">
        <f t="shared" si="251"/>
        <v>0</v>
      </c>
      <c r="AA156" s="1">
        <f t="shared" si="252"/>
        <v>0</v>
      </c>
      <c r="AB156" s="1">
        <f t="shared" si="253"/>
        <v>0</v>
      </c>
      <c r="AC156" s="1">
        <f t="shared" si="254"/>
        <v>0</v>
      </c>
      <c r="AD156" s="1">
        <f t="shared" si="255"/>
        <v>0</v>
      </c>
      <c r="AE156" s="1">
        <f t="shared" si="256"/>
        <v>0</v>
      </c>
      <c r="AF156" s="1">
        <f t="shared" si="257"/>
        <v>0</v>
      </c>
      <c r="AG156" s="1">
        <f t="shared" si="258"/>
        <v>0</v>
      </c>
      <c r="AH156" s="1">
        <f t="shared" si="259"/>
        <v>0</v>
      </c>
      <c r="AI156" s="1">
        <f t="shared" si="260"/>
        <v>0</v>
      </c>
      <c r="AJ156" s="1">
        <f t="shared" si="261"/>
        <v>0</v>
      </c>
      <c r="AK156" s="1">
        <f t="shared" si="262"/>
        <v>0</v>
      </c>
      <c r="AM156" s="680"/>
      <c r="AN156" s="680"/>
      <c r="AO156" s="680"/>
      <c r="AP156" s="680"/>
      <c r="AQ156" s="680"/>
      <c r="AR156" s="680"/>
      <c r="AS156" s="680"/>
      <c r="AT156" s="680"/>
      <c r="AU156" s="680"/>
      <c r="AV156" s="680"/>
      <c r="AW156" s="680"/>
      <c r="AX156" s="680"/>
      <c r="AY156" s="680"/>
      <c r="BA156" s="723"/>
      <c r="BB156" s="723" t="e">
        <f t="shared" si="228"/>
        <v>#REF!</v>
      </c>
      <c r="BC156" s="723"/>
      <c r="BD156" s="722" t="e">
        <f>BR156*#REF!</f>
        <v>#REF!</v>
      </c>
      <c r="BE156" s="722" t="e">
        <f>BS156*#REF!</f>
        <v>#REF!</v>
      </c>
      <c r="BF156" s="722" t="e">
        <f>BT156*#REF!</f>
        <v>#REF!</v>
      </c>
      <c r="BG156" s="722" t="e">
        <f>BU156*#REF!</f>
        <v>#REF!</v>
      </c>
      <c r="BH156" s="803" t="e">
        <f>BV156*#REF!</f>
        <v>#REF!</v>
      </c>
      <c r="BI156" s="722" t="e">
        <f>BW156*#REF!</f>
        <v>#REF!</v>
      </c>
      <c r="BJ156" s="722" t="e">
        <f>BX156*#REF!</f>
        <v>#REF!</v>
      </c>
      <c r="BK156" s="722" t="e">
        <f>BY156*#REF!</f>
        <v>#REF!</v>
      </c>
      <c r="BL156" s="722" t="e">
        <f>BZ156*#REF!</f>
        <v>#REF!</v>
      </c>
      <c r="BM156" s="722" t="e">
        <f>CA156*#REF!</f>
        <v>#REF!</v>
      </c>
      <c r="BO156" s="749" t="str">
        <f t="shared" si="234"/>
        <v>2.5</v>
      </c>
      <c r="BP156" s="749" t="str">
        <f t="shared" si="235"/>
        <v>LR2 2</v>
      </c>
      <c r="BQ156" s="408" t="str">
        <f t="shared" si="236"/>
        <v>持続可能な森林から産出された木材</v>
      </c>
      <c r="BR156" s="719">
        <f t="shared" si="237"/>
        <v>0.1</v>
      </c>
      <c r="BS156" s="719">
        <f t="shared" si="238"/>
        <v>0.1</v>
      </c>
      <c r="BT156" s="719">
        <f t="shared" si="239"/>
        <v>0.1</v>
      </c>
      <c r="BU156" s="719">
        <f t="shared" si="240"/>
        <v>0.1</v>
      </c>
      <c r="BV156" s="802">
        <f t="shared" si="241"/>
        <v>0.1</v>
      </c>
      <c r="BW156" s="719">
        <f t="shared" si="242"/>
        <v>0.1</v>
      </c>
      <c r="BX156" s="719">
        <f t="shared" si="243"/>
        <v>0.1</v>
      </c>
      <c r="BY156" s="719">
        <f t="shared" si="244"/>
        <v>0.1</v>
      </c>
      <c r="BZ156" s="719">
        <f t="shared" si="245"/>
        <v>0.1</v>
      </c>
      <c r="CA156" s="719">
        <f t="shared" si="246"/>
        <v>0.1</v>
      </c>
      <c r="CB156" s="801">
        <f t="shared" si="247"/>
        <v>0</v>
      </c>
      <c r="CC156" s="800">
        <f t="shared" si="248"/>
        <v>0</v>
      </c>
      <c r="CD156" s="800">
        <f t="shared" si="249"/>
        <v>0</v>
      </c>
      <c r="CF156" s="455" t="s">
        <v>693</v>
      </c>
      <c r="CG156" s="459" t="s">
        <v>46</v>
      </c>
      <c r="CH156" s="456" t="s">
        <v>694</v>
      </c>
      <c r="CI156" s="461">
        <v>0.1</v>
      </c>
      <c r="CJ156" s="461">
        <v>0.1</v>
      </c>
      <c r="CK156" s="461">
        <v>0.1</v>
      </c>
      <c r="CL156" s="461">
        <v>0.1</v>
      </c>
      <c r="CM156" s="461">
        <v>0.1</v>
      </c>
      <c r="CN156" s="461">
        <v>0.1</v>
      </c>
      <c r="CO156" s="461">
        <v>0.1</v>
      </c>
      <c r="CP156" s="461">
        <v>0.1</v>
      </c>
      <c r="CQ156" s="461">
        <v>0.1</v>
      </c>
      <c r="CR156" s="461">
        <v>0.1</v>
      </c>
      <c r="CS156" s="516"/>
      <c r="CT156" s="473"/>
      <c r="CU156" s="473"/>
      <c r="CW156" s="455" t="s">
        <v>693</v>
      </c>
      <c r="CX156" s="459" t="s">
        <v>46</v>
      </c>
      <c r="CY156" s="456" t="s">
        <v>694</v>
      </c>
      <c r="CZ156" s="461">
        <v>0.1</v>
      </c>
      <c r="DA156" s="461">
        <v>0.1</v>
      </c>
      <c r="DB156" s="461">
        <v>0.1</v>
      </c>
      <c r="DC156" s="461">
        <v>0.1</v>
      </c>
      <c r="DD156" s="461">
        <v>0.1</v>
      </c>
      <c r="DE156" s="461">
        <v>0.1</v>
      </c>
      <c r="DF156" s="461">
        <v>0.1</v>
      </c>
      <c r="DG156" s="461">
        <v>0.1</v>
      </c>
      <c r="DH156" s="461">
        <v>0.1</v>
      </c>
      <c r="DI156" s="461">
        <v>0.1</v>
      </c>
      <c r="DJ156" s="516"/>
      <c r="DK156" s="473"/>
      <c r="DL156" s="473"/>
      <c r="DN156" s="455" t="s">
        <v>693</v>
      </c>
      <c r="DO156" s="459" t="s">
        <v>46</v>
      </c>
      <c r="DP156" s="456" t="s">
        <v>694</v>
      </c>
      <c r="DQ156" s="461">
        <v>0.1</v>
      </c>
      <c r="DR156" s="461">
        <v>0.1</v>
      </c>
      <c r="DS156" s="461">
        <v>0.1</v>
      </c>
      <c r="DT156" s="461">
        <v>0.1</v>
      </c>
      <c r="DU156" s="461">
        <v>0.1</v>
      </c>
      <c r="DV156" s="461">
        <v>0.1</v>
      </c>
      <c r="DW156" s="461">
        <v>0.1</v>
      </c>
      <c r="DX156" s="461">
        <v>0.1</v>
      </c>
      <c r="DY156" s="461">
        <v>0.1</v>
      </c>
      <c r="DZ156" s="461">
        <v>0.1</v>
      </c>
      <c r="EA156" s="516"/>
      <c r="EB156" s="473"/>
      <c r="EC156" s="473"/>
      <c r="ED156" s="549"/>
      <c r="EF156" s="455" t="s">
        <v>693</v>
      </c>
      <c r="EG156" s="459" t="s">
        <v>46</v>
      </c>
      <c r="EH156" s="456" t="s">
        <v>694</v>
      </c>
      <c r="EI156" s="598">
        <v>0.04</v>
      </c>
      <c r="EJ156" s="598">
        <v>0.04</v>
      </c>
      <c r="EK156" s="598">
        <v>0.04</v>
      </c>
      <c r="EL156" s="598">
        <v>0.04</v>
      </c>
      <c r="EM156" s="598">
        <v>0.04</v>
      </c>
      <c r="EN156" s="598">
        <v>0.04</v>
      </c>
      <c r="EO156" s="598">
        <v>0.04</v>
      </c>
      <c r="EP156" s="598">
        <v>0.04</v>
      </c>
      <c r="EQ156" s="598">
        <v>0.04</v>
      </c>
      <c r="ER156" s="598">
        <v>0.04</v>
      </c>
      <c r="ES156" s="634">
        <f t="shared" si="269"/>
        <v>0</v>
      </c>
      <c r="ET156" s="615">
        <f t="shared" si="270"/>
        <v>0</v>
      </c>
      <c r="EU156" s="615">
        <f t="shared" si="271"/>
        <v>0</v>
      </c>
      <c r="EW156" s="455" t="s">
        <v>693</v>
      </c>
      <c r="EX156" s="459" t="s">
        <v>46</v>
      </c>
      <c r="EY156" s="456" t="s">
        <v>694</v>
      </c>
      <c r="EZ156" s="666">
        <v>0.4</v>
      </c>
      <c r="FA156" s="598"/>
      <c r="FB156" s="598"/>
      <c r="FC156" s="598"/>
      <c r="FD156" s="598"/>
      <c r="FE156" s="598"/>
      <c r="FF156" s="598"/>
      <c r="FG156" s="598"/>
      <c r="FH156" s="598"/>
      <c r="FI156" s="598"/>
      <c r="FJ156" s="664"/>
      <c r="FK156" s="650"/>
      <c r="FL156" s="650"/>
    </row>
    <row r="157" spans="2:168" ht="14.25" thickBot="1">
      <c r="B157" s="732" t="str">
        <f t="shared" si="210"/>
        <v>2.6</v>
      </c>
      <c r="C157" s="408" t="str">
        <f t="shared" si="230"/>
        <v>部材の再利用可能性向上への取組み</v>
      </c>
      <c r="D157" s="731" t="e">
        <f t="shared" si="267"/>
        <v>#REF!</v>
      </c>
      <c r="E157" s="730" t="e">
        <f t="shared" si="267"/>
        <v>#REF!</v>
      </c>
      <c r="G157" s="730" t="e">
        <f t="shared" si="231"/>
        <v>#REF!</v>
      </c>
      <c r="H157" s="730" t="e">
        <f t="shared" si="232"/>
        <v>#REF!</v>
      </c>
      <c r="I157" s="730"/>
      <c r="J157" s="730"/>
      <c r="K157" s="730" t="e">
        <f>IF(#REF!=0,0,1)</f>
        <v>#REF!</v>
      </c>
      <c r="L157" s="730" t="e">
        <f>IF(#REF!=0,0,1)</f>
        <v>#REF!</v>
      </c>
      <c r="M157" s="730">
        <f t="shared" si="233"/>
        <v>0.2</v>
      </c>
      <c r="N157" s="730">
        <f t="shared" si="268"/>
        <v>0</v>
      </c>
      <c r="P157" s="832"/>
      <c r="Q157" s="744">
        <v>2.6</v>
      </c>
      <c r="R157" s="743" t="s">
        <v>305</v>
      </c>
      <c r="S157" s="579"/>
      <c r="T157" s="745"/>
      <c r="U157" s="726"/>
      <c r="V157" s="725">
        <f t="shared" si="263"/>
        <v>0</v>
      </c>
      <c r="W157" s="724">
        <f t="shared" si="264"/>
        <v>0</v>
      </c>
      <c r="Y157" s="1">
        <f t="shared" si="250"/>
        <v>0</v>
      </c>
      <c r="Z157" s="1">
        <f t="shared" si="251"/>
        <v>0</v>
      </c>
      <c r="AA157" s="1">
        <f t="shared" si="252"/>
        <v>0</v>
      </c>
      <c r="AB157" s="1">
        <f t="shared" si="253"/>
        <v>0</v>
      </c>
      <c r="AC157" s="1">
        <f t="shared" si="254"/>
        <v>0</v>
      </c>
      <c r="AD157" s="1">
        <f t="shared" si="255"/>
        <v>0</v>
      </c>
      <c r="AE157" s="1">
        <f t="shared" si="256"/>
        <v>0</v>
      </c>
      <c r="AF157" s="1">
        <f t="shared" si="257"/>
        <v>0</v>
      </c>
      <c r="AG157" s="1">
        <f t="shared" si="258"/>
        <v>0</v>
      </c>
      <c r="AH157" s="1">
        <f t="shared" si="259"/>
        <v>0</v>
      </c>
      <c r="AI157" s="1">
        <f t="shared" si="260"/>
        <v>0</v>
      </c>
      <c r="AJ157" s="1">
        <f t="shared" si="261"/>
        <v>0</v>
      </c>
      <c r="AK157" s="1">
        <f t="shared" si="262"/>
        <v>0</v>
      </c>
      <c r="AM157" s="683"/>
      <c r="AN157" s="683"/>
      <c r="AO157" s="683"/>
      <c r="AP157" s="683"/>
      <c r="AQ157" s="683"/>
      <c r="AR157" s="683"/>
      <c r="AS157" s="683"/>
      <c r="AT157" s="683"/>
      <c r="AU157" s="683"/>
      <c r="AV157" s="683"/>
      <c r="AW157" s="683"/>
      <c r="AX157" s="683"/>
      <c r="AY157" s="683"/>
      <c r="BA157" s="723"/>
      <c r="BB157" s="723" t="e">
        <f t="shared" si="228"/>
        <v>#REF!</v>
      </c>
      <c r="BC157" s="723"/>
      <c r="BD157" s="722" t="e">
        <f>BR157*#REF!</f>
        <v>#REF!</v>
      </c>
      <c r="BE157" s="722" t="e">
        <f>BS157*#REF!</f>
        <v>#REF!</v>
      </c>
      <c r="BF157" s="722" t="e">
        <f>BT157*#REF!</f>
        <v>#REF!</v>
      </c>
      <c r="BG157" s="722" t="e">
        <f>BU157*#REF!</f>
        <v>#REF!</v>
      </c>
      <c r="BH157" s="803" t="e">
        <f>BV157*#REF!</f>
        <v>#REF!</v>
      </c>
      <c r="BI157" s="722" t="e">
        <f>BW157*#REF!</f>
        <v>#REF!</v>
      </c>
      <c r="BJ157" s="722" t="e">
        <f>BX157*#REF!</f>
        <v>#REF!</v>
      </c>
      <c r="BK157" s="722" t="e">
        <f>BY157*#REF!</f>
        <v>#REF!</v>
      </c>
      <c r="BL157" s="722" t="e">
        <f>BZ157*#REF!</f>
        <v>#REF!</v>
      </c>
      <c r="BM157" s="722" t="e">
        <f>CA157*#REF!</f>
        <v>#REF!</v>
      </c>
      <c r="BO157" s="749" t="str">
        <f t="shared" si="234"/>
        <v>2.6</v>
      </c>
      <c r="BP157" s="749" t="str">
        <f t="shared" si="235"/>
        <v>LR2 2</v>
      </c>
      <c r="BQ157" s="408" t="str">
        <f t="shared" si="236"/>
        <v>部材の再利用可能性向上への取組み</v>
      </c>
      <c r="BR157" s="719">
        <f t="shared" si="237"/>
        <v>0.2</v>
      </c>
      <c r="BS157" s="719">
        <f t="shared" si="238"/>
        <v>0.2</v>
      </c>
      <c r="BT157" s="719">
        <f t="shared" si="239"/>
        <v>0.2</v>
      </c>
      <c r="BU157" s="719">
        <f t="shared" si="240"/>
        <v>0.2</v>
      </c>
      <c r="BV157" s="802">
        <f t="shared" si="241"/>
        <v>0.2</v>
      </c>
      <c r="BW157" s="719">
        <f t="shared" si="242"/>
        <v>0.2</v>
      </c>
      <c r="BX157" s="719">
        <f t="shared" si="243"/>
        <v>0.2</v>
      </c>
      <c r="BY157" s="719">
        <f t="shared" si="244"/>
        <v>0.2</v>
      </c>
      <c r="BZ157" s="719">
        <f t="shared" si="245"/>
        <v>0.2</v>
      </c>
      <c r="CA157" s="719">
        <f t="shared" si="246"/>
        <v>0.2</v>
      </c>
      <c r="CB157" s="801">
        <f t="shared" si="247"/>
        <v>0</v>
      </c>
      <c r="CC157" s="800">
        <f t="shared" si="248"/>
        <v>0</v>
      </c>
      <c r="CD157" s="800">
        <f t="shared" si="249"/>
        <v>0</v>
      </c>
      <c r="CF157" s="455" t="s">
        <v>343</v>
      </c>
      <c r="CG157" s="459" t="s">
        <v>46</v>
      </c>
      <c r="CH157" s="456" t="s">
        <v>305</v>
      </c>
      <c r="CI157" s="461">
        <v>0.2</v>
      </c>
      <c r="CJ157" s="461">
        <v>0.2</v>
      </c>
      <c r="CK157" s="461">
        <v>0.2</v>
      </c>
      <c r="CL157" s="461">
        <v>0.2</v>
      </c>
      <c r="CM157" s="461">
        <v>0.2</v>
      </c>
      <c r="CN157" s="461">
        <v>0.2</v>
      </c>
      <c r="CO157" s="461">
        <v>0.2</v>
      </c>
      <c r="CP157" s="461">
        <v>0.2</v>
      </c>
      <c r="CQ157" s="461">
        <v>0.2</v>
      </c>
      <c r="CR157" s="461">
        <v>0.2</v>
      </c>
      <c r="CS157" s="516"/>
      <c r="CT157" s="473"/>
      <c r="CU157" s="473"/>
      <c r="CW157" s="455" t="s">
        <v>343</v>
      </c>
      <c r="CX157" s="459" t="s">
        <v>46</v>
      </c>
      <c r="CY157" s="456" t="s">
        <v>305</v>
      </c>
      <c r="CZ157" s="461">
        <v>0.2</v>
      </c>
      <c r="DA157" s="461">
        <v>0.2</v>
      </c>
      <c r="DB157" s="461">
        <v>0.2</v>
      </c>
      <c r="DC157" s="461">
        <v>0.2</v>
      </c>
      <c r="DD157" s="461">
        <v>0.2</v>
      </c>
      <c r="DE157" s="461">
        <v>0.2</v>
      </c>
      <c r="DF157" s="461">
        <v>0.2</v>
      </c>
      <c r="DG157" s="461">
        <v>0.2</v>
      </c>
      <c r="DH157" s="461">
        <v>0.2</v>
      </c>
      <c r="DI157" s="461">
        <v>0.2</v>
      </c>
      <c r="DJ157" s="516"/>
      <c r="DK157" s="473"/>
      <c r="DL157" s="473"/>
      <c r="DN157" s="455" t="s">
        <v>343</v>
      </c>
      <c r="DO157" s="459" t="s">
        <v>46</v>
      </c>
      <c r="DP157" s="456" t="s">
        <v>305</v>
      </c>
      <c r="DQ157" s="461">
        <v>0.2</v>
      </c>
      <c r="DR157" s="461">
        <v>0.2</v>
      </c>
      <c r="DS157" s="461">
        <v>0.2</v>
      </c>
      <c r="DT157" s="461">
        <v>0.2</v>
      </c>
      <c r="DU157" s="461">
        <v>0.2</v>
      </c>
      <c r="DV157" s="461">
        <v>0.2</v>
      </c>
      <c r="DW157" s="461">
        <v>0.2</v>
      </c>
      <c r="DX157" s="461">
        <v>0.2</v>
      </c>
      <c r="DY157" s="461">
        <v>0.2</v>
      </c>
      <c r="DZ157" s="461">
        <v>0.2</v>
      </c>
      <c r="EA157" s="516"/>
      <c r="EB157" s="473"/>
      <c r="EC157" s="473"/>
      <c r="ED157" s="549"/>
      <c r="EF157" s="455" t="s">
        <v>343</v>
      </c>
      <c r="EG157" s="459" t="s">
        <v>46</v>
      </c>
      <c r="EH157" s="456"/>
      <c r="EI157" s="598">
        <v>0</v>
      </c>
      <c r="EJ157" s="598">
        <v>0</v>
      </c>
      <c r="EK157" s="598">
        <v>0</v>
      </c>
      <c r="EL157" s="598">
        <v>0</v>
      </c>
      <c r="EM157" s="598">
        <v>0</v>
      </c>
      <c r="EN157" s="598">
        <v>0</v>
      </c>
      <c r="EO157" s="598">
        <v>0</v>
      </c>
      <c r="EP157" s="598">
        <v>0</v>
      </c>
      <c r="EQ157" s="598">
        <v>0</v>
      </c>
      <c r="ER157" s="598">
        <v>0</v>
      </c>
      <c r="ES157" s="634">
        <f t="shared" si="269"/>
        <v>0</v>
      </c>
      <c r="ET157" s="615">
        <f t="shared" si="270"/>
        <v>0</v>
      </c>
      <c r="EU157" s="615">
        <f t="shared" si="271"/>
        <v>0</v>
      </c>
      <c r="EW157" s="455" t="s">
        <v>343</v>
      </c>
      <c r="EX157" s="459" t="s">
        <v>46</v>
      </c>
      <c r="EY157" s="456" t="s">
        <v>305</v>
      </c>
      <c r="EZ157" s="666">
        <v>0.4</v>
      </c>
      <c r="FA157" s="598"/>
      <c r="FB157" s="598"/>
      <c r="FC157" s="598"/>
      <c r="FD157" s="598"/>
      <c r="FE157" s="598"/>
      <c r="FF157" s="598"/>
      <c r="FG157" s="598"/>
      <c r="FH157" s="598"/>
      <c r="FI157" s="598"/>
      <c r="FJ157" s="664"/>
      <c r="FK157" s="650"/>
      <c r="FL157" s="650"/>
    </row>
    <row r="158" spans="2:168" hidden="1">
      <c r="B158" s="732" t="str">
        <f t="shared" si="210"/>
        <v>2.6</v>
      </c>
      <c r="C158" s="408">
        <f t="shared" si="230"/>
        <v>0</v>
      </c>
      <c r="D158" s="731" t="e">
        <f t="shared" si="267"/>
        <v>#REF!</v>
      </c>
      <c r="E158" s="731" t="e">
        <f t="shared" si="267"/>
        <v>#REF!</v>
      </c>
      <c r="G158" s="730" t="e">
        <f t="shared" si="231"/>
        <v>#REF!</v>
      </c>
      <c r="H158" s="730" t="e">
        <f t="shared" si="232"/>
        <v>#REF!</v>
      </c>
      <c r="I158" s="730" t="e">
        <f>SUM(G159:G164)</f>
        <v>#REF!</v>
      </c>
      <c r="J158" s="730" t="e">
        <f>SUM(H159:H164)</f>
        <v>#REF!</v>
      </c>
      <c r="K158" s="730" t="e">
        <f>IF(#REF!=0,0,1)</f>
        <v>#REF!</v>
      </c>
      <c r="L158" s="730" t="e">
        <f>IF(#REF!=0,0,1)</f>
        <v>#REF!</v>
      </c>
      <c r="M158" s="730">
        <f t="shared" si="233"/>
        <v>0</v>
      </c>
      <c r="N158" s="730">
        <f t="shared" si="268"/>
        <v>0</v>
      </c>
      <c r="P158" s="832"/>
      <c r="Q158" s="833">
        <v>2.6</v>
      </c>
      <c r="R158" s="828" t="s">
        <v>305</v>
      </c>
      <c r="S158" s="827"/>
      <c r="T158" s="826"/>
      <c r="U158" s="726"/>
      <c r="V158" s="747">
        <f t="shared" si="263"/>
        <v>0</v>
      </c>
      <c r="W158" s="746">
        <f t="shared" si="264"/>
        <v>0</v>
      </c>
      <c r="Y158" s="1">
        <f t="shared" si="250"/>
        <v>0</v>
      </c>
      <c r="Z158" s="1">
        <f t="shared" si="251"/>
        <v>0</v>
      </c>
      <c r="AA158" s="1">
        <f t="shared" si="252"/>
        <v>0</v>
      </c>
      <c r="AB158" s="1">
        <f t="shared" si="253"/>
        <v>0</v>
      </c>
      <c r="AC158" s="1">
        <f t="shared" si="254"/>
        <v>0</v>
      </c>
      <c r="AD158" s="1">
        <f t="shared" si="255"/>
        <v>0</v>
      </c>
      <c r="AE158" s="1">
        <f t="shared" si="256"/>
        <v>0</v>
      </c>
      <c r="AF158" s="1">
        <f t="shared" si="257"/>
        <v>0</v>
      </c>
      <c r="AG158" s="1">
        <f t="shared" si="258"/>
        <v>0</v>
      </c>
      <c r="AH158" s="1">
        <f t="shared" si="259"/>
        <v>0</v>
      </c>
      <c r="AI158" s="1">
        <f t="shared" si="260"/>
        <v>0</v>
      </c>
      <c r="AJ158" s="1">
        <f t="shared" si="261"/>
        <v>0</v>
      </c>
      <c r="AK158" s="1">
        <f t="shared" si="262"/>
        <v>0</v>
      </c>
      <c r="AM158" s="772"/>
      <c r="AN158" s="772"/>
      <c r="AO158" s="772"/>
      <c r="AP158" s="772"/>
      <c r="AQ158" s="772"/>
      <c r="AR158" s="772"/>
      <c r="AS158" s="772"/>
      <c r="AT158" s="772"/>
      <c r="AU158" s="772"/>
      <c r="AV158" s="772"/>
      <c r="AW158" s="772"/>
      <c r="AX158" s="772"/>
      <c r="AY158" s="772"/>
      <c r="BA158" s="723"/>
      <c r="BB158" s="723" t="e">
        <f t="shared" si="228"/>
        <v>#REF!</v>
      </c>
      <c r="BC158" s="723"/>
      <c r="BD158" s="722" t="e">
        <f>BR158*#REF!</f>
        <v>#REF!</v>
      </c>
      <c r="BE158" s="722" t="e">
        <f>BS158*#REF!</f>
        <v>#REF!</v>
      </c>
      <c r="BF158" s="722" t="e">
        <f>BT158*#REF!</f>
        <v>#REF!</v>
      </c>
      <c r="BG158" s="722" t="e">
        <f>BU158*#REF!</f>
        <v>#REF!</v>
      </c>
      <c r="BH158" s="803" t="e">
        <f>BV158*#REF!</f>
        <v>#REF!</v>
      </c>
      <c r="BI158" s="722" t="e">
        <f>BW158*#REF!</f>
        <v>#REF!</v>
      </c>
      <c r="BJ158" s="722" t="e">
        <f>BX158*#REF!</f>
        <v>#REF!</v>
      </c>
      <c r="BK158" s="722" t="e">
        <f>BY158*#REF!</f>
        <v>#REF!</v>
      </c>
      <c r="BL158" s="722" t="e">
        <f>BZ158*#REF!</f>
        <v>#REF!</v>
      </c>
      <c r="BM158" s="722" t="e">
        <f>CA158*#REF!</f>
        <v>#REF!</v>
      </c>
      <c r="BO158" s="749" t="str">
        <f t="shared" si="234"/>
        <v>2.6</v>
      </c>
      <c r="BP158" s="749" t="str">
        <f t="shared" si="235"/>
        <v>LR2 2</v>
      </c>
      <c r="BQ158" s="408">
        <f t="shared" si="236"/>
        <v>0</v>
      </c>
      <c r="BR158" s="719">
        <f t="shared" si="237"/>
        <v>0</v>
      </c>
      <c r="BS158" s="719">
        <f t="shared" si="238"/>
        <v>0</v>
      </c>
      <c r="BT158" s="719">
        <f t="shared" si="239"/>
        <v>0</v>
      </c>
      <c r="BU158" s="719">
        <f t="shared" si="240"/>
        <v>0</v>
      </c>
      <c r="BV158" s="802">
        <f t="shared" si="241"/>
        <v>0</v>
      </c>
      <c r="BW158" s="719">
        <f t="shared" si="242"/>
        <v>0</v>
      </c>
      <c r="BX158" s="719">
        <f t="shared" si="243"/>
        <v>0</v>
      </c>
      <c r="BY158" s="719">
        <f t="shared" si="244"/>
        <v>0</v>
      </c>
      <c r="BZ158" s="719">
        <f t="shared" si="245"/>
        <v>0</v>
      </c>
      <c r="CA158" s="719">
        <f t="shared" si="246"/>
        <v>0</v>
      </c>
      <c r="CB158" s="801">
        <f t="shared" si="247"/>
        <v>0</v>
      </c>
      <c r="CC158" s="800">
        <f t="shared" si="248"/>
        <v>0</v>
      </c>
      <c r="CD158" s="800">
        <f t="shared" si="249"/>
        <v>0</v>
      </c>
      <c r="CF158" s="455"/>
      <c r="CG158" s="459"/>
      <c r="CH158" s="456"/>
      <c r="CI158" s="461"/>
      <c r="CJ158" s="461"/>
      <c r="CK158" s="461"/>
      <c r="CL158" s="461"/>
      <c r="CM158" s="461"/>
      <c r="CN158" s="461"/>
      <c r="CO158" s="461"/>
      <c r="CP158" s="461"/>
      <c r="CQ158" s="461"/>
      <c r="CR158" s="461"/>
      <c r="CS158" s="516"/>
      <c r="CT158" s="473"/>
      <c r="CU158" s="473"/>
      <c r="CW158" s="455"/>
      <c r="CX158" s="459"/>
      <c r="CY158" s="456"/>
      <c r="CZ158" s="461"/>
      <c r="DA158" s="461"/>
      <c r="DB158" s="461"/>
      <c r="DC158" s="461"/>
      <c r="DD158" s="461"/>
      <c r="DE158" s="461"/>
      <c r="DF158" s="461"/>
      <c r="DG158" s="461"/>
      <c r="DH158" s="461"/>
      <c r="DI158" s="461"/>
      <c r="DJ158" s="516"/>
      <c r="DK158" s="473"/>
      <c r="DL158" s="473"/>
      <c r="DN158" s="455" t="s">
        <v>343</v>
      </c>
      <c r="DO158" s="459" t="s">
        <v>46</v>
      </c>
      <c r="DP158" s="456"/>
      <c r="DQ158" s="461"/>
      <c r="DR158" s="461"/>
      <c r="DS158" s="461"/>
      <c r="DT158" s="461"/>
      <c r="DU158" s="461"/>
      <c r="DV158" s="461"/>
      <c r="DW158" s="461"/>
      <c r="DX158" s="461"/>
      <c r="DY158" s="461"/>
      <c r="DZ158" s="461"/>
      <c r="EA158" s="516"/>
      <c r="EB158" s="473"/>
      <c r="EC158" s="473"/>
      <c r="ED158" s="549"/>
      <c r="EF158" s="455" t="s">
        <v>343</v>
      </c>
      <c r="EG158" s="459" t="s">
        <v>46</v>
      </c>
      <c r="EH158" s="456" t="s">
        <v>732</v>
      </c>
      <c r="EI158" s="598">
        <v>0.65</v>
      </c>
      <c r="EJ158" s="598">
        <v>0.65</v>
      </c>
      <c r="EK158" s="598">
        <v>0.65</v>
      </c>
      <c r="EL158" s="598">
        <v>0.65</v>
      </c>
      <c r="EM158" s="598">
        <v>0.65</v>
      </c>
      <c r="EN158" s="598">
        <v>0.65</v>
      </c>
      <c r="EO158" s="598">
        <v>0.65</v>
      </c>
      <c r="EP158" s="598">
        <v>0.65</v>
      </c>
      <c r="EQ158" s="598">
        <v>0.65</v>
      </c>
      <c r="ER158" s="598">
        <v>0.65</v>
      </c>
      <c r="ES158" s="634">
        <f t="shared" si="269"/>
        <v>0</v>
      </c>
      <c r="ET158" s="615">
        <f t="shared" si="270"/>
        <v>0</v>
      </c>
      <c r="EU158" s="615">
        <f t="shared" si="271"/>
        <v>0</v>
      </c>
      <c r="EW158" s="455" t="s">
        <v>827</v>
      </c>
      <c r="EX158" s="459" t="s">
        <v>46</v>
      </c>
      <c r="EY158" s="456"/>
      <c r="EZ158" s="598">
        <f t="shared" ref="EZ158:EZ166" si="272">DQ158</f>
        <v>0</v>
      </c>
      <c r="FA158" s="598"/>
      <c r="FB158" s="598"/>
      <c r="FC158" s="598"/>
      <c r="FD158" s="598"/>
      <c r="FE158" s="598"/>
      <c r="FF158" s="598"/>
      <c r="FG158" s="598"/>
      <c r="FH158" s="598"/>
      <c r="FI158" s="598"/>
      <c r="FJ158" s="664"/>
      <c r="FK158" s="650"/>
      <c r="FL158" s="650"/>
    </row>
    <row r="159" spans="2:168" hidden="1">
      <c r="B159" s="732" t="s">
        <v>826</v>
      </c>
      <c r="C159" s="408">
        <f t="shared" si="230"/>
        <v>0</v>
      </c>
      <c r="D159" s="809" t="e">
        <f t="shared" ref="D159:E164" si="273">IF(I$158&gt;0,G159/I$158,0)</f>
        <v>#REF!</v>
      </c>
      <c r="E159" s="809" t="e">
        <f t="shared" si="273"/>
        <v>#REF!</v>
      </c>
      <c r="G159" s="730" t="e">
        <f t="shared" si="231"/>
        <v>#REF!</v>
      </c>
      <c r="H159" s="730" t="e">
        <f t="shared" si="232"/>
        <v>#REF!</v>
      </c>
      <c r="I159" s="730"/>
      <c r="J159" s="730"/>
      <c r="K159" s="730" t="e">
        <f>IF(#REF!=0,0,1)</f>
        <v>#REF!</v>
      </c>
      <c r="L159" s="730" t="e">
        <f>IF(#REF!=0,0,1)</f>
        <v>#REF!</v>
      </c>
      <c r="M159" s="730">
        <f t="shared" si="233"/>
        <v>0</v>
      </c>
      <c r="N159" s="730">
        <f t="shared" si="268"/>
        <v>0</v>
      </c>
      <c r="P159" s="832"/>
      <c r="Q159" s="831"/>
      <c r="R159" s="830">
        <v>1</v>
      </c>
      <c r="S159" s="827" t="s">
        <v>735</v>
      </c>
      <c r="T159" s="826"/>
      <c r="U159" s="726"/>
      <c r="V159" s="747">
        <f t="shared" si="263"/>
        <v>0</v>
      </c>
      <c r="W159" s="746">
        <f t="shared" si="264"/>
        <v>0</v>
      </c>
      <c r="Y159" s="1">
        <f t="shared" si="250"/>
        <v>0</v>
      </c>
      <c r="Z159" s="1">
        <f t="shared" si="251"/>
        <v>0</v>
      </c>
      <c r="AA159" s="1">
        <f t="shared" si="252"/>
        <v>0</v>
      </c>
      <c r="AB159" s="1">
        <f t="shared" si="253"/>
        <v>0</v>
      </c>
      <c r="AC159" s="1">
        <f t="shared" si="254"/>
        <v>0</v>
      </c>
      <c r="AD159" s="1">
        <f t="shared" si="255"/>
        <v>0</v>
      </c>
      <c r="AE159" s="1">
        <f t="shared" si="256"/>
        <v>0</v>
      </c>
      <c r="AF159" s="1">
        <f t="shared" si="257"/>
        <v>0</v>
      </c>
      <c r="AG159" s="1">
        <f t="shared" si="258"/>
        <v>0</v>
      </c>
      <c r="AH159" s="1">
        <f t="shared" si="259"/>
        <v>0</v>
      </c>
      <c r="AI159" s="1">
        <f t="shared" si="260"/>
        <v>0</v>
      </c>
      <c r="AJ159" s="1">
        <f t="shared" si="261"/>
        <v>0</v>
      </c>
      <c r="AK159" s="1">
        <f t="shared" si="262"/>
        <v>0</v>
      </c>
      <c r="AM159" s="772"/>
      <c r="AN159" s="772"/>
      <c r="AO159" s="772"/>
      <c r="AP159" s="772"/>
      <c r="AQ159" s="772"/>
      <c r="AR159" s="772"/>
      <c r="AS159" s="772"/>
      <c r="AT159" s="772"/>
      <c r="AU159" s="772"/>
      <c r="AV159" s="772"/>
      <c r="AW159" s="772"/>
      <c r="AX159" s="772"/>
      <c r="AY159" s="772"/>
      <c r="BA159" s="723"/>
      <c r="BB159" s="723" t="e">
        <f t="shared" si="228"/>
        <v>#REF!</v>
      </c>
      <c r="BC159" s="723"/>
      <c r="BD159" s="722" t="e">
        <f>BR159*#REF!</f>
        <v>#REF!</v>
      </c>
      <c r="BE159" s="722" t="e">
        <f>BS159*#REF!</f>
        <v>#REF!</v>
      </c>
      <c r="BF159" s="722" t="e">
        <f>BT159*#REF!</f>
        <v>#REF!</v>
      </c>
      <c r="BG159" s="722" t="e">
        <f>BU159*#REF!</f>
        <v>#REF!</v>
      </c>
      <c r="BH159" s="803" t="e">
        <f>BV159*#REF!</f>
        <v>#REF!</v>
      </c>
      <c r="BI159" s="722" t="e">
        <f>BW159*#REF!</f>
        <v>#REF!</v>
      </c>
      <c r="BJ159" s="722" t="e">
        <f>BX159*#REF!</f>
        <v>#REF!</v>
      </c>
      <c r="BK159" s="722" t="e">
        <f>BY159*#REF!</f>
        <v>#REF!</v>
      </c>
      <c r="BL159" s="722" t="e">
        <f>BZ159*#REF!</f>
        <v>#REF!</v>
      </c>
      <c r="BM159" s="722" t="e">
        <f>CA159*#REF!</f>
        <v>#REF!</v>
      </c>
      <c r="BO159" s="749" t="str">
        <f t="shared" si="234"/>
        <v>2.6.1</v>
      </c>
      <c r="BP159" s="749" t="str">
        <f t="shared" si="235"/>
        <v>LR2 2.2</v>
      </c>
      <c r="BQ159" s="408">
        <f t="shared" si="236"/>
        <v>0</v>
      </c>
      <c r="BR159" s="719">
        <f t="shared" si="237"/>
        <v>0</v>
      </c>
      <c r="BS159" s="719">
        <f t="shared" si="238"/>
        <v>0</v>
      </c>
      <c r="BT159" s="719">
        <f t="shared" si="239"/>
        <v>0</v>
      </c>
      <c r="BU159" s="719">
        <f t="shared" si="240"/>
        <v>0</v>
      </c>
      <c r="BV159" s="802">
        <f t="shared" si="241"/>
        <v>0</v>
      </c>
      <c r="BW159" s="719">
        <f t="shared" si="242"/>
        <v>0</v>
      </c>
      <c r="BX159" s="719">
        <f t="shared" si="243"/>
        <v>0</v>
      </c>
      <c r="BY159" s="719">
        <f t="shared" si="244"/>
        <v>0</v>
      </c>
      <c r="BZ159" s="719">
        <f t="shared" si="245"/>
        <v>0</v>
      </c>
      <c r="CA159" s="719">
        <f t="shared" si="246"/>
        <v>0</v>
      </c>
      <c r="CB159" s="801">
        <f t="shared" si="247"/>
        <v>0</v>
      </c>
      <c r="CC159" s="800">
        <f t="shared" si="248"/>
        <v>0</v>
      </c>
      <c r="CD159" s="800">
        <f t="shared" si="249"/>
        <v>0</v>
      </c>
      <c r="CF159" s="455"/>
      <c r="CG159" s="459"/>
      <c r="CH159" s="456"/>
      <c r="CI159" s="461"/>
      <c r="CJ159" s="461"/>
      <c r="CK159" s="461"/>
      <c r="CL159" s="461"/>
      <c r="CM159" s="461"/>
      <c r="CN159" s="461"/>
      <c r="CO159" s="461"/>
      <c r="CP159" s="461"/>
      <c r="CQ159" s="461"/>
      <c r="CR159" s="461"/>
      <c r="CS159" s="516"/>
      <c r="CT159" s="473"/>
      <c r="CU159" s="473"/>
      <c r="CW159" s="455"/>
      <c r="CX159" s="459"/>
      <c r="CY159" s="456"/>
      <c r="CZ159" s="461"/>
      <c r="DA159" s="461"/>
      <c r="DB159" s="461"/>
      <c r="DC159" s="461"/>
      <c r="DD159" s="461"/>
      <c r="DE159" s="461"/>
      <c r="DF159" s="461"/>
      <c r="DG159" s="461"/>
      <c r="DH159" s="461"/>
      <c r="DI159" s="461"/>
      <c r="DJ159" s="516"/>
      <c r="DK159" s="473"/>
      <c r="DL159" s="473"/>
      <c r="DN159" s="455" t="s">
        <v>826</v>
      </c>
      <c r="DO159" s="459" t="s">
        <v>825</v>
      </c>
      <c r="DP159" s="456"/>
      <c r="DQ159" s="461"/>
      <c r="DR159" s="461"/>
      <c r="DS159" s="461"/>
      <c r="DT159" s="461"/>
      <c r="DU159" s="461"/>
      <c r="DV159" s="461"/>
      <c r="DW159" s="461"/>
      <c r="DX159" s="461"/>
      <c r="DY159" s="461"/>
      <c r="DZ159" s="461"/>
      <c r="EA159" s="516"/>
      <c r="EB159" s="473"/>
      <c r="EC159" s="473"/>
      <c r="ED159" s="549"/>
      <c r="EF159" s="455" t="s">
        <v>723</v>
      </c>
      <c r="EG159" s="459" t="s">
        <v>734</v>
      </c>
      <c r="EH159" s="456" t="s">
        <v>736</v>
      </c>
      <c r="EI159" s="598">
        <v>0.25</v>
      </c>
      <c r="EJ159" s="598">
        <v>0.25</v>
      </c>
      <c r="EK159" s="598">
        <v>0.25</v>
      </c>
      <c r="EL159" s="598">
        <v>0.25</v>
      </c>
      <c r="EM159" s="598">
        <v>0.25</v>
      </c>
      <c r="EN159" s="598">
        <v>0.25</v>
      </c>
      <c r="EO159" s="598">
        <v>0.25</v>
      </c>
      <c r="EP159" s="598">
        <v>0.25</v>
      </c>
      <c r="EQ159" s="598">
        <v>0.25</v>
      </c>
      <c r="ER159" s="598">
        <v>0.25</v>
      </c>
      <c r="ES159" s="634">
        <f t="shared" si="269"/>
        <v>0</v>
      </c>
      <c r="ET159" s="615">
        <f t="shared" si="270"/>
        <v>0</v>
      </c>
      <c r="EU159" s="615">
        <f t="shared" si="271"/>
        <v>0</v>
      </c>
      <c r="EW159" s="455" t="s">
        <v>723</v>
      </c>
      <c r="EX159" s="459" t="s">
        <v>734</v>
      </c>
      <c r="EY159" s="456"/>
      <c r="EZ159" s="598">
        <f t="shared" si="272"/>
        <v>0</v>
      </c>
      <c r="FA159" s="598"/>
      <c r="FB159" s="598"/>
      <c r="FC159" s="598"/>
      <c r="FD159" s="598"/>
      <c r="FE159" s="598"/>
      <c r="FF159" s="598"/>
      <c r="FG159" s="598"/>
      <c r="FH159" s="598"/>
      <c r="FI159" s="598"/>
      <c r="FJ159" s="664"/>
      <c r="FK159" s="650"/>
      <c r="FL159" s="650"/>
    </row>
    <row r="160" spans="2:168" hidden="1">
      <c r="B160" s="732" t="s">
        <v>724</v>
      </c>
      <c r="C160" s="408">
        <f t="shared" si="230"/>
        <v>0</v>
      </c>
      <c r="D160" s="809" t="e">
        <f t="shared" si="273"/>
        <v>#REF!</v>
      </c>
      <c r="E160" s="809" t="e">
        <f t="shared" si="273"/>
        <v>#REF!</v>
      </c>
      <c r="G160" s="730" t="e">
        <f t="shared" si="231"/>
        <v>#REF!</v>
      </c>
      <c r="H160" s="730" t="e">
        <f t="shared" si="232"/>
        <v>#REF!</v>
      </c>
      <c r="I160" s="730"/>
      <c r="J160" s="730"/>
      <c r="K160" s="730" t="e">
        <f>IF(#REF!=0,0,1)</f>
        <v>#REF!</v>
      </c>
      <c r="L160" s="730" t="e">
        <f>IF(#REF!=0,0,1)</f>
        <v>#REF!</v>
      </c>
      <c r="M160" s="730">
        <f t="shared" si="233"/>
        <v>0</v>
      </c>
      <c r="N160" s="730">
        <f t="shared" si="268"/>
        <v>0</v>
      </c>
      <c r="P160" s="832"/>
      <c r="Q160" s="831"/>
      <c r="R160" s="830">
        <v>2</v>
      </c>
      <c r="S160" s="827" t="s">
        <v>737</v>
      </c>
      <c r="T160" s="826"/>
      <c r="U160" s="726"/>
      <c r="V160" s="747">
        <f t="shared" si="263"/>
        <v>0</v>
      </c>
      <c r="W160" s="746">
        <f t="shared" si="264"/>
        <v>0</v>
      </c>
      <c r="Y160" s="1">
        <f t="shared" si="250"/>
        <v>0</v>
      </c>
      <c r="Z160" s="1">
        <f t="shared" si="251"/>
        <v>0</v>
      </c>
      <c r="AA160" s="1">
        <f t="shared" si="252"/>
        <v>0</v>
      </c>
      <c r="AB160" s="1">
        <f t="shared" si="253"/>
        <v>0</v>
      </c>
      <c r="AC160" s="1">
        <f t="shared" si="254"/>
        <v>0</v>
      </c>
      <c r="AD160" s="1">
        <f t="shared" si="255"/>
        <v>0</v>
      </c>
      <c r="AE160" s="1">
        <f t="shared" si="256"/>
        <v>0</v>
      </c>
      <c r="AF160" s="1">
        <f t="shared" si="257"/>
        <v>0</v>
      </c>
      <c r="AG160" s="1">
        <f t="shared" si="258"/>
        <v>0</v>
      </c>
      <c r="AH160" s="1">
        <f t="shared" si="259"/>
        <v>0</v>
      </c>
      <c r="AI160" s="1">
        <f t="shared" si="260"/>
        <v>0</v>
      </c>
      <c r="AJ160" s="1">
        <f t="shared" si="261"/>
        <v>0</v>
      </c>
      <c r="AK160" s="1">
        <f t="shared" si="262"/>
        <v>0</v>
      </c>
      <c r="AM160" s="772"/>
      <c r="AN160" s="772"/>
      <c r="AO160" s="772"/>
      <c r="AP160" s="772"/>
      <c r="AQ160" s="772"/>
      <c r="AR160" s="772"/>
      <c r="AS160" s="772"/>
      <c r="AT160" s="772"/>
      <c r="AU160" s="772"/>
      <c r="AV160" s="772"/>
      <c r="AW160" s="772"/>
      <c r="AX160" s="772"/>
      <c r="AY160" s="772"/>
      <c r="BA160" s="723"/>
      <c r="BB160" s="723" t="e">
        <f t="shared" si="228"/>
        <v>#REF!</v>
      </c>
      <c r="BC160" s="723"/>
      <c r="BD160" s="722" t="e">
        <f>BR160*#REF!</f>
        <v>#REF!</v>
      </c>
      <c r="BE160" s="722" t="e">
        <f>BS160*#REF!</f>
        <v>#REF!</v>
      </c>
      <c r="BF160" s="722" t="e">
        <f>BT160*#REF!</f>
        <v>#REF!</v>
      </c>
      <c r="BG160" s="722" t="e">
        <f>BU160*#REF!</f>
        <v>#REF!</v>
      </c>
      <c r="BH160" s="803" t="e">
        <f>BV160*#REF!</f>
        <v>#REF!</v>
      </c>
      <c r="BI160" s="722" t="e">
        <f>BW160*#REF!</f>
        <v>#REF!</v>
      </c>
      <c r="BJ160" s="722" t="e">
        <f>BX160*#REF!</f>
        <v>#REF!</v>
      </c>
      <c r="BK160" s="722" t="e">
        <f>BY160*#REF!</f>
        <v>#REF!</v>
      </c>
      <c r="BL160" s="722" t="e">
        <f>BZ160*#REF!</f>
        <v>#REF!</v>
      </c>
      <c r="BM160" s="722" t="e">
        <f>CA160*#REF!</f>
        <v>#REF!</v>
      </c>
      <c r="BO160" s="749" t="str">
        <f t="shared" si="234"/>
        <v>2.6.2</v>
      </c>
      <c r="BP160" s="749" t="str">
        <f t="shared" si="235"/>
        <v>LR2 2.2</v>
      </c>
      <c r="BQ160" s="408">
        <f t="shared" si="236"/>
        <v>0</v>
      </c>
      <c r="BR160" s="719">
        <f t="shared" si="237"/>
        <v>0</v>
      </c>
      <c r="BS160" s="719">
        <f t="shared" si="238"/>
        <v>0</v>
      </c>
      <c r="BT160" s="719">
        <f t="shared" si="239"/>
        <v>0</v>
      </c>
      <c r="BU160" s="719">
        <f t="shared" si="240"/>
        <v>0</v>
      </c>
      <c r="BV160" s="802">
        <f t="shared" si="241"/>
        <v>0</v>
      </c>
      <c r="BW160" s="719">
        <f t="shared" si="242"/>
        <v>0</v>
      </c>
      <c r="BX160" s="719">
        <f t="shared" si="243"/>
        <v>0</v>
      </c>
      <c r="BY160" s="719">
        <f t="shared" si="244"/>
        <v>0</v>
      </c>
      <c r="BZ160" s="719">
        <f t="shared" si="245"/>
        <v>0</v>
      </c>
      <c r="CA160" s="719">
        <f t="shared" si="246"/>
        <v>0</v>
      </c>
      <c r="CB160" s="801">
        <f t="shared" si="247"/>
        <v>0</v>
      </c>
      <c r="CC160" s="800">
        <f t="shared" si="248"/>
        <v>0</v>
      </c>
      <c r="CD160" s="800">
        <f t="shared" si="249"/>
        <v>0</v>
      </c>
      <c r="CF160" s="455"/>
      <c r="CG160" s="459"/>
      <c r="CH160" s="456"/>
      <c r="CI160" s="461"/>
      <c r="CJ160" s="461"/>
      <c r="CK160" s="461"/>
      <c r="CL160" s="461"/>
      <c r="CM160" s="461"/>
      <c r="CN160" s="461"/>
      <c r="CO160" s="461"/>
      <c r="CP160" s="461"/>
      <c r="CQ160" s="461"/>
      <c r="CR160" s="461"/>
      <c r="CS160" s="516"/>
      <c r="CT160" s="473"/>
      <c r="CU160" s="473"/>
      <c r="CW160" s="455"/>
      <c r="CX160" s="459"/>
      <c r="CY160" s="456"/>
      <c r="CZ160" s="461"/>
      <c r="DA160" s="461"/>
      <c r="DB160" s="461"/>
      <c r="DC160" s="461"/>
      <c r="DD160" s="461"/>
      <c r="DE160" s="461"/>
      <c r="DF160" s="461"/>
      <c r="DG160" s="461"/>
      <c r="DH160" s="461"/>
      <c r="DI160" s="461"/>
      <c r="DJ160" s="516"/>
      <c r="DK160" s="473"/>
      <c r="DL160" s="473"/>
      <c r="DN160" s="455" t="s">
        <v>724</v>
      </c>
      <c r="DO160" s="459" t="s">
        <v>734</v>
      </c>
      <c r="DP160" s="456"/>
      <c r="DQ160" s="461"/>
      <c r="DR160" s="461"/>
      <c r="DS160" s="461"/>
      <c r="DT160" s="461"/>
      <c r="DU160" s="461"/>
      <c r="DV160" s="461"/>
      <c r="DW160" s="461"/>
      <c r="DX160" s="461"/>
      <c r="DY160" s="461"/>
      <c r="DZ160" s="461"/>
      <c r="EA160" s="516"/>
      <c r="EB160" s="473"/>
      <c r="EC160" s="473"/>
      <c r="ED160" s="549"/>
      <c r="EF160" s="455" t="s">
        <v>724</v>
      </c>
      <c r="EG160" s="459" t="s">
        <v>734</v>
      </c>
      <c r="EH160" s="456" t="s">
        <v>738</v>
      </c>
      <c r="EI160" s="598">
        <v>0.15</v>
      </c>
      <c r="EJ160" s="598">
        <v>0.15</v>
      </c>
      <c r="EK160" s="598">
        <v>0.15</v>
      </c>
      <c r="EL160" s="598">
        <v>0.15</v>
      </c>
      <c r="EM160" s="598">
        <v>0.15</v>
      </c>
      <c r="EN160" s="598">
        <v>0.15</v>
      </c>
      <c r="EO160" s="598">
        <v>0.15</v>
      </c>
      <c r="EP160" s="598">
        <v>0.15</v>
      </c>
      <c r="EQ160" s="598">
        <v>0.15</v>
      </c>
      <c r="ER160" s="598">
        <v>0.15</v>
      </c>
      <c r="ES160" s="634">
        <f t="shared" si="269"/>
        <v>0</v>
      </c>
      <c r="ET160" s="615">
        <f t="shared" si="270"/>
        <v>0</v>
      </c>
      <c r="EU160" s="615">
        <f t="shared" si="271"/>
        <v>0</v>
      </c>
      <c r="EW160" s="455" t="s">
        <v>724</v>
      </c>
      <c r="EX160" s="459" t="s">
        <v>734</v>
      </c>
      <c r="EY160" s="456"/>
      <c r="EZ160" s="598">
        <f t="shared" si="272"/>
        <v>0</v>
      </c>
      <c r="FA160" s="598"/>
      <c r="FB160" s="598"/>
      <c r="FC160" s="598"/>
      <c r="FD160" s="598"/>
      <c r="FE160" s="598"/>
      <c r="FF160" s="598"/>
      <c r="FG160" s="598"/>
      <c r="FH160" s="598"/>
      <c r="FI160" s="598"/>
      <c r="FJ160" s="664"/>
      <c r="FK160" s="650"/>
      <c r="FL160" s="650"/>
    </row>
    <row r="161" spans="2:168" hidden="1">
      <c r="B161" s="732" t="s">
        <v>725</v>
      </c>
      <c r="C161" s="408">
        <f t="shared" si="230"/>
        <v>0</v>
      </c>
      <c r="D161" s="809" t="e">
        <f t="shared" si="273"/>
        <v>#REF!</v>
      </c>
      <c r="E161" s="809" t="e">
        <f t="shared" si="273"/>
        <v>#REF!</v>
      </c>
      <c r="G161" s="730" t="e">
        <f t="shared" si="231"/>
        <v>#REF!</v>
      </c>
      <c r="H161" s="730" t="e">
        <f t="shared" si="232"/>
        <v>#REF!</v>
      </c>
      <c r="I161" s="730"/>
      <c r="J161" s="730"/>
      <c r="K161" s="730" t="e">
        <f>IF(#REF!=0,0,1)</f>
        <v>#REF!</v>
      </c>
      <c r="L161" s="730" t="e">
        <f>IF(#REF!=0,0,1)</f>
        <v>#REF!</v>
      </c>
      <c r="M161" s="730">
        <f t="shared" si="233"/>
        <v>0</v>
      </c>
      <c r="N161" s="730">
        <f t="shared" si="268"/>
        <v>0</v>
      </c>
      <c r="P161" s="811"/>
      <c r="Q161" s="831"/>
      <c r="R161" s="830">
        <v>3</v>
      </c>
      <c r="S161" s="827" t="s">
        <v>739</v>
      </c>
      <c r="T161" s="826"/>
      <c r="U161" s="726"/>
      <c r="V161" s="747">
        <f t="shared" si="263"/>
        <v>0</v>
      </c>
      <c r="W161" s="746">
        <f t="shared" si="264"/>
        <v>0</v>
      </c>
      <c r="Y161" s="1">
        <f t="shared" si="250"/>
        <v>0</v>
      </c>
      <c r="Z161" s="1">
        <f t="shared" si="251"/>
        <v>0</v>
      </c>
      <c r="AA161" s="1">
        <f t="shared" si="252"/>
        <v>0</v>
      </c>
      <c r="AB161" s="1">
        <f t="shared" si="253"/>
        <v>0</v>
      </c>
      <c r="AC161" s="1">
        <f t="shared" si="254"/>
        <v>0</v>
      </c>
      <c r="AD161" s="1">
        <f t="shared" si="255"/>
        <v>0</v>
      </c>
      <c r="AE161" s="1">
        <f t="shared" si="256"/>
        <v>0</v>
      </c>
      <c r="AF161" s="1">
        <f t="shared" si="257"/>
        <v>0</v>
      </c>
      <c r="AG161" s="1">
        <f t="shared" si="258"/>
        <v>0</v>
      </c>
      <c r="AH161" s="1">
        <f t="shared" si="259"/>
        <v>0</v>
      </c>
      <c r="AI161" s="1">
        <f t="shared" si="260"/>
        <v>0</v>
      </c>
      <c r="AJ161" s="1">
        <f t="shared" si="261"/>
        <v>0</v>
      </c>
      <c r="AK161" s="1">
        <f t="shared" si="262"/>
        <v>0</v>
      </c>
      <c r="AM161" s="772"/>
      <c r="AN161" s="772"/>
      <c r="AO161" s="772"/>
      <c r="AP161" s="772"/>
      <c r="AQ161" s="772"/>
      <c r="AR161" s="772"/>
      <c r="AS161" s="772"/>
      <c r="AT161" s="772"/>
      <c r="AU161" s="772"/>
      <c r="AV161" s="772"/>
      <c r="AW161" s="772"/>
      <c r="AX161" s="772"/>
      <c r="AY161" s="772"/>
      <c r="BA161" s="723"/>
      <c r="BB161" s="723" t="e">
        <f t="shared" si="228"/>
        <v>#REF!</v>
      </c>
      <c r="BC161" s="723"/>
      <c r="BD161" s="722" t="e">
        <f>BR161*#REF!</f>
        <v>#REF!</v>
      </c>
      <c r="BE161" s="722" t="e">
        <f>BS161*#REF!</f>
        <v>#REF!</v>
      </c>
      <c r="BF161" s="722" t="e">
        <f>BT161*#REF!</f>
        <v>#REF!</v>
      </c>
      <c r="BG161" s="722" t="e">
        <f>BU161*#REF!</f>
        <v>#REF!</v>
      </c>
      <c r="BH161" s="803" t="e">
        <f>BV161*#REF!</f>
        <v>#REF!</v>
      </c>
      <c r="BI161" s="722" t="e">
        <f>BW161*#REF!</f>
        <v>#REF!</v>
      </c>
      <c r="BJ161" s="722" t="e">
        <f>BX161*#REF!</f>
        <v>#REF!</v>
      </c>
      <c r="BK161" s="722" t="e">
        <f>BY161*#REF!</f>
        <v>#REF!</v>
      </c>
      <c r="BL161" s="722" t="e">
        <f>BZ161*#REF!</f>
        <v>#REF!</v>
      </c>
      <c r="BM161" s="722" t="e">
        <f>CA161*#REF!</f>
        <v>#REF!</v>
      </c>
      <c r="BO161" s="749" t="str">
        <f t="shared" si="234"/>
        <v>2.6.3</v>
      </c>
      <c r="BP161" s="749" t="str">
        <f t="shared" si="235"/>
        <v>LR2 2.2</v>
      </c>
      <c r="BQ161" s="408">
        <f t="shared" si="236"/>
        <v>0</v>
      </c>
      <c r="BR161" s="719">
        <f t="shared" si="237"/>
        <v>0</v>
      </c>
      <c r="BS161" s="719">
        <f t="shared" si="238"/>
        <v>0</v>
      </c>
      <c r="BT161" s="719">
        <f t="shared" si="239"/>
        <v>0</v>
      </c>
      <c r="BU161" s="719">
        <f t="shared" si="240"/>
        <v>0</v>
      </c>
      <c r="BV161" s="802">
        <f t="shared" si="241"/>
        <v>0</v>
      </c>
      <c r="BW161" s="719">
        <f t="shared" si="242"/>
        <v>0</v>
      </c>
      <c r="BX161" s="719">
        <f t="shared" si="243"/>
        <v>0</v>
      </c>
      <c r="BY161" s="719">
        <f t="shared" si="244"/>
        <v>0</v>
      </c>
      <c r="BZ161" s="719">
        <f t="shared" si="245"/>
        <v>0</v>
      </c>
      <c r="CA161" s="719">
        <f t="shared" si="246"/>
        <v>0</v>
      </c>
      <c r="CB161" s="801">
        <f t="shared" si="247"/>
        <v>0</v>
      </c>
      <c r="CC161" s="800">
        <f t="shared" si="248"/>
        <v>0</v>
      </c>
      <c r="CD161" s="800">
        <f t="shared" si="249"/>
        <v>0</v>
      </c>
      <c r="CF161" s="455"/>
      <c r="CG161" s="459"/>
      <c r="CH161" s="456"/>
      <c r="CI161" s="461"/>
      <c r="CJ161" s="461"/>
      <c r="CK161" s="461"/>
      <c r="CL161" s="461"/>
      <c r="CM161" s="461"/>
      <c r="CN161" s="461"/>
      <c r="CO161" s="461"/>
      <c r="CP161" s="461"/>
      <c r="CQ161" s="461"/>
      <c r="CR161" s="461"/>
      <c r="CS161" s="516"/>
      <c r="CT161" s="473"/>
      <c r="CU161" s="473"/>
      <c r="CW161" s="455"/>
      <c r="CX161" s="459"/>
      <c r="CY161" s="456"/>
      <c r="CZ161" s="461"/>
      <c r="DA161" s="461"/>
      <c r="DB161" s="461"/>
      <c r="DC161" s="461"/>
      <c r="DD161" s="461"/>
      <c r="DE161" s="461"/>
      <c r="DF161" s="461"/>
      <c r="DG161" s="461"/>
      <c r="DH161" s="461"/>
      <c r="DI161" s="461"/>
      <c r="DJ161" s="516"/>
      <c r="DK161" s="473"/>
      <c r="DL161" s="473"/>
      <c r="DN161" s="455" t="s">
        <v>725</v>
      </c>
      <c r="DO161" s="459" t="s">
        <v>734</v>
      </c>
      <c r="DP161" s="456"/>
      <c r="DQ161" s="461"/>
      <c r="DR161" s="461"/>
      <c r="DS161" s="461"/>
      <c r="DT161" s="461"/>
      <c r="DU161" s="461"/>
      <c r="DV161" s="461"/>
      <c r="DW161" s="461"/>
      <c r="DX161" s="461"/>
      <c r="DY161" s="461"/>
      <c r="DZ161" s="461"/>
      <c r="EA161" s="516"/>
      <c r="EB161" s="473"/>
      <c r="EC161" s="473"/>
      <c r="ED161" s="549"/>
      <c r="EF161" s="455" t="s">
        <v>725</v>
      </c>
      <c r="EG161" s="459" t="s">
        <v>734</v>
      </c>
      <c r="EH161" s="456" t="s">
        <v>740</v>
      </c>
      <c r="EI161" s="598">
        <v>0.15</v>
      </c>
      <c r="EJ161" s="598">
        <v>0.15</v>
      </c>
      <c r="EK161" s="598">
        <v>0.15</v>
      </c>
      <c r="EL161" s="598">
        <v>0.15</v>
      </c>
      <c r="EM161" s="598">
        <v>0.15</v>
      </c>
      <c r="EN161" s="598">
        <v>0.15</v>
      </c>
      <c r="EO161" s="598">
        <v>0.15</v>
      </c>
      <c r="EP161" s="598">
        <v>0.15</v>
      </c>
      <c r="EQ161" s="598">
        <v>0.15</v>
      </c>
      <c r="ER161" s="598">
        <v>0.15</v>
      </c>
      <c r="ES161" s="634">
        <f t="shared" si="269"/>
        <v>0</v>
      </c>
      <c r="ET161" s="615">
        <f t="shared" si="270"/>
        <v>0</v>
      </c>
      <c r="EU161" s="615">
        <f t="shared" si="271"/>
        <v>0</v>
      </c>
      <c r="EW161" s="455" t="s">
        <v>725</v>
      </c>
      <c r="EX161" s="459" t="s">
        <v>734</v>
      </c>
      <c r="EY161" s="456"/>
      <c r="EZ161" s="598">
        <f t="shared" si="272"/>
        <v>0</v>
      </c>
      <c r="FA161" s="598"/>
      <c r="FB161" s="598"/>
      <c r="FC161" s="598"/>
      <c r="FD161" s="598"/>
      <c r="FE161" s="598"/>
      <c r="FF161" s="598"/>
      <c r="FG161" s="598"/>
      <c r="FH161" s="598"/>
      <c r="FI161" s="598"/>
      <c r="FJ161" s="664"/>
      <c r="FK161" s="650"/>
      <c r="FL161" s="650"/>
    </row>
    <row r="162" spans="2:168" hidden="1">
      <c r="B162" s="732" t="s">
        <v>726</v>
      </c>
      <c r="C162" s="408">
        <f t="shared" si="230"/>
        <v>0</v>
      </c>
      <c r="D162" s="809" t="e">
        <f t="shared" si="273"/>
        <v>#REF!</v>
      </c>
      <c r="E162" s="809" t="e">
        <f t="shared" si="273"/>
        <v>#REF!</v>
      </c>
      <c r="G162" s="730" t="e">
        <f t="shared" si="231"/>
        <v>#REF!</v>
      </c>
      <c r="H162" s="730" t="e">
        <f t="shared" si="232"/>
        <v>#REF!</v>
      </c>
      <c r="I162" s="730"/>
      <c r="J162" s="730"/>
      <c r="K162" s="730" t="e">
        <f>IF(#REF!=0,0,1)</f>
        <v>#REF!</v>
      </c>
      <c r="L162" s="730" t="e">
        <f>IF(#REF!=0,0,1)</f>
        <v>#REF!</v>
      </c>
      <c r="M162" s="730">
        <f t="shared" si="233"/>
        <v>0</v>
      </c>
      <c r="N162" s="730">
        <f t="shared" si="268"/>
        <v>0</v>
      </c>
      <c r="P162" s="811"/>
      <c r="Q162" s="831"/>
      <c r="R162" s="830">
        <v>4</v>
      </c>
      <c r="S162" s="827" t="s">
        <v>741</v>
      </c>
      <c r="T162" s="826"/>
      <c r="U162" s="726"/>
      <c r="V162" s="747">
        <f t="shared" si="263"/>
        <v>0</v>
      </c>
      <c r="W162" s="746">
        <f t="shared" si="264"/>
        <v>0</v>
      </c>
      <c r="Y162" s="1">
        <f t="shared" si="250"/>
        <v>0</v>
      </c>
      <c r="Z162" s="1">
        <f t="shared" si="251"/>
        <v>0</v>
      </c>
      <c r="AA162" s="1">
        <f t="shared" si="252"/>
        <v>0</v>
      </c>
      <c r="AB162" s="1">
        <f t="shared" si="253"/>
        <v>0</v>
      </c>
      <c r="AC162" s="1">
        <f t="shared" si="254"/>
        <v>0</v>
      </c>
      <c r="AD162" s="1">
        <f t="shared" si="255"/>
        <v>0</v>
      </c>
      <c r="AE162" s="1">
        <f t="shared" si="256"/>
        <v>0</v>
      </c>
      <c r="AF162" s="1">
        <f t="shared" si="257"/>
        <v>0</v>
      </c>
      <c r="AG162" s="1">
        <f t="shared" si="258"/>
        <v>0</v>
      </c>
      <c r="AH162" s="1">
        <f t="shared" si="259"/>
        <v>0</v>
      </c>
      <c r="AI162" s="1">
        <f t="shared" si="260"/>
        <v>0</v>
      </c>
      <c r="AJ162" s="1">
        <f t="shared" si="261"/>
        <v>0</v>
      </c>
      <c r="AK162" s="1">
        <f t="shared" si="262"/>
        <v>0</v>
      </c>
      <c r="AM162" s="772"/>
      <c r="AN162" s="772"/>
      <c r="AO162" s="772"/>
      <c r="AP162" s="772"/>
      <c r="AQ162" s="772"/>
      <c r="AR162" s="772"/>
      <c r="AS162" s="772"/>
      <c r="AT162" s="772"/>
      <c r="AU162" s="772"/>
      <c r="AV162" s="772"/>
      <c r="AW162" s="772"/>
      <c r="AX162" s="772"/>
      <c r="AY162" s="772"/>
      <c r="BA162" s="723"/>
      <c r="BB162" s="723" t="e">
        <f t="shared" si="228"/>
        <v>#REF!</v>
      </c>
      <c r="BC162" s="723"/>
      <c r="BD162" s="722" t="e">
        <f>BR162*#REF!</f>
        <v>#REF!</v>
      </c>
      <c r="BE162" s="722" t="e">
        <f>BS162*#REF!</f>
        <v>#REF!</v>
      </c>
      <c r="BF162" s="722" t="e">
        <f>BT162*#REF!</f>
        <v>#REF!</v>
      </c>
      <c r="BG162" s="722" t="e">
        <f>BU162*#REF!</f>
        <v>#REF!</v>
      </c>
      <c r="BH162" s="803" t="e">
        <f>BV162*#REF!</f>
        <v>#REF!</v>
      </c>
      <c r="BI162" s="722" t="e">
        <f>BW162*#REF!</f>
        <v>#REF!</v>
      </c>
      <c r="BJ162" s="722" t="e">
        <f>BX162*#REF!</f>
        <v>#REF!</v>
      </c>
      <c r="BK162" s="722" t="e">
        <f>BY162*#REF!</f>
        <v>#REF!</v>
      </c>
      <c r="BL162" s="722" t="e">
        <f>BZ162*#REF!</f>
        <v>#REF!</v>
      </c>
      <c r="BM162" s="722" t="e">
        <f>CA162*#REF!</f>
        <v>#REF!</v>
      </c>
      <c r="BO162" s="749" t="str">
        <f t="shared" si="234"/>
        <v>2.6.4</v>
      </c>
      <c r="BP162" s="749" t="str">
        <f t="shared" si="235"/>
        <v>LR2 2.2</v>
      </c>
      <c r="BQ162" s="408">
        <f t="shared" si="236"/>
        <v>0</v>
      </c>
      <c r="BR162" s="719">
        <f t="shared" si="237"/>
        <v>0</v>
      </c>
      <c r="BS162" s="719">
        <f t="shared" si="238"/>
        <v>0</v>
      </c>
      <c r="BT162" s="719">
        <f t="shared" si="239"/>
        <v>0</v>
      </c>
      <c r="BU162" s="719">
        <f t="shared" si="240"/>
        <v>0</v>
      </c>
      <c r="BV162" s="802">
        <f t="shared" si="241"/>
        <v>0</v>
      </c>
      <c r="BW162" s="719">
        <f t="shared" si="242"/>
        <v>0</v>
      </c>
      <c r="BX162" s="719">
        <f t="shared" si="243"/>
        <v>0</v>
      </c>
      <c r="BY162" s="719">
        <f t="shared" si="244"/>
        <v>0</v>
      </c>
      <c r="BZ162" s="719">
        <f t="shared" si="245"/>
        <v>0</v>
      </c>
      <c r="CA162" s="719">
        <f t="shared" si="246"/>
        <v>0</v>
      </c>
      <c r="CB162" s="801">
        <f t="shared" si="247"/>
        <v>0</v>
      </c>
      <c r="CC162" s="800">
        <f t="shared" si="248"/>
        <v>0</v>
      </c>
      <c r="CD162" s="800">
        <f t="shared" si="249"/>
        <v>0</v>
      </c>
      <c r="CF162" s="455"/>
      <c r="CG162" s="459"/>
      <c r="CH162" s="456"/>
      <c r="CI162" s="461"/>
      <c r="CJ162" s="461"/>
      <c r="CK162" s="461"/>
      <c r="CL162" s="461"/>
      <c r="CM162" s="461"/>
      <c r="CN162" s="461"/>
      <c r="CO162" s="461"/>
      <c r="CP162" s="461"/>
      <c r="CQ162" s="461"/>
      <c r="CR162" s="461"/>
      <c r="CS162" s="516"/>
      <c r="CT162" s="473"/>
      <c r="CU162" s="473"/>
      <c r="CW162" s="455"/>
      <c r="CX162" s="459"/>
      <c r="CY162" s="456"/>
      <c r="CZ162" s="461"/>
      <c r="DA162" s="461"/>
      <c r="DB162" s="461"/>
      <c r="DC162" s="461"/>
      <c r="DD162" s="461"/>
      <c r="DE162" s="461"/>
      <c r="DF162" s="461"/>
      <c r="DG162" s="461"/>
      <c r="DH162" s="461"/>
      <c r="DI162" s="461"/>
      <c r="DJ162" s="516"/>
      <c r="DK162" s="473"/>
      <c r="DL162" s="473"/>
      <c r="DN162" s="455" t="s">
        <v>726</v>
      </c>
      <c r="DO162" s="459" t="s">
        <v>734</v>
      </c>
      <c r="DP162" s="456"/>
      <c r="DQ162" s="461"/>
      <c r="DR162" s="461"/>
      <c r="DS162" s="461"/>
      <c r="DT162" s="461"/>
      <c r="DU162" s="461"/>
      <c r="DV162" s="461"/>
      <c r="DW162" s="461"/>
      <c r="DX162" s="461"/>
      <c r="DY162" s="461"/>
      <c r="DZ162" s="461"/>
      <c r="EA162" s="516"/>
      <c r="EB162" s="473"/>
      <c r="EC162" s="473"/>
      <c r="ED162" s="549"/>
      <c r="EF162" s="455" t="s">
        <v>726</v>
      </c>
      <c r="EG162" s="459" t="s">
        <v>734</v>
      </c>
      <c r="EH162" s="456" t="s">
        <v>742</v>
      </c>
      <c r="EI162" s="598">
        <v>0.15</v>
      </c>
      <c r="EJ162" s="598">
        <v>0.15</v>
      </c>
      <c r="EK162" s="598">
        <v>0.15</v>
      </c>
      <c r="EL162" s="598">
        <v>0.15</v>
      </c>
      <c r="EM162" s="598">
        <v>0.15</v>
      </c>
      <c r="EN162" s="598">
        <v>0.15</v>
      </c>
      <c r="EO162" s="598">
        <v>0.15</v>
      </c>
      <c r="EP162" s="598">
        <v>0.15</v>
      </c>
      <c r="EQ162" s="598">
        <v>0.15</v>
      </c>
      <c r="ER162" s="598">
        <v>0.15</v>
      </c>
      <c r="ES162" s="634">
        <f t="shared" si="269"/>
        <v>0</v>
      </c>
      <c r="ET162" s="615">
        <f t="shared" si="270"/>
        <v>0</v>
      </c>
      <c r="EU162" s="615">
        <f t="shared" si="271"/>
        <v>0</v>
      </c>
      <c r="EW162" s="455" t="s">
        <v>726</v>
      </c>
      <c r="EX162" s="459" t="s">
        <v>734</v>
      </c>
      <c r="EY162" s="456"/>
      <c r="EZ162" s="598">
        <f t="shared" si="272"/>
        <v>0</v>
      </c>
      <c r="FA162" s="598"/>
      <c r="FB162" s="598"/>
      <c r="FC162" s="598"/>
      <c r="FD162" s="598"/>
      <c r="FE162" s="598"/>
      <c r="FF162" s="598"/>
      <c r="FG162" s="598"/>
      <c r="FH162" s="598"/>
      <c r="FI162" s="598"/>
      <c r="FJ162" s="664"/>
      <c r="FK162" s="650"/>
      <c r="FL162" s="650"/>
    </row>
    <row r="163" spans="2:168" hidden="1">
      <c r="B163" s="732" t="s">
        <v>727</v>
      </c>
      <c r="C163" s="408">
        <f t="shared" si="230"/>
        <v>0</v>
      </c>
      <c r="D163" s="809" t="e">
        <f t="shared" si="273"/>
        <v>#REF!</v>
      </c>
      <c r="E163" s="809" t="e">
        <f t="shared" si="273"/>
        <v>#REF!</v>
      </c>
      <c r="G163" s="730" t="e">
        <f t="shared" si="231"/>
        <v>#REF!</v>
      </c>
      <c r="H163" s="730" t="e">
        <f t="shared" si="232"/>
        <v>#REF!</v>
      </c>
      <c r="I163" s="730"/>
      <c r="J163" s="730"/>
      <c r="K163" s="730" t="e">
        <f>IF(#REF!=0,0,1)</f>
        <v>#REF!</v>
      </c>
      <c r="L163" s="730" t="e">
        <f>IF(#REF!=0,0,1)</f>
        <v>#REF!</v>
      </c>
      <c r="M163" s="730">
        <f t="shared" si="233"/>
        <v>0</v>
      </c>
      <c r="N163" s="730">
        <f t="shared" si="268"/>
        <v>0</v>
      </c>
      <c r="P163" s="811"/>
      <c r="Q163" s="831"/>
      <c r="R163" s="830">
        <v>5</v>
      </c>
      <c r="S163" s="827" t="s">
        <v>743</v>
      </c>
      <c r="T163" s="826"/>
      <c r="U163" s="726"/>
      <c r="V163" s="747">
        <f t="shared" si="263"/>
        <v>0</v>
      </c>
      <c r="W163" s="746">
        <f t="shared" si="264"/>
        <v>0</v>
      </c>
      <c r="Y163" s="1">
        <f t="shared" si="250"/>
        <v>0</v>
      </c>
      <c r="Z163" s="1">
        <f t="shared" si="251"/>
        <v>0</v>
      </c>
      <c r="AA163" s="1">
        <f t="shared" si="252"/>
        <v>0</v>
      </c>
      <c r="AB163" s="1">
        <f t="shared" si="253"/>
        <v>0</v>
      </c>
      <c r="AC163" s="1">
        <f t="shared" si="254"/>
        <v>0</v>
      </c>
      <c r="AD163" s="1">
        <f t="shared" si="255"/>
        <v>0</v>
      </c>
      <c r="AE163" s="1">
        <f t="shared" si="256"/>
        <v>0</v>
      </c>
      <c r="AF163" s="1">
        <f t="shared" si="257"/>
        <v>0</v>
      </c>
      <c r="AG163" s="1">
        <f t="shared" si="258"/>
        <v>0</v>
      </c>
      <c r="AH163" s="1">
        <f t="shared" si="259"/>
        <v>0</v>
      </c>
      <c r="AI163" s="1">
        <f t="shared" si="260"/>
        <v>0</v>
      </c>
      <c r="AJ163" s="1">
        <f t="shared" si="261"/>
        <v>0</v>
      </c>
      <c r="AK163" s="1">
        <f t="shared" si="262"/>
        <v>0</v>
      </c>
      <c r="AM163" s="772"/>
      <c r="AN163" s="772"/>
      <c r="AO163" s="772"/>
      <c r="AP163" s="772"/>
      <c r="AQ163" s="772"/>
      <c r="AR163" s="772"/>
      <c r="AS163" s="772"/>
      <c r="AT163" s="772"/>
      <c r="AU163" s="772"/>
      <c r="AV163" s="772"/>
      <c r="AW163" s="772"/>
      <c r="AX163" s="772"/>
      <c r="AY163" s="772"/>
      <c r="BA163" s="723"/>
      <c r="BB163" s="723" t="e">
        <f t="shared" si="228"/>
        <v>#REF!</v>
      </c>
      <c r="BC163" s="723"/>
      <c r="BD163" s="722" t="e">
        <f>BR163*#REF!</f>
        <v>#REF!</v>
      </c>
      <c r="BE163" s="722" t="e">
        <f>BS163*#REF!</f>
        <v>#REF!</v>
      </c>
      <c r="BF163" s="722" t="e">
        <f>BT163*#REF!</f>
        <v>#REF!</v>
      </c>
      <c r="BG163" s="722" t="e">
        <f>BU163*#REF!</f>
        <v>#REF!</v>
      </c>
      <c r="BH163" s="803" t="e">
        <f>BV163*#REF!</f>
        <v>#REF!</v>
      </c>
      <c r="BI163" s="722" t="e">
        <f>BW163*#REF!</f>
        <v>#REF!</v>
      </c>
      <c r="BJ163" s="722" t="e">
        <f>BX163*#REF!</f>
        <v>#REF!</v>
      </c>
      <c r="BK163" s="722" t="e">
        <f>BY163*#REF!</f>
        <v>#REF!</v>
      </c>
      <c r="BL163" s="722" t="e">
        <f>BZ163*#REF!</f>
        <v>#REF!</v>
      </c>
      <c r="BM163" s="722" t="e">
        <f>CA163*#REF!</f>
        <v>#REF!</v>
      </c>
      <c r="BO163" s="749" t="str">
        <f t="shared" si="234"/>
        <v>2.6.5</v>
      </c>
      <c r="BP163" s="749" t="str">
        <f t="shared" si="235"/>
        <v>LR2 2.2</v>
      </c>
      <c r="BQ163" s="408">
        <f t="shared" si="236"/>
        <v>0</v>
      </c>
      <c r="BR163" s="719">
        <f t="shared" si="237"/>
        <v>0</v>
      </c>
      <c r="BS163" s="719">
        <f t="shared" si="238"/>
        <v>0</v>
      </c>
      <c r="BT163" s="719">
        <f t="shared" si="239"/>
        <v>0</v>
      </c>
      <c r="BU163" s="719">
        <f t="shared" si="240"/>
        <v>0</v>
      </c>
      <c r="BV163" s="802">
        <f t="shared" si="241"/>
        <v>0</v>
      </c>
      <c r="BW163" s="719">
        <f t="shared" si="242"/>
        <v>0</v>
      </c>
      <c r="BX163" s="719">
        <f t="shared" si="243"/>
        <v>0</v>
      </c>
      <c r="BY163" s="719">
        <f t="shared" si="244"/>
        <v>0</v>
      </c>
      <c r="BZ163" s="719">
        <f t="shared" si="245"/>
        <v>0</v>
      </c>
      <c r="CA163" s="719">
        <f t="shared" si="246"/>
        <v>0</v>
      </c>
      <c r="CB163" s="801">
        <f t="shared" si="247"/>
        <v>0</v>
      </c>
      <c r="CC163" s="800">
        <f t="shared" si="248"/>
        <v>0</v>
      </c>
      <c r="CD163" s="800">
        <f t="shared" si="249"/>
        <v>0</v>
      </c>
      <c r="CF163" s="455"/>
      <c r="CG163" s="459"/>
      <c r="CH163" s="456"/>
      <c r="CI163" s="461"/>
      <c r="CJ163" s="461"/>
      <c r="CK163" s="461"/>
      <c r="CL163" s="461"/>
      <c r="CM163" s="461"/>
      <c r="CN163" s="461"/>
      <c r="CO163" s="461"/>
      <c r="CP163" s="461"/>
      <c r="CQ163" s="461"/>
      <c r="CR163" s="461"/>
      <c r="CS163" s="516"/>
      <c r="CT163" s="473"/>
      <c r="CU163" s="473"/>
      <c r="CW163" s="455"/>
      <c r="CX163" s="459"/>
      <c r="CY163" s="456"/>
      <c r="CZ163" s="461"/>
      <c r="DA163" s="461"/>
      <c r="DB163" s="461"/>
      <c r="DC163" s="461"/>
      <c r="DD163" s="461"/>
      <c r="DE163" s="461"/>
      <c r="DF163" s="461"/>
      <c r="DG163" s="461"/>
      <c r="DH163" s="461"/>
      <c r="DI163" s="461"/>
      <c r="DJ163" s="516"/>
      <c r="DK163" s="473"/>
      <c r="DL163" s="473"/>
      <c r="DN163" s="455" t="s">
        <v>727</v>
      </c>
      <c r="DO163" s="459" t="s">
        <v>734</v>
      </c>
      <c r="DP163" s="456"/>
      <c r="DQ163" s="461"/>
      <c r="DR163" s="461"/>
      <c r="DS163" s="461"/>
      <c r="DT163" s="461"/>
      <c r="DU163" s="461"/>
      <c r="DV163" s="461"/>
      <c r="DW163" s="461"/>
      <c r="DX163" s="461"/>
      <c r="DY163" s="461"/>
      <c r="DZ163" s="461"/>
      <c r="EA163" s="516"/>
      <c r="EB163" s="473"/>
      <c r="EC163" s="473"/>
      <c r="ED163" s="549"/>
      <c r="EF163" s="455" t="s">
        <v>727</v>
      </c>
      <c r="EG163" s="459" t="s">
        <v>734</v>
      </c>
      <c r="EH163" s="456" t="s">
        <v>744</v>
      </c>
      <c r="EI163" s="598">
        <v>0.15</v>
      </c>
      <c r="EJ163" s="598">
        <v>0.15</v>
      </c>
      <c r="EK163" s="598">
        <v>0.15</v>
      </c>
      <c r="EL163" s="598">
        <v>0.15</v>
      </c>
      <c r="EM163" s="598">
        <v>0.15</v>
      </c>
      <c r="EN163" s="598">
        <v>0.15</v>
      </c>
      <c r="EO163" s="598">
        <v>0.15</v>
      </c>
      <c r="EP163" s="598">
        <v>0.15</v>
      </c>
      <c r="EQ163" s="598">
        <v>0.15</v>
      </c>
      <c r="ER163" s="598">
        <v>0.15</v>
      </c>
      <c r="ES163" s="634">
        <f t="shared" si="269"/>
        <v>0</v>
      </c>
      <c r="ET163" s="615">
        <f t="shared" si="270"/>
        <v>0</v>
      </c>
      <c r="EU163" s="615">
        <f t="shared" si="271"/>
        <v>0</v>
      </c>
      <c r="EW163" s="455" t="s">
        <v>727</v>
      </c>
      <c r="EX163" s="459" t="s">
        <v>734</v>
      </c>
      <c r="EY163" s="456"/>
      <c r="EZ163" s="598">
        <f t="shared" si="272"/>
        <v>0</v>
      </c>
      <c r="FA163" s="598"/>
      <c r="FB163" s="598"/>
      <c r="FC163" s="598"/>
      <c r="FD163" s="598"/>
      <c r="FE163" s="598"/>
      <c r="FF163" s="598"/>
      <c r="FG163" s="598"/>
      <c r="FH163" s="598"/>
      <c r="FI163" s="598"/>
      <c r="FJ163" s="664"/>
      <c r="FK163" s="650"/>
      <c r="FL163" s="650"/>
    </row>
    <row r="164" spans="2:168" hidden="1">
      <c r="B164" s="732" t="s">
        <v>728</v>
      </c>
      <c r="C164" s="408">
        <f t="shared" si="230"/>
        <v>0</v>
      </c>
      <c r="D164" s="809" t="e">
        <f t="shared" si="273"/>
        <v>#REF!</v>
      </c>
      <c r="E164" s="809" t="e">
        <f t="shared" si="273"/>
        <v>#REF!</v>
      </c>
      <c r="G164" s="730" t="e">
        <f t="shared" si="231"/>
        <v>#REF!</v>
      </c>
      <c r="H164" s="730" t="e">
        <f t="shared" si="232"/>
        <v>#REF!</v>
      </c>
      <c r="I164" s="730"/>
      <c r="J164" s="730"/>
      <c r="K164" s="730" t="e">
        <f>IF(#REF!=0,0,1)</f>
        <v>#REF!</v>
      </c>
      <c r="L164" s="730" t="e">
        <f>IF(#REF!=0,0,1)</f>
        <v>#REF!</v>
      </c>
      <c r="M164" s="730">
        <f t="shared" si="233"/>
        <v>0</v>
      </c>
      <c r="N164" s="730">
        <f t="shared" si="268"/>
        <v>0</v>
      </c>
      <c r="P164" s="811"/>
      <c r="Q164" s="831"/>
      <c r="R164" s="830">
        <v>6</v>
      </c>
      <c r="S164" s="827" t="s">
        <v>745</v>
      </c>
      <c r="T164" s="826"/>
      <c r="U164" s="726"/>
      <c r="V164" s="747">
        <f t="shared" si="263"/>
        <v>0</v>
      </c>
      <c r="W164" s="746">
        <f t="shared" si="264"/>
        <v>0</v>
      </c>
      <c r="Y164" s="1">
        <f t="shared" si="250"/>
        <v>0</v>
      </c>
      <c r="Z164" s="1">
        <f t="shared" si="251"/>
        <v>0</v>
      </c>
      <c r="AA164" s="1">
        <f t="shared" si="252"/>
        <v>0</v>
      </c>
      <c r="AB164" s="1">
        <f t="shared" si="253"/>
        <v>0</v>
      </c>
      <c r="AC164" s="1">
        <f t="shared" si="254"/>
        <v>0</v>
      </c>
      <c r="AD164" s="1">
        <f t="shared" si="255"/>
        <v>0</v>
      </c>
      <c r="AE164" s="1">
        <f t="shared" si="256"/>
        <v>0</v>
      </c>
      <c r="AF164" s="1">
        <f t="shared" si="257"/>
        <v>0</v>
      </c>
      <c r="AG164" s="1">
        <f t="shared" si="258"/>
        <v>0</v>
      </c>
      <c r="AH164" s="1">
        <f t="shared" si="259"/>
        <v>0</v>
      </c>
      <c r="AI164" s="1">
        <f t="shared" si="260"/>
        <v>0</v>
      </c>
      <c r="AJ164" s="1">
        <f t="shared" si="261"/>
        <v>0</v>
      </c>
      <c r="AK164" s="1">
        <f t="shared" si="262"/>
        <v>0</v>
      </c>
      <c r="AM164" s="772"/>
      <c r="AN164" s="772"/>
      <c r="AO164" s="772"/>
      <c r="AP164" s="772"/>
      <c r="AQ164" s="772"/>
      <c r="AR164" s="772"/>
      <c r="AS164" s="772"/>
      <c r="AT164" s="772"/>
      <c r="AU164" s="772"/>
      <c r="AV164" s="772"/>
      <c r="AW164" s="772"/>
      <c r="AX164" s="772"/>
      <c r="AY164" s="772"/>
      <c r="BA164" s="723"/>
      <c r="BB164" s="723" t="e">
        <f t="shared" si="228"/>
        <v>#REF!</v>
      </c>
      <c r="BC164" s="723"/>
      <c r="BD164" s="722" t="e">
        <f>BR164*#REF!</f>
        <v>#REF!</v>
      </c>
      <c r="BE164" s="722" t="e">
        <f>BS164*#REF!</f>
        <v>#REF!</v>
      </c>
      <c r="BF164" s="722" t="e">
        <f>BT164*#REF!</f>
        <v>#REF!</v>
      </c>
      <c r="BG164" s="722" t="e">
        <f>BU164*#REF!</f>
        <v>#REF!</v>
      </c>
      <c r="BH164" s="803" t="e">
        <f>BV164*#REF!</f>
        <v>#REF!</v>
      </c>
      <c r="BI164" s="722" t="e">
        <f>BW164*#REF!</f>
        <v>#REF!</v>
      </c>
      <c r="BJ164" s="722" t="e">
        <f>BX164*#REF!</f>
        <v>#REF!</v>
      </c>
      <c r="BK164" s="722" t="e">
        <f>BY164*#REF!</f>
        <v>#REF!</v>
      </c>
      <c r="BL164" s="722" t="e">
        <f>BZ164*#REF!</f>
        <v>#REF!</v>
      </c>
      <c r="BM164" s="722" t="e">
        <f>CA164*#REF!</f>
        <v>#REF!</v>
      </c>
      <c r="BO164" s="749" t="str">
        <f t="shared" si="234"/>
        <v>2.6.6</v>
      </c>
      <c r="BP164" s="749" t="str">
        <f t="shared" si="235"/>
        <v>LR2 2.2</v>
      </c>
      <c r="BQ164" s="408">
        <f t="shared" si="236"/>
        <v>0</v>
      </c>
      <c r="BR164" s="719">
        <f t="shared" si="237"/>
        <v>0</v>
      </c>
      <c r="BS164" s="719">
        <f t="shared" si="238"/>
        <v>0</v>
      </c>
      <c r="BT164" s="719">
        <f t="shared" si="239"/>
        <v>0</v>
      </c>
      <c r="BU164" s="719">
        <f t="shared" si="240"/>
        <v>0</v>
      </c>
      <c r="BV164" s="802">
        <f t="shared" si="241"/>
        <v>0</v>
      </c>
      <c r="BW164" s="719">
        <f t="shared" si="242"/>
        <v>0</v>
      </c>
      <c r="BX164" s="719">
        <f t="shared" si="243"/>
        <v>0</v>
      </c>
      <c r="BY164" s="719">
        <f t="shared" si="244"/>
        <v>0</v>
      </c>
      <c r="BZ164" s="719">
        <f t="shared" si="245"/>
        <v>0</v>
      </c>
      <c r="CA164" s="719">
        <f t="shared" si="246"/>
        <v>0</v>
      </c>
      <c r="CB164" s="801">
        <f t="shared" si="247"/>
        <v>0</v>
      </c>
      <c r="CC164" s="800">
        <f t="shared" si="248"/>
        <v>0</v>
      </c>
      <c r="CD164" s="800">
        <f t="shared" si="249"/>
        <v>0</v>
      </c>
      <c r="CF164" s="455"/>
      <c r="CG164" s="459"/>
      <c r="CH164" s="456"/>
      <c r="CI164" s="461"/>
      <c r="CJ164" s="461"/>
      <c r="CK164" s="461"/>
      <c r="CL164" s="461"/>
      <c r="CM164" s="461"/>
      <c r="CN164" s="461"/>
      <c r="CO164" s="461"/>
      <c r="CP164" s="461"/>
      <c r="CQ164" s="461"/>
      <c r="CR164" s="461"/>
      <c r="CS164" s="516"/>
      <c r="CT164" s="473"/>
      <c r="CU164" s="473"/>
      <c r="CW164" s="455"/>
      <c r="CX164" s="459"/>
      <c r="CY164" s="456"/>
      <c r="CZ164" s="461"/>
      <c r="DA164" s="461"/>
      <c r="DB164" s="461"/>
      <c r="DC164" s="461"/>
      <c r="DD164" s="461"/>
      <c r="DE164" s="461"/>
      <c r="DF164" s="461"/>
      <c r="DG164" s="461"/>
      <c r="DH164" s="461"/>
      <c r="DI164" s="461"/>
      <c r="DJ164" s="516"/>
      <c r="DK164" s="473"/>
      <c r="DL164" s="473"/>
      <c r="DN164" s="455" t="s">
        <v>728</v>
      </c>
      <c r="DO164" s="459" t="s">
        <v>734</v>
      </c>
      <c r="DP164" s="456"/>
      <c r="DQ164" s="461"/>
      <c r="DR164" s="461"/>
      <c r="DS164" s="461"/>
      <c r="DT164" s="461"/>
      <c r="DU164" s="461"/>
      <c r="DV164" s="461"/>
      <c r="DW164" s="461"/>
      <c r="DX164" s="461"/>
      <c r="DY164" s="461"/>
      <c r="DZ164" s="461"/>
      <c r="EA164" s="516"/>
      <c r="EB164" s="473"/>
      <c r="EC164" s="473"/>
      <c r="ED164" s="549"/>
      <c r="EF164" s="455" t="s">
        <v>728</v>
      </c>
      <c r="EG164" s="459" t="s">
        <v>734</v>
      </c>
      <c r="EH164" s="456" t="s">
        <v>746</v>
      </c>
      <c r="EI164" s="598">
        <v>0.15</v>
      </c>
      <c r="EJ164" s="598">
        <v>0.15</v>
      </c>
      <c r="EK164" s="598">
        <v>0.15</v>
      </c>
      <c r="EL164" s="598">
        <v>0.15</v>
      </c>
      <c r="EM164" s="598">
        <v>0.15</v>
      </c>
      <c r="EN164" s="598">
        <v>0.15</v>
      </c>
      <c r="EO164" s="598">
        <v>0.15</v>
      </c>
      <c r="EP164" s="598">
        <v>0.15</v>
      </c>
      <c r="EQ164" s="598">
        <v>0.15</v>
      </c>
      <c r="ER164" s="598">
        <v>0.15</v>
      </c>
      <c r="ES164" s="634">
        <f t="shared" si="269"/>
        <v>0</v>
      </c>
      <c r="ET164" s="615">
        <f t="shared" si="270"/>
        <v>0</v>
      </c>
      <c r="EU164" s="615">
        <f t="shared" si="271"/>
        <v>0</v>
      </c>
      <c r="EW164" s="455" t="s">
        <v>728</v>
      </c>
      <c r="EX164" s="459" t="s">
        <v>734</v>
      </c>
      <c r="EY164" s="456"/>
      <c r="EZ164" s="598">
        <f t="shared" si="272"/>
        <v>0</v>
      </c>
      <c r="FA164" s="598"/>
      <c r="FB164" s="598"/>
      <c r="FC164" s="598"/>
      <c r="FD164" s="598"/>
      <c r="FE164" s="598"/>
      <c r="FF164" s="598"/>
      <c r="FG164" s="598"/>
      <c r="FH164" s="598"/>
      <c r="FI164" s="598"/>
      <c r="FJ164" s="664"/>
      <c r="FK164" s="650"/>
      <c r="FL164" s="650"/>
    </row>
    <row r="165" spans="2:168" hidden="1">
      <c r="B165" s="732">
        <v>2.7</v>
      </c>
      <c r="C165" s="408">
        <f t="shared" si="230"/>
        <v>0</v>
      </c>
      <c r="D165" s="731" t="e">
        <f>IF(I$151=0,0,G165/I$151)</f>
        <v>#REF!</v>
      </c>
      <c r="E165" s="730" t="e">
        <f>IF(J$151=0,0,H165/J$151)</f>
        <v>#REF!</v>
      </c>
      <c r="G165" s="730" t="e">
        <f t="shared" si="231"/>
        <v>#REF!</v>
      </c>
      <c r="H165" s="730" t="e">
        <f t="shared" si="232"/>
        <v>#REF!</v>
      </c>
      <c r="I165" s="730"/>
      <c r="J165" s="730"/>
      <c r="K165" s="730" t="e">
        <f>IF(#REF!=0,0,1)</f>
        <v>#REF!</v>
      </c>
      <c r="L165" s="730" t="e">
        <f>IF(#REF!=0,0,1)</f>
        <v>#REF!</v>
      </c>
      <c r="M165" s="730">
        <f t="shared" si="233"/>
        <v>0</v>
      </c>
      <c r="N165" s="730">
        <f t="shared" si="268"/>
        <v>0</v>
      </c>
      <c r="P165" s="811"/>
      <c r="Q165" s="829">
        <v>2.7</v>
      </c>
      <c r="R165" s="828" t="s">
        <v>722</v>
      </c>
      <c r="S165" s="827"/>
      <c r="T165" s="826"/>
      <c r="U165" s="726"/>
      <c r="V165" s="747">
        <f t="shared" si="263"/>
        <v>0</v>
      </c>
      <c r="W165" s="746">
        <f t="shared" si="264"/>
        <v>0</v>
      </c>
      <c r="Y165" s="1">
        <f t="shared" si="250"/>
        <v>0</v>
      </c>
      <c r="Z165" s="1">
        <f t="shared" si="251"/>
        <v>0</v>
      </c>
      <c r="AA165" s="1">
        <f t="shared" si="252"/>
        <v>0</v>
      </c>
      <c r="AB165" s="1">
        <f t="shared" si="253"/>
        <v>0</v>
      </c>
      <c r="AC165" s="1">
        <f t="shared" si="254"/>
        <v>0</v>
      </c>
      <c r="AD165" s="1">
        <f t="shared" si="255"/>
        <v>0</v>
      </c>
      <c r="AE165" s="1">
        <f t="shared" si="256"/>
        <v>0</v>
      </c>
      <c r="AF165" s="1">
        <f t="shared" si="257"/>
        <v>0</v>
      </c>
      <c r="AG165" s="1">
        <f t="shared" si="258"/>
        <v>0</v>
      </c>
      <c r="AH165" s="1">
        <f t="shared" si="259"/>
        <v>0</v>
      </c>
      <c r="AI165" s="1">
        <f t="shared" si="260"/>
        <v>0</v>
      </c>
      <c r="AJ165" s="1">
        <f t="shared" si="261"/>
        <v>0</v>
      </c>
      <c r="AK165" s="1">
        <f t="shared" si="262"/>
        <v>0</v>
      </c>
      <c r="AM165" s="772"/>
      <c r="AN165" s="772"/>
      <c r="AO165" s="772"/>
      <c r="AP165" s="772"/>
      <c r="AQ165" s="772"/>
      <c r="AR165" s="772"/>
      <c r="AS165" s="772"/>
      <c r="AT165" s="772"/>
      <c r="AU165" s="772"/>
      <c r="AV165" s="772"/>
      <c r="AW165" s="772"/>
      <c r="AX165" s="772"/>
      <c r="AY165" s="772"/>
      <c r="BA165" s="723"/>
      <c r="BB165" s="723" t="e">
        <f t="shared" si="228"/>
        <v>#REF!</v>
      </c>
      <c r="BC165" s="723"/>
      <c r="BD165" s="722" t="e">
        <f>BR165*#REF!</f>
        <v>#REF!</v>
      </c>
      <c r="BE165" s="722" t="e">
        <f>BS165*#REF!</f>
        <v>#REF!</v>
      </c>
      <c r="BF165" s="722" t="e">
        <f>BT165*#REF!</f>
        <v>#REF!</v>
      </c>
      <c r="BG165" s="722" t="e">
        <f>BU165*#REF!</f>
        <v>#REF!</v>
      </c>
      <c r="BH165" s="803" t="e">
        <f>BV165*#REF!</f>
        <v>#REF!</v>
      </c>
      <c r="BI165" s="722" t="e">
        <f>BW165*#REF!</f>
        <v>#REF!</v>
      </c>
      <c r="BJ165" s="722" t="e">
        <f>BX165*#REF!</f>
        <v>#REF!</v>
      </c>
      <c r="BK165" s="722" t="e">
        <f>BY165*#REF!</f>
        <v>#REF!</v>
      </c>
      <c r="BL165" s="722" t="e">
        <f>BZ165*#REF!</f>
        <v>#REF!</v>
      </c>
      <c r="BM165" s="722" t="e">
        <f>CA165*#REF!</f>
        <v>#REF!</v>
      </c>
      <c r="BO165" s="749">
        <f t="shared" si="234"/>
        <v>2.7</v>
      </c>
      <c r="BP165" s="749" t="str">
        <f t="shared" si="235"/>
        <v>LR2 2</v>
      </c>
      <c r="BQ165" s="408">
        <f t="shared" si="236"/>
        <v>0</v>
      </c>
      <c r="BR165" s="719">
        <f t="shared" si="237"/>
        <v>0</v>
      </c>
      <c r="BS165" s="719">
        <f t="shared" si="238"/>
        <v>0</v>
      </c>
      <c r="BT165" s="719">
        <f t="shared" si="239"/>
        <v>0</v>
      </c>
      <c r="BU165" s="719">
        <f t="shared" si="240"/>
        <v>0</v>
      </c>
      <c r="BV165" s="802">
        <f t="shared" si="241"/>
        <v>0</v>
      </c>
      <c r="BW165" s="719">
        <f t="shared" si="242"/>
        <v>0</v>
      </c>
      <c r="BX165" s="719">
        <f t="shared" si="243"/>
        <v>0</v>
      </c>
      <c r="BY165" s="719">
        <f t="shared" si="244"/>
        <v>0</v>
      </c>
      <c r="BZ165" s="719">
        <f t="shared" si="245"/>
        <v>0</v>
      </c>
      <c r="CA165" s="719">
        <f t="shared" si="246"/>
        <v>0</v>
      </c>
      <c r="CB165" s="801">
        <f t="shared" si="247"/>
        <v>0</v>
      </c>
      <c r="CC165" s="800">
        <f t="shared" si="248"/>
        <v>0</v>
      </c>
      <c r="CD165" s="800">
        <f t="shared" si="249"/>
        <v>0</v>
      </c>
      <c r="CF165" s="455"/>
      <c r="CG165" s="459"/>
      <c r="CH165" s="456"/>
      <c r="CI165" s="461"/>
      <c r="CJ165" s="461"/>
      <c r="CK165" s="461"/>
      <c r="CL165" s="461"/>
      <c r="CM165" s="461"/>
      <c r="CN165" s="461"/>
      <c r="CO165" s="461"/>
      <c r="CP165" s="461"/>
      <c r="CQ165" s="461"/>
      <c r="CR165" s="461"/>
      <c r="CS165" s="516"/>
      <c r="CT165" s="473"/>
      <c r="CU165" s="473"/>
      <c r="CW165" s="455"/>
      <c r="CX165" s="459"/>
      <c r="CY165" s="456"/>
      <c r="CZ165" s="461"/>
      <c r="DA165" s="461"/>
      <c r="DB165" s="461"/>
      <c r="DC165" s="461"/>
      <c r="DD165" s="461"/>
      <c r="DE165" s="461"/>
      <c r="DF165" s="461"/>
      <c r="DG165" s="461"/>
      <c r="DH165" s="461"/>
      <c r="DI165" s="461"/>
      <c r="DJ165" s="516"/>
      <c r="DK165" s="473"/>
      <c r="DL165" s="473"/>
      <c r="DN165" s="455">
        <v>2.7</v>
      </c>
      <c r="DO165" s="459" t="s">
        <v>747</v>
      </c>
      <c r="DP165" s="456"/>
      <c r="DQ165" s="461"/>
      <c r="DR165" s="461"/>
      <c r="DS165" s="461"/>
      <c r="DT165" s="461"/>
      <c r="DU165" s="461"/>
      <c r="DV165" s="461"/>
      <c r="DW165" s="461"/>
      <c r="DX165" s="461"/>
      <c r="DY165" s="461"/>
      <c r="DZ165" s="461"/>
      <c r="EA165" s="516"/>
      <c r="EB165" s="473"/>
      <c r="EC165" s="473"/>
      <c r="ED165" s="549"/>
      <c r="EF165" s="455">
        <v>2.7</v>
      </c>
      <c r="EG165" s="459" t="s">
        <v>747</v>
      </c>
      <c r="EH165" s="456" t="s">
        <v>722</v>
      </c>
      <c r="EI165" s="598">
        <v>0.2</v>
      </c>
      <c r="EJ165" s="598">
        <v>0.2</v>
      </c>
      <c r="EK165" s="598">
        <v>0.2</v>
      </c>
      <c r="EL165" s="598">
        <v>0.2</v>
      </c>
      <c r="EM165" s="598">
        <v>0.2</v>
      </c>
      <c r="EN165" s="598">
        <v>0.2</v>
      </c>
      <c r="EO165" s="598">
        <v>0.2</v>
      </c>
      <c r="EP165" s="598">
        <v>0.2</v>
      </c>
      <c r="EQ165" s="598">
        <v>0.2</v>
      </c>
      <c r="ER165" s="598">
        <v>0.2</v>
      </c>
      <c r="ES165" s="634">
        <f t="shared" si="269"/>
        <v>0</v>
      </c>
      <c r="ET165" s="615">
        <f t="shared" si="270"/>
        <v>0</v>
      </c>
      <c r="EU165" s="615">
        <f t="shared" si="271"/>
        <v>0</v>
      </c>
      <c r="EW165" s="455">
        <v>2.7</v>
      </c>
      <c r="EX165" s="459" t="s">
        <v>747</v>
      </c>
      <c r="EY165" s="456"/>
      <c r="EZ165" s="598">
        <f t="shared" si="272"/>
        <v>0</v>
      </c>
      <c r="FA165" s="598"/>
      <c r="FB165" s="598"/>
      <c r="FC165" s="598"/>
      <c r="FD165" s="598"/>
      <c r="FE165" s="598"/>
      <c r="FF165" s="598"/>
      <c r="FG165" s="598"/>
      <c r="FH165" s="598"/>
      <c r="FI165" s="598"/>
      <c r="FJ165" s="664"/>
      <c r="FK165" s="650"/>
      <c r="FL165" s="650"/>
    </row>
    <row r="166" spans="2:168" ht="14.25" thickBot="1">
      <c r="B166" s="732">
        <f t="shared" ref="B166:B194" si="274">BO166</f>
        <v>3</v>
      </c>
      <c r="C166" s="759" t="str">
        <f t="shared" si="230"/>
        <v>汚染物質含有材料の使用回避</v>
      </c>
      <c r="D166" s="770" t="e">
        <f>IF(I$145=0,0,G166/I$145)</f>
        <v>#REF!</v>
      </c>
      <c r="E166" s="769" t="e">
        <f>IF(J$145=0,0,H166/J$145)</f>
        <v>#REF!</v>
      </c>
      <c r="G166" s="769" t="e">
        <f t="shared" si="231"/>
        <v>#REF!</v>
      </c>
      <c r="H166" s="769" t="e">
        <f t="shared" si="232"/>
        <v>#REF!</v>
      </c>
      <c r="I166" s="769" t="e">
        <f>G167+G168</f>
        <v>#REF!</v>
      </c>
      <c r="J166" s="769" t="e">
        <f>H167+H168</f>
        <v>#REF!</v>
      </c>
      <c r="K166" s="769" t="e">
        <f>IF(#REF!=0,0,1)</f>
        <v>#REF!</v>
      </c>
      <c r="L166" s="769" t="e">
        <f>IF(#REF!=0,0,1)</f>
        <v>#REF!</v>
      </c>
      <c r="M166" s="769">
        <f t="shared" si="233"/>
        <v>0.2</v>
      </c>
      <c r="N166" s="769">
        <f t="shared" si="268"/>
        <v>0</v>
      </c>
      <c r="P166" s="768">
        <v>3</v>
      </c>
      <c r="Q166" s="825" t="s">
        <v>306</v>
      </c>
      <c r="R166" s="743"/>
      <c r="S166" s="579"/>
      <c r="T166" s="745"/>
      <c r="U166" s="726"/>
      <c r="V166" s="814">
        <f t="shared" si="263"/>
        <v>0</v>
      </c>
      <c r="W166" s="813">
        <f t="shared" si="264"/>
        <v>0</v>
      </c>
      <c r="Y166" s="1">
        <f t="shared" si="250"/>
        <v>0</v>
      </c>
      <c r="Z166" s="1">
        <f t="shared" si="251"/>
        <v>0</v>
      </c>
      <c r="AA166" s="1">
        <f t="shared" si="252"/>
        <v>0</v>
      </c>
      <c r="AB166" s="1">
        <f t="shared" si="253"/>
        <v>0</v>
      </c>
      <c r="AC166" s="1">
        <f t="shared" si="254"/>
        <v>0</v>
      </c>
      <c r="AD166" s="1">
        <f t="shared" si="255"/>
        <v>0</v>
      </c>
      <c r="AE166" s="1">
        <f t="shared" si="256"/>
        <v>0</v>
      </c>
      <c r="AF166" s="1">
        <f t="shared" si="257"/>
        <v>0</v>
      </c>
      <c r="AG166" s="1">
        <f t="shared" si="258"/>
        <v>0</v>
      </c>
      <c r="AH166" s="1">
        <f t="shared" si="259"/>
        <v>0</v>
      </c>
      <c r="AI166" s="1">
        <f t="shared" si="260"/>
        <v>0</v>
      </c>
      <c r="AJ166" s="1">
        <f t="shared" si="261"/>
        <v>0</v>
      </c>
      <c r="AK166" s="1">
        <f t="shared" si="262"/>
        <v>0</v>
      </c>
      <c r="AM166" s="812" t="s">
        <v>49</v>
      </c>
      <c r="AN166" s="812" t="s">
        <v>49</v>
      </c>
      <c r="AO166" s="812" t="s">
        <v>49</v>
      </c>
      <c r="AP166" s="812" t="s">
        <v>49</v>
      </c>
      <c r="AQ166" s="812" t="s">
        <v>49</v>
      </c>
      <c r="AR166" s="812" t="s">
        <v>49</v>
      </c>
      <c r="AS166" s="812" t="s">
        <v>49</v>
      </c>
      <c r="AT166" s="812" t="s">
        <v>49</v>
      </c>
      <c r="AU166" s="812" t="s">
        <v>49</v>
      </c>
      <c r="AV166" s="812" t="s">
        <v>49</v>
      </c>
      <c r="AW166" s="812" t="s">
        <v>49</v>
      </c>
      <c r="AX166" s="812" t="s">
        <v>49</v>
      </c>
      <c r="AY166" s="812" t="s">
        <v>49</v>
      </c>
      <c r="BA166" s="763" t="e">
        <f>BB166/$BC$145</f>
        <v>#REF!</v>
      </c>
      <c r="BB166" s="763" t="e">
        <f t="shared" si="228"/>
        <v>#REF!</v>
      </c>
      <c r="BC166" s="763"/>
      <c r="BD166" s="762" t="e">
        <f>BR166*#REF!</f>
        <v>#REF!</v>
      </c>
      <c r="BE166" s="762" t="e">
        <f>BS166*#REF!</f>
        <v>#REF!</v>
      </c>
      <c r="BF166" s="762" t="e">
        <f>BT166*#REF!</f>
        <v>#REF!</v>
      </c>
      <c r="BG166" s="762" t="e">
        <f>BU166*#REF!</f>
        <v>#REF!</v>
      </c>
      <c r="BH166" s="824" t="e">
        <f>BV166*#REF!</f>
        <v>#REF!</v>
      </c>
      <c r="BI166" s="762" t="e">
        <f>BW166*#REF!</f>
        <v>#REF!</v>
      </c>
      <c r="BJ166" s="762" t="e">
        <f>BX166*#REF!</f>
        <v>#REF!</v>
      </c>
      <c r="BK166" s="762" t="e">
        <f>BY166*#REF!</f>
        <v>#REF!</v>
      </c>
      <c r="BL166" s="762" t="e">
        <f>BZ166*#REF!</f>
        <v>#REF!</v>
      </c>
      <c r="BM166" s="762" t="e">
        <f>CA166*#REF!</f>
        <v>#REF!</v>
      </c>
      <c r="BO166" s="823">
        <f t="shared" si="234"/>
        <v>3</v>
      </c>
      <c r="BP166" s="823" t="str">
        <f t="shared" si="235"/>
        <v>LR2</v>
      </c>
      <c r="BQ166" s="759" t="str">
        <f t="shared" si="236"/>
        <v>汚染物質含有材料の使用回避</v>
      </c>
      <c r="BR166" s="757">
        <f t="shared" si="237"/>
        <v>0.2</v>
      </c>
      <c r="BS166" s="757">
        <f t="shared" si="238"/>
        <v>0.2</v>
      </c>
      <c r="BT166" s="757">
        <f t="shared" si="239"/>
        <v>0.2</v>
      </c>
      <c r="BU166" s="757">
        <f t="shared" si="240"/>
        <v>0.2</v>
      </c>
      <c r="BV166" s="822">
        <f t="shared" si="241"/>
        <v>0.2</v>
      </c>
      <c r="BW166" s="757">
        <f t="shared" si="242"/>
        <v>0.2</v>
      </c>
      <c r="BX166" s="757">
        <f t="shared" si="243"/>
        <v>0.2</v>
      </c>
      <c r="BY166" s="757">
        <f t="shared" si="244"/>
        <v>0.2</v>
      </c>
      <c r="BZ166" s="757">
        <f t="shared" si="245"/>
        <v>0.2</v>
      </c>
      <c r="CA166" s="757">
        <f t="shared" si="246"/>
        <v>0.2</v>
      </c>
      <c r="CB166" s="821">
        <f t="shared" si="247"/>
        <v>0</v>
      </c>
      <c r="CC166" s="820">
        <f t="shared" si="248"/>
        <v>0</v>
      </c>
      <c r="CD166" s="820">
        <f t="shared" si="249"/>
        <v>0</v>
      </c>
      <c r="CF166" s="447">
        <v>3</v>
      </c>
      <c r="CG166" s="451" t="s">
        <v>361</v>
      </c>
      <c r="CH166" s="448" t="s">
        <v>306</v>
      </c>
      <c r="CI166" s="452">
        <v>0.2</v>
      </c>
      <c r="CJ166" s="452">
        <v>0.2</v>
      </c>
      <c r="CK166" s="452">
        <v>0.2</v>
      </c>
      <c r="CL166" s="452">
        <v>0.2</v>
      </c>
      <c r="CM166" s="452">
        <v>0.2</v>
      </c>
      <c r="CN166" s="452">
        <v>0.2</v>
      </c>
      <c r="CO166" s="452">
        <v>0.2</v>
      </c>
      <c r="CP166" s="452">
        <v>0.2</v>
      </c>
      <c r="CQ166" s="452">
        <v>0.2</v>
      </c>
      <c r="CR166" s="452">
        <v>0.2</v>
      </c>
      <c r="CS166" s="514">
        <v>0</v>
      </c>
      <c r="CT166" s="515">
        <v>0</v>
      </c>
      <c r="CU166" s="515">
        <v>0</v>
      </c>
      <c r="CW166" s="447">
        <v>3</v>
      </c>
      <c r="CX166" s="451" t="s">
        <v>361</v>
      </c>
      <c r="CY166" s="448" t="s">
        <v>306</v>
      </c>
      <c r="CZ166" s="452">
        <v>0.2</v>
      </c>
      <c r="DA166" s="452">
        <v>0.2</v>
      </c>
      <c r="DB166" s="452">
        <v>0.2</v>
      </c>
      <c r="DC166" s="452">
        <v>0.2</v>
      </c>
      <c r="DD166" s="452">
        <v>0.2</v>
      </c>
      <c r="DE166" s="452">
        <v>0.2</v>
      </c>
      <c r="DF166" s="452">
        <v>0.2</v>
      </c>
      <c r="DG166" s="452">
        <v>0.2</v>
      </c>
      <c r="DH166" s="452">
        <v>0.2</v>
      </c>
      <c r="DI166" s="452">
        <v>0.2</v>
      </c>
      <c r="DJ166" s="514"/>
      <c r="DK166" s="515"/>
      <c r="DL166" s="515"/>
      <c r="DN166" s="447">
        <v>3</v>
      </c>
      <c r="DO166" s="451" t="s">
        <v>361</v>
      </c>
      <c r="DP166" s="448" t="s">
        <v>306</v>
      </c>
      <c r="DQ166" s="452">
        <v>0.2</v>
      </c>
      <c r="DR166" s="452">
        <v>0.2</v>
      </c>
      <c r="DS166" s="452">
        <v>0.2</v>
      </c>
      <c r="DT166" s="452">
        <v>0.2</v>
      </c>
      <c r="DU166" s="452">
        <v>0.2</v>
      </c>
      <c r="DV166" s="452">
        <v>0.2</v>
      </c>
      <c r="DW166" s="452">
        <v>0.2</v>
      </c>
      <c r="DX166" s="452">
        <v>0.2</v>
      </c>
      <c r="DY166" s="452">
        <v>0.2</v>
      </c>
      <c r="DZ166" s="452">
        <v>0.2</v>
      </c>
      <c r="EA166" s="514"/>
      <c r="EB166" s="515"/>
      <c r="EC166" s="515"/>
      <c r="ED166" s="559"/>
      <c r="EF166" s="447">
        <v>3</v>
      </c>
      <c r="EG166" s="451" t="s">
        <v>361</v>
      </c>
      <c r="EH166" s="448" t="s">
        <v>306</v>
      </c>
      <c r="EI166" s="596">
        <v>0.05</v>
      </c>
      <c r="EJ166" s="596">
        <v>0.05</v>
      </c>
      <c r="EK166" s="596">
        <v>0.05</v>
      </c>
      <c r="EL166" s="596">
        <v>0.05</v>
      </c>
      <c r="EM166" s="596">
        <v>0.05</v>
      </c>
      <c r="EN166" s="596">
        <v>0.05</v>
      </c>
      <c r="EO166" s="596">
        <v>0.05</v>
      </c>
      <c r="EP166" s="596">
        <v>0.05</v>
      </c>
      <c r="EQ166" s="596">
        <v>0.05</v>
      </c>
      <c r="ER166" s="596">
        <v>0.05</v>
      </c>
      <c r="ES166" s="632">
        <f t="shared" si="269"/>
        <v>0</v>
      </c>
      <c r="ET166" s="633">
        <f t="shared" si="270"/>
        <v>0</v>
      </c>
      <c r="EU166" s="633">
        <f t="shared" si="271"/>
        <v>0</v>
      </c>
      <c r="EW166" s="447">
        <v>3</v>
      </c>
      <c r="EX166" s="451" t="s">
        <v>361</v>
      </c>
      <c r="EY166" s="448" t="s">
        <v>306</v>
      </c>
      <c r="EZ166" s="673">
        <f t="shared" si="272"/>
        <v>0.2</v>
      </c>
      <c r="FA166" s="596"/>
      <c r="FB166" s="596"/>
      <c r="FC166" s="596"/>
      <c r="FD166" s="596"/>
      <c r="FE166" s="596"/>
      <c r="FF166" s="596"/>
      <c r="FG166" s="596"/>
      <c r="FH166" s="596"/>
      <c r="FI166" s="596"/>
      <c r="FJ166" s="662"/>
      <c r="FK166" s="663"/>
      <c r="FL166" s="663"/>
    </row>
    <row r="167" spans="2:168" ht="14.25" thickBot="1">
      <c r="B167" s="732" t="str">
        <f t="shared" si="274"/>
        <v>3.1</v>
      </c>
      <c r="C167" s="408" t="str">
        <f t="shared" si="230"/>
        <v>有害物質を含まない材料の使用</v>
      </c>
      <c r="D167" s="731" t="e">
        <f>IF(I$166=0,0,G167/I$166)</f>
        <v>#REF!</v>
      </c>
      <c r="E167" s="730" t="e">
        <f>IF(J$166=0,0,H167/J$166)</f>
        <v>#REF!</v>
      </c>
      <c r="G167" s="730" t="e">
        <f t="shared" si="231"/>
        <v>#REF!</v>
      </c>
      <c r="H167" s="730" t="e">
        <f t="shared" si="232"/>
        <v>#REF!</v>
      </c>
      <c r="I167" s="730"/>
      <c r="J167" s="730"/>
      <c r="K167" s="730" t="e">
        <f>IF(#REF!=0,0,1)</f>
        <v>#REF!</v>
      </c>
      <c r="L167" s="730" t="e">
        <f>IF(#REF!=0,0,1)</f>
        <v>#REF!</v>
      </c>
      <c r="M167" s="730">
        <f t="shared" si="233"/>
        <v>0.3</v>
      </c>
      <c r="N167" s="730">
        <f t="shared" si="268"/>
        <v>0</v>
      </c>
      <c r="P167" s="811"/>
      <c r="Q167" s="778">
        <v>3.1</v>
      </c>
      <c r="R167" s="743" t="s">
        <v>307</v>
      </c>
      <c r="S167" s="579"/>
      <c r="T167" s="745"/>
      <c r="U167" s="726"/>
      <c r="V167" s="819">
        <f t="shared" si="263"/>
        <v>0</v>
      </c>
      <c r="W167" s="818">
        <f t="shared" si="264"/>
        <v>0</v>
      </c>
      <c r="Y167" s="1">
        <f t="shared" si="250"/>
        <v>0</v>
      </c>
      <c r="Z167" s="1">
        <f t="shared" si="251"/>
        <v>0</v>
      </c>
      <c r="AA167" s="1">
        <f t="shared" si="252"/>
        <v>0</v>
      </c>
      <c r="AB167" s="1">
        <f t="shared" si="253"/>
        <v>0</v>
      </c>
      <c r="AC167" s="1">
        <f t="shared" si="254"/>
        <v>0</v>
      </c>
      <c r="AD167" s="1">
        <f t="shared" si="255"/>
        <v>0</v>
      </c>
      <c r="AE167" s="1">
        <f t="shared" si="256"/>
        <v>0</v>
      </c>
      <c r="AF167" s="1">
        <f t="shared" si="257"/>
        <v>0</v>
      </c>
      <c r="AG167" s="1">
        <f t="shared" si="258"/>
        <v>0</v>
      </c>
      <c r="AH167" s="1">
        <f t="shared" si="259"/>
        <v>0</v>
      </c>
      <c r="AI167" s="1">
        <f t="shared" si="260"/>
        <v>0</v>
      </c>
      <c r="AJ167" s="1">
        <f t="shared" si="261"/>
        <v>0</v>
      </c>
      <c r="AK167" s="1">
        <f t="shared" si="262"/>
        <v>0</v>
      </c>
      <c r="AM167" s="817"/>
      <c r="AN167" s="817"/>
      <c r="AO167" s="817"/>
      <c r="AP167" s="817"/>
      <c r="AQ167" s="817"/>
      <c r="AR167" s="817"/>
      <c r="AS167" s="817"/>
      <c r="AT167" s="817"/>
      <c r="AU167" s="817"/>
      <c r="AV167" s="817"/>
      <c r="AW167" s="817"/>
      <c r="AX167" s="817"/>
      <c r="AY167" s="817"/>
      <c r="BA167" s="723"/>
      <c r="BB167" s="723" t="e">
        <f t="shared" si="228"/>
        <v>#REF!</v>
      </c>
      <c r="BC167" s="723"/>
      <c r="BD167" s="722" t="e">
        <f>BR167*#REF!</f>
        <v>#REF!</v>
      </c>
      <c r="BE167" s="722" t="e">
        <f>BS167*#REF!</f>
        <v>#REF!</v>
      </c>
      <c r="BF167" s="722" t="e">
        <f>BT167*#REF!</f>
        <v>#REF!</v>
      </c>
      <c r="BG167" s="722" t="e">
        <f>BU167*#REF!</f>
        <v>#REF!</v>
      </c>
      <c r="BH167" s="803" t="e">
        <f>BV167*#REF!</f>
        <v>#REF!</v>
      </c>
      <c r="BI167" s="722" t="e">
        <f>BW167*#REF!</f>
        <v>#REF!</v>
      </c>
      <c r="BJ167" s="722" t="e">
        <f>BX167*#REF!</f>
        <v>#REF!</v>
      </c>
      <c r="BK167" s="722" t="e">
        <f>BY167*#REF!</f>
        <v>#REF!</v>
      </c>
      <c r="BL167" s="722" t="e">
        <f>BZ167*#REF!</f>
        <v>#REF!</v>
      </c>
      <c r="BM167" s="722" t="e">
        <f>CA167*#REF!</f>
        <v>#REF!</v>
      </c>
      <c r="BO167" s="749" t="str">
        <f t="shared" si="234"/>
        <v>3.1</v>
      </c>
      <c r="BP167" s="749" t="str">
        <f t="shared" si="235"/>
        <v>LR2 3</v>
      </c>
      <c r="BQ167" s="408" t="str">
        <f t="shared" si="236"/>
        <v>有害物質を含まない材料の使用</v>
      </c>
      <c r="BR167" s="719">
        <f t="shared" si="237"/>
        <v>0.3</v>
      </c>
      <c r="BS167" s="719">
        <f t="shared" si="238"/>
        <v>0.3</v>
      </c>
      <c r="BT167" s="719">
        <f t="shared" si="239"/>
        <v>0.3</v>
      </c>
      <c r="BU167" s="719">
        <f t="shared" si="240"/>
        <v>0.3</v>
      </c>
      <c r="BV167" s="802">
        <f t="shared" si="241"/>
        <v>0.3</v>
      </c>
      <c r="BW167" s="719">
        <f t="shared" si="242"/>
        <v>0.3</v>
      </c>
      <c r="BX167" s="719">
        <f t="shared" si="243"/>
        <v>0.3</v>
      </c>
      <c r="BY167" s="719">
        <f t="shared" si="244"/>
        <v>0.3</v>
      </c>
      <c r="BZ167" s="719">
        <f t="shared" si="245"/>
        <v>0.3</v>
      </c>
      <c r="CA167" s="719">
        <f t="shared" si="246"/>
        <v>0.3</v>
      </c>
      <c r="CB167" s="801">
        <f t="shared" si="247"/>
        <v>0</v>
      </c>
      <c r="CC167" s="800">
        <f t="shared" si="248"/>
        <v>0</v>
      </c>
      <c r="CD167" s="800">
        <f t="shared" si="249"/>
        <v>0</v>
      </c>
      <c r="CF167" s="455" t="s">
        <v>330</v>
      </c>
      <c r="CG167" s="459" t="s">
        <v>47</v>
      </c>
      <c r="CH167" s="456" t="s">
        <v>307</v>
      </c>
      <c r="CI167" s="461">
        <v>0.3</v>
      </c>
      <c r="CJ167" s="461">
        <v>0.3</v>
      </c>
      <c r="CK167" s="461">
        <v>0.3</v>
      </c>
      <c r="CL167" s="461">
        <v>0.3</v>
      </c>
      <c r="CM167" s="461">
        <v>0.3</v>
      </c>
      <c r="CN167" s="461">
        <v>0.3</v>
      </c>
      <c r="CO167" s="461">
        <v>0.3</v>
      </c>
      <c r="CP167" s="461">
        <v>0.3</v>
      </c>
      <c r="CQ167" s="461">
        <v>0.3</v>
      </c>
      <c r="CR167" s="461">
        <v>0.3</v>
      </c>
      <c r="CS167" s="516">
        <v>0</v>
      </c>
      <c r="CT167" s="473">
        <v>0</v>
      </c>
      <c r="CU167" s="473">
        <v>0</v>
      </c>
      <c r="CW167" s="455" t="s">
        <v>824</v>
      </c>
      <c r="CX167" s="459" t="s">
        <v>47</v>
      </c>
      <c r="CY167" s="456" t="s">
        <v>307</v>
      </c>
      <c r="CZ167" s="461">
        <v>0.3</v>
      </c>
      <c r="DA167" s="461">
        <v>0.3</v>
      </c>
      <c r="DB167" s="461">
        <v>0.3</v>
      </c>
      <c r="DC167" s="461">
        <v>0.3</v>
      </c>
      <c r="DD167" s="461">
        <v>0.3</v>
      </c>
      <c r="DE167" s="461">
        <v>0.3</v>
      </c>
      <c r="DF167" s="461">
        <v>0.3</v>
      </c>
      <c r="DG167" s="461">
        <v>0.3</v>
      </c>
      <c r="DH167" s="461">
        <v>0.3</v>
      </c>
      <c r="DI167" s="461">
        <v>0.3</v>
      </c>
      <c r="DJ167" s="516"/>
      <c r="DK167" s="473"/>
      <c r="DL167" s="473"/>
      <c r="DN167" s="455" t="s">
        <v>330</v>
      </c>
      <c r="DO167" s="459" t="s">
        <v>47</v>
      </c>
      <c r="DP167" s="456" t="s">
        <v>307</v>
      </c>
      <c r="DQ167" s="461">
        <v>0.3</v>
      </c>
      <c r="DR167" s="461">
        <v>0.3</v>
      </c>
      <c r="DS167" s="461">
        <v>0.3</v>
      </c>
      <c r="DT167" s="461">
        <v>0.3</v>
      </c>
      <c r="DU167" s="461">
        <v>0.3</v>
      </c>
      <c r="DV167" s="461">
        <v>0.3</v>
      </c>
      <c r="DW167" s="461">
        <v>0.3</v>
      </c>
      <c r="DX167" s="461">
        <v>0.3</v>
      </c>
      <c r="DY167" s="461">
        <v>0.3</v>
      </c>
      <c r="DZ167" s="461">
        <v>0.3</v>
      </c>
      <c r="EA167" s="516"/>
      <c r="EB167" s="473"/>
      <c r="EC167" s="473"/>
      <c r="ED167" s="549"/>
      <c r="EF167" s="455" t="s">
        <v>823</v>
      </c>
      <c r="EG167" s="459" t="s">
        <v>47</v>
      </c>
      <c r="EH167" s="456" t="s">
        <v>307</v>
      </c>
      <c r="EI167" s="609">
        <f t="shared" ref="EI167:EI181" si="275">DQ167</f>
        <v>0.3</v>
      </c>
      <c r="EJ167" s="609">
        <f t="shared" ref="EJ167:EJ181" si="276">DR167</f>
        <v>0.3</v>
      </c>
      <c r="EK167" s="609">
        <f t="shared" ref="EK167:EK181" si="277">DS167</f>
        <v>0.3</v>
      </c>
      <c r="EL167" s="609">
        <f t="shared" ref="EL167:EL181" si="278">DT167</f>
        <v>0.3</v>
      </c>
      <c r="EM167" s="609">
        <f t="shared" ref="EM167:EM181" si="279">DU167</f>
        <v>0.3</v>
      </c>
      <c r="EN167" s="609">
        <f t="shared" ref="EN167:EN181" si="280">DV167</f>
        <v>0.3</v>
      </c>
      <c r="EO167" s="609">
        <f t="shared" ref="EO167:EO181" si="281">DW167</f>
        <v>0.3</v>
      </c>
      <c r="EP167" s="609">
        <f t="shared" ref="EP167:EP181" si="282">DX167</f>
        <v>0.3</v>
      </c>
      <c r="EQ167" s="609">
        <f t="shared" ref="EQ167:EQ181" si="283">DY167</f>
        <v>0.3</v>
      </c>
      <c r="ER167" s="609">
        <f t="shared" ref="ER167:ER181" si="284">DZ167</f>
        <v>0.3</v>
      </c>
      <c r="ES167" s="634">
        <f t="shared" si="269"/>
        <v>0</v>
      </c>
      <c r="ET167" s="615">
        <f t="shared" si="270"/>
        <v>0</v>
      </c>
      <c r="EU167" s="615">
        <f t="shared" si="271"/>
        <v>0</v>
      </c>
      <c r="EW167" s="455" t="s">
        <v>330</v>
      </c>
      <c r="EX167" s="459" t="s">
        <v>47</v>
      </c>
      <c r="EY167" s="456" t="s">
        <v>307</v>
      </c>
      <c r="EZ167" s="666">
        <v>0.6</v>
      </c>
      <c r="FA167" s="598"/>
      <c r="FB167" s="598"/>
      <c r="FC167" s="598"/>
      <c r="FD167" s="598"/>
      <c r="FE167" s="598"/>
      <c r="FF167" s="598"/>
      <c r="FG167" s="598"/>
      <c r="FH167" s="598"/>
      <c r="FI167" s="598"/>
      <c r="FJ167" s="664"/>
      <c r="FK167" s="650"/>
      <c r="FL167" s="650"/>
    </row>
    <row r="168" spans="2:168" ht="14.25" thickBot="1">
      <c r="B168" s="732" t="str">
        <f t="shared" si="274"/>
        <v>3.2</v>
      </c>
      <c r="C168" s="408" t="str">
        <f t="shared" si="230"/>
        <v>フロン・ハロンの回避</v>
      </c>
      <c r="D168" s="731" t="e">
        <f>IF(I$166=0,0,G168/I$166)</f>
        <v>#REF!</v>
      </c>
      <c r="E168" s="730" t="e">
        <f>IF(J$166=0,0,H168/J$166)</f>
        <v>#REF!</v>
      </c>
      <c r="G168" s="730" t="e">
        <f t="shared" si="231"/>
        <v>#REF!</v>
      </c>
      <c r="H168" s="730" t="e">
        <f t="shared" si="232"/>
        <v>#REF!</v>
      </c>
      <c r="I168" s="730" t="e">
        <f>SUM(G169:G171)</f>
        <v>#REF!</v>
      </c>
      <c r="J168" s="730" t="e">
        <f>SUM(H169:H171)</f>
        <v>#REF!</v>
      </c>
      <c r="K168" s="730" t="e">
        <f>IF(#REF!=0,0,1)</f>
        <v>#REF!</v>
      </c>
      <c r="L168" s="730" t="e">
        <f>IF(#REF!=0,0,1)</f>
        <v>#REF!</v>
      </c>
      <c r="M168" s="730">
        <f t="shared" si="233"/>
        <v>0.7</v>
      </c>
      <c r="N168" s="730">
        <f t="shared" si="268"/>
        <v>0</v>
      </c>
      <c r="P168" s="811"/>
      <c r="Q168" s="744">
        <v>3.2</v>
      </c>
      <c r="R168" s="743" t="s">
        <v>308</v>
      </c>
      <c r="S168" s="816"/>
      <c r="T168" s="815"/>
      <c r="U168" s="726"/>
      <c r="V168" s="814">
        <f t="shared" si="263"/>
        <v>0</v>
      </c>
      <c r="W168" s="813">
        <f t="shared" si="264"/>
        <v>0</v>
      </c>
      <c r="Y168" s="1">
        <f t="shared" si="250"/>
        <v>0</v>
      </c>
      <c r="Z168" s="1">
        <f t="shared" si="251"/>
        <v>0</v>
      </c>
      <c r="AA168" s="1">
        <f t="shared" si="252"/>
        <v>0</v>
      </c>
      <c r="AB168" s="1">
        <f t="shared" si="253"/>
        <v>0</v>
      </c>
      <c r="AC168" s="1">
        <f t="shared" si="254"/>
        <v>0</v>
      </c>
      <c r="AD168" s="1">
        <f t="shared" si="255"/>
        <v>0</v>
      </c>
      <c r="AE168" s="1">
        <f t="shared" si="256"/>
        <v>0</v>
      </c>
      <c r="AF168" s="1">
        <f t="shared" si="257"/>
        <v>0</v>
      </c>
      <c r="AG168" s="1">
        <f t="shared" si="258"/>
        <v>0</v>
      </c>
      <c r="AH168" s="1">
        <f t="shared" si="259"/>
        <v>0</v>
      </c>
      <c r="AI168" s="1">
        <f t="shared" si="260"/>
        <v>0</v>
      </c>
      <c r="AJ168" s="1">
        <f t="shared" si="261"/>
        <v>0</v>
      </c>
      <c r="AK168" s="1">
        <f t="shared" si="262"/>
        <v>0</v>
      </c>
      <c r="AM168" s="812" t="s">
        <v>822</v>
      </c>
      <c r="AN168" s="812" t="s">
        <v>822</v>
      </c>
      <c r="AO168" s="812" t="s">
        <v>822</v>
      </c>
      <c r="AP168" s="812" t="s">
        <v>822</v>
      </c>
      <c r="AQ168" s="812" t="s">
        <v>822</v>
      </c>
      <c r="AR168" s="812" t="s">
        <v>822</v>
      </c>
      <c r="AS168" s="812" t="s">
        <v>822</v>
      </c>
      <c r="AT168" s="812" t="s">
        <v>822</v>
      </c>
      <c r="AU168" s="812" t="s">
        <v>822</v>
      </c>
      <c r="AV168" s="812" t="s">
        <v>822</v>
      </c>
      <c r="AW168" s="812" t="s">
        <v>822</v>
      </c>
      <c r="AX168" s="812" t="s">
        <v>822</v>
      </c>
      <c r="AY168" s="812" t="s">
        <v>822</v>
      </c>
      <c r="BA168" s="723"/>
      <c r="BB168" s="723" t="e">
        <f t="shared" si="228"/>
        <v>#REF!</v>
      </c>
      <c r="BC168" s="723"/>
      <c r="BD168" s="722" t="e">
        <f>BR168*#REF!</f>
        <v>#REF!</v>
      </c>
      <c r="BE168" s="722" t="e">
        <f>BS168*#REF!</f>
        <v>#REF!</v>
      </c>
      <c r="BF168" s="722" t="e">
        <f>BT168*#REF!</f>
        <v>#REF!</v>
      </c>
      <c r="BG168" s="722" t="e">
        <f>BU168*#REF!</f>
        <v>#REF!</v>
      </c>
      <c r="BH168" s="803" t="e">
        <f>BV168*#REF!</f>
        <v>#REF!</v>
      </c>
      <c r="BI168" s="722" t="e">
        <f>BW168*#REF!</f>
        <v>#REF!</v>
      </c>
      <c r="BJ168" s="722" t="e">
        <f>BX168*#REF!</f>
        <v>#REF!</v>
      </c>
      <c r="BK168" s="722" t="e">
        <f>BY168*#REF!</f>
        <v>#REF!</v>
      </c>
      <c r="BL168" s="722" t="e">
        <f>BZ168*#REF!</f>
        <v>#REF!</v>
      </c>
      <c r="BM168" s="722" t="e">
        <f>CA168*#REF!</f>
        <v>#REF!</v>
      </c>
      <c r="BO168" s="749" t="str">
        <f t="shared" si="234"/>
        <v>3.2</v>
      </c>
      <c r="BP168" s="749" t="str">
        <f t="shared" si="235"/>
        <v>LR2 3</v>
      </c>
      <c r="BQ168" s="408" t="str">
        <f t="shared" si="236"/>
        <v>フロン・ハロンの回避</v>
      </c>
      <c r="BR168" s="719">
        <f t="shared" si="237"/>
        <v>0.7</v>
      </c>
      <c r="BS168" s="719">
        <f t="shared" si="238"/>
        <v>0.7</v>
      </c>
      <c r="BT168" s="719">
        <f t="shared" si="239"/>
        <v>0.7</v>
      </c>
      <c r="BU168" s="719">
        <f t="shared" si="240"/>
        <v>0.7</v>
      </c>
      <c r="BV168" s="802">
        <f t="shared" si="241"/>
        <v>0.7</v>
      </c>
      <c r="BW168" s="719">
        <f t="shared" si="242"/>
        <v>0.7</v>
      </c>
      <c r="BX168" s="719">
        <f t="shared" si="243"/>
        <v>0.7</v>
      </c>
      <c r="BY168" s="719">
        <f t="shared" si="244"/>
        <v>0.7</v>
      </c>
      <c r="BZ168" s="719">
        <f t="shared" si="245"/>
        <v>0.7</v>
      </c>
      <c r="CA168" s="719">
        <f t="shared" si="246"/>
        <v>0.7</v>
      </c>
      <c r="CB168" s="801">
        <f t="shared" si="247"/>
        <v>0</v>
      </c>
      <c r="CC168" s="800">
        <f t="shared" si="248"/>
        <v>0</v>
      </c>
      <c r="CD168" s="800">
        <f t="shared" si="249"/>
        <v>0</v>
      </c>
      <c r="CF168" s="455" t="s">
        <v>821</v>
      </c>
      <c r="CG168" s="459" t="s">
        <v>47</v>
      </c>
      <c r="CH168" s="456" t="s">
        <v>48</v>
      </c>
      <c r="CI168" s="461">
        <v>0.7</v>
      </c>
      <c r="CJ168" s="461">
        <v>0.7</v>
      </c>
      <c r="CK168" s="461">
        <v>0.7</v>
      </c>
      <c r="CL168" s="461">
        <v>0.7</v>
      </c>
      <c r="CM168" s="461">
        <v>0.7</v>
      </c>
      <c r="CN168" s="461">
        <v>0.7</v>
      </c>
      <c r="CO168" s="461">
        <v>0.7</v>
      </c>
      <c r="CP168" s="461">
        <v>0.7</v>
      </c>
      <c r="CQ168" s="461">
        <v>0.7</v>
      </c>
      <c r="CR168" s="461">
        <v>0.7</v>
      </c>
      <c r="CS168" s="516">
        <v>0</v>
      </c>
      <c r="CT168" s="473">
        <v>0</v>
      </c>
      <c r="CU168" s="473">
        <v>0</v>
      </c>
      <c r="CW168" s="455" t="s">
        <v>821</v>
      </c>
      <c r="CX168" s="459" t="s">
        <v>47</v>
      </c>
      <c r="CY168" s="456" t="s">
        <v>48</v>
      </c>
      <c r="CZ168" s="461">
        <v>0.7</v>
      </c>
      <c r="DA168" s="461">
        <v>0.7</v>
      </c>
      <c r="DB168" s="461">
        <v>0.7</v>
      </c>
      <c r="DC168" s="461">
        <v>0.7</v>
      </c>
      <c r="DD168" s="461">
        <v>0.7</v>
      </c>
      <c r="DE168" s="461">
        <v>0.7</v>
      </c>
      <c r="DF168" s="461">
        <v>0.7</v>
      </c>
      <c r="DG168" s="461">
        <v>0.7</v>
      </c>
      <c r="DH168" s="461">
        <v>0.7</v>
      </c>
      <c r="DI168" s="461">
        <v>0.7</v>
      </c>
      <c r="DJ168" s="516"/>
      <c r="DK168" s="473"/>
      <c r="DL168" s="473"/>
      <c r="DN168" s="455" t="s">
        <v>821</v>
      </c>
      <c r="DO168" s="459" t="s">
        <v>47</v>
      </c>
      <c r="DP168" s="456" t="s">
        <v>48</v>
      </c>
      <c r="DQ168" s="461">
        <v>0.7</v>
      </c>
      <c r="DR168" s="461">
        <v>0.7</v>
      </c>
      <c r="DS168" s="461">
        <v>0.7</v>
      </c>
      <c r="DT168" s="461">
        <v>0.7</v>
      </c>
      <c r="DU168" s="461">
        <v>0.7</v>
      </c>
      <c r="DV168" s="461">
        <v>0.7</v>
      </c>
      <c r="DW168" s="461">
        <v>0.7</v>
      </c>
      <c r="DX168" s="461">
        <v>0.7</v>
      </c>
      <c r="DY168" s="461">
        <v>0.7</v>
      </c>
      <c r="DZ168" s="461">
        <v>0.7</v>
      </c>
      <c r="EA168" s="516"/>
      <c r="EB168" s="473"/>
      <c r="EC168" s="473"/>
      <c r="ED168" s="549"/>
      <c r="EF168" s="455" t="s">
        <v>821</v>
      </c>
      <c r="EG168" s="459" t="s">
        <v>47</v>
      </c>
      <c r="EH168" s="456" t="s">
        <v>48</v>
      </c>
      <c r="EI168" s="609">
        <f t="shared" si="275"/>
        <v>0.7</v>
      </c>
      <c r="EJ168" s="609">
        <f t="shared" si="276"/>
        <v>0.7</v>
      </c>
      <c r="EK168" s="609">
        <f t="shared" si="277"/>
        <v>0.7</v>
      </c>
      <c r="EL168" s="609">
        <f t="shared" si="278"/>
        <v>0.7</v>
      </c>
      <c r="EM168" s="609">
        <f t="shared" si="279"/>
        <v>0.7</v>
      </c>
      <c r="EN168" s="609">
        <f t="shared" si="280"/>
        <v>0.7</v>
      </c>
      <c r="EO168" s="609">
        <f t="shared" si="281"/>
        <v>0.7</v>
      </c>
      <c r="EP168" s="609">
        <f t="shared" si="282"/>
        <v>0.7</v>
      </c>
      <c r="EQ168" s="609">
        <f t="shared" si="283"/>
        <v>0.7</v>
      </c>
      <c r="ER168" s="609">
        <f t="shared" si="284"/>
        <v>0.7</v>
      </c>
      <c r="ES168" s="634">
        <f t="shared" si="269"/>
        <v>0</v>
      </c>
      <c r="ET168" s="615">
        <f t="shared" si="270"/>
        <v>0</v>
      </c>
      <c r="EU168" s="615">
        <f t="shared" si="271"/>
        <v>0</v>
      </c>
      <c r="EW168" s="455" t="s">
        <v>331</v>
      </c>
      <c r="EX168" s="459" t="s">
        <v>47</v>
      </c>
      <c r="EY168" s="456" t="s">
        <v>48</v>
      </c>
      <c r="EZ168" s="666">
        <v>0.4</v>
      </c>
      <c r="FA168" s="598"/>
      <c r="FB168" s="598"/>
      <c r="FC168" s="598"/>
      <c r="FD168" s="598"/>
      <c r="FE168" s="598"/>
      <c r="FF168" s="598"/>
      <c r="FG168" s="598"/>
      <c r="FH168" s="598"/>
      <c r="FI168" s="598"/>
      <c r="FJ168" s="664"/>
      <c r="FK168" s="650"/>
      <c r="FL168" s="650"/>
    </row>
    <row r="169" spans="2:168">
      <c r="B169" s="732" t="str">
        <f t="shared" si="274"/>
        <v>3.2.1</v>
      </c>
      <c r="C169" s="408" t="str">
        <f t="shared" ref="C169:C194" si="285">BQ169</f>
        <v>消火剤</v>
      </c>
      <c r="D169" s="809" t="e">
        <f t="shared" ref="D169:E171" si="286">IF(I$168&gt;0,G169/I$168,0)</f>
        <v>#REF!</v>
      </c>
      <c r="E169" s="730" t="e">
        <f t="shared" si="286"/>
        <v>#REF!</v>
      </c>
      <c r="G169" s="730" t="e">
        <f t="shared" ref="G169:G194" si="287">K169*M169</f>
        <v>#REF!</v>
      </c>
      <c r="H169" s="730" t="e">
        <f t="shared" ref="H169:H194" si="288">L169*N169</f>
        <v>#REF!</v>
      </c>
      <c r="I169" s="730"/>
      <c r="J169" s="730"/>
      <c r="K169" s="730" t="e">
        <f>IF(#REF!=0,0,1)</f>
        <v>#REF!</v>
      </c>
      <c r="L169" s="730" t="e">
        <f>IF(#REF!=0,0,1)</f>
        <v>#REF!</v>
      </c>
      <c r="M169" s="730">
        <f t="shared" ref="M169:M194" si="289">SUMPRODUCT($BR$7:$CA$7,BR169:CA169)</f>
        <v>0.33333333333333331</v>
      </c>
      <c r="N169" s="730">
        <f t="shared" si="268"/>
        <v>0</v>
      </c>
      <c r="P169" s="811"/>
      <c r="Q169" s="810"/>
      <c r="R169" s="414">
        <v>1</v>
      </c>
      <c r="S169" s="579" t="s">
        <v>18</v>
      </c>
      <c r="T169" s="745"/>
      <c r="U169" s="726"/>
      <c r="V169" s="734">
        <f t="shared" si="263"/>
        <v>0</v>
      </c>
      <c r="W169" s="733">
        <f t="shared" si="264"/>
        <v>0</v>
      </c>
      <c r="Y169" s="1">
        <f t="shared" si="250"/>
        <v>0</v>
      </c>
      <c r="Z169" s="1">
        <f t="shared" si="251"/>
        <v>0</v>
      </c>
      <c r="AA169" s="1">
        <f t="shared" si="252"/>
        <v>0</v>
      </c>
      <c r="AB169" s="1">
        <f t="shared" si="253"/>
        <v>0</v>
      </c>
      <c r="AC169" s="1">
        <f t="shared" si="254"/>
        <v>0</v>
      </c>
      <c r="AD169" s="1">
        <f t="shared" si="255"/>
        <v>0</v>
      </c>
      <c r="AE169" s="1">
        <f t="shared" si="256"/>
        <v>0</v>
      </c>
      <c r="AF169" s="1">
        <f t="shared" si="257"/>
        <v>0</v>
      </c>
      <c r="AG169" s="1">
        <f t="shared" si="258"/>
        <v>0</v>
      </c>
      <c r="AH169" s="1">
        <f t="shared" si="259"/>
        <v>0</v>
      </c>
      <c r="AI169" s="1">
        <f t="shared" si="260"/>
        <v>0</v>
      </c>
      <c r="AJ169" s="1">
        <f t="shared" si="261"/>
        <v>0</v>
      </c>
      <c r="AK169" s="1">
        <f t="shared" si="262"/>
        <v>0</v>
      </c>
      <c r="AM169" s="679"/>
      <c r="AN169" s="679"/>
      <c r="AO169" s="679"/>
      <c r="AP169" s="679"/>
      <c r="AQ169" s="679"/>
      <c r="AR169" s="679"/>
      <c r="AS169" s="679"/>
      <c r="AT169" s="679"/>
      <c r="AU169" s="679"/>
      <c r="AV169" s="679"/>
      <c r="AW169" s="679"/>
      <c r="AX169" s="679"/>
      <c r="AY169" s="679"/>
      <c r="BA169" s="723"/>
      <c r="BB169" s="723" t="e">
        <f t="shared" si="228"/>
        <v>#REF!</v>
      </c>
      <c r="BC169" s="723"/>
      <c r="BD169" s="722" t="e">
        <f>BR169*#REF!</f>
        <v>#REF!</v>
      </c>
      <c r="BE169" s="722" t="e">
        <f>BS169*#REF!</f>
        <v>#REF!</v>
      </c>
      <c r="BF169" s="722" t="e">
        <f>BT169*#REF!</f>
        <v>#REF!</v>
      </c>
      <c r="BG169" s="722" t="e">
        <f>BU169*#REF!</f>
        <v>#REF!</v>
      </c>
      <c r="BH169" s="803" t="e">
        <f>BV169*#REF!</f>
        <v>#REF!</v>
      </c>
      <c r="BI169" s="722" t="e">
        <f>BW169*#REF!</f>
        <v>#REF!</v>
      </c>
      <c r="BJ169" s="722" t="e">
        <f>BX169*#REF!</f>
        <v>#REF!</v>
      </c>
      <c r="BK169" s="722" t="e">
        <f>BY169*#REF!</f>
        <v>#REF!</v>
      </c>
      <c r="BL169" s="722" t="e">
        <f>BZ169*#REF!</f>
        <v>#REF!</v>
      </c>
      <c r="BM169" s="722" t="e">
        <f>CA169*#REF!</f>
        <v>#REF!</v>
      </c>
      <c r="BO169" s="749" t="str">
        <f t="shared" ref="BO169:BO194" si="290">IF($BO$3=1,CW169,IF($BO$3=2,DN169,IF($BO$3=3,EF169,IF($BO$3=4,EW169,CF169))))</f>
        <v>3.2.1</v>
      </c>
      <c r="BP169" s="749" t="str">
        <f t="shared" ref="BP169:BP194" si="291">IF($BO$3=1,CX169,IF($BO$3=2,DO169,IF($BO$3=3,EG169,IF($BO$3=4,EX169,CG169))))</f>
        <v>LR2 3.2</v>
      </c>
      <c r="BQ169" s="408" t="str">
        <f t="shared" ref="BQ169:BQ194" si="292">IF($BO$3=1,CY169,IF($BO$3=2,DP169,IF($BO$3=3,EH169,IF($BO$3=4,EY169,CH169))))</f>
        <v>消火剤</v>
      </c>
      <c r="BR169" s="719">
        <f t="shared" ref="BR169:BR194" si="293">IF($BO$3=1,CZ169,IF($BO$3=2,DQ169,IF($BO$3=3,EI169,IF($BO$3=4,EZ169,CI169))))</f>
        <v>0.33333333333333331</v>
      </c>
      <c r="BS169" s="719">
        <f t="shared" ref="BS169:BS194" si="294">IF($BO$3=1,DA169,IF($BO$3=2,DR169,IF($BO$3=3,EJ169,IF($BO$3=4,FA169,CJ169))))</f>
        <v>0.33333333333333331</v>
      </c>
      <c r="BT169" s="719">
        <f t="shared" ref="BT169:BT194" si="295">IF($BO$3=1,DB169,IF($BO$3=2,DS169,IF($BO$3=3,EK169,IF($BO$3=4,FB169,CK169))))</f>
        <v>0.33333333333333331</v>
      </c>
      <c r="BU169" s="719">
        <f t="shared" ref="BU169:BU194" si="296">IF($BO$3=1,DC169,IF($BO$3=2,DT169,IF($BO$3=3,EL169,IF($BO$3=4,FC169,CL169))))</f>
        <v>0.33333333333333331</v>
      </c>
      <c r="BV169" s="802">
        <f t="shared" ref="BV169:BV194" si="297">IF($BO$3=1,DD169,IF($BO$3=2,DU169,IF($BO$3=3,EM169,IF($BO$3=4,FD169,CM169))))</f>
        <v>0.33333333333333331</v>
      </c>
      <c r="BW169" s="719">
        <f t="shared" ref="BW169:BW194" si="298">IF($BO$3=1,DE169,IF($BO$3=2,DV169,IF($BO$3=3,EN169,IF($BO$3=4,FE169,CN169))))</f>
        <v>0.33333333333333331</v>
      </c>
      <c r="BX169" s="719">
        <f t="shared" ref="BX169:BX194" si="299">IF($BO$3=1,DF169,IF($BO$3=2,DW169,IF($BO$3=3,EO169,IF($BO$3=4,FF169,CO169))))</f>
        <v>0.33333333333333331</v>
      </c>
      <c r="BY169" s="719">
        <f t="shared" ref="BY169:BY194" si="300">IF($BO$3=1,DG169,IF($BO$3=2,DX169,IF($BO$3=3,EP169,IF($BO$3=4,FG169,CP169))))</f>
        <v>0.33333333333333331</v>
      </c>
      <c r="BZ169" s="719">
        <f t="shared" ref="BZ169:BZ194" si="301">IF($BO$3=1,DH169,IF($BO$3=2,DY169,IF($BO$3=3,EQ169,IF($BO$3=4,FH169,CQ169))))</f>
        <v>0.33333333333333331</v>
      </c>
      <c r="CA169" s="719">
        <f t="shared" ref="CA169:CA194" si="302">IF($BO$3=1,DI169,IF($BO$3=2,DZ169,IF($BO$3=3,ER169,IF($BO$3=4,FI169,CR169))))</f>
        <v>0.33333333333333331</v>
      </c>
      <c r="CB169" s="801">
        <f t="shared" ref="CB169:CB194" si="303">IF($BO$3=1,DJ169,IF($BO$3=2,EA169,IF($BO$3=3,ES169,IF($BO$3=4,FJ169,CS169))))</f>
        <v>0</v>
      </c>
      <c r="CC169" s="800">
        <f t="shared" ref="CC169:CC194" si="304">IF($BO$3=1,DK169,IF($BO$3=2,EB169,IF($BO$3=3,ET169,IF($BO$3=4,FK169,CT169))))</f>
        <v>0</v>
      </c>
      <c r="CD169" s="800">
        <f t="shared" ref="CD169:CD194" si="305">IF($BO$3=1,DL169,IF($BO$3=2,EC169,IF($BO$3=3,EU169,IF($BO$3=4,FL169,CU169))))</f>
        <v>0</v>
      </c>
      <c r="CF169" s="455" t="s">
        <v>241</v>
      </c>
      <c r="CG169" s="459" t="s">
        <v>564</v>
      </c>
      <c r="CH169" s="456" t="s">
        <v>820</v>
      </c>
      <c r="CI169" s="461">
        <v>0.33333333333333331</v>
      </c>
      <c r="CJ169" s="461">
        <v>0.33333333333333331</v>
      </c>
      <c r="CK169" s="461">
        <v>0.33333333333333331</v>
      </c>
      <c r="CL169" s="461">
        <v>0.33333333333333331</v>
      </c>
      <c r="CM169" s="461">
        <v>0.33333333333333331</v>
      </c>
      <c r="CN169" s="461">
        <v>0.33333333333333331</v>
      </c>
      <c r="CO169" s="461">
        <v>0.33333333333333331</v>
      </c>
      <c r="CP169" s="461">
        <v>0.33333333333333331</v>
      </c>
      <c r="CQ169" s="461">
        <v>0.33333333333333331</v>
      </c>
      <c r="CR169" s="461">
        <v>0.33333333333333331</v>
      </c>
      <c r="CS169" s="516">
        <v>0</v>
      </c>
      <c r="CT169" s="473">
        <v>0</v>
      </c>
      <c r="CU169" s="473">
        <v>0</v>
      </c>
      <c r="CW169" s="455" t="s">
        <v>241</v>
      </c>
      <c r="CX169" s="459" t="s">
        <v>564</v>
      </c>
      <c r="CY169" s="456" t="s">
        <v>348</v>
      </c>
      <c r="CZ169" s="461">
        <v>0.33333333333333331</v>
      </c>
      <c r="DA169" s="461">
        <v>0.33333333333333331</v>
      </c>
      <c r="DB169" s="461">
        <v>0.33333333333333331</v>
      </c>
      <c r="DC169" s="461">
        <v>0.33333333333333331</v>
      </c>
      <c r="DD169" s="461">
        <v>0.33333333333333331</v>
      </c>
      <c r="DE169" s="461">
        <v>0.33333333333333331</v>
      </c>
      <c r="DF169" s="461">
        <v>0.33333333333333331</v>
      </c>
      <c r="DG169" s="461">
        <v>0.33333333333333331</v>
      </c>
      <c r="DH169" s="461">
        <v>0.33333333333333331</v>
      </c>
      <c r="DI169" s="461">
        <v>0.33333333333333331</v>
      </c>
      <c r="DJ169" s="516"/>
      <c r="DK169" s="473"/>
      <c r="DL169" s="473"/>
      <c r="DN169" s="455" t="s">
        <v>241</v>
      </c>
      <c r="DO169" s="459" t="s">
        <v>564</v>
      </c>
      <c r="DP169" s="456" t="s">
        <v>348</v>
      </c>
      <c r="DQ169" s="461">
        <v>0.33333333333333331</v>
      </c>
      <c r="DR169" s="461">
        <v>0.33333333333333331</v>
      </c>
      <c r="DS169" s="461">
        <v>0.33333333333333331</v>
      </c>
      <c r="DT169" s="461">
        <v>0.33333333333333331</v>
      </c>
      <c r="DU169" s="461">
        <v>0.33333333333333331</v>
      </c>
      <c r="DV169" s="461">
        <v>0.33333333333333331</v>
      </c>
      <c r="DW169" s="461">
        <v>0.33333333333333331</v>
      </c>
      <c r="DX169" s="461">
        <v>0.33333333333333331</v>
      </c>
      <c r="DY169" s="461">
        <v>0.33333333333333331</v>
      </c>
      <c r="DZ169" s="461">
        <v>0.33333333333333331</v>
      </c>
      <c r="EA169" s="516"/>
      <c r="EB169" s="473"/>
      <c r="EC169" s="473"/>
      <c r="ED169" s="549"/>
      <c r="EF169" s="455" t="s">
        <v>819</v>
      </c>
      <c r="EG169" s="459" t="s">
        <v>564</v>
      </c>
      <c r="EH169" s="456" t="s">
        <v>348</v>
      </c>
      <c r="EI169" s="609">
        <f t="shared" si="275"/>
        <v>0.33333333333333331</v>
      </c>
      <c r="EJ169" s="609">
        <f t="shared" si="276"/>
        <v>0.33333333333333331</v>
      </c>
      <c r="EK169" s="609">
        <f t="shared" si="277"/>
        <v>0.33333333333333331</v>
      </c>
      <c r="EL169" s="609">
        <f t="shared" si="278"/>
        <v>0.33333333333333331</v>
      </c>
      <c r="EM169" s="609">
        <f t="shared" si="279"/>
        <v>0.33333333333333331</v>
      </c>
      <c r="EN169" s="609">
        <f t="shared" si="280"/>
        <v>0.33333333333333331</v>
      </c>
      <c r="EO169" s="609">
        <f t="shared" si="281"/>
        <v>0.33333333333333331</v>
      </c>
      <c r="EP169" s="609">
        <f t="shared" si="282"/>
        <v>0.33333333333333331</v>
      </c>
      <c r="EQ169" s="609">
        <f t="shared" si="283"/>
        <v>0.33333333333333331</v>
      </c>
      <c r="ER169" s="609">
        <f t="shared" si="284"/>
        <v>0.33333333333333331</v>
      </c>
      <c r="ES169" s="634">
        <f t="shared" si="269"/>
        <v>0</v>
      </c>
      <c r="ET169" s="615">
        <f t="shared" si="270"/>
        <v>0</v>
      </c>
      <c r="EU169" s="615">
        <f t="shared" si="271"/>
        <v>0</v>
      </c>
      <c r="EW169" s="455" t="s">
        <v>241</v>
      </c>
      <c r="EX169" s="459" t="s">
        <v>564</v>
      </c>
      <c r="EY169" s="456" t="s">
        <v>348</v>
      </c>
      <c r="EZ169" s="666">
        <v>0</v>
      </c>
      <c r="FA169" s="598"/>
      <c r="FB169" s="598"/>
      <c r="FC169" s="598"/>
      <c r="FD169" s="598"/>
      <c r="FE169" s="598"/>
      <c r="FF169" s="598"/>
      <c r="FG169" s="598"/>
      <c r="FH169" s="598"/>
      <c r="FI169" s="598"/>
      <c r="FJ169" s="664"/>
      <c r="FK169" s="650"/>
      <c r="FL169" s="650"/>
    </row>
    <row r="170" spans="2:168">
      <c r="B170" s="732" t="str">
        <f t="shared" si="274"/>
        <v>3.2.2</v>
      </c>
      <c r="C170" s="408" t="str">
        <f t="shared" si="285"/>
        <v>発泡剤（断熱材等）</v>
      </c>
      <c r="D170" s="809" t="e">
        <f t="shared" si="286"/>
        <v>#REF!</v>
      </c>
      <c r="E170" s="730" t="e">
        <f t="shared" si="286"/>
        <v>#REF!</v>
      </c>
      <c r="G170" s="730" t="e">
        <f t="shared" si="287"/>
        <v>#REF!</v>
      </c>
      <c r="H170" s="730" t="e">
        <f t="shared" si="288"/>
        <v>#REF!</v>
      </c>
      <c r="I170" s="730"/>
      <c r="J170" s="730"/>
      <c r="K170" s="730" t="e">
        <f>IF(#REF!=0,0,1)</f>
        <v>#REF!</v>
      </c>
      <c r="L170" s="730" t="e">
        <f>IF(#REF!=0,0,1)</f>
        <v>#REF!</v>
      </c>
      <c r="M170" s="730">
        <f t="shared" si="289"/>
        <v>0.33333333333333331</v>
      </c>
      <c r="N170" s="730">
        <f t="shared" si="268"/>
        <v>0</v>
      </c>
      <c r="P170" s="811"/>
      <c r="Q170" s="810"/>
      <c r="R170" s="414">
        <v>2</v>
      </c>
      <c r="S170" s="579" t="s">
        <v>19</v>
      </c>
      <c r="T170" s="745"/>
      <c r="U170" s="726"/>
      <c r="V170" s="747">
        <f t="shared" si="263"/>
        <v>0</v>
      </c>
      <c r="W170" s="746">
        <f t="shared" si="264"/>
        <v>0</v>
      </c>
      <c r="Y170" s="1">
        <f t="shared" ref="Y170:Y194" si="306">IF(OR(AM170=0,AM170="-"),0,1)</f>
        <v>0</v>
      </c>
      <c r="Z170" s="1">
        <f t="shared" ref="Z170:Z194" si="307">IF(OR(AN170=0,AN170="-"),0,1)</f>
        <v>0</v>
      </c>
      <c r="AA170" s="1">
        <f t="shared" ref="AA170:AA194" si="308">IF(OR(AO170=0,AO170="-"),0,1)</f>
        <v>0</v>
      </c>
      <c r="AB170" s="1">
        <f t="shared" ref="AB170:AB194" si="309">IF(OR(AP170=0,AP170="-"),0,1)</f>
        <v>0</v>
      </c>
      <c r="AC170" s="1">
        <f t="shared" ref="AC170:AC194" si="310">IF(OR(AQ170=0,AQ170="-"),0,1)</f>
        <v>0</v>
      </c>
      <c r="AD170" s="1">
        <f t="shared" ref="AD170:AD194" si="311">IF(OR(AR170=0,AR170="-"),0,1)</f>
        <v>0</v>
      </c>
      <c r="AE170" s="1">
        <f t="shared" ref="AE170:AE194" si="312">IF(OR(AS170=0,AS170="-"),0,1)</f>
        <v>0</v>
      </c>
      <c r="AF170" s="1">
        <f t="shared" ref="AF170:AF194" si="313">IF(OR(AT170=0,AT170="-"),0,1)</f>
        <v>0</v>
      </c>
      <c r="AG170" s="1">
        <f t="shared" ref="AG170:AG194" si="314">IF(OR(AU170=0,AU170="-"),0,1)</f>
        <v>0</v>
      </c>
      <c r="AH170" s="1">
        <f t="shared" ref="AH170:AH194" si="315">IF(OR(AV170=0,AV170="-"),0,1)</f>
        <v>0</v>
      </c>
      <c r="AI170" s="1">
        <f t="shared" ref="AI170:AI194" si="316">IF(OR(AW170=0,AW170="-"),0,1)</f>
        <v>0</v>
      </c>
      <c r="AJ170" s="1">
        <f t="shared" ref="AJ170:AJ194" si="317">IF(OR(AX170=0,AX170="-"),0,1)</f>
        <v>0</v>
      </c>
      <c r="AK170" s="1">
        <f t="shared" ref="AK170:AK194" si="318">IF(OR(AY170=0,AY170="-"),0,1)</f>
        <v>0</v>
      </c>
      <c r="AM170" s="680"/>
      <c r="AN170" s="680"/>
      <c r="AO170" s="680"/>
      <c r="AP170" s="680"/>
      <c r="AQ170" s="680"/>
      <c r="AR170" s="680"/>
      <c r="AS170" s="680"/>
      <c r="AT170" s="680"/>
      <c r="AU170" s="680"/>
      <c r="AV170" s="680"/>
      <c r="AW170" s="680"/>
      <c r="AX170" s="680"/>
      <c r="AY170" s="680"/>
      <c r="BA170" s="723"/>
      <c r="BB170" s="723" t="e">
        <f t="shared" si="228"/>
        <v>#REF!</v>
      </c>
      <c r="BC170" s="723"/>
      <c r="BD170" s="722" t="e">
        <f>BR170*#REF!</f>
        <v>#REF!</v>
      </c>
      <c r="BE170" s="722" t="e">
        <f>BS170*#REF!</f>
        <v>#REF!</v>
      </c>
      <c r="BF170" s="722" t="e">
        <f>BT170*#REF!</f>
        <v>#REF!</v>
      </c>
      <c r="BG170" s="722" t="e">
        <f>BU170*#REF!</f>
        <v>#REF!</v>
      </c>
      <c r="BH170" s="803" t="e">
        <f>BV170*#REF!</f>
        <v>#REF!</v>
      </c>
      <c r="BI170" s="722" t="e">
        <f>BW170*#REF!</f>
        <v>#REF!</v>
      </c>
      <c r="BJ170" s="722" t="e">
        <f>BX170*#REF!</f>
        <v>#REF!</v>
      </c>
      <c r="BK170" s="722" t="e">
        <f>BY170*#REF!</f>
        <v>#REF!</v>
      </c>
      <c r="BL170" s="722" t="e">
        <f>BZ170*#REF!</f>
        <v>#REF!</v>
      </c>
      <c r="BM170" s="722" t="e">
        <f>CA170*#REF!</f>
        <v>#REF!</v>
      </c>
      <c r="BO170" s="749" t="str">
        <f t="shared" si="290"/>
        <v>3.2.2</v>
      </c>
      <c r="BP170" s="749" t="str">
        <f t="shared" si="291"/>
        <v>LR2 3.2</v>
      </c>
      <c r="BQ170" s="408" t="str">
        <f t="shared" si="292"/>
        <v>発泡剤（断熱材等）</v>
      </c>
      <c r="BR170" s="719">
        <f t="shared" si="293"/>
        <v>0.33333333333333331</v>
      </c>
      <c r="BS170" s="719">
        <f t="shared" si="294"/>
        <v>0.33333333333333331</v>
      </c>
      <c r="BT170" s="719">
        <f t="shared" si="295"/>
        <v>0.33333333333333331</v>
      </c>
      <c r="BU170" s="719">
        <f t="shared" si="296"/>
        <v>0.33333333333333331</v>
      </c>
      <c r="BV170" s="802">
        <f t="shared" si="297"/>
        <v>0.33333333333333331</v>
      </c>
      <c r="BW170" s="719">
        <f t="shared" si="298"/>
        <v>0.33333333333333331</v>
      </c>
      <c r="BX170" s="719">
        <f t="shared" si="299"/>
        <v>0.33333333333333331</v>
      </c>
      <c r="BY170" s="719">
        <f t="shared" si="300"/>
        <v>0.33333333333333331</v>
      </c>
      <c r="BZ170" s="719">
        <f t="shared" si="301"/>
        <v>0.33333333333333331</v>
      </c>
      <c r="CA170" s="719">
        <f t="shared" si="302"/>
        <v>0.33333333333333331</v>
      </c>
      <c r="CB170" s="801">
        <f t="shared" si="303"/>
        <v>0</v>
      </c>
      <c r="CC170" s="800">
        <f t="shared" si="304"/>
        <v>0</v>
      </c>
      <c r="CD170" s="800">
        <f t="shared" si="305"/>
        <v>0</v>
      </c>
      <c r="CF170" s="455" t="s">
        <v>242</v>
      </c>
      <c r="CG170" s="459" t="s">
        <v>564</v>
      </c>
      <c r="CH170" s="456" t="s">
        <v>565</v>
      </c>
      <c r="CI170" s="461">
        <v>0.33333333333333331</v>
      </c>
      <c r="CJ170" s="461">
        <v>0.33333333333333331</v>
      </c>
      <c r="CK170" s="461">
        <v>0.33333333333333331</v>
      </c>
      <c r="CL170" s="461">
        <v>0.33333333333333331</v>
      </c>
      <c r="CM170" s="461">
        <v>0.33333333333333331</v>
      </c>
      <c r="CN170" s="461">
        <v>0.33333333333333331</v>
      </c>
      <c r="CO170" s="461">
        <v>0.33333333333333331</v>
      </c>
      <c r="CP170" s="461">
        <v>0.33333333333333331</v>
      </c>
      <c r="CQ170" s="461">
        <v>0.33333333333333331</v>
      </c>
      <c r="CR170" s="461">
        <v>0.33333333333333331</v>
      </c>
      <c r="CS170" s="516">
        <v>0</v>
      </c>
      <c r="CT170" s="473">
        <v>0</v>
      </c>
      <c r="CU170" s="473">
        <v>0</v>
      </c>
      <c r="CW170" s="455" t="s">
        <v>242</v>
      </c>
      <c r="CX170" s="459" t="s">
        <v>564</v>
      </c>
      <c r="CY170" s="456" t="s">
        <v>565</v>
      </c>
      <c r="CZ170" s="461">
        <v>0.33333333333333331</v>
      </c>
      <c r="DA170" s="461">
        <v>0.33333333333333331</v>
      </c>
      <c r="DB170" s="461">
        <v>0.33333333333333331</v>
      </c>
      <c r="DC170" s="461">
        <v>0.33333333333333331</v>
      </c>
      <c r="DD170" s="461">
        <v>0.33333333333333331</v>
      </c>
      <c r="DE170" s="461">
        <v>0.33333333333333331</v>
      </c>
      <c r="DF170" s="461">
        <v>0.33333333333333331</v>
      </c>
      <c r="DG170" s="461">
        <v>0.33333333333333331</v>
      </c>
      <c r="DH170" s="461">
        <v>0.33333333333333331</v>
      </c>
      <c r="DI170" s="461">
        <v>0.33333333333333331</v>
      </c>
      <c r="DJ170" s="516"/>
      <c r="DK170" s="473"/>
      <c r="DL170" s="473"/>
      <c r="DN170" s="455" t="s">
        <v>242</v>
      </c>
      <c r="DO170" s="459" t="s">
        <v>564</v>
      </c>
      <c r="DP170" s="456" t="s">
        <v>350</v>
      </c>
      <c r="DQ170" s="461">
        <v>0.33333333333333331</v>
      </c>
      <c r="DR170" s="461">
        <v>0.33333333333333331</v>
      </c>
      <c r="DS170" s="461">
        <v>0.33333333333333331</v>
      </c>
      <c r="DT170" s="461">
        <v>0.33333333333333331</v>
      </c>
      <c r="DU170" s="461">
        <v>0.33333333333333331</v>
      </c>
      <c r="DV170" s="461">
        <v>0.33333333333333331</v>
      </c>
      <c r="DW170" s="461">
        <v>0.33333333333333331</v>
      </c>
      <c r="DX170" s="461">
        <v>0.33333333333333331</v>
      </c>
      <c r="DY170" s="461">
        <v>0.33333333333333331</v>
      </c>
      <c r="DZ170" s="461">
        <v>0.33333333333333331</v>
      </c>
      <c r="EA170" s="516"/>
      <c r="EB170" s="473"/>
      <c r="EC170" s="473"/>
      <c r="ED170" s="549"/>
      <c r="EF170" s="455" t="s">
        <v>242</v>
      </c>
      <c r="EG170" s="459" t="s">
        <v>564</v>
      </c>
      <c r="EH170" s="456" t="s">
        <v>350</v>
      </c>
      <c r="EI170" s="609">
        <f t="shared" si="275"/>
        <v>0.33333333333333331</v>
      </c>
      <c r="EJ170" s="609">
        <f t="shared" si="276"/>
        <v>0.33333333333333331</v>
      </c>
      <c r="EK170" s="609">
        <f t="shared" si="277"/>
        <v>0.33333333333333331</v>
      </c>
      <c r="EL170" s="609">
        <f t="shared" si="278"/>
        <v>0.33333333333333331</v>
      </c>
      <c r="EM170" s="609">
        <f t="shared" si="279"/>
        <v>0.33333333333333331</v>
      </c>
      <c r="EN170" s="609">
        <f t="shared" si="280"/>
        <v>0.33333333333333331</v>
      </c>
      <c r="EO170" s="609">
        <f t="shared" si="281"/>
        <v>0.33333333333333331</v>
      </c>
      <c r="EP170" s="609">
        <f t="shared" si="282"/>
        <v>0.33333333333333331</v>
      </c>
      <c r="EQ170" s="609">
        <f t="shared" si="283"/>
        <v>0.33333333333333331</v>
      </c>
      <c r="ER170" s="609">
        <f t="shared" si="284"/>
        <v>0.33333333333333331</v>
      </c>
      <c r="ES170" s="634">
        <f t="shared" si="269"/>
        <v>0</v>
      </c>
      <c r="ET170" s="615">
        <f t="shared" si="270"/>
        <v>0</v>
      </c>
      <c r="EU170" s="615">
        <f t="shared" si="271"/>
        <v>0</v>
      </c>
      <c r="EW170" s="455" t="s">
        <v>242</v>
      </c>
      <c r="EX170" s="459" t="s">
        <v>564</v>
      </c>
      <c r="EY170" s="456" t="s">
        <v>350</v>
      </c>
      <c r="EZ170" s="666">
        <v>0</v>
      </c>
      <c r="FA170" s="598"/>
      <c r="FB170" s="598"/>
      <c r="FC170" s="598"/>
      <c r="FD170" s="598"/>
      <c r="FE170" s="598"/>
      <c r="FF170" s="598"/>
      <c r="FG170" s="598"/>
      <c r="FH170" s="598"/>
      <c r="FI170" s="598"/>
      <c r="FJ170" s="664"/>
      <c r="FK170" s="650"/>
      <c r="FL170" s="650"/>
    </row>
    <row r="171" spans="2:168" ht="14.25" thickBot="1">
      <c r="B171" s="732" t="str">
        <f t="shared" si="274"/>
        <v>3.2.3</v>
      </c>
      <c r="C171" s="408" t="str">
        <f t="shared" si="285"/>
        <v>冷媒</v>
      </c>
      <c r="D171" s="809" t="e">
        <f t="shared" si="286"/>
        <v>#REF!</v>
      </c>
      <c r="E171" s="730" t="e">
        <f t="shared" si="286"/>
        <v>#REF!</v>
      </c>
      <c r="G171" s="730" t="e">
        <f t="shared" si="287"/>
        <v>#REF!</v>
      </c>
      <c r="H171" s="730" t="e">
        <f t="shared" si="288"/>
        <v>#REF!</v>
      </c>
      <c r="I171" s="730"/>
      <c r="J171" s="730"/>
      <c r="K171" s="730" t="e">
        <f>IF(#REF!=0,0,1)</f>
        <v>#REF!</v>
      </c>
      <c r="L171" s="730" t="e">
        <f>IF(#REF!=0,0,1)</f>
        <v>#REF!</v>
      </c>
      <c r="M171" s="730">
        <f t="shared" si="289"/>
        <v>0.33333333333333331</v>
      </c>
      <c r="N171" s="730">
        <f t="shared" si="268"/>
        <v>0</v>
      </c>
      <c r="P171" s="808"/>
      <c r="Q171" s="807"/>
      <c r="R171" s="806">
        <v>3</v>
      </c>
      <c r="S171" s="805" t="s">
        <v>20</v>
      </c>
      <c r="T171" s="804"/>
      <c r="U171" s="726"/>
      <c r="V171" s="725">
        <f t="shared" si="263"/>
        <v>0</v>
      </c>
      <c r="W171" s="724">
        <f t="shared" si="264"/>
        <v>0</v>
      </c>
      <c r="Y171" s="1">
        <f t="shared" si="306"/>
        <v>0</v>
      </c>
      <c r="Z171" s="1">
        <f t="shared" si="307"/>
        <v>0</v>
      </c>
      <c r="AA171" s="1">
        <f t="shared" si="308"/>
        <v>0</v>
      </c>
      <c r="AB171" s="1">
        <f t="shared" si="309"/>
        <v>0</v>
      </c>
      <c r="AC171" s="1">
        <f t="shared" si="310"/>
        <v>0</v>
      </c>
      <c r="AD171" s="1">
        <f t="shared" si="311"/>
        <v>0</v>
      </c>
      <c r="AE171" s="1">
        <f t="shared" si="312"/>
        <v>0</v>
      </c>
      <c r="AF171" s="1">
        <f t="shared" si="313"/>
        <v>0</v>
      </c>
      <c r="AG171" s="1">
        <f t="shared" si="314"/>
        <v>0</v>
      </c>
      <c r="AH171" s="1">
        <f t="shared" si="315"/>
        <v>0</v>
      </c>
      <c r="AI171" s="1">
        <f t="shared" si="316"/>
        <v>0</v>
      </c>
      <c r="AJ171" s="1">
        <f t="shared" si="317"/>
        <v>0</v>
      </c>
      <c r="AK171" s="1">
        <f t="shared" si="318"/>
        <v>0</v>
      </c>
      <c r="AM171" s="683"/>
      <c r="AN171" s="683"/>
      <c r="AO171" s="683"/>
      <c r="AP171" s="683"/>
      <c r="AQ171" s="683"/>
      <c r="AR171" s="683"/>
      <c r="AS171" s="683"/>
      <c r="AT171" s="683"/>
      <c r="AU171" s="683"/>
      <c r="AV171" s="683"/>
      <c r="AW171" s="683"/>
      <c r="AX171" s="683"/>
      <c r="AY171" s="683"/>
      <c r="BA171" s="723"/>
      <c r="BB171" s="723" t="e">
        <f t="shared" si="228"/>
        <v>#REF!</v>
      </c>
      <c r="BC171" s="723"/>
      <c r="BD171" s="722" t="e">
        <f>BR171*#REF!</f>
        <v>#REF!</v>
      </c>
      <c r="BE171" s="722" t="e">
        <f>BS171*#REF!</f>
        <v>#REF!</v>
      </c>
      <c r="BF171" s="722" t="e">
        <f>BT171*#REF!</f>
        <v>#REF!</v>
      </c>
      <c r="BG171" s="722" t="e">
        <f>BU171*#REF!</f>
        <v>#REF!</v>
      </c>
      <c r="BH171" s="803" t="e">
        <f>BV171*#REF!</f>
        <v>#REF!</v>
      </c>
      <c r="BI171" s="722" t="e">
        <f>BW171*#REF!</f>
        <v>#REF!</v>
      </c>
      <c r="BJ171" s="722" t="e">
        <f>BX171*#REF!</f>
        <v>#REF!</v>
      </c>
      <c r="BK171" s="722" t="e">
        <f>BY171*#REF!</f>
        <v>#REF!</v>
      </c>
      <c r="BL171" s="722" t="e">
        <f>BZ171*#REF!</f>
        <v>#REF!</v>
      </c>
      <c r="BM171" s="722" t="e">
        <f>CA171*#REF!</f>
        <v>#REF!</v>
      </c>
      <c r="BO171" s="749" t="str">
        <f t="shared" si="290"/>
        <v>3.2.3</v>
      </c>
      <c r="BP171" s="749" t="str">
        <f t="shared" si="291"/>
        <v>LR2 3.2</v>
      </c>
      <c r="BQ171" s="408" t="str">
        <f t="shared" si="292"/>
        <v>冷媒</v>
      </c>
      <c r="BR171" s="719">
        <f t="shared" si="293"/>
        <v>0.33333333333333331</v>
      </c>
      <c r="BS171" s="719">
        <f t="shared" si="294"/>
        <v>0.33333333333333331</v>
      </c>
      <c r="BT171" s="719">
        <f t="shared" si="295"/>
        <v>0.33333333333333331</v>
      </c>
      <c r="BU171" s="719">
        <f t="shared" si="296"/>
        <v>0.33333333333333331</v>
      </c>
      <c r="BV171" s="802">
        <f t="shared" si="297"/>
        <v>0.33333333333333331</v>
      </c>
      <c r="BW171" s="719">
        <f t="shared" si="298"/>
        <v>0.33333333333333331</v>
      </c>
      <c r="BX171" s="719">
        <f t="shared" si="299"/>
        <v>0.33333333333333331</v>
      </c>
      <c r="BY171" s="719">
        <f t="shared" si="300"/>
        <v>0.33333333333333331</v>
      </c>
      <c r="BZ171" s="719">
        <f t="shared" si="301"/>
        <v>0.33333333333333331</v>
      </c>
      <c r="CA171" s="719">
        <f t="shared" si="302"/>
        <v>0.33333333333333331</v>
      </c>
      <c r="CB171" s="801">
        <f t="shared" si="303"/>
        <v>0</v>
      </c>
      <c r="CC171" s="800">
        <f t="shared" si="304"/>
        <v>0</v>
      </c>
      <c r="CD171" s="800">
        <f t="shared" si="305"/>
        <v>0</v>
      </c>
      <c r="CF171" s="455" t="s">
        <v>243</v>
      </c>
      <c r="CG171" s="459" t="s">
        <v>564</v>
      </c>
      <c r="CH171" s="456" t="s">
        <v>566</v>
      </c>
      <c r="CI171" s="461">
        <v>0.33333333333333331</v>
      </c>
      <c r="CJ171" s="461">
        <v>0.33333333333333331</v>
      </c>
      <c r="CK171" s="461">
        <v>0.33333333333333331</v>
      </c>
      <c r="CL171" s="461">
        <v>0.33333333333333331</v>
      </c>
      <c r="CM171" s="461">
        <v>0.33333333333333331</v>
      </c>
      <c r="CN171" s="461">
        <v>0.33333333333333331</v>
      </c>
      <c r="CO171" s="461">
        <v>0.33333333333333331</v>
      </c>
      <c r="CP171" s="461">
        <v>0.33333333333333331</v>
      </c>
      <c r="CQ171" s="461">
        <v>0.33333333333333331</v>
      </c>
      <c r="CR171" s="461">
        <v>0.33333333333333331</v>
      </c>
      <c r="CS171" s="516">
        <v>0</v>
      </c>
      <c r="CT171" s="473">
        <v>0</v>
      </c>
      <c r="CU171" s="473">
        <v>0</v>
      </c>
      <c r="CW171" s="455" t="s">
        <v>243</v>
      </c>
      <c r="CX171" s="459" t="s">
        <v>564</v>
      </c>
      <c r="CY171" s="456" t="s">
        <v>566</v>
      </c>
      <c r="CZ171" s="461">
        <v>0.33333333333333331</v>
      </c>
      <c r="DA171" s="461">
        <v>0.33333333333333331</v>
      </c>
      <c r="DB171" s="461">
        <v>0.33333333333333331</v>
      </c>
      <c r="DC171" s="461">
        <v>0.33333333333333331</v>
      </c>
      <c r="DD171" s="461">
        <v>0.33333333333333331</v>
      </c>
      <c r="DE171" s="461">
        <v>0.33333333333333331</v>
      </c>
      <c r="DF171" s="461">
        <v>0.33333333333333331</v>
      </c>
      <c r="DG171" s="461">
        <v>0.33333333333333331</v>
      </c>
      <c r="DH171" s="461">
        <v>0.33333333333333331</v>
      </c>
      <c r="DI171" s="461">
        <v>0.33333333333333331</v>
      </c>
      <c r="DJ171" s="516"/>
      <c r="DK171" s="473"/>
      <c r="DL171" s="473"/>
      <c r="DN171" s="455" t="s">
        <v>243</v>
      </c>
      <c r="DO171" s="459" t="s">
        <v>564</v>
      </c>
      <c r="DP171" s="456" t="s">
        <v>566</v>
      </c>
      <c r="DQ171" s="461">
        <v>0.33333333333333331</v>
      </c>
      <c r="DR171" s="461">
        <v>0.33333333333333331</v>
      </c>
      <c r="DS171" s="461">
        <v>0.33333333333333331</v>
      </c>
      <c r="DT171" s="461">
        <v>0.33333333333333331</v>
      </c>
      <c r="DU171" s="461">
        <v>0.33333333333333331</v>
      </c>
      <c r="DV171" s="461">
        <v>0.33333333333333331</v>
      </c>
      <c r="DW171" s="461">
        <v>0.33333333333333331</v>
      </c>
      <c r="DX171" s="461">
        <v>0.33333333333333331</v>
      </c>
      <c r="DY171" s="461">
        <v>0.33333333333333331</v>
      </c>
      <c r="DZ171" s="461">
        <v>0.33333333333333331</v>
      </c>
      <c r="EA171" s="516"/>
      <c r="EB171" s="473"/>
      <c r="EC171" s="473"/>
      <c r="ED171" s="549"/>
      <c r="EF171" s="455" t="s">
        <v>243</v>
      </c>
      <c r="EG171" s="459" t="s">
        <v>564</v>
      </c>
      <c r="EH171" s="456" t="s">
        <v>566</v>
      </c>
      <c r="EI171" s="609">
        <f t="shared" si="275"/>
        <v>0.33333333333333331</v>
      </c>
      <c r="EJ171" s="609">
        <f t="shared" si="276"/>
        <v>0.33333333333333331</v>
      </c>
      <c r="EK171" s="609">
        <f t="shared" si="277"/>
        <v>0.33333333333333331</v>
      </c>
      <c r="EL171" s="609">
        <f t="shared" si="278"/>
        <v>0.33333333333333331</v>
      </c>
      <c r="EM171" s="609">
        <f t="shared" si="279"/>
        <v>0.33333333333333331</v>
      </c>
      <c r="EN171" s="609">
        <f t="shared" si="280"/>
        <v>0.33333333333333331</v>
      </c>
      <c r="EO171" s="609">
        <f t="shared" si="281"/>
        <v>0.33333333333333331</v>
      </c>
      <c r="EP171" s="609">
        <f t="shared" si="282"/>
        <v>0.33333333333333331</v>
      </c>
      <c r="EQ171" s="609">
        <f t="shared" si="283"/>
        <v>0.33333333333333331</v>
      </c>
      <c r="ER171" s="609">
        <f t="shared" si="284"/>
        <v>0.33333333333333331</v>
      </c>
      <c r="ES171" s="634">
        <f t="shared" si="269"/>
        <v>0</v>
      </c>
      <c r="ET171" s="615">
        <f t="shared" si="270"/>
        <v>0</v>
      </c>
      <c r="EU171" s="615">
        <f t="shared" si="271"/>
        <v>0</v>
      </c>
      <c r="EW171" s="455" t="s">
        <v>243</v>
      </c>
      <c r="EX171" s="459" t="s">
        <v>564</v>
      </c>
      <c r="EY171" s="456" t="s">
        <v>566</v>
      </c>
      <c r="EZ171" s="666">
        <v>1</v>
      </c>
      <c r="FA171" s="598"/>
      <c r="FB171" s="598"/>
      <c r="FC171" s="598"/>
      <c r="FD171" s="598"/>
      <c r="FE171" s="598"/>
      <c r="FF171" s="598"/>
      <c r="FG171" s="598"/>
      <c r="FH171" s="598"/>
      <c r="FI171" s="598"/>
      <c r="FJ171" s="664"/>
      <c r="FK171" s="650"/>
      <c r="FL171" s="650"/>
    </row>
    <row r="172" spans="2:168" ht="14.25" thickBot="1">
      <c r="B172" s="732" t="str">
        <f t="shared" si="274"/>
        <v>LR3</v>
      </c>
      <c r="C172" s="788" t="str">
        <f t="shared" si="285"/>
        <v>敷地外環境</v>
      </c>
      <c r="D172" s="799" t="e">
        <f>IF(I$121=0,0,G172/I$121)</f>
        <v>#REF!</v>
      </c>
      <c r="E172" s="798" t="e">
        <f>IF(J$121=0,0,H172/J$121)</f>
        <v>#REF!</v>
      </c>
      <c r="G172" s="798" t="e">
        <f t="shared" si="287"/>
        <v>#REF!</v>
      </c>
      <c r="H172" s="798" t="e">
        <f t="shared" si="288"/>
        <v>#REF!</v>
      </c>
      <c r="I172" s="798" t="e">
        <f>G173+G174+G183</f>
        <v>#REF!</v>
      </c>
      <c r="J172" s="798" t="e">
        <f>H173+H174+H183</f>
        <v>#REF!</v>
      </c>
      <c r="K172" s="798" t="e">
        <f>IF(#REF!=0,0,1)</f>
        <v>#REF!</v>
      </c>
      <c r="L172" s="798" t="e">
        <f>IF(#REF!=0,0,1)</f>
        <v>#REF!</v>
      </c>
      <c r="M172" s="798">
        <f t="shared" si="289"/>
        <v>0.3</v>
      </c>
      <c r="N172" s="798">
        <f t="shared" si="268"/>
        <v>0</v>
      </c>
      <c r="P172" s="797" t="s">
        <v>376</v>
      </c>
      <c r="Q172" s="796" t="s">
        <v>378</v>
      </c>
      <c r="R172" s="796"/>
      <c r="S172" s="796"/>
      <c r="T172" s="795"/>
      <c r="U172" s="726"/>
      <c r="V172" s="794">
        <f t="shared" si="263"/>
        <v>0</v>
      </c>
      <c r="W172" s="793">
        <f t="shared" si="264"/>
        <v>0</v>
      </c>
      <c r="Y172" s="1">
        <f t="shared" si="306"/>
        <v>1</v>
      </c>
      <c r="Z172" s="1">
        <f t="shared" si="307"/>
        <v>1</v>
      </c>
      <c r="AA172" s="1">
        <f t="shared" si="308"/>
        <v>1</v>
      </c>
      <c r="AB172" s="1">
        <f t="shared" si="309"/>
        <v>1</v>
      </c>
      <c r="AC172" s="1">
        <f t="shared" si="310"/>
        <v>1</v>
      </c>
      <c r="AD172" s="1">
        <f t="shared" si="311"/>
        <v>1</v>
      </c>
      <c r="AE172" s="1">
        <f t="shared" si="312"/>
        <v>1</v>
      </c>
      <c r="AF172" s="1">
        <f t="shared" si="313"/>
        <v>1</v>
      </c>
      <c r="AG172" s="1">
        <f t="shared" si="314"/>
        <v>1</v>
      </c>
      <c r="AH172" s="1">
        <f t="shared" si="315"/>
        <v>1</v>
      </c>
      <c r="AI172" s="1">
        <f t="shared" si="316"/>
        <v>1</v>
      </c>
      <c r="AJ172" s="1">
        <f t="shared" si="317"/>
        <v>1</v>
      </c>
      <c r="AK172" s="1">
        <f t="shared" si="318"/>
        <v>1</v>
      </c>
      <c r="AM172" s="792" t="str">
        <f t="shared" ref="AM172:AY172" si="319">AM$6</f>
        <v>事務所</v>
      </c>
      <c r="AN172" s="792" t="str">
        <f t="shared" si="319"/>
        <v>学校</v>
      </c>
      <c r="AO172" s="792" t="str">
        <f t="shared" si="319"/>
        <v>物販店</v>
      </c>
      <c r="AP172" s="792" t="str">
        <f t="shared" si="319"/>
        <v>飲食店</v>
      </c>
      <c r="AQ172" s="792" t="str">
        <f t="shared" si="319"/>
        <v>集会所</v>
      </c>
      <c r="AR172" s="792" t="str">
        <f t="shared" si="319"/>
        <v>工場</v>
      </c>
      <c r="AS172" s="792" t="str">
        <f t="shared" si="319"/>
        <v>小中高</v>
      </c>
      <c r="AT172" s="792" t="str">
        <f t="shared" si="319"/>
        <v>病院</v>
      </c>
      <c r="AU172" s="792" t="str">
        <f t="shared" si="319"/>
        <v>ホテル</v>
      </c>
      <c r="AV172" s="792" t="str">
        <f t="shared" si="319"/>
        <v>集合住宅</v>
      </c>
      <c r="AW172" s="792" t="str">
        <f t="shared" si="319"/>
        <v>病院o</v>
      </c>
      <c r="AX172" s="792" t="str">
        <f t="shared" si="319"/>
        <v>ホテルo</v>
      </c>
      <c r="AY172" s="792" t="str">
        <f t="shared" si="319"/>
        <v>集合住宅o</v>
      </c>
      <c r="BA172" s="791" t="e">
        <f>BB172/$BC$121</f>
        <v>#REF!</v>
      </c>
      <c r="BB172" s="791" t="e">
        <f t="shared" si="228"/>
        <v>#REF!</v>
      </c>
      <c r="BC172" s="791" t="e">
        <f>BB173+BB174+BB183</f>
        <v>#REF!</v>
      </c>
      <c r="BD172" s="790" t="e">
        <f>BR172*#REF!</f>
        <v>#REF!</v>
      </c>
      <c r="BE172" s="790" t="e">
        <f>BS172*#REF!</f>
        <v>#REF!</v>
      </c>
      <c r="BF172" s="790" t="e">
        <f>BT172*#REF!</f>
        <v>#REF!</v>
      </c>
      <c r="BG172" s="790" t="e">
        <f>BU172*#REF!</f>
        <v>#REF!</v>
      </c>
      <c r="BH172" s="790" t="e">
        <f>BV172*#REF!</f>
        <v>#REF!</v>
      </c>
      <c r="BI172" s="790" t="e">
        <f>BW172*#REF!</f>
        <v>#REF!</v>
      </c>
      <c r="BJ172" s="790" t="e">
        <f>BX172*#REF!</f>
        <v>#REF!</v>
      </c>
      <c r="BK172" s="790" t="e">
        <f>BY172*#REF!</f>
        <v>#REF!</v>
      </c>
      <c r="BL172" s="790" t="e">
        <f>BZ172*#REF!</f>
        <v>#REF!</v>
      </c>
      <c r="BM172" s="790" t="e">
        <f>CA172*#REF!</f>
        <v>#REF!</v>
      </c>
      <c r="BO172" s="789" t="str">
        <f t="shared" si="290"/>
        <v>LR3</v>
      </c>
      <c r="BP172" s="789" t="str">
        <f t="shared" si="291"/>
        <v>LR</v>
      </c>
      <c r="BQ172" s="788" t="str">
        <f t="shared" si="292"/>
        <v>敷地外環境</v>
      </c>
      <c r="BR172" s="787">
        <f t="shared" si="293"/>
        <v>0.3</v>
      </c>
      <c r="BS172" s="787">
        <f t="shared" si="294"/>
        <v>0.3</v>
      </c>
      <c r="BT172" s="787">
        <f t="shared" si="295"/>
        <v>0.3</v>
      </c>
      <c r="BU172" s="787">
        <f t="shared" si="296"/>
        <v>0.3</v>
      </c>
      <c r="BV172" s="787">
        <f t="shared" si="297"/>
        <v>0.3</v>
      </c>
      <c r="BW172" s="787">
        <f t="shared" si="298"/>
        <v>0.3</v>
      </c>
      <c r="BX172" s="787">
        <f t="shared" si="299"/>
        <v>0.3</v>
      </c>
      <c r="BY172" s="787">
        <f t="shared" si="300"/>
        <v>0.3</v>
      </c>
      <c r="BZ172" s="787">
        <f t="shared" si="301"/>
        <v>0.3</v>
      </c>
      <c r="CA172" s="787">
        <f t="shared" si="302"/>
        <v>0.3</v>
      </c>
      <c r="CB172" s="786">
        <f t="shared" si="303"/>
        <v>0</v>
      </c>
      <c r="CC172" s="785">
        <f t="shared" si="304"/>
        <v>0</v>
      </c>
      <c r="CD172" s="785">
        <f t="shared" si="305"/>
        <v>0</v>
      </c>
      <c r="CF172" s="509" t="s">
        <v>376</v>
      </c>
      <c r="CG172" s="510" t="s">
        <v>335</v>
      </c>
      <c r="CH172" s="442" t="s">
        <v>378</v>
      </c>
      <c r="CI172" s="445">
        <v>0.3</v>
      </c>
      <c r="CJ172" s="445">
        <v>0.3</v>
      </c>
      <c r="CK172" s="445">
        <v>0.3</v>
      </c>
      <c r="CL172" s="445">
        <v>0.3</v>
      </c>
      <c r="CM172" s="445">
        <v>0.3</v>
      </c>
      <c r="CN172" s="445">
        <v>0.3</v>
      </c>
      <c r="CO172" s="445">
        <v>0.3</v>
      </c>
      <c r="CP172" s="445">
        <v>0.3</v>
      </c>
      <c r="CQ172" s="445">
        <v>0.3</v>
      </c>
      <c r="CR172" s="445">
        <v>0.3</v>
      </c>
      <c r="CS172" s="512">
        <v>0</v>
      </c>
      <c r="CT172" s="513">
        <v>0</v>
      </c>
      <c r="CU172" s="513">
        <v>0</v>
      </c>
      <c r="CW172" s="509" t="s">
        <v>376</v>
      </c>
      <c r="CX172" s="510" t="s">
        <v>335</v>
      </c>
      <c r="CY172" s="442" t="s">
        <v>378</v>
      </c>
      <c r="CZ172" s="445">
        <v>0.3</v>
      </c>
      <c r="DA172" s="445">
        <v>0.3</v>
      </c>
      <c r="DB172" s="445">
        <v>0.3</v>
      </c>
      <c r="DC172" s="445">
        <v>0.3</v>
      </c>
      <c r="DD172" s="445">
        <v>0.3</v>
      </c>
      <c r="DE172" s="445">
        <v>0.3</v>
      </c>
      <c r="DF172" s="445">
        <v>0.3</v>
      </c>
      <c r="DG172" s="445">
        <v>0.3</v>
      </c>
      <c r="DH172" s="445">
        <v>0.3</v>
      </c>
      <c r="DI172" s="445">
        <v>0.3</v>
      </c>
      <c r="DJ172" s="512"/>
      <c r="DK172" s="513"/>
      <c r="DL172" s="513"/>
      <c r="DN172" s="509" t="s">
        <v>376</v>
      </c>
      <c r="DO172" s="510" t="s">
        <v>335</v>
      </c>
      <c r="DP172" s="442" t="s">
        <v>378</v>
      </c>
      <c r="DQ172" s="445">
        <v>0.3</v>
      </c>
      <c r="DR172" s="445">
        <v>0.3</v>
      </c>
      <c r="DS172" s="445">
        <v>0.3</v>
      </c>
      <c r="DT172" s="445">
        <v>0.3</v>
      </c>
      <c r="DU172" s="445">
        <v>0.3</v>
      </c>
      <c r="DV172" s="445">
        <v>0.3</v>
      </c>
      <c r="DW172" s="445">
        <v>0.3</v>
      </c>
      <c r="DX172" s="445">
        <v>0.3</v>
      </c>
      <c r="DY172" s="445">
        <v>0.3</v>
      </c>
      <c r="DZ172" s="445">
        <v>0.3</v>
      </c>
      <c r="EA172" s="512"/>
      <c r="EB172" s="513"/>
      <c r="EC172" s="513"/>
      <c r="ED172" s="559"/>
      <c r="EF172" s="509" t="s">
        <v>376</v>
      </c>
      <c r="EG172" s="510" t="s">
        <v>335</v>
      </c>
      <c r="EH172" s="442" t="s">
        <v>378</v>
      </c>
      <c r="EI172" s="604">
        <f t="shared" si="275"/>
        <v>0.3</v>
      </c>
      <c r="EJ172" s="604">
        <f t="shared" si="276"/>
        <v>0.3</v>
      </c>
      <c r="EK172" s="604">
        <f t="shared" si="277"/>
        <v>0.3</v>
      </c>
      <c r="EL172" s="604">
        <f t="shared" si="278"/>
        <v>0.3</v>
      </c>
      <c r="EM172" s="604">
        <f t="shared" si="279"/>
        <v>0.3</v>
      </c>
      <c r="EN172" s="604">
        <f t="shared" si="280"/>
        <v>0.3</v>
      </c>
      <c r="EO172" s="604">
        <f t="shared" si="281"/>
        <v>0.3</v>
      </c>
      <c r="EP172" s="604">
        <f t="shared" si="282"/>
        <v>0.3</v>
      </c>
      <c r="EQ172" s="604">
        <f t="shared" si="283"/>
        <v>0.3</v>
      </c>
      <c r="ER172" s="604">
        <f t="shared" si="284"/>
        <v>0.3</v>
      </c>
      <c r="ES172" s="630">
        <f t="shared" si="269"/>
        <v>0</v>
      </c>
      <c r="ET172" s="631">
        <f t="shared" si="270"/>
        <v>0</v>
      </c>
      <c r="EU172" s="631">
        <f t="shared" si="271"/>
        <v>0</v>
      </c>
      <c r="EW172" s="509" t="s">
        <v>376</v>
      </c>
      <c r="EX172" s="510" t="s">
        <v>335</v>
      </c>
      <c r="EY172" s="442" t="s">
        <v>378</v>
      </c>
      <c r="EZ172" s="665">
        <v>0.1</v>
      </c>
      <c r="FA172" s="594"/>
      <c r="FB172" s="594"/>
      <c r="FC172" s="594"/>
      <c r="FD172" s="594"/>
      <c r="FE172" s="594"/>
      <c r="FF172" s="594"/>
      <c r="FG172" s="594"/>
      <c r="FH172" s="594"/>
      <c r="FI172" s="594"/>
      <c r="FJ172" s="602"/>
      <c r="FK172" s="603"/>
      <c r="FL172" s="603"/>
    </row>
    <row r="173" spans="2:168">
      <c r="B173" s="784">
        <f t="shared" si="274"/>
        <v>1</v>
      </c>
      <c r="C173" s="759" t="str">
        <f t="shared" si="285"/>
        <v>地球温暖化への配慮</v>
      </c>
      <c r="D173" s="770" t="e">
        <f>IF(I$172=0,0,G173/I$172)</f>
        <v>#REF!</v>
      </c>
      <c r="E173" s="770" t="e">
        <f>IF(J$172=0,0,H173/J$172)</f>
        <v>#REF!</v>
      </c>
      <c r="G173" s="769" t="e">
        <f t="shared" si="287"/>
        <v>#REF!</v>
      </c>
      <c r="H173" s="769" t="e">
        <f t="shared" si="288"/>
        <v>#REF!</v>
      </c>
      <c r="I173" s="769"/>
      <c r="J173" s="769"/>
      <c r="K173" s="769" t="e">
        <f>IF(#REF!=0,0,1)</f>
        <v>#REF!</v>
      </c>
      <c r="L173" s="769" t="e">
        <f>IF(#REF!=0,0,1)</f>
        <v>#REF!</v>
      </c>
      <c r="M173" s="769">
        <f t="shared" si="289"/>
        <v>0.33333333333333331</v>
      </c>
      <c r="N173" s="769">
        <f t="shared" si="268"/>
        <v>0</v>
      </c>
      <c r="P173" s="775">
        <v>1</v>
      </c>
      <c r="Q173" s="754" t="s">
        <v>111</v>
      </c>
      <c r="R173" s="742"/>
      <c r="S173" s="742"/>
      <c r="T173" s="741"/>
      <c r="U173" s="726"/>
      <c r="V173" s="783">
        <f t="shared" si="263"/>
        <v>0</v>
      </c>
      <c r="W173" s="782">
        <f t="shared" si="264"/>
        <v>0</v>
      </c>
      <c r="Y173" s="1">
        <f t="shared" si="306"/>
        <v>0</v>
      </c>
      <c r="Z173" s="1">
        <f t="shared" si="307"/>
        <v>0</v>
      </c>
      <c r="AA173" s="1">
        <f t="shared" si="308"/>
        <v>0</v>
      </c>
      <c r="AB173" s="1">
        <f t="shared" si="309"/>
        <v>0</v>
      </c>
      <c r="AC173" s="1">
        <f t="shared" si="310"/>
        <v>0</v>
      </c>
      <c r="AD173" s="1">
        <f t="shared" si="311"/>
        <v>0</v>
      </c>
      <c r="AE173" s="1">
        <f t="shared" si="312"/>
        <v>0</v>
      </c>
      <c r="AF173" s="1">
        <f t="shared" si="313"/>
        <v>0</v>
      </c>
      <c r="AG173" s="1">
        <f t="shared" si="314"/>
        <v>0</v>
      </c>
      <c r="AH173" s="1">
        <f t="shared" si="315"/>
        <v>0</v>
      </c>
      <c r="AI173" s="1">
        <f t="shared" si="316"/>
        <v>0</v>
      </c>
      <c r="AJ173" s="1">
        <f t="shared" si="317"/>
        <v>0</v>
      </c>
      <c r="AK173" s="1">
        <f t="shared" si="318"/>
        <v>0</v>
      </c>
      <c r="AM173" s="781" t="s">
        <v>818</v>
      </c>
      <c r="AN173" s="781" t="s">
        <v>49</v>
      </c>
      <c r="AO173" s="781" t="s">
        <v>49</v>
      </c>
      <c r="AP173" s="781" t="s">
        <v>49</v>
      </c>
      <c r="AQ173" s="781" t="s">
        <v>49</v>
      </c>
      <c r="AR173" s="781" t="s">
        <v>49</v>
      </c>
      <c r="AS173" s="781" t="s">
        <v>49</v>
      </c>
      <c r="AT173" s="781" t="s">
        <v>49</v>
      </c>
      <c r="AU173" s="781" t="s">
        <v>49</v>
      </c>
      <c r="AV173" s="781" t="s">
        <v>49</v>
      </c>
      <c r="AW173" s="781" t="s">
        <v>49</v>
      </c>
      <c r="AX173" s="781" t="s">
        <v>818</v>
      </c>
      <c r="AY173" s="781" t="s">
        <v>49</v>
      </c>
      <c r="BA173" s="763" t="e">
        <f>BB173/$BC$172</f>
        <v>#REF!</v>
      </c>
      <c r="BB173" s="780" t="e">
        <f>D173</f>
        <v>#REF!</v>
      </c>
      <c r="BC173" s="763"/>
      <c r="BD173" s="762" t="e">
        <f>BR173*#REF!</f>
        <v>#REF!</v>
      </c>
      <c r="BE173" s="762" t="e">
        <f>BS173*#REF!</f>
        <v>#REF!</v>
      </c>
      <c r="BF173" s="762" t="e">
        <f>BT173*#REF!</f>
        <v>#REF!</v>
      </c>
      <c r="BG173" s="762" t="e">
        <f>BU173*#REF!</f>
        <v>#REF!</v>
      </c>
      <c r="BH173" s="762" t="e">
        <f>BV173*#REF!</f>
        <v>#REF!</v>
      </c>
      <c r="BI173" s="762" t="e">
        <f>BW173*#REF!</f>
        <v>#REF!</v>
      </c>
      <c r="BJ173" s="762" t="e">
        <f>BX173*#REF!</f>
        <v>#REF!</v>
      </c>
      <c r="BK173" s="762" t="e">
        <f>BY173*#REF!</f>
        <v>#REF!</v>
      </c>
      <c r="BL173" s="762" t="e">
        <f>BZ173*#REF!</f>
        <v>#REF!</v>
      </c>
      <c r="BM173" s="762" t="e">
        <f>CA173*#REF!</f>
        <v>#REF!</v>
      </c>
      <c r="BO173" s="761">
        <f t="shared" si="290"/>
        <v>1</v>
      </c>
      <c r="BP173" s="760" t="str">
        <f t="shared" si="291"/>
        <v>LR3</v>
      </c>
      <c r="BQ173" s="759" t="str">
        <f t="shared" si="292"/>
        <v>地球温暖化への配慮</v>
      </c>
      <c r="BR173" s="757">
        <f t="shared" si="293"/>
        <v>0.33333333333333331</v>
      </c>
      <c r="BS173" s="757">
        <f t="shared" si="294"/>
        <v>0.33333333333333331</v>
      </c>
      <c r="BT173" s="757">
        <f t="shared" si="295"/>
        <v>0.33333333333333331</v>
      </c>
      <c r="BU173" s="757">
        <f t="shared" si="296"/>
        <v>0.33333333333333331</v>
      </c>
      <c r="BV173" s="757">
        <f t="shared" si="297"/>
        <v>0.33333333333333331</v>
      </c>
      <c r="BW173" s="757">
        <f t="shared" si="298"/>
        <v>0.33333333333333331</v>
      </c>
      <c r="BX173" s="757">
        <f t="shared" si="299"/>
        <v>0.33333333333333331</v>
      </c>
      <c r="BY173" s="757">
        <f t="shared" si="300"/>
        <v>0.33333333333333331</v>
      </c>
      <c r="BZ173" s="757">
        <f t="shared" si="301"/>
        <v>0.33333333333333331</v>
      </c>
      <c r="CA173" s="757">
        <f t="shared" si="302"/>
        <v>0.33333333333333331</v>
      </c>
      <c r="CB173" s="758">
        <f t="shared" si="303"/>
        <v>0</v>
      </c>
      <c r="CC173" s="757">
        <f t="shared" si="304"/>
        <v>0</v>
      </c>
      <c r="CD173" s="757">
        <f t="shared" si="305"/>
        <v>0</v>
      </c>
      <c r="CF173" s="447">
        <v>1</v>
      </c>
      <c r="CG173" s="451" t="s">
        <v>362</v>
      </c>
      <c r="CH173" s="448" t="s">
        <v>111</v>
      </c>
      <c r="CI173" s="452">
        <v>0.33333333333333331</v>
      </c>
      <c r="CJ173" s="452">
        <v>0.33333333333333331</v>
      </c>
      <c r="CK173" s="452">
        <v>0.33333333333333331</v>
      </c>
      <c r="CL173" s="452">
        <v>0.33333333333333331</v>
      </c>
      <c r="CM173" s="452">
        <v>0.33333333333333331</v>
      </c>
      <c r="CN173" s="452">
        <v>0.33333333333333331</v>
      </c>
      <c r="CO173" s="452">
        <v>0.33333333333333331</v>
      </c>
      <c r="CP173" s="452">
        <v>0.33333333333333331</v>
      </c>
      <c r="CQ173" s="452">
        <v>0.33333333333333331</v>
      </c>
      <c r="CR173" s="452">
        <v>0.33333333333333331</v>
      </c>
      <c r="CS173" s="453">
        <v>0</v>
      </c>
      <c r="CT173" s="452">
        <v>0</v>
      </c>
      <c r="CU173" s="452">
        <v>0</v>
      </c>
      <c r="CW173" s="447">
        <v>1</v>
      </c>
      <c r="CX173" s="451" t="s">
        <v>362</v>
      </c>
      <c r="CY173" s="448" t="s">
        <v>111</v>
      </c>
      <c r="CZ173" s="452">
        <f t="shared" ref="CZ173:DI174" si="320">1/3</f>
        <v>0.33333333333333331</v>
      </c>
      <c r="DA173" s="452">
        <f t="shared" si="320"/>
        <v>0.33333333333333331</v>
      </c>
      <c r="DB173" s="452">
        <f t="shared" si="320"/>
        <v>0.33333333333333331</v>
      </c>
      <c r="DC173" s="452">
        <f t="shared" si="320"/>
        <v>0.33333333333333331</v>
      </c>
      <c r="DD173" s="452">
        <f t="shared" si="320"/>
        <v>0.33333333333333331</v>
      </c>
      <c r="DE173" s="452">
        <f t="shared" si="320"/>
        <v>0.33333333333333331</v>
      </c>
      <c r="DF173" s="452">
        <f t="shared" si="320"/>
        <v>0.33333333333333331</v>
      </c>
      <c r="DG173" s="452">
        <f t="shared" si="320"/>
        <v>0.33333333333333331</v>
      </c>
      <c r="DH173" s="452">
        <f t="shared" si="320"/>
        <v>0.33333333333333331</v>
      </c>
      <c r="DI173" s="452">
        <f t="shared" si="320"/>
        <v>0.33333333333333331</v>
      </c>
      <c r="DJ173" s="453"/>
      <c r="DK173" s="452"/>
      <c r="DL173" s="452"/>
      <c r="DN173" s="447">
        <v>1</v>
      </c>
      <c r="DO173" s="451" t="s">
        <v>362</v>
      </c>
      <c r="DP173" s="448" t="s">
        <v>111</v>
      </c>
      <c r="DQ173" s="452">
        <f t="shared" ref="DQ173:DZ174" si="321">1/3</f>
        <v>0.33333333333333331</v>
      </c>
      <c r="DR173" s="452">
        <f t="shared" si="321"/>
        <v>0.33333333333333331</v>
      </c>
      <c r="DS173" s="452">
        <f t="shared" si="321"/>
        <v>0.33333333333333331</v>
      </c>
      <c r="DT173" s="452">
        <f t="shared" si="321"/>
        <v>0.33333333333333331</v>
      </c>
      <c r="DU173" s="452">
        <f t="shared" si="321"/>
        <v>0.33333333333333331</v>
      </c>
      <c r="DV173" s="452">
        <f t="shared" si="321"/>
        <v>0.33333333333333331</v>
      </c>
      <c r="DW173" s="452">
        <f t="shared" si="321"/>
        <v>0.33333333333333331</v>
      </c>
      <c r="DX173" s="452">
        <f t="shared" si="321"/>
        <v>0.33333333333333331</v>
      </c>
      <c r="DY173" s="452">
        <f t="shared" si="321"/>
        <v>0.33333333333333331</v>
      </c>
      <c r="DZ173" s="452">
        <f t="shared" si="321"/>
        <v>0.33333333333333331</v>
      </c>
      <c r="EA173" s="453"/>
      <c r="EB173" s="452"/>
      <c r="EC173" s="452"/>
      <c r="ED173" s="554"/>
      <c r="EF173" s="447">
        <v>1</v>
      </c>
      <c r="EG173" s="451" t="s">
        <v>362</v>
      </c>
      <c r="EH173" s="448" t="s">
        <v>111</v>
      </c>
      <c r="EI173" s="606">
        <f t="shared" si="275"/>
        <v>0.33333333333333331</v>
      </c>
      <c r="EJ173" s="606">
        <f t="shared" si="276"/>
        <v>0.33333333333333331</v>
      </c>
      <c r="EK173" s="606">
        <f t="shared" si="277"/>
        <v>0.33333333333333331</v>
      </c>
      <c r="EL173" s="606">
        <f t="shared" si="278"/>
        <v>0.33333333333333331</v>
      </c>
      <c r="EM173" s="606">
        <f t="shared" si="279"/>
        <v>0.33333333333333331</v>
      </c>
      <c r="EN173" s="606">
        <f t="shared" si="280"/>
        <v>0.33333333333333331</v>
      </c>
      <c r="EO173" s="606">
        <f t="shared" si="281"/>
        <v>0.33333333333333331</v>
      </c>
      <c r="EP173" s="606">
        <f t="shared" si="282"/>
        <v>0.33333333333333331</v>
      </c>
      <c r="EQ173" s="606">
        <f t="shared" si="283"/>
        <v>0.33333333333333331</v>
      </c>
      <c r="ER173" s="606">
        <f t="shared" si="284"/>
        <v>0.33333333333333331</v>
      </c>
      <c r="ES173" s="608">
        <f t="shared" si="269"/>
        <v>0</v>
      </c>
      <c r="ET173" s="606">
        <f t="shared" si="270"/>
        <v>0</v>
      </c>
      <c r="EU173" s="606">
        <f t="shared" si="271"/>
        <v>0</v>
      </c>
      <c r="EW173" s="447">
        <v>1</v>
      </c>
      <c r="EX173" s="451" t="s">
        <v>362</v>
      </c>
      <c r="EY173" s="448" t="s">
        <v>111</v>
      </c>
      <c r="EZ173" s="673">
        <v>0</v>
      </c>
      <c r="FA173" s="596"/>
      <c r="FB173" s="596"/>
      <c r="FC173" s="596"/>
      <c r="FD173" s="596"/>
      <c r="FE173" s="596"/>
      <c r="FF173" s="596"/>
      <c r="FG173" s="596"/>
      <c r="FH173" s="596"/>
      <c r="FI173" s="596"/>
      <c r="FJ173" s="597"/>
      <c r="FK173" s="596"/>
      <c r="FL173" s="596"/>
    </row>
    <row r="174" spans="2:168" ht="14.25" thickBot="1">
      <c r="B174" s="732">
        <f t="shared" si="274"/>
        <v>2</v>
      </c>
      <c r="C174" s="759" t="str">
        <f t="shared" si="285"/>
        <v>地域環境への配慮</v>
      </c>
      <c r="D174" s="770" t="e">
        <f>IF(I$172=0,0,G174/I$172)</f>
        <v>#REF!</v>
      </c>
      <c r="E174" s="770" t="e">
        <f>IF(J$172=0,0,H174/J$172)</f>
        <v>#REF!</v>
      </c>
      <c r="G174" s="769" t="e">
        <f t="shared" si="287"/>
        <v>#REF!</v>
      </c>
      <c r="H174" s="769" t="e">
        <f t="shared" si="288"/>
        <v>#REF!</v>
      </c>
      <c r="I174" s="769" t="e">
        <f>G175+G176+G177+G182</f>
        <v>#REF!</v>
      </c>
      <c r="J174" s="769" t="e">
        <f>H175+H176+H177+H182</f>
        <v>#REF!</v>
      </c>
      <c r="K174" s="769" t="e">
        <f>IF(#REF!=0,0,1)</f>
        <v>#REF!</v>
      </c>
      <c r="L174" s="769" t="e">
        <f>IF(#REF!=0,0,1)</f>
        <v>#REF!</v>
      </c>
      <c r="M174" s="769">
        <f t="shared" si="289"/>
        <v>0.33333333333333331</v>
      </c>
      <c r="N174" s="769">
        <f t="shared" si="268"/>
        <v>0</v>
      </c>
      <c r="P174" s="779">
        <v>2</v>
      </c>
      <c r="Q174" s="767" t="s">
        <v>112</v>
      </c>
      <c r="R174" s="767"/>
      <c r="S174" s="767"/>
      <c r="T174" s="745"/>
      <c r="U174" s="726"/>
      <c r="V174" s="752">
        <f t="shared" ref="V174:V194" si="322">IF(SUMPRODUCT($AM$7:$AV$7,Y174:AH174)=0,0,SUMPRODUCT($AM$7:$AV$7,AM174:AV174)/SUMPRODUCT($AM$7:$AV$7,Y174:AH174))</f>
        <v>0</v>
      </c>
      <c r="W174" s="751">
        <f t="shared" ref="W174:W194" si="323">IF(SUMPRODUCT($AW$7:$AY$7,AI174:AK174)=0,0,SUMPRODUCT($AW$7:$AY$7,AW174:AY174)/SUMPRODUCT($AW$7:$AY$7,AI174:AK174))</f>
        <v>0</v>
      </c>
      <c r="Y174" s="1">
        <f t="shared" si="306"/>
        <v>0</v>
      </c>
      <c r="Z174" s="1">
        <f t="shared" si="307"/>
        <v>0</v>
      </c>
      <c r="AA174" s="1">
        <f t="shared" si="308"/>
        <v>0</v>
      </c>
      <c r="AB174" s="1">
        <f t="shared" si="309"/>
        <v>0</v>
      </c>
      <c r="AC174" s="1">
        <f t="shared" si="310"/>
        <v>0</v>
      </c>
      <c r="AD174" s="1">
        <f t="shared" si="311"/>
        <v>0</v>
      </c>
      <c r="AE174" s="1">
        <f t="shared" si="312"/>
        <v>0</v>
      </c>
      <c r="AF174" s="1">
        <f t="shared" si="313"/>
        <v>0</v>
      </c>
      <c r="AG174" s="1">
        <f t="shared" si="314"/>
        <v>0</v>
      </c>
      <c r="AH174" s="1">
        <f t="shared" si="315"/>
        <v>0</v>
      </c>
      <c r="AI174" s="1">
        <f t="shared" si="316"/>
        <v>0</v>
      </c>
      <c r="AJ174" s="1">
        <f t="shared" si="317"/>
        <v>0</v>
      </c>
      <c r="AK174" s="1">
        <f t="shared" si="318"/>
        <v>0</v>
      </c>
      <c r="AM174" s="750" t="s">
        <v>49</v>
      </c>
      <c r="AN174" s="750" t="s">
        <v>49</v>
      </c>
      <c r="AO174" s="750" t="s">
        <v>49</v>
      </c>
      <c r="AP174" s="750" t="s">
        <v>49</v>
      </c>
      <c r="AQ174" s="750" t="s">
        <v>49</v>
      </c>
      <c r="AR174" s="750" t="s">
        <v>49</v>
      </c>
      <c r="AS174" s="750" t="s">
        <v>49</v>
      </c>
      <c r="AT174" s="750" t="s">
        <v>817</v>
      </c>
      <c r="AU174" s="750" t="s">
        <v>49</v>
      </c>
      <c r="AV174" s="750" t="s">
        <v>49</v>
      </c>
      <c r="AW174" s="750" t="s">
        <v>49</v>
      </c>
      <c r="AX174" s="750" t="s">
        <v>49</v>
      </c>
      <c r="AY174" s="750" t="s">
        <v>49</v>
      </c>
      <c r="BA174" s="763" t="e">
        <f>BB174/$BC$172</f>
        <v>#REF!</v>
      </c>
      <c r="BB174" s="763" t="e">
        <f t="shared" ref="BB174:BB194" si="324">SUMPRODUCT($BD$7:$BM$7,BD174:BM174)</f>
        <v>#REF!</v>
      </c>
      <c r="BC174" s="763"/>
      <c r="BD174" s="762" t="e">
        <f>BR174*#REF!</f>
        <v>#REF!</v>
      </c>
      <c r="BE174" s="762" t="e">
        <f>BS174*#REF!</f>
        <v>#REF!</v>
      </c>
      <c r="BF174" s="762" t="e">
        <f>BT174*#REF!</f>
        <v>#REF!</v>
      </c>
      <c r="BG174" s="762" t="e">
        <f>BU174*#REF!</f>
        <v>#REF!</v>
      </c>
      <c r="BH174" s="762" t="e">
        <f>BV174*#REF!</f>
        <v>#REF!</v>
      </c>
      <c r="BI174" s="762" t="e">
        <f>BW174*#REF!</f>
        <v>#REF!</v>
      </c>
      <c r="BJ174" s="762" t="e">
        <f>BX174*#REF!</f>
        <v>#REF!</v>
      </c>
      <c r="BK174" s="762" t="e">
        <f>BY174*#REF!</f>
        <v>#REF!</v>
      </c>
      <c r="BL174" s="762" t="e">
        <f>BZ174*#REF!</f>
        <v>#REF!</v>
      </c>
      <c r="BM174" s="762" t="e">
        <f>CA174*#REF!</f>
        <v>#REF!</v>
      </c>
      <c r="BO174" s="761">
        <f t="shared" si="290"/>
        <v>2</v>
      </c>
      <c r="BP174" s="760" t="str">
        <f t="shared" si="291"/>
        <v>LR3</v>
      </c>
      <c r="BQ174" s="759" t="str">
        <f t="shared" si="292"/>
        <v>地域環境への配慮</v>
      </c>
      <c r="BR174" s="757">
        <f t="shared" si="293"/>
        <v>0.33333333333333331</v>
      </c>
      <c r="BS174" s="757">
        <f t="shared" si="294"/>
        <v>0.33333333333333331</v>
      </c>
      <c r="BT174" s="757">
        <f t="shared" si="295"/>
        <v>0.33333333333333331</v>
      </c>
      <c r="BU174" s="757">
        <f t="shared" si="296"/>
        <v>0.33333333333333331</v>
      </c>
      <c r="BV174" s="757">
        <f t="shared" si="297"/>
        <v>0.33333333333333331</v>
      </c>
      <c r="BW174" s="757">
        <f t="shared" si="298"/>
        <v>0.33333333333333331</v>
      </c>
      <c r="BX174" s="757">
        <f t="shared" si="299"/>
        <v>0.33333333333333331</v>
      </c>
      <c r="BY174" s="757">
        <f t="shared" si="300"/>
        <v>0.33333333333333331</v>
      </c>
      <c r="BZ174" s="757">
        <f t="shared" si="301"/>
        <v>0.33333333333333331</v>
      </c>
      <c r="CA174" s="757">
        <f t="shared" si="302"/>
        <v>0.33333333333333331</v>
      </c>
      <c r="CB174" s="758">
        <f t="shared" si="303"/>
        <v>0</v>
      </c>
      <c r="CC174" s="757">
        <f t="shared" si="304"/>
        <v>0</v>
      </c>
      <c r="CD174" s="757">
        <f t="shared" si="305"/>
        <v>0</v>
      </c>
      <c r="CF174" s="447">
        <v>2</v>
      </c>
      <c r="CG174" s="451" t="s">
        <v>362</v>
      </c>
      <c r="CH174" s="448" t="s">
        <v>112</v>
      </c>
      <c r="CI174" s="452">
        <v>0.33333333333333331</v>
      </c>
      <c r="CJ174" s="452">
        <v>0.33333333333333331</v>
      </c>
      <c r="CK174" s="452">
        <v>0.33333333333333331</v>
      </c>
      <c r="CL174" s="452">
        <v>0.33333333333333331</v>
      </c>
      <c r="CM174" s="452">
        <v>0.33333333333333331</v>
      </c>
      <c r="CN174" s="452">
        <v>0.33333333333333331</v>
      </c>
      <c r="CO174" s="452">
        <v>0.33333333333333331</v>
      </c>
      <c r="CP174" s="452">
        <v>0.33333333333333331</v>
      </c>
      <c r="CQ174" s="452">
        <v>0.33333333333333331</v>
      </c>
      <c r="CR174" s="452">
        <v>0.33333333333333331</v>
      </c>
      <c r="CS174" s="453">
        <v>0</v>
      </c>
      <c r="CT174" s="452">
        <v>0</v>
      </c>
      <c r="CU174" s="452">
        <v>0</v>
      </c>
      <c r="CW174" s="447">
        <v>2</v>
      </c>
      <c r="CX174" s="451" t="s">
        <v>362</v>
      </c>
      <c r="CY174" s="448" t="s">
        <v>112</v>
      </c>
      <c r="CZ174" s="452">
        <f t="shared" si="320"/>
        <v>0.33333333333333331</v>
      </c>
      <c r="DA174" s="452">
        <f t="shared" si="320"/>
        <v>0.33333333333333331</v>
      </c>
      <c r="DB174" s="452">
        <f t="shared" si="320"/>
        <v>0.33333333333333331</v>
      </c>
      <c r="DC174" s="452">
        <f t="shared" si="320"/>
        <v>0.33333333333333331</v>
      </c>
      <c r="DD174" s="452">
        <f t="shared" si="320"/>
        <v>0.33333333333333331</v>
      </c>
      <c r="DE174" s="452">
        <f t="shared" si="320"/>
        <v>0.33333333333333331</v>
      </c>
      <c r="DF174" s="452">
        <f t="shared" si="320"/>
        <v>0.33333333333333331</v>
      </c>
      <c r="DG174" s="452">
        <f t="shared" si="320"/>
        <v>0.33333333333333331</v>
      </c>
      <c r="DH174" s="452">
        <f t="shared" si="320"/>
        <v>0.33333333333333331</v>
      </c>
      <c r="DI174" s="452">
        <f t="shared" si="320"/>
        <v>0.33333333333333331</v>
      </c>
      <c r="DJ174" s="453"/>
      <c r="DK174" s="452"/>
      <c r="DL174" s="452"/>
      <c r="DN174" s="447">
        <v>2</v>
      </c>
      <c r="DO174" s="451" t="s">
        <v>362</v>
      </c>
      <c r="DP174" s="448" t="s">
        <v>112</v>
      </c>
      <c r="DQ174" s="452">
        <f t="shared" si="321"/>
        <v>0.33333333333333331</v>
      </c>
      <c r="DR174" s="452">
        <f t="shared" si="321"/>
        <v>0.33333333333333331</v>
      </c>
      <c r="DS174" s="452">
        <f t="shared" si="321"/>
        <v>0.33333333333333331</v>
      </c>
      <c r="DT174" s="452">
        <f t="shared" si="321"/>
        <v>0.33333333333333331</v>
      </c>
      <c r="DU174" s="452">
        <f t="shared" si="321"/>
        <v>0.33333333333333331</v>
      </c>
      <c r="DV174" s="452">
        <f t="shared" si="321"/>
        <v>0.33333333333333331</v>
      </c>
      <c r="DW174" s="452">
        <f t="shared" si="321"/>
        <v>0.33333333333333331</v>
      </c>
      <c r="DX174" s="452">
        <f t="shared" si="321"/>
        <v>0.33333333333333331</v>
      </c>
      <c r="DY174" s="452">
        <f t="shared" si="321"/>
        <v>0.33333333333333331</v>
      </c>
      <c r="DZ174" s="452">
        <f t="shared" si="321"/>
        <v>0.33333333333333331</v>
      </c>
      <c r="EA174" s="453"/>
      <c r="EB174" s="452"/>
      <c r="EC174" s="452"/>
      <c r="ED174" s="554"/>
      <c r="EF174" s="447">
        <v>2</v>
      </c>
      <c r="EG174" s="451" t="s">
        <v>362</v>
      </c>
      <c r="EH174" s="448" t="s">
        <v>112</v>
      </c>
      <c r="EI174" s="606">
        <f t="shared" si="275"/>
        <v>0.33333333333333331</v>
      </c>
      <c r="EJ174" s="606">
        <f t="shared" si="276"/>
        <v>0.33333333333333331</v>
      </c>
      <c r="EK174" s="606">
        <f t="shared" si="277"/>
        <v>0.33333333333333331</v>
      </c>
      <c r="EL174" s="606">
        <f t="shared" si="278"/>
        <v>0.33333333333333331</v>
      </c>
      <c r="EM174" s="606">
        <f t="shared" si="279"/>
        <v>0.33333333333333331</v>
      </c>
      <c r="EN174" s="606">
        <f t="shared" si="280"/>
        <v>0.33333333333333331</v>
      </c>
      <c r="EO174" s="606">
        <f t="shared" si="281"/>
        <v>0.33333333333333331</v>
      </c>
      <c r="EP174" s="606">
        <f t="shared" si="282"/>
        <v>0.33333333333333331</v>
      </c>
      <c r="EQ174" s="606">
        <f t="shared" si="283"/>
        <v>0.33333333333333331</v>
      </c>
      <c r="ER174" s="606">
        <f t="shared" si="284"/>
        <v>0.33333333333333331</v>
      </c>
      <c r="ES174" s="608">
        <f t="shared" si="269"/>
        <v>0</v>
      </c>
      <c r="ET174" s="606">
        <f t="shared" si="270"/>
        <v>0</v>
      </c>
      <c r="EU174" s="606">
        <f t="shared" si="271"/>
        <v>0</v>
      </c>
      <c r="EW174" s="447">
        <v>2</v>
      </c>
      <c r="EX174" s="451" t="s">
        <v>362</v>
      </c>
      <c r="EY174" s="448" t="s">
        <v>112</v>
      </c>
      <c r="EZ174" s="673">
        <v>1</v>
      </c>
      <c r="FA174" s="596"/>
      <c r="FB174" s="596"/>
      <c r="FC174" s="596"/>
      <c r="FD174" s="596"/>
      <c r="FE174" s="596"/>
      <c r="FF174" s="596"/>
      <c r="FG174" s="596"/>
      <c r="FH174" s="596"/>
      <c r="FI174" s="596"/>
      <c r="FJ174" s="597"/>
      <c r="FK174" s="596"/>
      <c r="FL174" s="596"/>
    </row>
    <row r="175" spans="2:168">
      <c r="B175" s="732" t="str">
        <f t="shared" si="274"/>
        <v>2.1</v>
      </c>
      <c r="C175" s="408" t="str">
        <f t="shared" si="285"/>
        <v>大気汚染防止</v>
      </c>
      <c r="D175" s="731" t="e">
        <f t="shared" ref="D175:E177" si="325">IF(I$174=0,0,G175/I$174)</f>
        <v>#REF!</v>
      </c>
      <c r="E175" s="731" t="e">
        <f t="shared" si="325"/>
        <v>#REF!</v>
      </c>
      <c r="G175" s="730" t="e">
        <f t="shared" si="287"/>
        <v>#REF!</v>
      </c>
      <c r="H175" s="730" t="e">
        <f t="shared" si="288"/>
        <v>#REF!</v>
      </c>
      <c r="I175" s="730"/>
      <c r="J175" s="730"/>
      <c r="K175" s="730" t="e">
        <f>IF(#REF!=0,0,1)</f>
        <v>#REF!</v>
      </c>
      <c r="L175" s="730" t="e">
        <f>IF(#REF!=0,0,1)</f>
        <v>#REF!</v>
      </c>
      <c r="M175" s="730">
        <f t="shared" si="289"/>
        <v>0.25</v>
      </c>
      <c r="N175" s="730">
        <f t="shared" si="268"/>
        <v>0</v>
      </c>
      <c r="P175" s="775"/>
      <c r="Q175" s="778">
        <v>2.1</v>
      </c>
      <c r="R175" s="755" t="s">
        <v>113</v>
      </c>
      <c r="S175" s="742"/>
      <c r="T175" s="741"/>
      <c r="U175" s="726"/>
      <c r="V175" s="734">
        <f t="shared" si="322"/>
        <v>0</v>
      </c>
      <c r="W175" s="733">
        <f t="shared" si="323"/>
        <v>0</v>
      </c>
      <c r="Y175" s="1">
        <f t="shared" si="306"/>
        <v>0</v>
      </c>
      <c r="Z175" s="1">
        <f t="shared" si="307"/>
        <v>0</v>
      </c>
      <c r="AA175" s="1">
        <f t="shared" si="308"/>
        <v>0</v>
      </c>
      <c r="AB175" s="1">
        <f t="shared" si="309"/>
        <v>0</v>
      </c>
      <c r="AC175" s="1">
        <f t="shared" si="310"/>
        <v>0</v>
      </c>
      <c r="AD175" s="1">
        <f t="shared" si="311"/>
        <v>0</v>
      </c>
      <c r="AE175" s="1">
        <f t="shared" si="312"/>
        <v>0</v>
      </c>
      <c r="AF175" s="1">
        <f t="shared" si="313"/>
        <v>0</v>
      </c>
      <c r="AG175" s="1">
        <f t="shared" si="314"/>
        <v>0</v>
      </c>
      <c r="AH175" s="1">
        <f t="shared" si="315"/>
        <v>0</v>
      </c>
      <c r="AI175" s="1">
        <f t="shared" si="316"/>
        <v>0</v>
      </c>
      <c r="AJ175" s="1">
        <f t="shared" si="317"/>
        <v>0</v>
      </c>
      <c r="AK175" s="1">
        <f t="shared" si="318"/>
        <v>0</v>
      </c>
      <c r="AM175" s="644"/>
      <c r="AN175" s="644"/>
      <c r="AO175" s="644"/>
      <c r="AP175" s="644"/>
      <c r="AQ175" s="644"/>
      <c r="AR175" s="644"/>
      <c r="AS175" s="644"/>
      <c r="AT175" s="644"/>
      <c r="AU175" s="644"/>
      <c r="AV175" s="644"/>
      <c r="AW175" s="644"/>
      <c r="AX175" s="644"/>
      <c r="AY175" s="644"/>
      <c r="BA175" s="723"/>
      <c r="BB175" s="723" t="e">
        <f t="shared" si="324"/>
        <v>#REF!</v>
      </c>
      <c r="BC175" s="723"/>
      <c r="BD175" s="722" t="e">
        <f>BR175*#REF!</f>
        <v>#REF!</v>
      </c>
      <c r="BE175" s="722" t="e">
        <f>BS175*#REF!</f>
        <v>#REF!</v>
      </c>
      <c r="BF175" s="722" t="e">
        <f>BT175*#REF!</f>
        <v>#REF!</v>
      </c>
      <c r="BG175" s="722" t="e">
        <f>BU175*#REF!</f>
        <v>#REF!</v>
      </c>
      <c r="BH175" s="722" t="e">
        <f>BV175*#REF!</f>
        <v>#REF!</v>
      </c>
      <c r="BI175" s="722" t="e">
        <f>BW175*#REF!</f>
        <v>#REF!</v>
      </c>
      <c r="BJ175" s="722" t="e">
        <f>BX175*#REF!</f>
        <v>#REF!</v>
      </c>
      <c r="BK175" s="722" t="e">
        <f>BY175*#REF!</f>
        <v>#REF!</v>
      </c>
      <c r="BL175" s="722" t="e">
        <f>BZ175*#REF!</f>
        <v>#REF!</v>
      </c>
      <c r="BM175" s="722" t="e">
        <f>CA175*#REF!</f>
        <v>#REF!</v>
      </c>
      <c r="BO175" s="735" t="str">
        <f t="shared" si="290"/>
        <v>2.1</v>
      </c>
      <c r="BP175" s="721" t="str">
        <f t="shared" si="291"/>
        <v>LR3 2</v>
      </c>
      <c r="BQ175" s="408" t="str">
        <f t="shared" si="292"/>
        <v>大気汚染防止</v>
      </c>
      <c r="BR175" s="719">
        <f t="shared" si="293"/>
        <v>0.25</v>
      </c>
      <c r="BS175" s="719">
        <f t="shared" si="294"/>
        <v>0.25</v>
      </c>
      <c r="BT175" s="719">
        <f t="shared" si="295"/>
        <v>0.25</v>
      </c>
      <c r="BU175" s="719">
        <f t="shared" si="296"/>
        <v>0.25</v>
      </c>
      <c r="BV175" s="719">
        <f t="shared" si="297"/>
        <v>0.25</v>
      </c>
      <c r="BW175" s="719">
        <f t="shared" si="298"/>
        <v>0.25</v>
      </c>
      <c r="BX175" s="719">
        <f t="shared" si="299"/>
        <v>0.25</v>
      </c>
      <c r="BY175" s="719">
        <f t="shared" si="300"/>
        <v>0.25</v>
      </c>
      <c r="BZ175" s="719">
        <f t="shared" si="301"/>
        <v>0.25</v>
      </c>
      <c r="CA175" s="719">
        <f t="shared" si="302"/>
        <v>0.25</v>
      </c>
      <c r="CB175" s="748">
        <f t="shared" si="303"/>
        <v>0</v>
      </c>
      <c r="CC175" s="719">
        <f t="shared" si="304"/>
        <v>0</v>
      </c>
      <c r="CD175" s="719">
        <f t="shared" si="305"/>
        <v>0</v>
      </c>
      <c r="CF175" s="518" t="s">
        <v>336</v>
      </c>
      <c r="CG175" s="459" t="s">
        <v>567</v>
      </c>
      <c r="CH175" s="456" t="s">
        <v>113</v>
      </c>
      <c r="CI175" s="461">
        <v>0.25</v>
      </c>
      <c r="CJ175" s="461">
        <v>0.25</v>
      </c>
      <c r="CK175" s="461">
        <v>0.25</v>
      </c>
      <c r="CL175" s="461">
        <v>0.25</v>
      </c>
      <c r="CM175" s="461">
        <v>0.25</v>
      </c>
      <c r="CN175" s="461">
        <v>0.25</v>
      </c>
      <c r="CO175" s="461">
        <v>0.25</v>
      </c>
      <c r="CP175" s="461">
        <v>0.25</v>
      </c>
      <c r="CQ175" s="461">
        <v>0.25</v>
      </c>
      <c r="CR175" s="461">
        <v>0.25</v>
      </c>
      <c r="CS175" s="462"/>
      <c r="CT175" s="461"/>
      <c r="CU175" s="461"/>
      <c r="CW175" s="518" t="s">
        <v>336</v>
      </c>
      <c r="CX175" s="459" t="s">
        <v>567</v>
      </c>
      <c r="CY175" s="456" t="s">
        <v>113</v>
      </c>
      <c r="CZ175" s="461">
        <v>0.25</v>
      </c>
      <c r="DA175" s="461">
        <v>0.25</v>
      </c>
      <c r="DB175" s="461">
        <v>0.25</v>
      </c>
      <c r="DC175" s="461">
        <v>0.25</v>
      </c>
      <c r="DD175" s="461">
        <v>0.25</v>
      </c>
      <c r="DE175" s="461">
        <v>0.25</v>
      </c>
      <c r="DF175" s="461">
        <v>0.25</v>
      </c>
      <c r="DG175" s="461">
        <v>0.25</v>
      </c>
      <c r="DH175" s="461">
        <v>0.25</v>
      </c>
      <c r="DI175" s="461">
        <v>0.25</v>
      </c>
      <c r="DJ175" s="462"/>
      <c r="DK175" s="461"/>
      <c r="DL175" s="461"/>
      <c r="DN175" s="518" t="s">
        <v>336</v>
      </c>
      <c r="DO175" s="459" t="s">
        <v>567</v>
      </c>
      <c r="DP175" s="456" t="s">
        <v>113</v>
      </c>
      <c r="DQ175" s="461">
        <v>0.25</v>
      </c>
      <c r="DR175" s="461">
        <v>0.25</v>
      </c>
      <c r="DS175" s="461">
        <v>0.25</v>
      </c>
      <c r="DT175" s="461">
        <v>0.25</v>
      </c>
      <c r="DU175" s="461">
        <v>0.25</v>
      </c>
      <c r="DV175" s="461">
        <v>0.25</v>
      </c>
      <c r="DW175" s="461">
        <v>0.25</v>
      </c>
      <c r="DX175" s="461">
        <v>0.25</v>
      </c>
      <c r="DY175" s="461">
        <v>0.25</v>
      </c>
      <c r="DZ175" s="461">
        <v>0.25</v>
      </c>
      <c r="EA175" s="462"/>
      <c r="EB175" s="461"/>
      <c r="EC175" s="461"/>
      <c r="ED175" s="555"/>
      <c r="EF175" s="518" t="s">
        <v>816</v>
      </c>
      <c r="EG175" s="459" t="s">
        <v>567</v>
      </c>
      <c r="EH175" s="456" t="s">
        <v>113</v>
      </c>
      <c r="EI175" s="609">
        <f t="shared" si="275"/>
        <v>0.25</v>
      </c>
      <c r="EJ175" s="609">
        <f t="shared" si="276"/>
        <v>0.25</v>
      </c>
      <c r="EK175" s="609">
        <f t="shared" si="277"/>
        <v>0.25</v>
      </c>
      <c r="EL175" s="609">
        <f t="shared" si="278"/>
        <v>0.25</v>
      </c>
      <c r="EM175" s="609">
        <f t="shared" si="279"/>
        <v>0.25</v>
      </c>
      <c r="EN175" s="609">
        <f t="shared" si="280"/>
        <v>0.25</v>
      </c>
      <c r="EO175" s="609">
        <f t="shared" si="281"/>
        <v>0.25</v>
      </c>
      <c r="EP175" s="609">
        <f t="shared" si="282"/>
        <v>0.25</v>
      </c>
      <c r="EQ175" s="609">
        <f t="shared" si="283"/>
        <v>0.25</v>
      </c>
      <c r="ER175" s="609">
        <f t="shared" si="284"/>
        <v>0.25</v>
      </c>
      <c r="ES175" s="611">
        <f t="shared" si="269"/>
        <v>0</v>
      </c>
      <c r="ET175" s="609">
        <f t="shared" si="270"/>
        <v>0</v>
      </c>
      <c r="EU175" s="609">
        <f t="shared" si="271"/>
        <v>0</v>
      </c>
      <c r="EW175" s="518" t="s">
        <v>336</v>
      </c>
      <c r="EX175" s="459" t="s">
        <v>567</v>
      </c>
      <c r="EY175" s="456"/>
      <c r="EZ175" s="666">
        <v>0</v>
      </c>
      <c r="FA175" s="598"/>
      <c r="FB175" s="598"/>
      <c r="FC175" s="598"/>
      <c r="FD175" s="598"/>
      <c r="FE175" s="598"/>
      <c r="FF175" s="598"/>
      <c r="FG175" s="598"/>
      <c r="FH175" s="598"/>
      <c r="FI175" s="598"/>
      <c r="FJ175" s="647"/>
      <c r="FK175" s="598"/>
      <c r="FL175" s="598"/>
    </row>
    <row r="176" spans="2:168" ht="14.25" thickBot="1">
      <c r="B176" s="732" t="str">
        <f t="shared" si="274"/>
        <v>2.2</v>
      </c>
      <c r="C176" s="408" t="str">
        <f t="shared" si="285"/>
        <v>温熱環境悪化の改善</v>
      </c>
      <c r="D176" s="731" t="e">
        <f t="shared" si="325"/>
        <v>#REF!</v>
      </c>
      <c r="E176" s="731" t="e">
        <f t="shared" si="325"/>
        <v>#REF!</v>
      </c>
      <c r="G176" s="730" t="e">
        <f t="shared" si="287"/>
        <v>#REF!</v>
      </c>
      <c r="H176" s="730" t="e">
        <f t="shared" si="288"/>
        <v>#REF!</v>
      </c>
      <c r="I176" s="730"/>
      <c r="J176" s="730"/>
      <c r="K176" s="730" t="e">
        <f>IF(#REF!=0,0,1)</f>
        <v>#REF!</v>
      </c>
      <c r="L176" s="730" t="e">
        <f>IF(#REF!=0,0,1)</f>
        <v>#REF!</v>
      </c>
      <c r="M176" s="730">
        <f t="shared" si="289"/>
        <v>0.5</v>
      </c>
      <c r="N176" s="730">
        <f t="shared" si="268"/>
        <v>0</v>
      </c>
      <c r="P176" s="775"/>
      <c r="Q176" s="778">
        <v>2.2000000000000002</v>
      </c>
      <c r="R176" s="755" t="s">
        <v>437</v>
      </c>
      <c r="S176" s="767"/>
      <c r="T176" s="745"/>
      <c r="U176" s="726"/>
      <c r="V176" s="725">
        <f t="shared" si="322"/>
        <v>0</v>
      </c>
      <c r="W176" s="724">
        <f t="shared" si="323"/>
        <v>0</v>
      </c>
      <c r="Y176" s="1">
        <f t="shared" si="306"/>
        <v>0</v>
      </c>
      <c r="Z176" s="1">
        <f t="shared" si="307"/>
        <v>0</v>
      </c>
      <c r="AA176" s="1">
        <f t="shared" si="308"/>
        <v>0</v>
      </c>
      <c r="AB176" s="1">
        <f t="shared" si="309"/>
        <v>0</v>
      </c>
      <c r="AC176" s="1">
        <f t="shared" si="310"/>
        <v>0</v>
      </c>
      <c r="AD176" s="1">
        <f t="shared" si="311"/>
        <v>0</v>
      </c>
      <c r="AE176" s="1">
        <f t="shared" si="312"/>
        <v>0</v>
      </c>
      <c r="AF176" s="1">
        <f t="shared" si="313"/>
        <v>0</v>
      </c>
      <c r="AG176" s="1">
        <f t="shared" si="314"/>
        <v>0</v>
      </c>
      <c r="AH176" s="1">
        <f t="shared" si="315"/>
        <v>0</v>
      </c>
      <c r="AI176" s="1">
        <f t="shared" si="316"/>
        <v>0</v>
      </c>
      <c r="AJ176" s="1">
        <f t="shared" si="317"/>
        <v>0</v>
      </c>
      <c r="AK176" s="1">
        <f t="shared" si="318"/>
        <v>0</v>
      </c>
      <c r="AM176" s="681"/>
      <c r="AN176" s="681"/>
      <c r="AO176" s="681"/>
      <c r="AP176" s="681"/>
      <c r="AQ176" s="681"/>
      <c r="AR176" s="681"/>
      <c r="AS176" s="681"/>
      <c r="AT176" s="681"/>
      <c r="AU176" s="681"/>
      <c r="AV176" s="681"/>
      <c r="AW176" s="681"/>
      <c r="AX176" s="681"/>
      <c r="AY176" s="681"/>
      <c r="BA176" s="737"/>
      <c r="BB176" s="737" t="e">
        <f t="shared" si="324"/>
        <v>#REF!</v>
      </c>
      <c r="BC176" s="737"/>
      <c r="BD176" s="736" t="e">
        <f>BR176*#REF!</f>
        <v>#REF!</v>
      </c>
      <c r="BE176" s="736" t="e">
        <f>BS176*#REF!</f>
        <v>#REF!</v>
      </c>
      <c r="BF176" s="736" t="e">
        <f>BT176*#REF!</f>
        <v>#REF!</v>
      </c>
      <c r="BG176" s="736" t="e">
        <f>BU176*#REF!</f>
        <v>#REF!</v>
      </c>
      <c r="BH176" s="736" t="e">
        <f>BV176*#REF!</f>
        <v>#REF!</v>
      </c>
      <c r="BI176" s="736" t="e">
        <f>BW176*#REF!</f>
        <v>#REF!</v>
      </c>
      <c r="BJ176" s="736" t="e">
        <f>BX176*#REF!</f>
        <v>#REF!</v>
      </c>
      <c r="BK176" s="736" t="e">
        <f>BY176*#REF!</f>
        <v>#REF!</v>
      </c>
      <c r="BL176" s="736" t="e">
        <f>BZ176*#REF!</f>
        <v>#REF!</v>
      </c>
      <c r="BM176" s="736" t="e">
        <f>CA176*#REF!</f>
        <v>#REF!</v>
      </c>
      <c r="BO176" s="735" t="str">
        <f t="shared" si="290"/>
        <v>2.2</v>
      </c>
      <c r="BP176" s="721" t="str">
        <f t="shared" si="291"/>
        <v>LR3 2</v>
      </c>
      <c r="BQ176" s="408" t="str">
        <f t="shared" si="292"/>
        <v>温熱環境悪化の改善</v>
      </c>
      <c r="BR176" s="717">
        <f t="shared" si="293"/>
        <v>0.5</v>
      </c>
      <c r="BS176" s="717">
        <f t="shared" si="294"/>
        <v>0.5</v>
      </c>
      <c r="BT176" s="717">
        <f t="shared" si="295"/>
        <v>0.5</v>
      </c>
      <c r="BU176" s="717">
        <f t="shared" si="296"/>
        <v>0.5</v>
      </c>
      <c r="BV176" s="717">
        <f t="shared" si="297"/>
        <v>0.5</v>
      </c>
      <c r="BW176" s="717">
        <f t="shared" si="298"/>
        <v>0.5</v>
      </c>
      <c r="BX176" s="717">
        <f t="shared" si="299"/>
        <v>0.5</v>
      </c>
      <c r="BY176" s="717">
        <f t="shared" si="300"/>
        <v>0.5</v>
      </c>
      <c r="BZ176" s="717">
        <f t="shared" si="301"/>
        <v>0.5</v>
      </c>
      <c r="CA176" s="717">
        <f t="shared" si="302"/>
        <v>0.5</v>
      </c>
      <c r="CB176" s="718">
        <f t="shared" si="303"/>
        <v>0</v>
      </c>
      <c r="CC176" s="717">
        <f t="shared" si="304"/>
        <v>0</v>
      </c>
      <c r="CD176" s="717">
        <f t="shared" si="305"/>
        <v>0</v>
      </c>
      <c r="CF176" s="518" t="s">
        <v>815</v>
      </c>
      <c r="CG176" s="459" t="s">
        <v>567</v>
      </c>
      <c r="CH176" s="456" t="s">
        <v>437</v>
      </c>
      <c r="CI176" s="503">
        <v>0.5</v>
      </c>
      <c r="CJ176" s="503">
        <v>0.5</v>
      </c>
      <c r="CK176" s="503">
        <v>0.5</v>
      </c>
      <c r="CL176" s="503">
        <v>0.5</v>
      </c>
      <c r="CM176" s="503">
        <v>0.5</v>
      </c>
      <c r="CN176" s="503">
        <v>0.5</v>
      </c>
      <c r="CO176" s="503">
        <v>0.5</v>
      </c>
      <c r="CP176" s="503">
        <v>0.5</v>
      </c>
      <c r="CQ176" s="503">
        <v>0.5</v>
      </c>
      <c r="CR176" s="503">
        <v>0.5</v>
      </c>
      <c r="CS176" s="504"/>
      <c r="CT176" s="503"/>
      <c r="CU176" s="503"/>
      <c r="CW176" s="518" t="s">
        <v>337</v>
      </c>
      <c r="CX176" s="459" t="s">
        <v>567</v>
      </c>
      <c r="CY176" s="456" t="s">
        <v>437</v>
      </c>
      <c r="CZ176" s="503">
        <v>0.5</v>
      </c>
      <c r="DA176" s="503">
        <v>0.5</v>
      </c>
      <c r="DB176" s="503">
        <v>0.5</v>
      </c>
      <c r="DC176" s="503">
        <v>0.5</v>
      </c>
      <c r="DD176" s="503">
        <v>0.5</v>
      </c>
      <c r="DE176" s="503">
        <v>0.5</v>
      </c>
      <c r="DF176" s="503">
        <v>0.5</v>
      </c>
      <c r="DG176" s="503">
        <v>0.5</v>
      </c>
      <c r="DH176" s="503">
        <v>0.5</v>
      </c>
      <c r="DI176" s="503">
        <v>0.5</v>
      </c>
      <c r="DJ176" s="504"/>
      <c r="DK176" s="503"/>
      <c r="DL176" s="503"/>
      <c r="DN176" s="518" t="s">
        <v>337</v>
      </c>
      <c r="DO176" s="459" t="s">
        <v>567</v>
      </c>
      <c r="DP176" s="456" t="s">
        <v>814</v>
      </c>
      <c r="DQ176" s="503">
        <v>0.5</v>
      </c>
      <c r="DR176" s="503">
        <v>0.5</v>
      </c>
      <c r="DS176" s="503">
        <v>0.5</v>
      </c>
      <c r="DT176" s="503">
        <v>0.5</v>
      </c>
      <c r="DU176" s="503">
        <v>0.5</v>
      </c>
      <c r="DV176" s="503">
        <v>0.5</v>
      </c>
      <c r="DW176" s="503">
        <v>0.5</v>
      </c>
      <c r="DX176" s="503">
        <v>0.5</v>
      </c>
      <c r="DY176" s="503">
        <v>0.5</v>
      </c>
      <c r="DZ176" s="503">
        <v>0.5</v>
      </c>
      <c r="EA176" s="504"/>
      <c r="EB176" s="503"/>
      <c r="EC176" s="503"/>
      <c r="ED176" s="558"/>
      <c r="EF176" s="518" t="s">
        <v>337</v>
      </c>
      <c r="EG176" s="459" t="s">
        <v>567</v>
      </c>
      <c r="EH176" s="456" t="s">
        <v>814</v>
      </c>
      <c r="EI176" s="624">
        <f t="shared" si="275"/>
        <v>0.5</v>
      </c>
      <c r="EJ176" s="624">
        <f t="shared" si="276"/>
        <v>0.5</v>
      </c>
      <c r="EK176" s="624">
        <f t="shared" si="277"/>
        <v>0.5</v>
      </c>
      <c r="EL176" s="624">
        <f t="shared" si="278"/>
        <v>0.5</v>
      </c>
      <c r="EM176" s="624">
        <f t="shared" si="279"/>
        <v>0.5</v>
      </c>
      <c r="EN176" s="624">
        <f t="shared" si="280"/>
        <v>0.5</v>
      </c>
      <c r="EO176" s="624">
        <f t="shared" si="281"/>
        <v>0.5</v>
      </c>
      <c r="EP176" s="624">
        <f t="shared" si="282"/>
        <v>0.5</v>
      </c>
      <c r="EQ176" s="624">
        <f t="shared" si="283"/>
        <v>0.5</v>
      </c>
      <c r="ER176" s="624">
        <f t="shared" si="284"/>
        <v>0.5</v>
      </c>
      <c r="ES176" s="625">
        <f t="shared" si="269"/>
        <v>0</v>
      </c>
      <c r="ET176" s="624">
        <f t="shared" si="270"/>
        <v>0</v>
      </c>
      <c r="EU176" s="624">
        <f t="shared" si="271"/>
        <v>0</v>
      </c>
      <c r="EW176" s="518" t="s">
        <v>337</v>
      </c>
      <c r="EX176" s="459" t="s">
        <v>567</v>
      </c>
      <c r="EY176" s="456"/>
      <c r="EZ176" s="666">
        <v>0</v>
      </c>
      <c r="FA176" s="601"/>
      <c r="FB176" s="601"/>
      <c r="FC176" s="601"/>
      <c r="FD176" s="601"/>
      <c r="FE176" s="601"/>
      <c r="FF176" s="601"/>
      <c r="FG176" s="601"/>
      <c r="FH176" s="601"/>
      <c r="FI176" s="601"/>
      <c r="FJ176" s="657"/>
      <c r="FK176" s="601"/>
      <c r="FL176" s="601"/>
    </row>
    <row r="177" spans="2:168" ht="14.25" thickBot="1">
      <c r="B177" s="732" t="str">
        <f t="shared" si="274"/>
        <v>2.3</v>
      </c>
      <c r="C177" s="408" t="str">
        <f t="shared" si="285"/>
        <v>地域インフラへの負荷抑制</v>
      </c>
      <c r="D177" s="731" t="e">
        <f t="shared" si="325"/>
        <v>#REF!</v>
      </c>
      <c r="E177" s="731" t="e">
        <f t="shared" si="325"/>
        <v>#REF!</v>
      </c>
      <c r="G177" s="730" t="e">
        <f t="shared" si="287"/>
        <v>#REF!</v>
      </c>
      <c r="H177" s="730" t="e">
        <f t="shared" si="288"/>
        <v>#REF!</v>
      </c>
      <c r="I177" s="730" t="e">
        <f>SUM(G178:G181)</f>
        <v>#REF!</v>
      </c>
      <c r="J177" s="730" t="e">
        <f>SUM(H178:H181)</f>
        <v>#REF!</v>
      </c>
      <c r="K177" s="730" t="e">
        <f>IF(#REF!=0,0,1)</f>
        <v>#REF!</v>
      </c>
      <c r="L177" s="730" t="e">
        <f>IF(#REF!=0,0,1)</f>
        <v>#REF!</v>
      </c>
      <c r="M177" s="730">
        <f t="shared" si="289"/>
        <v>0.25</v>
      </c>
      <c r="N177" s="730">
        <f t="shared" si="268"/>
        <v>0</v>
      </c>
      <c r="P177" s="775"/>
      <c r="Q177" s="777">
        <v>2.2999999999999998</v>
      </c>
      <c r="R177" s="531" t="s">
        <v>114</v>
      </c>
      <c r="S177" s="754"/>
      <c r="T177" s="753"/>
      <c r="U177" s="726"/>
      <c r="V177" s="752">
        <f t="shared" si="322"/>
        <v>0</v>
      </c>
      <c r="W177" s="751">
        <f t="shared" si="323"/>
        <v>0</v>
      </c>
      <c r="Y177" s="1">
        <f t="shared" si="306"/>
        <v>0</v>
      </c>
      <c r="Z177" s="1">
        <f t="shared" si="307"/>
        <v>0</v>
      </c>
      <c r="AA177" s="1">
        <f t="shared" si="308"/>
        <v>0</v>
      </c>
      <c r="AB177" s="1">
        <f t="shared" si="309"/>
        <v>0</v>
      </c>
      <c r="AC177" s="1">
        <f t="shared" si="310"/>
        <v>0</v>
      </c>
      <c r="AD177" s="1">
        <f t="shared" si="311"/>
        <v>0</v>
      </c>
      <c r="AE177" s="1">
        <f t="shared" si="312"/>
        <v>0</v>
      </c>
      <c r="AF177" s="1">
        <f t="shared" si="313"/>
        <v>0</v>
      </c>
      <c r="AG177" s="1">
        <f t="shared" si="314"/>
        <v>0</v>
      </c>
      <c r="AH177" s="1">
        <f t="shared" si="315"/>
        <v>0</v>
      </c>
      <c r="AI177" s="1">
        <f t="shared" si="316"/>
        <v>0</v>
      </c>
      <c r="AJ177" s="1">
        <f t="shared" si="317"/>
        <v>0</v>
      </c>
      <c r="AK177" s="1">
        <f t="shared" si="318"/>
        <v>0</v>
      </c>
      <c r="AM177" s="750" t="s">
        <v>49</v>
      </c>
      <c r="AN177" s="750" t="s">
        <v>49</v>
      </c>
      <c r="AO177" s="750" t="s">
        <v>49</v>
      </c>
      <c r="AP177" s="750" t="s">
        <v>49</v>
      </c>
      <c r="AQ177" s="750" t="s">
        <v>49</v>
      </c>
      <c r="AR177" s="750" t="s">
        <v>49</v>
      </c>
      <c r="AS177" s="750" t="s">
        <v>49</v>
      </c>
      <c r="AT177" s="750" t="s">
        <v>813</v>
      </c>
      <c r="AU177" s="750" t="s">
        <v>49</v>
      </c>
      <c r="AV177" s="750" t="s">
        <v>49</v>
      </c>
      <c r="AW177" s="750" t="s">
        <v>49</v>
      </c>
      <c r="AX177" s="750" t="s">
        <v>49</v>
      </c>
      <c r="AY177" s="750" t="s">
        <v>49</v>
      </c>
      <c r="BA177" s="737"/>
      <c r="BB177" s="737" t="e">
        <f t="shared" si="324"/>
        <v>#REF!</v>
      </c>
      <c r="BC177" s="737"/>
      <c r="BD177" s="736" t="e">
        <f>BR177*#REF!</f>
        <v>#REF!</v>
      </c>
      <c r="BE177" s="736" t="e">
        <f>BS177*#REF!</f>
        <v>#REF!</v>
      </c>
      <c r="BF177" s="736" t="e">
        <f>BT177*#REF!</f>
        <v>#REF!</v>
      </c>
      <c r="BG177" s="736" t="e">
        <f>BU177*#REF!</f>
        <v>#REF!</v>
      </c>
      <c r="BH177" s="736" t="e">
        <f>BV177*#REF!</f>
        <v>#REF!</v>
      </c>
      <c r="BI177" s="736" t="e">
        <f>BW177*#REF!</f>
        <v>#REF!</v>
      </c>
      <c r="BJ177" s="736" t="e">
        <f>BX177*#REF!</f>
        <v>#REF!</v>
      </c>
      <c r="BK177" s="736" t="e">
        <f>BY177*#REF!</f>
        <v>#REF!</v>
      </c>
      <c r="BL177" s="736" t="e">
        <f>BZ177*#REF!</f>
        <v>#REF!</v>
      </c>
      <c r="BM177" s="736" t="e">
        <f>CA177*#REF!</f>
        <v>#REF!</v>
      </c>
      <c r="BO177" s="735" t="str">
        <f t="shared" si="290"/>
        <v>2.3</v>
      </c>
      <c r="BP177" s="721" t="str">
        <f t="shared" si="291"/>
        <v>LR3 2</v>
      </c>
      <c r="BQ177" s="408" t="str">
        <f t="shared" si="292"/>
        <v>地域インフラへの負荷抑制</v>
      </c>
      <c r="BR177" s="717">
        <f t="shared" si="293"/>
        <v>0.25</v>
      </c>
      <c r="BS177" s="717">
        <f t="shared" si="294"/>
        <v>0.25</v>
      </c>
      <c r="BT177" s="717">
        <f t="shared" si="295"/>
        <v>0.25</v>
      </c>
      <c r="BU177" s="717">
        <f t="shared" si="296"/>
        <v>0.25</v>
      </c>
      <c r="BV177" s="717">
        <f t="shared" si="297"/>
        <v>0.25</v>
      </c>
      <c r="BW177" s="717">
        <f t="shared" si="298"/>
        <v>0.25</v>
      </c>
      <c r="BX177" s="717">
        <f t="shared" si="299"/>
        <v>0.25</v>
      </c>
      <c r="BY177" s="717">
        <f t="shared" si="300"/>
        <v>0.25</v>
      </c>
      <c r="BZ177" s="717">
        <f t="shared" si="301"/>
        <v>0.25</v>
      </c>
      <c r="CA177" s="717">
        <f t="shared" si="302"/>
        <v>0.25</v>
      </c>
      <c r="CB177" s="718">
        <f t="shared" si="303"/>
        <v>0</v>
      </c>
      <c r="CC177" s="717">
        <f t="shared" si="304"/>
        <v>0</v>
      </c>
      <c r="CD177" s="717">
        <f t="shared" si="305"/>
        <v>0</v>
      </c>
      <c r="CF177" s="518" t="s">
        <v>382</v>
      </c>
      <c r="CG177" s="459" t="s">
        <v>567</v>
      </c>
      <c r="CH177" s="456" t="s">
        <v>114</v>
      </c>
      <c r="CI177" s="503">
        <v>0.25</v>
      </c>
      <c r="CJ177" s="503">
        <v>0.25</v>
      </c>
      <c r="CK177" s="503">
        <v>0.25</v>
      </c>
      <c r="CL177" s="503">
        <v>0.25</v>
      </c>
      <c r="CM177" s="503">
        <v>0.25</v>
      </c>
      <c r="CN177" s="503">
        <v>0.25</v>
      </c>
      <c r="CO177" s="503">
        <v>0.25</v>
      </c>
      <c r="CP177" s="503">
        <v>0.25</v>
      </c>
      <c r="CQ177" s="503">
        <v>0.25</v>
      </c>
      <c r="CR177" s="503">
        <v>0.25</v>
      </c>
      <c r="CS177" s="504"/>
      <c r="CT177" s="503"/>
      <c r="CU177" s="503"/>
      <c r="CW177" s="518" t="s">
        <v>382</v>
      </c>
      <c r="CX177" s="459" t="s">
        <v>567</v>
      </c>
      <c r="CY177" s="456" t="s">
        <v>114</v>
      </c>
      <c r="CZ177" s="503">
        <v>0.25</v>
      </c>
      <c r="DA177" s="503">
        <v>0.25</v>
      </c>
      <c r="DB177" s="503">
        <v>0.25</v>
      </c>
      <c r="DC177" s="503">
        <v>0.25</v>
      </c>
      <c r="DD177" s="503">
        <v>0.25</v>
      </c>
      <c r="DE177" s="503">
        <v>0.25</v>
      </c>
      <c r="DF177" s="503">
        <v>0.25</v>
      </c>
      <c r="DG177" s="503">
        <v>0.25</v>
      </c>
      <c r="DH177" s="503">
        <v>0.25</v>
      </c>
      <c r="DI177" s="503">
        <v>0.25</v>
      </c>
      <c r="DJ177" s="504"/>
      <c r="DK177" s="503"/>
      <c r="DL177" s="503"/>
      <c r="DN177" s="518" t="s">
        <v>382</v>
      </c>
      <c r="DO177" s="459" t="s">
        <v>567</v>
      </c>
      <c r="DP177" s="456" t="s">
        <v>114</v>
      </c>
      <c r="DQ177" s="503">
        <v>0.25</v>
      </c>
      <c r="DR177" s="503">
        <v>0.25</v>
      </c>
      <c r="DS177" s="503">
        <v>0.25</v>
      </c>
      <c r="DT177" s="503">
        <v>0.25</v>
      </c>
      <c r="DU177" s="503">
        <v>0.25</v>
      </c>
      <c r="DV177" s="503">
        <v>0.25</v>
      </c>
      <c r="DW177" s="503">
        <v>0.25</v>
      </c>
      <c r="DX177" s="503">
        <v>0.25</v>
      </c>
      <c r="DY177" s="503">
        <v>0.25</v>
      </c>
      <c r="DZ177" s="503">
        <v>0.25</v>
      </c>
      <c r="EA177" s="504"/>
      <c r="EB177" s="503"/>
      <c r="EC177" s="503"/>
      <c r="ED177" s="558"/>
      <c r="EF177" s="518" t="s">
        <v>382</v>
      </c>
      <c r="EG177" s="459" t="s">
        <v>567</v>
      </c>
      <c r="EH177" s="456" t="s">
        <v>114</v>
      </c>
      <c r="EI177" s="624">
        <f t="shared" si="275"/>
        <v>0.25</v>
      </c>
      <c r="EJ177" s="624">
        <f t="shared" si="276"/>
        <v>0.25</v>
      </c>
      <c r="EK177" s="624">
        <f t="shared" si="277"/>
        <v>0.25</v>
      </c>
      <c r="EL177" s="624">
        <f t="shared" si="278"/>
        <v>0.25</v>
      </c>
      <c r="EM177" s="624">
        <f t="shared" si="279"/>
        <v>0.25</v>
      </c>
      <c r="EN177" s="624">
        <f t="shared" si="280"/>
        <v>0.25</v>
      </c>
      <c r="EO177" s="624">
        <f t="shared" si="281"/>
        <v>0.25</v>
      </c>
      <c r="EP177" s="624">
        <f t="shared" si="282"/>
        <v>0.25</v>
      </c>
      <c r="EQ177" s="624">
        <f t="shared" si="283"/>
        <v>0.25</v>
      </c>
      <c r="ER177" s="624">
        <f t="shared" si="284"/>
        <v>0.25</v>
      </c>
      <c r="ES177" s="625">
        <f t="shared" si="269"/>
        <v>0</v>
      </c>
      <c r="ET177" s="624">
        <f t="shared" si="270"/>
        <v>0</v>
      </c>
      <c r="EU177" s="624">
        <f t="shared" si="271"/>
        <v>0</v>
      </c>
      <c r="EW177" s="518" t="s">
        <v>382</v>
      </c>
      <c r="EX177" s="459" t="s">
        <v>567</v>
      </c>
      <c r="EY177" s="456"/>
      <c r="EZ177" s="666">
        <v>0</v>
      </c>
      <c r="FA177" s="601"/>
      <c r="FB177" s="601"/>
      <c r="FC177" s="601"/>
      <c r="FD177" s="601"/>
      <c r="FE177" s="601"/>
      <c r="FF177" s="601"/>
      <c r="FG177" s="601"/>
      <c r="FH177" s="601"/>
      <c r="FI177" s="601"/>
      <c r="FJ177" s="657"/>
      <c r="FK177" s="601"/>
      <c r="FL177" s="601"/>
    </row>
    <row r="178" spans="2:168">
      <c r="B178" s="732" t="str">
        <f t="shared" si="274"/>
        <v>2.3.1</v>
      </c>
      <c r="C178" s="720" t="str">
        <f t="shared" si="285"/>
        <v>雨水排水負荷低減</v>
      </c>
      <c r="D178" s="731" t="e">
        <f t="shared" ref="D178:E181" si="326">IF(I$177=0,0,G178/I$177)</f>
        <v>#REF!</v>
      </c>
      <c r="E178" s="731" t="e">
        <f t="shared" si="326"/>
        <v>#REF!</v>
      </c>
      <c r="G178" s="730" t="e">
        <f t="shared" si="287"/>
        <v>#REF!</v>
      </c>
      <c r="H178" s="730" t="e">
        <f t="shared" si="288"/>
        <v>#REF!</v>
      </c>
      <c r="I178" s="730"/>
      <c r="J178" s="730"/>
      <c r="K178" s="730" t="e">
        <f>IF(#REF!=0,0,1)</f>
        <v>#REF!</v>
      </c>
      <c r="L178" s="730" t="e">
        <f>IF(#REF!=0,0,1)</f>
        <v>#REF!</v>
      </c>
      <c r="M178" s="730">
        <f t="shared" si="289"/>
        <v>0.25</v>
      </c>
      <c r="N178" s="730">
        <f t="shared" si="268"/>
        <v>0</v>
      </c>
      <c r="P178" s="775"/>
      <c r="Q178" s="728"/>
      <c r="R178" s="414">
        <v>1</v>
      </c>
      <c r="S178" s="743" t="s">
        <v>438</v>
      </c>
      <c r="T178" s="745"/>
      <c r="U178" s="726"/>
      <c r="V178" s="734">
        <f t="shared" si="322"/>
        <v>0</v>
      </c>
      <c r="W178" s="733">
        <f t="shared" si="323"/>
        <v>0</v>
      </c>
      <c r="Y178" s="1">
        <f t="shared" si="306"/>
        <v>0</v>
      </c>
      <c r="Z178" s="1">
        <f t="shared" si="307"/>
        <v>0</v>
      </c>
      <c r="AA178" s="1">
        <f t="shared" si="308"/>
        <v>0</v>
      </c>
      <c r="AB178" s="1">
        <f t="shared" si="309"/>
        <v>0</v>
      </c>
      <c r="AC178" s="1">
        <f t="shared" si="310"/>
        <v>0</v>
      </c>
      <c r="AD178" s="1">
        <f t="shared" si="311"/>
        <v>0</v>
      </c>
      <c r="AE178" s="1">
        <f t="shared" si="312"/>
        <v>0</v>
      </c>
      <c r="AF178" s="1">
        <f t="shared" si="313"/>
        <v>0</v>
      </c>
      <c r="AG178" s="1">
        <f t="shared" si="314"/>
        <v>0</v>
      </c>
      <c r="AH178" s="1">
        <f t="shared" si="315"/>
        <v>0</v>
      </c>
      <c r="AI178" s="1">
        <f t="shared" si="316"/>
        <v>0</v>
      </c>
      <c r="AJ178" s="1">
        <f t="shared" si="317"/>
        <v>0</v>
      </c>
      <c r="AK178" s="1">
        <f t="shared" si="318"/>
        <v>0</v>
      </c>
      <c r="AM178" s="679"/>
      <c r="AN178" s="679"/>
      <c r="AO178" s="679"/>
      <c r="AP178" s="679"/>
      <c r="AQ178" s="679"/>
      <c r="AR178" s="679"/>
      <c r="AS178" s="679"/>
      <c r="AT178" s="679"/>
      <c r="AU178" s="679"/>
      <c r="AV178" s="679"/>
      <c r="AW178" s="679"/>
      <c r="AX178" s="679"/>
      <c r="AY178" s="679"/>
      <c r="BA178" s="723"/>
      <c r="BB178" s="723" t="e">
        <f t="shared" si="324"/>
        <v>#REF!</v>
      </c>
      <c r="BC178" s="723"/>
      <c r="BD178" s="722" t="e">
        <f>BR178*#REF!</f>
        <v>#REF!</v>
      </c>
      <c r="BE178" s="722" t="e">
        <f>BS178*#REF!</f>
        <v>#REF!</v>
      </c>
      <c r="BF178" s="722" t="e">
        <f>BT178*#REF!</f>
        <v>#REF!</v>
      </c>
      <c r="BG178" s="722" t="e">
        <f>BU178*#REF!</f>
        <v>#REF!</v>
      </c>
      <c r="BH178" s="722" t="e">
        <f>BV178*#REF!</f>
        <v>#REF!</v>
      </c>
      <c r="BI178" s="722" t="e">
        <f>BW178*#REF!</f>
        <v>#REF!</v>
      </c>
      <c r="BJ178" s="722" t="e">
        <f>BX178*#REF!</f>
        <v>#REF!</v>
      </c>
      <c r="BK178" s="722" t="e">
        <f>BY178*#REF!</f>
        <v>#REF!</v>
      </c>
      <c r="BL178" s="722" t="e">
        <f>BZ178*#REF!</f>
        <v>#REF!</v>
      </c>
      <c r="BM178" s="722" t="e">
        <f>CA178*#REF!</f>
        <v>#REF!</v>
      </c>
      <c r="BO178" s="384" t="str">
        <f t="shared" si="290"/>
        <v>2.3.1</v>
      </c>
      <c r="BP178" s="721" t="str">
        <f t="shared" si="291"/>
        <v>LR3 2.3</v>
      </c>
      <c r="BQ178" s="720" t="str">
        <f t="shared" si="292"/>
        <v>雨水排水負荷低減</v>
      </c>
      <c r="BR178" s="719">
        <f t="shared" si="293"/>
        <v>0.25</v>
      </c>
      <c r="BS178" s="719">
        <f t="shared" si="294"/>
        <v>0.25</v>
      </c>
      <c r="BT178" s="719">
        <f t="shared" si="295"/>
        <v>0.25</v>
      </c>
      <c r="BU178" s="719">
        <f t="shared" si="296"/>
        <v>0.25</v>
      </c>
      <c r="BV178" s="719">
        <f t="shared" si="297"/>
        <v>0.25</v>
      </c>
      <c r="BW178" s="719">
        <f t="shared" si="298"/>
        <v>0.25</v>
      </c>
      <c r="BX178" s="719">
        <f t="shared" si="299"/>
        <v>0.25</v>
      </c>
      <c r="BY178" s="719">
        <f t="shared" si="300"/>
        <v>0.25</v>
      </c>
      <c r="BZ178" s="719">
        <f t="shared" si="301"/>
        <v>0.25</v>
      </c>
      <c r="CA178" s="719">
        <f t="shared" si="302"/>
        <v>0.25</v>
      </c>
      <c r="CB178" s="718">
        <f t="shared" si="303"/>
        <v>0</v>
      </c>
      <c r="CC178" s="717">
        <f t="shared" si="304"/>
        <v>0</v>
      </c>
      <c r="CD178" s="717">
        <f t="shared" si="305"/>
        <v>0</v>
      </c>
      <c r="CF178" s="518" t="s">
        <v>59</v>
      </c>
      <c r="CG178" s="459" t="s">
        <v>568</v>
      </c>
      <c r="CH178" s="519" t="s">
        <v>438</v>
      </c>
      <c r="CI178" s="461">
        <v>0.25</v>
      </c>
      <c r="CJ178" s="461">
        <v>0.25</v>
      </c>
      <c r="CK178" s="461">
        <v>0.25</v>
      </c>
      <c r="CL178" s="461">
        <v>0.25</v>
      </c>
      <c r="CM178" s="461">
        <v>0.25</v>
      </c>
      <c r="CN178" s="461">
        <v>0.25</v>
      </c>
      <c r="CO178" s="461">
        <v>0.25</v>
      </c>
      <c r="CP178" s="461">
        <v>0.25</v>
      </c>
      <c r="CQ178" s="461">
        <v>0.25</v>
      </c>
      <c r="CR178" s="461">
        <v>0.25</v>
      </c>
      <c r="CS178" s="504"/>
      <c r="CT178" s="503"/>
      <c r="CU178" s="503"/>
      <c r="CW178" s="518" t="s">
        <v>59</v>
      </c>
      <c r="CX178" s="459" t="s">
        <v>568</v>
      </c>
      <c r="CY178" s="519" t="s">
        <v>438</v>
      </c>
      <c r="CZ178" s="461">
        <v>0.25</v>
      </c>
      <c r="DA178" s="461">
        <v>0.25</v>
      </c>
      <c r="DB178" s="461">
        <v>0.25</v>
      </c>
      <c r="DC178" s="461">
        <v>0.25</v>
      </c>
      <c r="DD178" s="461">
        <v>0.25</v>
      </c>
      <c r="DE178" s="461">
        <v>0.25</v>
      </c>
      <c r="DF178" s="461">
        <v>0.25</v>
      </c>
      <c r="DG178" s="461">
        <v>0.25</v>
      </c>
      <c r="DH178" s="461">
        <v>0.25</v>
      </c>
      <c r="DI178" s="461">
        <v>0.25</v>
      </c>
      <c r="DJ178" s="504"/>
      <c r="DK178" s="503"/>
      <c r="DL178" s="503"/>
      <c r="DN178" s="518" t="s">
        <v>59</v>
      </c>
      <c r="DO178" s="459" t="s">
        <v>568</v>
      </c>
      <c r="DP178" s="519" t="s">
        <v>438</v>
      </c>
      <c r="DQ178" s="461">
        <v>0.25</v>
      </c>
      <c r="DR178" s="461">
        <v>0.25</v>
      </c>
      <c r="DS178" s="461">
        <v>0.25</v>
      </c>
      <c r="DT178" s="461">
        <v>0.25</v>
      </c>
      <c r="DU178" s="461">
        <v>0.25</v>
      </c>
      <c r="DV178" s="461">
        <v>0.25</v>
      </c>
      <c r="DW178" s="461">
        <v>0.25</v>
      </c>
      <c r="DX178" s="461">
        <v>0.25</v>
      </c>
      <c r="DY178" s="461">
        <v>0.25</v>
      </c>
      <c r="DZ178" s="461">
        <v>0.25</v>
      </c>
      <c r="EA178" s="504"/>
      <c r="EB178" s="503"/>
      <c r="EC178" s="503"/>
      <c r="ED178" s="558"/>
      <c r="EF178" s="518" t="s">
        <v>59</v>
      </c>
      <c r="EG178" s="459" t="s">
        <v>568</v>
      </c>
      <c r="EH178" s="519" t="s">
        <v>438</v>
      </c>
      <c r="EI178" s="609">
        <f t="shared" si="275"/>
        <v>0.25</v>
      </c>
      <c r="EJ178" s="609">
        <f t="shared" si="276"/>
        <v>0.25</v>
      </c>
      <c r="EK178" s="609">
        <f t="shared" si="277"/>
        <v>0.25</v>
      </c>
      <c r="EL178" s="609">
        <f t="shared" si="278"/>
        <v>0.25</v>
      </c>
      <c r="EM178" s="609">
        <f t="shared" si="279"/>
        <v>0.25</v>
      </c>
      <c r="EN178" s="609">
        <f t="shared" si="280"/>
        <v>0.25</v>
      </c>
      <c r="EO178" s="609">
        <f t="shared" si="281"/>
        <v>0.25</v>
      </c>
      <c r="EP178" s="609">
        <f t="shared" si="282"/>
        <v>0.25</v>
      </c>
      <c r="EQ178" s="609">
        <f t="shared" si="283"/>
        <v>0.25</v>
      </c>
      <c r="ER178" s="609">
        <f t="shared" si="284"/>
        <v>0.25</v>
      </c>
      <c r="ES178" s="625">
        <f t="shared" si="269"/>
        <v>0</v>
      </c>
      <c r="ET178" s="624">
        <f t="shared" si="270"/>
        <v>0</v>
      </c>
      <c r="EU178" s="624">
        <f t="shared" si="271"/>
        <v>0</v>
      </c>
      <c r="EW178" s="518" t="s">
        <v>59</v>
      </c>
      <c r="EX178" s="459" t="s">
        <v>568</v>
      </c>
      <c r="EY178" s="519"/>
      <c r="EZ178" s="666">
        <v>0</v>
      </c>
      <c r="FA178" s="598"/>
      <c r="FB178" s="598"/>
      <c r="FC178" s="598"/>
      <c r="FD178" s="598"/>
      <c r="FE178" s="598"/>
      <c r="FF178" s="598"/>
      <c r="FG178" s="598"/>
      <c r="FH178" s="598"/>
      <c r="FI178" s="598"/>
      <c r="FJ178" s="657"/>
      <c r="FK178" s="601"/>
      <c r="FL178" s="601"/>
    </row>
    <row r="179" spans="2:168">
      <c r="B179" s="732" t="str">
        <f t="shared" si="274"/>
        <v>2.3.2</v>
      </c>
      <c r="C179" s="720" t="str">
        <f t="shared" si="285"/>
        <v>汚水処理負荷抑制</v>
      </c>
      <c r="D179" s="731" t="e">
        <f t="shared" si="326"/>
        <v>#REF!</v>
      </c>
      <c r="E179" s="731" t="e">
        <f t="shared" si="326"/>
        <v>#REF!</v>
      </c>
      <c r="G179" s="730" t="e">
        <f t="shared" si="287"/>
        <v>#REF!</v>
      </c>
      <c r="H179" s="730" t="e">
        <f t="shared" si="288"/>
        <v>#REF!</v>
      </c>
      <c r="I179" s="730"/>
      <c r="J179" s="730"/>
      <c r="K179" s="730" t="e">
        <f>IF(#REF!=0,0,1)</f>
        <v>#REF!</v>
      </c>
      <c r="L179" s="730" t="e">
        <f>IF(#REF!=0,0,1)</f>
        <v>#REF!</v>
      </c>
      <c r="M179" s="730">
        <f t="shared" si="289"/>
        <v>0.25</v>
      </c>
      <c r="N179" s="730">
        <f t="shared" si="268"/>
        <v>0</v>
      </c>
      <c r="P179" s="775"/>
      <c r="Q179" s="728"/>
      <c r="R179" s="727">
        <v>2</v>
      </c>
      <c r="S179" s="743" t="s">
        <v>439</v>
      </c>
      <c r="T179" s="745"/>
      <c r="U179" s="726"/>
      <c r="V179" s="747">
        <f t="shared" si="322"/>
        <v>0</v>
      </c>
      <c r="W179" s="746">
        <f t="shared" si="323"/>
        <v>0</v>
      </c>
      <c r="Y179" s="1">
        <f t="shared" si="306"/>
        <v>0</v>
      </c>
      <c r="Z179" s="1">
        <f t="shared" si="307"/>
        <v>0</v>
      </c>
      <c r="AA179" s="1">
        <f t="shared" si="308"/>
        <v>0</v>
      </c>
      <c r="AB179" s="1">
        <f t="shared" si="309"/>
        <v>0</v>
      </c>
      <c r="AC179" s="1">
        <f t="shared" si="310"/>
        <v>0</v>
      </c>
      <c r="AD179" s="1">
        <f t="shared" si="311"/>
        <v>0</v>
      </c>
      <c r="AE179" s="1">
        <f t="shared" si="312"/>
        <v>0</v>
      </c>
      <c r="AF179" s="1">
        <f t="shared" si="313"/>
        <v>0</v>
      </c>
      <c r="AG179" s="1">
        <f t="shared" si="314"/>
        <v>0</v>
      </c>
      <c r="AH179" s="1">
        <f t="shared" si="315"/>
        <v>0</v>
      </c>
      <c r="AI179" s="1">
        <f t="shared" si="316"/>
        <v>0</v>
      </c>
      <c r="AJ179" s="1">
        <f t="shared" si="317"/>
        <v>0</v>
      </c>
      <c r="AK179" s="1">
        <f t="shared" si="318"/>
        <v>0</v>
      </c>
      <c r="AM179" s="680"/>
      <c r="AN179" s="680"/>
      <c r="AO179" s="680"/>
      <c r="AP179" s="680"/>
      <c r="AQ179" s="680"/>
      <c r="AR179" s="680"/>
      <c r="AS179" s="680"/>
      <c r="AT179" s="680"/>
      <c r="AU179" s="680"/>
      <c r="AV179" s="680"/>
      <c r="AW179" s="680"/>
      <c r="AX179" s="680"/>
      <c r="AY179" s="680"/>
      <c r="BA179" s="723"/>
      <c r="BB179" s="723" t="e">
        <f t="shared" si="324"/>
        <v>#REF!</v>
      </c>
      <c r="BC179" s="723"/>
      <c r="BD179" s="722" t="e">
        <f>BR179*#REF!</f>
        <v>#REF!</v>
      </c>
      <c r="BE179" s="722" t="e">
        <f>BS179*#REF!</f>
        <v>#REF!</v>
      </c>
      <c r="BF179" s="722" t="e">
        <f>BT179*#REF!</f>
        <v>#REF!</v>
      </c>
      <c r="BG179" s="722" t="e">
        <f>BU179*#REF!</f>
        <v>#REF!</v>
      </c>
      <c r="BH179" s="722" t="e">
        <f>BV179*#REF!</f>
        <v>#REF!</v>
      </c>
      <c r="BI179" s="722" t="e">
        <f>BW179*#REF!</f>
        <v>#REF!</v>
      </c>
      <c r="BJ179" s="722" t="e">
        <f>BX179*#REF!</f>
        <v>#REF!</v>
      </c>
      <c r="BK179" s="722" t="e">
        <f>BY179*#REF!</f>
        <v>#REF!</v>
      </c>
      <c r="BL179" s="722" t="e">
        <f>BZ179*#REF!</f>
        <v>#REF!</v>
      </c>
      <c r="BM179" s="722" t="e">
        <f>CA179*#REF!</f>
        <v>#REF!</v>
      </c>
      <c r="BO179" s="384" t="str">
        <f t="shared" si="290"/>
        <v>2.3.2</v>
      </c>
      <c r="BP179" s="721" t="str">
        <f t="shared" si="291"/>
        <v>LR3 2.3</v>
      </c>
      <c r="BQ179" s="720" t="str">
        <f t="shared" si="292"/>
        <v>汚水処理負荷抑制</v>
      </c>
      <c r="BR179" s="719">
        <f t="shared" si="293"/>
        <v>0.25</v>
      </c>
      <c r="BS179" s="719">
        <f t="shared" si="294"/>
        <v>0.25</v>
      </c>
      <c r="BT179" s="719">
        <f t="shared" si="295"/>
        <v>0.25</v>
      </c>
      <c r="BU179" s="719">
        <f t="shared" si="296"/>
        <v>0.25</v>
      </c>
      <c r="BV179" s="719">
        <f t="shared" si="297"/>
        <v>0.25</v>
      </c>
      <c r="BW179" s="719">
        <f t="shared" si="298"/>
        <v>0.25</v>
      </c>
      <c r="BX179" s="719">
        <f t="shared" si="299"/>
        <v>0.25</v>
      </c>
      <c r="BY179" s="719">
        <f t="shared" si="300"/>
        <v>0.25</v>
      </c>
      <c r="BZ179" s="719">
        <f t="shared" si="301"/>
        <v>0.25</v>
      </c>
      <c r="CA179" s="719">
        <f t="shared" si="302"/>
        <v>0.25</v>
      </c>
      <c r="CB179" s="718">
        <f t="shared" si="303"/>
        <v>0</v>
      </c>
      <c r="CC179" s="717">
        <f t="shared" si="304"/>
        <v>0</v>
      </c>
      <c r="CD179" s="717">
        <f t="shared" si="305"/>
        <v>0</v>
      </c>
      <c r="CF179" s="518" t="s">
        <v>61</v>
      </c>
      <c r="CG179" s="459" t="s">
        <v>568</v>
      </c>
      <c r="CH179" s="519" t="s">
        <v>439</v>
      </c>
      <c r="CI179" s="461">
        <v>0.25</v>
      </c>
      <c r="CJ179" s="461">
        <v>0.25</v>
      </c>
      <c r="CK179" s="461">
        <v>0.25</v>
      </c>
      <c r="CL179" s="461">
        <v>0.25</v>
      </c>
      <c r="CM179" s="461">
        <v>0.25</v>
      </c>
      <c r="CN179" s="461">
        <v>0.25</v>
      </c>
      <c r="CO179" s="461">
        <v>0.25</v>
      </c>
      <c r="CP179" s="461">
        <v>0.25</v>
      </c>
      <c r="CQ179" s="461">
        <v>0.25</v>
      </c>
      <c r="CR179" s="461">
        <v>0.25</v>
      </c>
      <c r="CS179" s="504"/>
      <c r="CT179" s="503"/>
      <c r="CU179" s="503"/>
      <c r="CW179" s="518" t="s">
        <v>61</v>
      </c>
      <c r="CX179" s="459" t="s">
        <v>568</v>
      </c>
      <c r="CY179" s="519" t="s">
        <v>439</v>
      </c>
      <c r="CZ179" s="461">
        <v>0.25</v>
      </c>
      <c r="DA179" s="461">
        <v>0.25</v>
      </c>
      <c r="DB179" s="461">
        <v>0.25</v>
      </c>
      <c r="DC179" s="461">
        <v>0.25</v>
      </c>
      <c r="DD179" s="461">
        <v>0.25</v>
      </c>
      <c r="DE179" s="461">
        <v>0.25</v>
      </c>
      <c r="DF179" s="461">
        <v>0.25</v>
      </c>
      <c r="DG179" s="461">
        <v>0.25</v>
      </c>
      <c r="DH179" s="461">
        <v>0.25</v>
      </c>
      <c r="DI179" s="461">
        <v>0.25</v>
      </c>
      <c r="DJ179" s="504"/>
      <c r="DK179" s="503"/>
      <c r="DL179" s="503"/>
      <c r="DN179" s="518" t="s">
        <v>61</v>
      </c>
      <c r="DO179" s="459" t="s">
        <v>568</v>
      </c>
      <c r="DP179" s="519" t="s">
        <v>439</v>
      </c>
      <c r="DQ179" s="461">
        <v>0.25</v>
      </c>
      <c r="DR179" s="461">
        <v>0.25</v>
      </c>
      <c r="DS179" s="461">
        <v>0.25</v>
      </c>
      <c r="DT179" s="461">
        <v>0.25</v>
      </c>
      <c r="DU179" s="461">
        <v>0.25</v>
      </c>
      <c r="DV179" s="461">
        <v>0.25</v>
      </c>
      <c r="DW179" s="461">
        <v>0.25</v>
      </c>
      <c r="DX179" s="461">
        <v>0.25</v>
      </c>
      <c r="DY179" s="461">
        <v>0.25</v>
      </c>
      <c r="DZ179" s="461">
        <v>0.25</v>
      </c>
      <c r="EA179" s="504"/>
      <c r="EB179" s="503"/>
      <c r="EC179" s="503"/>
      <c r="ED179" s="558"/>
      <c r="EF179" s="518" t="s">
        <v>61</v>
      </c>
      <c r="EG179" s="459" t="s">
        <v>568</v>
      </c>
      <c r="EH179" s="519" t="s">
        <v>439</v>
      </c>
      <c r="EI179" s="609">
        <f t="shared" si="275"/>
        <v>0.25</v>
      </c>
      <c r="EJ179" s="609">
        <f t="shared" si="276"/>
        <v>0.25</v>
      </c>
      <c r="EK179" s="609">
        <f t="shared" si="277"/>
        <v>0.25</v>
      </c>
      <c r="EL179" s="609">
        <f t="shared" si="278"/>
        <v>0.25</v>
      </c>
      <c r="EM179" s="609">
        <f t="shared" si="279"/>
        <v>0.25</v>
      </c>
      <c r="EN179" s="609">
        <f t="shared" si="280"/>
        <v>0.25</v>
      </c>
      <c r="EO179" s="609">
        <f t="shared" si="281"/>
        <v>0.25</v>
      </c>
      <c r="EP179" s="609">
        <f t="shared" si="282"/>
        <v>0.25</v>
      </c>
      <c r="EQ179" s="609">
        <f t="shared" si="283"/>
        <v>0.25</v>
      </c>
      <c r="ER179" s="609">
        <f t="shared" si="284"/>
        <v>0.25</v>
      </c>
      <c r="ES179" s="625">
        <f t="shared" si="269"/>
        <v>0</v>
      </c>
      <c r="ET179" s="624">
        <f t="shared" si="270"/>
        <v>0</v>
      </c>
      <c r="EU179" s="624">
        <f t="shared" si="271"/>
        <v>0</v>
      </c>
      <c r="EW179" s="518" t="s">
        <v>61</v>
      </c>
      <c r="EX179" s="459" t="s">
        <v>568</v>
      </c>
      <c r="EY179" s="519"/>
      <c r="EZ179" s="666">
        <v>0</v>
      </c>
      <c r="FA179" s="598"/>
      <c r="FB179" s="598"/>
      <c r="FC179" s="598"/>
      <c r="FD179" s="598"/>
      <c r="FE179" s="598"/>
      <c r="FF179" s="598"/>
      <c r="FG179" s="598"/>
      <c r="FH179" s="598"/>
      <c r="FI179" s="598"/>
      <c r="FJ179" s="657"/>
      <c r="FK179" s="601"/>
      <c r="FL179" s="601"/>
    </row>
    <row r="180" spans="2:168">
      <c r="B180" s="732" t="str">
        <f t="shared" si="274"/>
        <v>2.3.3</v>
      </c>
      <c r="C180" s="720" t="str">
        <f t="shared" si="285"/>
        <v>交通負荷抑制</v>
      </c>
      <c r="D180" s="731" t="e">
        <f t="shared" si="326"/>
        <v>#REF!</v>
      </c>
      <c r="E180" s="731" t="e">
        <f t="shared" si="326"/>
        <v>#REF!</v>
      </c>
      <c r="G180" s="730" t="e">
        <f t="shared" si="287"/>
        <v>#REF!</v>
      </c>
      <c r="H180" s="730" t="e">
        <f t="shared" si="288"/>
        <v>#REF!</v>
      </c>
      <c r="I180" s="730"/>
      <c r="J180" s="730"/>
      <c r="K180" s="730" t="e">
        <f>IF(#REF!=0,0,1)</f>
        <v>#REF!</v>
      </c>
      <c r="L180" s="730" t="e">
        <f>IF(#REF!=0,0,1)</f>
        <v>#REF!</v>
      </c>
      <c r="M180" s="730">
        <f t="shared" si="289"/>
        <v>0.25</v>
      </c>
      <c r="N180" s="730">
        <f t="shared" si="268"/>
        <v>0</v>
      </c>
      <c r="P180" s="775"/>
      <c r="Q180" s="728"/>
      <c r="R180" s="414">
        <v>3</v>
      </c>
      <c r="S180" s="743" t="s">
        <v>115</v>
      </c>
      <c r="T180" s="745"/>
      <c r="U180" s="726"/>
      <c r="V180" s="747">
        <f t="shared" si="322"/>
        <v>0</v>
      </c>
      <c r="W180" s="746">
        <f t="shared" si="323"/>
        <v>0</v>
      </c>
      <c r="Y180" s="1">
        <f t="shared" si="306"/>
        <v>0</v>
      </c>
      <c r="Z180" s="1">
        <f t="shared" si="307"/>
        <v>0</v>
      </c>
      <c r="AA180" s="1">
        <f t="shared" si="308"/>
        <v>0</v>
      </c>
      <c r="AB180" s="1">
        <f t="shared" si="309"/>
        <v>0</v>
      </c>
      <c r="AC180" s="1">
        <f t="shared" si="310"/>
        <v>0</v>
      </c>
      <c r="AD180" s="1">
        <f t="shared" si="311"/>
        <v>0</v>
      </c>
      <c r="AE180" s="1">
        <f t="shared" si="312"/>
        <v>0</v>
      </c>
      <c r="AF180" s="1">
        <f t="shared" si="313"/>
        <v>0</v>
      </c>
      <c r="AG180" s="1">
        <f t="shared" si="314"/>
        <v>0</v>
      </c>
      <c r="AH180" s="1">
        <f t="shared" si="315"/>
        <v>0</v>
      </c>
      <c r="AI180" s="1">
        <f t="shared" si="316"/>
        <v>0</v>
      </c>
      <c r="AJ180" s="1">
        <f t="shared" si="317"/>
        <v>0</v>
      </c>
      <c r="AK180" s="1">
        <f t="shared" si="318"/>
        <v>0</v>
      </c>
      <c r="AM180" s="680"/>
      <c r="AN180" s="680"/>
      <c r="AO180" s="680"/>
      <c r="AP180" s="680"/>
      <c r="AQ180" s="680"/>
      <c r="AR180" s="680"/>
      <c r="AS180" s="680"/>
      <c r="AT180" s="680"/>
      <c r="AU180" s="680"/>
      <c r="AV180" s="680"/>
      <c r="AW180" s="680"/>
      <c r="AX180" s="680"/>
      <c r="AY180" s="680"/>
      <c r="BA180" s="723"/>
      <c r="BB180" s="723" t="e">
        <f t="shared" si="324"/>
        <v>#REF!</v>
      </c>
      <c r="BC180" s="723"/>
      <c r="BD180" s="722" t="e">
        <f>BR180*#REF!</f>
        <v>#REF!</v>
      </c>
      <c r="BE180" s="722" t="e">
        <f>BS180*#REF!</f>
        <v>#REF!</v>
      </c>
      <c r="BF180" s="722" t="e">
        <f>BT180*#REF!</f>
        <v>#REF!</v>
      </c>
      <c r="BG180" s="722" t="e">
        <f>BU180*#REF!</f>
        <v>#REF!</v>
      </c>
      <c r="BH180" s="722" t="e">
        <f>BV180*#REF!</f>
        <v>#REF!</v>
      </c>
      <c r="BI180" s="722" t="e">
        <f>BW180*#REF!</f>
        <v>#REF!</v>
      </c>
      <c r="BJ180" s="722" t="e">
        <f>BX180*#REF!</f>
        <v>#REF!</v>
      </c>
      <c r="BK180" s="722" t="e">
        <f>BY180*#REF!</f>
        <v>#REF!</v>
      </c>
      <c r="BL180" s="722" t="e">
        <f>BZ180*#REF!</f>
        <v>#REF!</v>
      </c>
      <c r="BM180" s="722" t="e">
        <f>CA180*#REF!</f>
        <v>#REF!</v>
      </c>
      <c r="BO180" s="384" t="str">
        <f t="shared" si="290"/>
        <v>2.3.3</v>
      </c>
      <c r="BP180" s="721" t="str">
        <f t="shared" si="291"/>
        <v>LR3 2.3</v>
      </c>
      <c r="BQ180" s="720" t="str">
        <f t="shared" si="292"/>
        <v>交通負荷抑制</v>
      </c>
      <c r="BR180" s="719">
        <f t="shared" si="293"/>
        <v>0.25</v>
      </c>
      <c r="BS180" s="719">
        <f t="shared" si="294"/>
        <v>0.25</v>
      </c>
      <c r="BT180" s="719">
        <f t="shared" si="295"/>
        <v>0.25</v>
      </c>
      <c r="BU180" s="719">
        <f t="shared" si="296"/>
        <v>0.25</v>
      </c>
      <c r="BV180" s="719">
        <f t="shared" si="297"/>
        <v>0.25</v>
      </c>
      <c r="BW180" s="719">
        <f t="shared" si="298"/>
        <v>0.25</v>
      </c>
      <c r="BX180" s="719">
        <f t="shared" si="299"/>
        <v>0.25</v>
      </c>
      <c r="BY180" s="719">
        <f t="shared" si="300"/>
        <v>0.25</v>
      </c>
      <c r="BZ180" s="719">
        <f t="shared" si="301"/>
        <v>0.25</v>
      </c>
      <c r="CA180" s="719">
        <f t="shared" si="302"/>
        <v>0.25</v>
      </c>
      <c r="CB180" s="718">
        <f t="shared" si="303"/>
        <v>0</v>
      </c>
      <c r="CC180" s="717">
        <f t="shared" si="304"/>
        <v>0</v>
      </c>
      <c r="CD180" s="717">
        <f t="shared" si="305"/>
        <v>0</v>
      </c>
      <c r="CF180" s="518" t="s">
        <v>317</v>
      </c>
      <c r="CG180" s="459" t="s">
        <v>568</v>
      </c>
      <c r="CH180" s="519" t="s">
        <v>115</v>
      </c>
      <c r="CI180" s="461">
        <v>0.25</v>
      </c>
      <c r="CJ180" s="461">
        <v>0.25</v>
      </c>
      <c r="CK180" s="461">
        <v>0.25</v>
      </c>
      <c r="CL180" s="461">
        <v>0.25</v>
      </c>
      <c r="CM180" s="461">
        <v>0.25</v>
      </c>
      <c r="CN180" s="461">
        <v>0.25</v>
      </c>
      <c r="CO180" s="461">
        <v>0.25</v>
      </c>
      <c r="CP180" s="461">
        <v>0.25</v>
      </c>
      <c r="CQ180" s="461">
        <v>0.25</v>
      </c>
      <c r="CR180" s="461">
        <v>0.25</v>
      </c>
      <c r="CS180" s="504"/>
      <c r="CT180" s="503"/>
      <c r="CU180" s="503"/>
      <c r="CW180" s="518" t="s">
        <v>317</v>
      </c>
      <c r="CX180" s="459" t="s">
        <v>568</v>
      </c>
      <c r="CY180" s="519" t="s">
        <v>115</v>
      </c>
      <c r="CZ180" s="461">
        <v>0.25</v>
      </c>
      <c r="DA180" s="461">
        <v>0.25</v>
      </c>
      <c r="DB180" s="461">
        <v>0.25</v>
      </c>
      <c r="DC180" s="461">
        <v>0.25</v>
      </c>
      <c r="DD180" s="461">
        <v>0.25</v>
      </c>
      <c r="DE180" s="461">
        <v>0.25</v>
      </c>
      <c r="DF180" s="461">
        <v>0.25</v>
      </c>
      <c r="DG180" s="461">
        <v>0.25</v>
      </c>
      <c r="DH180" s="461">
        <v>0.25</v>
      </c>
      <c r="DI180" s="461">
        <v>0.25</v>
      </c>
      <c r="DJ180" s="504"/>
      <c r="DK180" s="503"/>
      <c r="DL180" s="503"/>
      <c r="DN180" s="518" t="s">
        <v>317</v>
      </c>
      <c r="DO180" s="459" t="s">
        <v>568</v>
      </c>
      <c r="DP180" s="519" t="s">
        <v>115</v>
      </c>
      <c r="DQ180" s="461">
        <v>0.25</v>
      </c>
      <c r="DR180" s="461">
        <v>0.25</v>
      </c>
      <c r="DS180" s="461">
        <v>0.25</v>
      </c>
      <c r="DT180" s="461">
        <v>0.25</v>
      </c>
      <c r="DU180" s="461">
        <v>0.25</v>
      </c>
      <c r="DV180" s="461">
        <v>0.25</v>
      </c>
      <c r="DW180" s="461">
        <v>0.25</v>
      </c>
      <c r="DX180" s="461">
        <v>0.25</v>
      </c>
      <c r="DY180" s="461">
        <v>0.25</v>
      </c>
      <c r="DZ180" s="461">
        <v>0.25</v>
      </c>
      <c r="EA180" s="504"/>
      <c r="EB180" s="503"/>
      <c r="EC180" s="503"/>
      <c r="ED180" s="558"/>
      <c r="EF180" s="518" t="s">
        <v>317</v>
      </c>
      <c r="EG180" s="459" t="s">
        <v>568</v>
      </c>
      <c r="EH180" s="519" t="s">
        <v>115</v>
      </c>
      <c r="EI180" s="609">
        <f t="shared" si="275"/>
        <v>0.25</v>
      </c>
      <c r="EJ180" s="609">
        <f t="shared" si="276"/>
        <v>0.25</v>
      </c>
      <c r="EK180" s="609">
        <f t="shared" si="277"/>
        <v>0.25</v>
      </c>
      <c r="EL180" s="609">
        <f t="shared" si="278"/>
        <v>0.25</v>
      </c>
      <c r="EM180" s="609">
        <f t="shared" si="279"/>
        <v>0.25</v>
      </c>
      <c r="EN180" s="609">
        <f t="shared" si="280"/>
        <v>0.25</v>
      </c>
      <c r="EO180" s="609">
        <f t="shared" si="281"/>
        <v>0.25</v>
      </c>
      <c r="EP180" s="609">
        <f t="shared" si="282"/>
        <v>0.25</v>
      </c>
      <c r="EQ180" s="609">
        <f t="shared" si="283"/>
        <v>0.25</v>
      </c>
      <c r="ER180" s="609">
        <f t="shared" si="284"/>
        <v>0.25</v>
      </c>
      <c r="ES180" s="625">
        <f t="shared" si="269"/>
        <v>0</v>
      </c>
      <c r="ET180" s="624">
        <f t="shared" si="270"/>
        <v>0</v>
      </c>
      <c r="EU180" s="624">
        <f t="shared" si="271"/>
        <v>0</v>
      </c>
      <c r="EW180" s="518" t="s">
        <v>317</v>
      </c>
      <c r="EX180" s="459" t="s">
        <v>568</v>
      </c>
      <c r="EY180" s="519"/>
      <c r="EZ180" s="666">
        <v>0</v>
      </c>
      <c r="FA180" s="598"/>
      <c r="FB180" s="598"/>
      <c r="FC180" s="598"/>
      <c r="FD180" s="598"/>
      <c r="FE180" s="598"/>
      <c r="FF180" s="598"/>
      <c r="FG180" s="598"/>
      <c r="FH180" s="598"/>
      <c r="FI180" s="598"/>
      <c r="FJ180" s="657"/>
      <c r="FK180" s="601"/>
      <c r="FL180" s="601"/>
    </row>
    <row r="181" spans="2:168" ht="14.25" thickBot="1">
      <c r="B181" s="732" t="str">
        <f t="shared" si="274"/>
        <v>2.3.4</v>
      </c>
      <c r="C181" s="771" t="str">
        <f t="shared" si="285"/>
        <v>廃棄物処理負荷抑制</v>
      </c>
      <c r="D181" s="731" t="e">
        <f t="shared" si="326"/>
        <v>#REF!</v>
      </c>
      <c r="E181" s="731" t="e">
        <f t="shared" si="326"/>
        <v>#REF!</v>
      </c>
      <c r="G181" s="730" t="e">
        <f t="shared" si="287"/>
        <v>#REF!</v>
      </c>
      <c r="H181" s="730" t="e">
        <f t="shared" si="288"/>
        <v>#REF!</v>
      </c>
      <c r="I181" s="730"/>
      <c r="J181" s="730"/>
      <c r="K181" s="730" t="e">
        <f>IF(#REF!=0,0,1)</f>
        <v>#REF!</v>
      </c>
      <c r="L181" s="730" t="e">
        <f>IF(#REF!=0,0,1)</f>
        <v>#REF!</v>
      </c>
      <c r="M181" s="730">
        <f t="shared" si="289"/>
        <v>0.25</v>
      </c>
      <c r="N181" s="730">
        <f t="shared" si="268"/>
        <v>0</v>
      </c>
      <c r="P181" s="775"/>
      <c r="Q181" s="776"/>
      <c r="R181" s="414">
        <v>4</v>
      </c>
      <c r="S181" s="743" t="s">
        <v>225</v>
      </c>
      <c r="T181" s="745"/>
      <c r="U181" s="726"/>
      <c r="V181" s="725">
        <f t="shared" si="322"/>
        <v>0</v>
      </c>
      <c r="W181" s="724">
        <f t="shared" si="323"/>
        <v>0</v>
      </c>
      <c r="Y181" s="1">
        <f t="shared" si="306"/>
        <v>0</v>
      </c>
      <c r="Z181" s="1">
        <f t="shared" si="307"/>
        <v>0</v>
      </c>
      <c r="AA181" s="1">
        <f t="shared" si="308"/>
        <v>0</v>
      </c>
      <c r="AB181" s="1">
        <f t="shared" si="309"/>
        <v>0</v>
      </c>
      <c r="AC181" s="1">
        <f t="shared" si="310"/>
        <v>0</v>
      </c>
      <c r="AD181" s="1">
        <f t="shared" si="311"/>
        <v>0</v>
      </c>
      <c r="AE181" s="1">
        <f t="shared" si="312"/>
        <v>0</v>
      </c>
      <c r="AF181" s="1">
        <f t="shared" si="313"/>
        <v>0</v>
      </c>
      <c r="AG181" s="1">
        <f t="shared" si="314"/>
        <v>0</v>
      </c>
      <c r="AH181" s="1">
        <f t="shared" si="315"/>
        <v>0</v>
      </c>
      <c r="AI181" s="1">
        <f t="shared" si="316"/>
        <v>0</v>
      </c>
      <c r="AJ181" s="1">
        <f t="shared" si="317"/>
        <v>0</v>
      </c>
      <c r="AK181" s="1">
        <f t="shared" si="318"/>
        <v>0</v>
      </c>
      <c r="AM181" s="683"/>
      <c r="AN181" s="683"/>
      <c r="AO181" s="683"/>
      <c r="AP181" s="683"/>
      <c r="AQ181" s="683"/>
      <c r="AR181" s="683"/>
      <c r="AS181" s="683"/>
      <c r="AT181" s="683"/>
      <c r="AU181" s="683"/>
      <c r="AV181" s="683"/>
      <c r="AW181" s="683"/>
      <c r="AX181" s="683"/>
      <c r="AY181" s="683"/>
      <c r="BA181" s="723"/>
      <c r="BB181" s="723" t="e">
        <f t="shared" si="324"/>
        <v>#REF!</v>
      </c>
      <c r="BC181" s="723"/>
      <c r="BD181" s="722" t="e">
        <f>BR181*#REF!</f>
        <v>#REF!</v>
      </c>
      <c r="BE181" s="722" t="e">
        <f>BS181*#REF!</f>
        <v>#REF!</v>
      </c>
      <c r="BF181" s="722" t="e">
        <f>BT181*#REF!</f>
        <v>#REF!</v>
      </c>
      <c r="BG181" s="722" t="e">
        <f>BU181*#REF!</f>
        <v>#REF!</v>
      </c>
      <c r="BH181" s="722" t="e">
        <f>BV181*#REF!</f>
        <v>#REF!</v>
      </c>
      <c r="BI181" s="722" t="e">
        <f>BW181*#REF!</f>
        <v>#REF!</v>
      </c>
      <c r="BJ181" s="722" t="e">
        <f>BX181*#REF!</f>
        <v>#REF!</v>
      </c>
      <c r="BK181" s="722" t="e">
        <f>BY181*#REF!</f>
        <v>#REF!</v>
      </c>
      <c r="BL181" s="722" t="e">
        <f>BZ181*#REF!</f>
        <v>#REF!</v>
      </c>
      <c r="BM181" s="722" t="e">
        <f>CA181*#REF!</f>
        <v>#REF!</v>
      </c>
      <c r="BO181" s="384" t="str">
        <f t="shared" si="290"/>
        <v>2.3.4</v>
      </c>
      <c r="BP181" s="721" t="str">
        <f t="shared" si="291"/>
        <v>LR3 2.3</v>
      </c>
      <c r="BQ181" s="771" t="str">
        <f t="shared" si="292"/>
        <v>廃棄物処理負荷抑制</v>
      </c>
      <c r="BR181" s="719">
        <f t="shared" si="293"/>
        <v>0.25</v>
      </c>
      <c r="BS181" s="719">
        <f t="shared" si="294"/>
        <v>0.25</v>
      </c>
      <c r="BT181" s="719">
        <f t="shared" si="295"/>
        <v>0.25</v>
      </c>
      <c r="BU181" s="719">
        <f t="shared" si="296"/>
        <v>0.25</v>
      </c>
      <c r="BV181" s="719">
        <f t="shared" si="297"/>
        <v>0.25</v>
      </c>
      <c r="BW181" s="719">
        <f t="shared" si="298"/>
        <v>0.25</v>
      </c>
      <c r="BX181" s="719">
        <f t="shared" si="299"/>
        <v>0.25</v>
      </c>
      <c r="BY181" s="719">
        <f t="shared" si="300"/>
        <v>0.25</v>
      </c>
      <c r="BZ181" s="719">
        <f t="shared" si="301"/>
        <v>0.25</v>
      </c>
      <c r="CA181" s="719">
        <f t="shared" si="302"/>
        <v>0.25</v>
      </c>
      <c r="CB181" s="718">
        <f t="shared" si="303"/>
        <v>0</v>
      </c>
      <c r="CC181" s="717">
        <f t="shared" si="304"/>
        <v>0</v>
      </c>
      <c r="CD181" s="717">
        <f t="shared" si="305"/>
        <v>0</v>
      </c>
      <c r="CF181" s="518" t="s">
        <v>388</v>
      </c>
      <c r="CG181" s="459" t="s">
        <v>568</v>
      </c>
      <c r="CH181" s="378" t="s">
        <v>225</v>
      </c>
      <c r="CI181" s="461">
        <v>0.25</v>
      </c>
      <c r="CJ181" s="461">
        <v>0.25</v>
      </c>
      <c r="CK181" s="461">
        <v>0.25</v>
      </c>
      <c r="CL181" s="461">
        <v>0.25</v>
      </c>
      <c r="CM181" s="461">
        <v>0.25</v>
      </c>
      <c r="CN181" s="461">
        <v>0.25</v>
      </c>
      <c r="CO181" s="461">
        <v>0.25</v>
      </c>
      <c r="CP181" s="461">
        <v>0.25</v>
      </c>
      <c r="CQ181" s="461">
        <v>0.25</v>
      </c>
      <c r="CR181" s="461">
        <v>0.25</v>
      </c>
      <c r="CS181" s="504"/>
      <c r="CT181" s="503"/>
      <c r="CU181" s="503"/>
      <c r="CW181" s="518" t="s">
        <v>388</v>
      </c>
      <c r="CX181" s="459" t="s">
        <v>568</v>
      </c>
      <c r="CY181" s="378" t="s">
        <v>225</v>
      </c>
      <c r="CZ181" s="461">
        <v>0.25</v>
      </c>
      <c r="DA181" s="461">
        <v>0.25</v>
      </c>
      <c r="DB181" s="461">
        <v>0.25</v>
      </c>
      <c r="DC181" s="461">
        <v>0.25</v>
      </c>
      <c r="DD181" s="461">
        <v>0.25</v>
      </c>
      <c r="DE181" s="461">
        <v>0.25</v>
      </c>
      <c r="DF181" s="461">
        <v>0.25</v>
      </c>
      <c r="DG181" s="461">
        <v>0.25</v>
      </c>
      <c r="DH181" s="461">
        <v>0.25</v>
      </c>
      <c r="DI181" s="461">
        <v>0.25</v>
      </c>
      <c r="DJ181" s="504"/>
      <c r="DK181" s="503"/>
      <c r="DL181" s="503"/>
      <c r="DN181" s="518" t="s">
        <v>388</v>
      </c>
      <c r="DO181" s="459" t="s">
        <v>568</v>
      </c>
      <c r="DP181" s="378" t="s">
        <v>225</v>
      </c>
      <c r="DQ181" s="461">
        <v>0.25</v>
      </c>
      <c r="DR181" s="461">
        <v>0.25</v>
      </c>
      <c r="DS181" s="461">
        <v>0.25</v>
      </c>
      <c r="DT181" s="461">
        <v>0.25</v>
      </c>
      <c r="DU181" s="461">
        <v>0.25</v>
      </c>
      <c r="DV181" s="461">
        <v>0.25</v>
      </c>
      <c r="DW181" s="461">
        <v>0.25</v>
      </c>
      <c r="DX181" s="461">
        <v>0.25</v>
      </c>
      <c r="DY181" s="461">
        <v>0.25</v>
      </c>
      <c r="DZ181" s="461">
        <v>0.25</v>
      </c>
      <c r="EA181" s="504"/>
      <c r="EB181" s="503"/>
      <c r="EC181" s="503"/>
      <c r="ED181" s="558"/>
      <c r="EF181" s="518" t="s">
        <v>388</v>
      </c>
      <c r="EG181" s="459" t="s">
        <v>568</v>
      </c>
      <c r="EH181" s="378" t="s">
        <v>225</v>
      </c>
      <c r="EI181" s="609">
        <f t="shared" si="275"/>
        <v>0.25</v>
      </c>
      <c r="EJ181" s="609">
        <f t="shared" si="276"/>
        <v>0.25</v>
      </c>
      <c r="EK181" s="609">
        <f t="shared" si="277"/>
        <v>0.25</v>
      </c>
      <c r="EL181" s="609">
        <f t="shared" si="278"/>
        <v>0.25</v>
      </c>
      <c r="EM181" s="609">
        <f t="shared" si="279"/>
        <v>0.25</v>
      </c>
      <c r="EN181" s="609">
        <f t="shared" si="280"/>
        <v>0.25</v>
      </c>
      <c r="EO181" s="609">
        <f t="shared" si="281"/>
        <v>0.25</v>
      </c>
      <c r="EP181" s="609">
        <f t="shared" si="282"/>
        <v>0.25</v>
      </c>
      <c r="EQ181" s="609">
        <f t="shared" si="283"/>
        <v>0.25</v>
      </c>
      <c r="ER181" s="609">
        <f t="shared" si="284"/>
        <v>0.25</v>
      </c>
      <c r="ES181" s="625">
        <f t="shared" si="269"/>
        <v>0</v>
      </c>
      <c r="ET181" s="624">
        <f t="shared" si="270"/>
        <v>0</v>
      </c>
      <c r="EU181" s="624">
        <f t="shared" si="271"/>
        <v>0</v>
      </c>
      <c r="EW181" s="518" t="s">
        <v>388</v>
      </c>
      <c r="EX181" s="459" t="s">
        <v>568</v>
      </c>
      <c r="EY181" s="378"/>
      <c r="EZ181" s="666">
        <v>0</v>
      </c>
      <c r="FA181" s="598"/>
      <c r="FB181" s="598"/>
      <c r="FC181" s="598"/>
      <c r="FD181" s="598"/>
      <c r="FE181" s="598"/>
      <c r="FF181" s="598"/>
      <c r="FG181" s="598"/>
      <c r="FH181" s="598"/>
      <c r="FI181" s="598"/>
      <c r="FJ181" s="657"/>
      <c r="FK181" s="601"/>
      <c r="FL181" s="601"/>
    </row>
    <row r="182" spans="2:168" hidden="1">
      <c r="B182" s="732">
        <f t="shared" si="274"/>
        <v>0</v>
      </c>
      <c r="C182" s="771">
        <f t="shared" si="285"/>
        <v>0</v>
      </c>
      <c r="D182" s="731" t="e">
        <f>IF(I$174=0,0,G182/I$174)</f>
        <v>#REF!</v>
      </c>
      <c r="E182" s="731" t="e">
        <f>IF(J$174=0,0,H182/J$174)</f>
        <v>#REF!</v>
      </c>
      <c r="G182" s="730" t="e">
        <f t="shared" si="287"/>
        <v>#REF!</v>
      </c>
      <c r="H182" s="730" t="e">
        <f t="shared" si="288"/>
        <v>#REF!</v>
      </c>
      <c r="I182" s="730"/>
      <c r="J182" s="730"/>
      <c r="K182" s="730" t="e">
        <f>IF(#REF!=0,0,1)</f>
        <v>#REF!</v>
      </c>
      <c r="L182" s="730" t="e">
        <f>IF(#REF!=0,0,1)</f>
        <v>#REF!</v>
      </c>
      <c r="M182" s="730">
        <f t="shared" si="289"/>
        <v>0</v>
      </c>
      <c r="N182" s="730">
        <f t="shared" si="268"/>
        <v>0</v>
      </c>
      <c r="P182" s="775"/>
      <c r="Q182" s="774">
        <v>2.1</v>
      </c>
      <c r="R182" s="773" t="s">
        <v>225</v>
      </c>
      <c r="S182" s="743"/>
      <c r="T182" s="745"/>
      <c r="U182" s="726"/>
      <c r="V182" s="747">
        <f t="shared" si="322"/>
        <v>0</v>
      </c>
      <c r="W182" s="746">
        <f t="shared" si="323"/>
        <v>0</v>
      </c>
      <c r="Y182" s="1">
        <f t="shared" si="306"/>
        <v>0</v>
      </c>
      <c r="Z182" s="1">
        <f t="shared" si="307"/>
        <v>0</v>
      </c>
      <c r="AA182" s="1">
        <f t="shared" si="308"/>
        <v>0</v>
      </c>
      <c r="AB182" s="1">
        <f t="shared" si="309"/>
        <v>0</v>
      </c>
      <c r="AC182" s="1">
        <f t="shared" si="310"/>
        <v>0</v>
      </c>
      <c r="AD182" s="1">
        <f t="shared" si="311"/>
        <v>0</v>
      </c>
      <c r="AE182" s="1">
        <f t="shared" si="312"/>
        <v>0</v>
      </c>
      <c r="AF182" s="1">
        <f t="shared" si="313"/>
        <v>0</v>
      </c>
      <c r="AG182" s="1">
        <f t="shared" si="314"/>
        <v>0</v>
      </c>
      <c r="AH182" s="1">
        <f t="shared" si="315"/>
        <v>0</v>
      </c>
      <c r="AI182" s="1">
        <f t="shared" si="316"/>
        <v>0</v>
      </c>
      <c r="AJ182" s="1">
        <f t="shared" si="317"/>
        <v>0</v>
      </c>
      <c r="AK182" s="1">
        <f t="shared" si="318"/>
        <v>0</v>
      </c>
      <c r="AM182" s="772"/>
      <c r="AN182" s="772"/>
      <c r="AO182" s="772"/>
      <c r="AP182" s="772"/>
      <c r="AQ182" s="772"/>
      <c r="AR182" s="772"/>
      <c r="AS182" s="772"/>
      <c r="AT182" s="772"/>
      <c r="AU182" s="772"/>
      <c r="AV182" s="772"/>
      <c r="AW182" s="772"/>
      <c r="AX182" s="772"/>
      <c r="AY182" s="772"/>
      <c r="BA182" s="723"/>
      <c r="BB182" s="723" t="e">
        <f t="shared" si="324"/>
        <v>#REF!</v>
      </c>
      <c r="BC182" s="723"/>
      <c r="BD182" s="722" t="e">
        <f>BR182*#REF!</f>
        <v>#REF!</v>
      </c>
      <c r="BE182" s="722" t="e">
        <f>BS182*#REF!</f>
        <v>#REF!</v>
      </c>
      <c r="BF182" s="722" t="e">
        <f>BT182*#REF!</f>
        <v>#REF!</v>
      </c>
      <c r="BG182" s="722" t="e">
        <f>BU182*#REF!</f>
        <v>#REF!</v>
      </c>
      <c r="BH182" s="722" t="e">
        <f>BV182*#REF!</f>
        <v>#REF!</v>
      </c>
      <c r="BI182" s="722" t="e">
        <f>BW182*#REF!</f>
        <v>#REF!</v>
      </c>
      <c r="BJ182" s="722" t="e">
        <f>BX182*#REF!</f>
        <v>#REF!</v>
      </c>
      <c r="BK182" s="722" t="e">
        <f>BY182*#REF!</f>
        <v>#REF!</v>
      </c>
      <c r="BL182" s="722" t="e">
        <f>BZ182*#REF!</f>
        <v>#REF!</v>
      </c>
      <c r="BM182" s="722" t="e">
        <f>CA182*#REF!</f>
        <v>#REF!</v>
      </c>
      <c r="BO182" s="384">
        <f t="shared" si="290"/>
        <v>0</v>
      </c>
      <c r="BP182" s="721">
        <f t="shared" si="291"/>
        <v>0</v>
      </c>
      <c r="BQ182" s="771">
        <f t="shared" si="292"/>
        <v>0</v>
      </c>
      <c r="BR182" s="719">
        <f t="shared" si="293"/>
        <v>0</v>
      </c>
      <c r="BS182" s="719">
        <f t="shared" si="294"/>
        <v>0</v>
      </c>
      <c r="BT182" s="719">
        <f t="shared" si="295"/>
        <v>0</v>
      </c>
      <c r="BU182" s="719">
        <f t="shared" si="296"/>
        <v>0</v>
      </c>
      <c r="BV182" s="719">
        <f t="shared" si="297"/>
        <v>0</v>
      </c>
      <c r="BW182" s="719">
        <f t="shared" si="298"/>
        <v>0</v>
      </c>
      <c r="BX182" s="719">
        <f t="shared" si="299"/>
        <v>0</v>
      </c>
      <c r="BY182" s="719">
        <f t="shared" si="300"/>
        <v>0</v>
      </c>
      <c r="BZ182" s="719">
        <f t="shared" si="301"/>
        <v>0</v>
      </c>
      <c r="CA182" s="719">
        <f t="shared" si="302"/>
        <v>0</v>
      </c>
      <c r="CB182" s="718">
        <f t="shared" si="303"/>
        <v>0</v>
      </c>
      <c r="CC182" s="717">
        <f t="shared" si="304"/>
        <v>0</v>
      </c>
      <c r="CD182" s="717">
        <f t="shared" si="305"/>
        <v>0</v>
      </c>
      <c r="CF182" s="518"/>
      <c r="CG182" s="459"/>
      <c r="CH182" s="378"/>
      <c r="CI182" s="461"/>
      <c r="CJ182" s="461"/>
      <c r="CK182" s="461"/>
      <c r="CL182" s="461"/>
      <c r="CM182" s="461"/>
      <c r="CN182" s="461"/>
      <c r="CO182" s="461"/>
      <c r="CP182" s="461"/>
      <c r="CQ182" s="461"/>
      <c r="CR182" s="461"/>
      <c r="CS182" s="504"/>
      <c r="CT182" s="503"/>
      <c r="CU182" s="503"/>
      <c r="CW182" s="518"/>
      <c r="CX182" s="459"/>
      <c r="CY182" s="378"/>
      <c r="CZ182" s="461"/>
      <c r="DA182" s="461"/>
      <c r="DB182" s="461"/>
      <c r="DC182" s="461"/>
      <c r="DD182" s="461"/>
      <c r="DE182" s="461"/>
      <c r="DF182" s="461"/>
      <c r="DG182" s="461"/>
      <c r="DH182" s="461"/>
      <c r="DI182" s="461"/>
      <c r="DJ182" s="504"/>
      <c r="DK182" s="503"/>
      <c r="DL182" s="503"/>
      <c r="DN182" s="518"/>
      <c r="DO182" s="459"/>
      <c r="DP182" s="378"/>
      <c r="DQ182" s="461"/>
      <c r="DR182" s="461"/>
      <c r="DS182" s="461"/>
      <c r="DT182" s="461"/>
      <c r="DU182" s="461"/>
      <c r="DV182" s="461"/>
      <c r="DW182" s="461"/>
      <c r="DX182" s="461"/>
      <c r="DY182" s="461"/>
      <c r="DZ182" s="461"/>
      <c r="EA182" s="504"/>
      <c r="EB182" s="503"/>
      <c r="EC182" s="503"/>
      <c r="ED182" s="558"/>
      <c r="EF182" s="518"/>
      <c r="EG182" s="459"/>
      <c r="EH182" s="378"/>
      <c r="EI182" s="609"/>
      <c r="EJ182" s="609"/>
      <c r="EK182" s="609"/>
      <c r="EL182" s="609"/>
      <c r="EM182" s="609"/>
      <c r="EN182" s="609"/>
      <c r="EO182" s="609"/>
      <c r="EP182" s="609"/>
      <c r="EQ182" s="609"/>
      <c r="ER182" s="609"/>
      <c r="ES182" s="625"/>
      <c r="ET182" s="624"/>
      <c r="EU182" s="624"/>
      <c r="EW182" s="518" t="s">
        <v>388</v>
      </c>
      <c r="EX182" s="459" t="s">
        <v>568</v>
      </c>
      <c r="EY182" s="677" t="s">
        <v>225</v>
      </c>
      <c r="EZ182" s="666">
        <v>1</v>
      </c>
      <c r="FA182" s="598"/>
      <c r="FB182" s="598"/>
      <c r="FC182" s="598"/>
      <c r="FD182" s="598"/>
      <c r="FE182" s="598"/>
      <c r="FF182" s="598"/>
      <c r="FG182" s="598"/>
      <c r="FH182" s="598"/>
      <c r="FI182" s="598"/>
      <c r="FJ182" s="657"/>
      <c r="FK182" s="601"/>
      <c r="FL182" s="601"/>
    </row>
    <row r="183" spans="2:168">
      <c r="B183" s="732">
        <f t="shared" si="274"/>
        <v>3</v>
      </c>
      <c r="C183" s="759" t="str">
        <f t="shared" si="285"/>
        <v>周辺環境への配慮</v>
      </c>
      <c r="D183" s="770" t="e">
        <f>IF(I$172=0,0,G183/I$172)</f>
        <v>#REF!</v>
      </c>
      <c r="E183" s="770" t="e">
        <f>IF(J$172=0,0,H183/J$172)</f>
        <v>#REF!</v>
      </c>
      <c r="G183" s="769" t="e">
        <f t="shared" si="287"/>
        <v>#REF!</v>
      </c>
      <c r="H183" s="769" t="e">
        <f t="shared" si="288"/>
        <v>#REF!</v>
      </c>
      <c r="I183" s="769" t="e">
        <f>G184+G188+G192</f>
        <v>#REF!</v>
      </c>
      <c r="J183" s="769" t="e">
        <f>H184+H188+H192</f>
        <v>#REF!</v>
      </c>
      <c r="K183" s="769" t="e">
        <f>IF(#REF!=0,0,1)</f>
        <v>#REF!</v>
      </c>
      <c r="L183" s="769" t="e">
        <f>IF(#REF!=0,0,1)</f>
        <v>#REF!</v>
      </c>
      <c r="M183" s="769">
        <f t="shared" si="289"/>
        <v>0.33333333333333331</v>
      </c>
      <c r="N183" s="769">
        <f t="shared" si="268"/>
        <v>0</v>
      </c>
      <c r="P183" s="768">
        <v>3</v>
      </c>
      <c r="Q183" s="767" t="s">
        <v>226</v>
      </c>
      <c r="R183" s="743"/>
      <c r="S183" s="767"/>
      <c r="T183" s="745"/>
      <c r="U183" s="726"/>
      <c r="V183" s="766">
        <f t="shared" si="322"/>
        <v>0</v>
      </c>
      <c r="W183" s="765">
        <f t="shared" si="323"/>
        <v>0</v>
      </c>
      <c r="Y183" s="1">
        <f t="shared" si="306"/>
        <v>0</v>
      </c>
      <c r="Z183" s="1">
        <f t="shared" si="307"/>
        <v>0</v>
      </c>
      <c r="AA183" s="1">
        <f t="shared" si="308"/>
        <v>0</v>
      </c>
      <c r="AB183" s="1">
        <f t="shared" si="309"/>
        <v>0</v>
      </c>
      <c r="AC183" s="1">
        <f t="shared" si="310"/>
        <v>0</v>
      </c>
      <c r="AD183" s="1">
        <f t="shared" si="311"/>
        <v>0</v>
      </c>
      <c r="AE183" s="1">
        <f t="shared" si="312"/>
        <v>0</v>
      </c>
      <c r="AF183" s="1">
        <f t="shared" si="313"/>
        <v>0</v>
      </c>
      <c r="AG183" s="1">
        <f t="shared" si="314"/>
        <v>0</v>
      </c>
      <c r="AH183" s="1">
        <f t="shared" si="315"/>
        <v>0</v>
      </c>
      <c r="AI183" s="1">
        <f t="shared" si="316"/>
        <v>0</v>
      </c>
      <c r="AJ183" s="1">
        <f t="shared" si="317"/>
        <v>0</v>
      </c>
      <c r="AK183" s="1">
        <f t="shared" si="318"/>
        <v>0</v>
      </c>
      <c r="AM183" s="764" t="s">
        <v>49</v>
      </c>
      <c r="AN183" s="764" t="s">
        <v>49</v>
      </c>
      <c r="AO183" s="764" t="s">
        <v>49</v>
      </c>
      <c r="AP183" s="764" t="s">
        <v>49</v>
      </c>
      <c r="AQ183" s="764" t="s">
        <v>49</v>
      </c>
      <c r="AR183" s="764" t="s">
        <v>49</v>
      </c>
      <c r="AS183" s="764" t="s">
        <v>49</v>
      </c>
      <c r="AT183" s="764" t="s">
        <v>49</v>
      </c>
      <c r="AU183" s="764" t="s">
        <v>49</v>
      </c>
      <c r="AV183" s="764" t="s">
        <v>49</v>
      </c>
      <c r="AW183" s="764" t="s">
        <v>49</v>
      </c>
      <c r="AX183" s="764" t="s">
        <v>49</v>
      </c>
      <c r="AY183" s="764" t="s">
        <v>49</v>
      </c>
      <c r="BA183" s="763" t="e">
        <f>BB183/$BC$172</f>
        <v>#REF!</v>
      </c>
      <c r="BB183" s="763" t="e">
        <f t="shared" si="324"/>
        <v>#REF!</v>
      </c>
      <c r="BC183" s="763"/>
      <c r="BD183" s="762" t="e">
        <f>BR183*#REF!</f>
        <v>#REF!</v>
      </c>
      <c r="BE183" s="762" t="e">
        <f>BS183*#REF!</f>
        <v>#REF!</v>
      </c>
      <c r="BF183" s="762" t="e">
        <f>BT183*#REF!</f>
        <v>#REF!</v>
      </c>
      <c r="BG183" s="762" t="e">
        <f>BU183*#REF!</f>
        <v>#REF!</v>
      </c>
      <c r="BH183" s="762" t="e">
        <f>BV183*#REF!</f>
        <v>#REF!</v>
      </c>
      <c r="BI183" s="762" t="e">
        <f>BW183*#REF!</f>
        <v>#REF!</v>
      </c>
      <c r="BJ183" s="762" t="e">
        <f>BX183*#REF!</f>
        <v>#REF!</v>
      </c>
      <c r="BK183" s="762" t="e">
        <f>BY183*#REF!</f>
        <v>#REF!</v>
      </c>
      <c r="BL183" s="762" t="e">
        <f>BZ183*#REF!</f>
        <v>#REF!</v>
      </c>
      <c r="BM183" s="762" t="e">
        <f>CA183*#REF!</f>
        <v>#REF!</v>
      </c>
      <c r="BO183" s="761">
        <f t="shared" si="290"/>
        <v>3</v>
      </c>
      <c r="BP183" s="760" t="str">
        <f t="shared" si="291"/>
        <v>LR3</v>
      </c>
      <c r="BQ183" s="759" t="str">
        <f t="shared" si="292"/>
        <v>周辺環境への配慮</v>
      </c>
      <c r="BR183" s="757">
        <f t="shared" si="293"/>
        <v>0.33333333333333331</v>
      </c>
      <c r="BS183" s="757">
        <f t="shared" si="294"/>
        <v>0.33333333333333331</v>
      </c>
      <c r="BT183" s="757">
        <f t="shared" si="295"/>
        <v>0.33333333333333331</v>
      </c>
      <c r="BU183" s="757">
        <f t="shared" si="296"/>
        <v>0.33333333333333331</v>
      </c>
      <c r="BV183" s="757">
        <f t="shared" si="297"/>
        <v>0.33333333333333331</v>
      </c>
      <c r="BW183" s="757">
        <f t="shared" si="298"/>
        <v>0.33333333333333331</v>
      </c>
      <c r="BX183" s="757">
        <f t="shared" si="299"/>
        <v>0.33333333333333331</v>
      </c>
      <c r="BY183" s="757">
        <f t="shared" si="300"/>
        <v>0.33333333333333331</v>
      </c>
      <c r="BZ183" s="757">
        <f t="shared" si="301"/>
        <v>0.33333333333333331</v>
      </c>
      <c r="CA183" s="757">
        <f t="shared" si="302"/>
        <v>0.33333333333333331</v>
      </c>
      <c r="CB183" s="758">
        <f t="shared" si="303"/>
        <v>0</v>
      </c>
      <c r="CC183" s="757">
        <f t="shared" si="304"/>
        <v>0</v>
      </c>
      <c r="CD183" s="757">
        <f t="shared" si="305"/>
        <v>0</v>
      </c>
      <c r="CF183" s="447">
        <v>3</v>
      </c>
      <c r="CG183" s="451" t="s">
        <v>362</v>
      </c>
      <c r="CH183" s="448" t="s">
        <v>226</v>
      </c>
      <c r="CI183" s="452">
        <v>0.33333333333333331</v>
      </c>
      <c r="CJ183" s="452">
        <v>0.33333333333333331</v>
      </c>
      <c r="CK183" s="452">
        <v>0.33333333333333331</v>
      </c>
      <c r="CL183" s="452">
        <v>0.33333333333333331</v>
      </c>
      <c r="CM183" s="452">
        <v>0.33333333333333331</v>
      </c>
      <c r="CN183" s="452">
        <v>0.33333333333333331</v>
      </c>
      <c r="CO183" s="452">
        <v>0.33333333333333331</v>
      </c>
      <c r="CP183" s="452">
        <v>0.33333333333333331</v>
      </c>
      <c r="CQ183" s="452">
        <v>0.33333333333333331</v>
      </c>
      <c r="CR183" s="452">
        <v>0.33333333333333331</v>
      </c>
      <c r="CS183" s="453">
        <v>0</v>
      </c>
      <c r="CT183" s="452">
        <v>0</v>
      </c>
      <c r="CU183" s="452">
        <v>0</v>
      </c>
      <c r="CW183" s="447">
        <v>3</v>
      </c>
      <c r="CX183" s="451" t="s">
        <v>362</v>
      </c>
      <c r="CY183" s="448" t="s">
        <v>226</v>
      </c>
      <c r="CZ183" s="452">
        <f t="shared" ref="CZ183:DI183" si="327">1/3</f>
        <v>0.33333333333333331</v>
      </c>
      <c r="DA183" s="452">
        <f t="shared" si="327"/>
        <v>0.33333333333333331</v>
      </c>
      <c r="DB183" s="452">
        <f t="shared" si="327"/>
        <v>0.33333333333333331</v>
      </c>
      <c r="DC183" s="452">
        <f t="shared" si="327"/>
        <v>0.33333333333333331</v>
      </c>
      <c r="DD183" s="452">
        <f t="shared" si="327"/>
        <v>0.33333333333333331</v>
      </c>
      <c r="DE183" s="452">
        <f t="shared" si="327"/>
        <v>0.33333333333333331</v>
      </c>
      <c r="DF183" s="452">
        <f t="shared" si="327"/>
        <v>0.33333333333333331</v>
      </c>
      <c r="DG183" s="452">
        <f t="shared" si="327"/>
        <v>0.33333333333333331</v>
      </c>
      <c r="DH183" s="452">
        <f t="shared" si="327"/>
        <v>0.33333333333333331</v>
      </c>
      <c r="DI183" s="452">
        <f t="shared" si="327"/>
        <v>0.33333333333333331</v>
      </c>
      <c r="DJ183" s="453"/>
      <c r="DK183" s="452"/>
      <c r="DL183" s="452"/>
      <c r="DN183" s="447">
        <v>3</v>
      </c>
      <c r="DO183" s="451" t="s">
        <v>362</v>
      </c>
      <c r="DP183" s="448" t="s">
        <v>226</v>
      </c>
      <c r="DQ183" s="452">
        <f t="shared" ref="DQ183:DZ183" si="328">1/3</f>
        <v>0.33333333333333331</v>
      </c>
      <c r="DR183" s="452">
        <f t="shared" si="328"/>
        <v>0.33333333333333331</v>
      </c>
      <c r="DS183" s="452">
        <f t="shared" si="328"/>
        <v>0.33333333333333331</v>
      </c>
      <c r="DT183" s="452">
        <f t="shared" si="328"/>
        <v>0.33333333333333331</v>
      </c>
      <c r="DU183" s="452">
        <f t="shared" si="328"/>
        <v>0.33333333333333331</v>
      </c>
      <c r="DV183" s="452">
        <f t="shared" si="328"/>
        <v>0.33333333333333331</v>
      </c>
      <c r="DW183" s="452">
        <f t="shared" si="328"/>
        <v>0.33333333333333331</v>
      </c>
      <c r="DX183" s="452">
        <f t="shared" si="328"/>
        <v>0.33333333333333331</v>
      </c>
      <c r="DY183" s="452">
        <f t="shared" si="328"/>
        <v>0.33333333333333331</v>
      </c>
      <c r="DZ183" s="452">
        <f t="shared" si="328"/>
        <v>0.33333333333333331</v>
      </c>
      <c r="EA183" s="453"/>
      <c r="EB183" s="452"/>
      <c r="EC183" s="452"/>
      <c r="ED183" s="554"/>
      <c r="EF183" s="447">
        <v>3</v>
      </c>
      <c r="EG183" s="451" t="s">
        <v>362</v>
      </c>
      <c r="EH183" s="448" t="s">
        <v>226</v>
      </c>
      <c r="EI183" s="606">
        <f t="shared" ref="EI183:EI194" si="329">DQ183</f>
        <v>0.33333333333333331</v>
      </c>
      <c r="EJ183" s="606">
        <f t="shared" ref="EJ183:EJ194" si="330">DR183</f>
        <v>0.33333333333333331</v>
      </c>
      <c r="EK183" s="606">
        <f t="shared" ref="EK183:EK194" si="331">DS183</f>
        <v>0.33333333333333331</v>
      </c>
      <c r="EL183" s="606">
        <f t="shared" ref="EL183:EL194" si="332">DT183</f>
        <v>0.33333333333333331</v>
      </c>
      <c r="EM183" s="606">
        <f t="shared" ref="EM183:EM194" si="333">DU183</f>
        <v>0.33333333333333331</v>
      </c>
      <c r="EN183" s="606">
        <f t="shared" ref="EN183:EN194" si="334">DV183</f>
        <v>0.33333333333333331</v>
      </c>
      <c r="EO183" s="606">
        <f t="shared" ref="EO183:EO194" si="335">DW183</f>
        <v>0.33333333333333331</v>
      </c>
      <c r="EP183" s="606">
        <f t="shared" ref="EP183:EP194" si="336">DX183</f>
        <v>0.33333333333333331</v>
      </c>
      <c r="EQ183" s="606">
        <f t="shared" ref="EQ183:EQ194" si="337">DY183</f>
        <v>0.33333333333333331</v>
      </c>
      <c r="ER183" s="606">
        <f t="shared" ref="ER183:ER194" si="338">DZ183</f>
        <v>0.33333333333333331</v>
      </c>
      <c r="ES183" s="608">
        <f t="shared" ref="ES183:ES194" si="339">EA183</f>
        <v>0</v>
      </c>
      <c r="ET183" s="606">
        <f t="shared" ref="ET183:ET194" si="340">EB183</f>
        <v>0</v>
      </c>
      <c r="EU183" s="606">
        <f t="shared" ref="EU183:EU194" si="341">EC183</f>
        <v>0</v>
      </c>
      <c r="EW183" s="447">
        <v>3</v>
      </c>
      <c r="EX183" s="451" t="s">
        <v>362</v>
      </c>
      <c r="EY183" s="448" t="s">
        <v>226</v>
      </c>
      <c r="EZ183" s="673">
        <v>0</v>
      </c>
      <c r="FA183" s="596"/>
      <c r="FB183" s="596"/>
      <c r="FC183" s="596"/>
      <c r="FD183" s="596"/>
      <c r="FE183" s="596"/>
      <c r="FF183" s="596"/>
      <c r="FG183" s="596"/>
      <c r="FH183" s="596"/>
      <c r="FI183" s="596"/>
      <c r="FJ183" s="597"/>
      <c r="FK183" s="596"/>
      <c r="FL183" s="596"/>
    </row>
    <row r="184" spans="2:168" ht="14.25" thickBot="1">
      <c r="B184" s="732" t="str">
        <f t="shared" si="274"/>
        <v>3.1</v>
      </c>
      <c r="C184" s="408" t="str">
        <f t="shared" si="285"/>
        <v>騒音・振動・悪臭の防止</v>
      </c>
      <c r="D184" s="731" t="e">
        <f>IF(I$183=0,0,G184/I$183)</f>
        <v>#REF!</v>
      </c>
      <c r="E184" s="731" t="e">
        <f>IF(J$183=0,0,H184/J$183)</f>
        <v>#REF!</v>
      </c>
      <c r="G184" s="730" t="e">
        <f t="shared" si="287"/>
        <v>#REF!</v>
      </c>
      <c r="H184" s="730" t="e">
        <f t="shared" si="288"/>
        <v>#REF!</v>
      </c>
      <c r="I184" s="730" t="e">
        <f>SUM(G185:G187)</f>
        <v>#REF!</v>
      </c>
      <c r="J184" s="730" t="e">
        <f>SUM(H185:H187)</f>
        <v>#REF!</v>
      </c>
      <c r="K184" s="730" t="e">
        <f>IF(#REF!=0,0,1)</f>
        <v>#REF!</v>
      </c>
      <c r="L184" s="730" t="e">
        <f>IF(#REF!=0,0,1)</f>
        <v>#REF!</v>
      </c>
      <c r="M184" s="730">
        <f t="shared" si="289"/>
        <v>0.4</v>
      </c>
      <c r="N184" s="730">
        <f t="shared" si="268"/>
        <v>0</v>
      </c>
      <c r="P184" s="756"/>
      <c r="Q184" s="744">
        <v>3.1</v>
      </c>
      <c r="R184" s="755" t="s">
        <v>227</v>
      </c>
      <c r="S184" s="754"/>
      <c r="T184" s="753"/>
      <c r="U184" s="726"/>
      <c r="V184" s="752">
        <f t="shared" si="322"/>
        <v>0</v>
      </c>
      <c r="W184" s="751">
        <f t="shared" si="323"/>
        <v>0</v>
      </c>
      <c r="Y184" s="1">
        <f t="shared" si="306"/>
        <v>0</v>
      </c>
      <c r="Z184" s="1">
        <f t="shared" si="307"/>
        <v>0</v>
      </c>
      <c r="AA184" s="1">
        <f t="shared" si="308"/>
        <v>0</v>
      </c>
      <c r="AB184" s="1">
        <f t="shared" si="309"/>
        <v>0</v>
      </c>
      <c r="AC184" s="1">
        <f t="shared" si="310"/>
        <v>0</v>
      </c>
      <c r="AD184" s="1">
        <f t="shared" si="311"/>
        <v>0</v>
      </c>
      <c r="AE184" s="1">
        <f t="shared" si="312"/>
        <v>0</v>
      </c>
      <c r="AF184" s="1">
        <f t="shared" si="313"/>
        <v>0</v>
      </c>
      <c r="AG184" s="1">
        <f t="shared" si="314"/>
        <v>0</v>
      </c>
      <c r="AH184" s="1">
        <f t="shared" si="315"/>
        <v>0</v>
      </c>
      <c r="AI184" s="1">
        <f t="shared" si="316"/>
        <v>0</v>
      </c>
      <c r="AJ184" s="1">
        <f t="shared" si="317"/>
        <v>0</v>
      </c>
      <c r="AK184" s="1">
        <f t="shared" si="318"/>
        <v>0</v>
      </c>
      <c r="AM184" s="750" t="s">
        <v>49</v>
      </c>
      <c r="AN184" s="750" t="s">
        <v>49</v>
      </c>
      <c r="AO184" s="750" t="s">
        <v>49</v>
      </c>
      <c r="AP184" s="750" t="s">
        <v>49</v>
      </c>
      <c r="AQ184" s="750" t="s">
        <v>812</v>
      </c>
      <c r="AR184" s="750" t="s">
        <v>812</v>
      </c>
      <c r="AS184" s="750" t="s">
        <v>49</v>
      </c>
      <c r="AT184" s="750" t="s">
        <v>49</v>
      </c>
      <c r="AU184" s="750" t="s">
        <v>812</v>
      </c>
      <c r="AV184" s="750" t="s">
        <v>49</v>
      </c>
      <c r="AW184" s="750" t="s">
        <v>49</v>
      </c>
      <c r="AX184" s="750" t="s">
        <v>49</v>
      </c>
      <c r="AY184" s="750" t="s">
        <v>49</v>
      </c>
      <c r="BA184" s="737"/>
      <c r="BB184" s="737" t="e">
        <f t="shared" si="324"/>
        <v>#REF!</v>
      </c>
      <c r="BC184" s="737"/>
      <c r="BD184" s="736" t="e">
        <f>BR184*#REF!</f>
        <v>#REF!</v>
      </c>
      <c r="BE184" s="736" t="e">
        <f>BS184*#REF!</f>
        <v>#REF!</v>
      </c>
      <c r="BF184" s="736" t="e">
        <f>BT184*#REF!</f>
        <v>#REF!</v>
      </c>
      <c r="BG184" s="736" t="e">
        <f>BU184*#REF!</f>
        <v>#REF!</v>
      </c>
      <c r="BH184" s="736" t="e">
        <f>BV184*#REF!</f>
        <v>#REF!</v>
      </c>
      <c r="BI184" s="736" t="e">
        <f>BW184*#REF!</f>
        <v>#REF!</v>
      </c>
      <c r="BJ184" s="736" t="e">
        <f>BX184*#REF!</f>
        <v>#REF!</v>
      </c>
      <c r="BK184" s="736" t="e">
        <f>BY184*#REF!</f>
        <v>#REF!</v>
      </c>
      <c r="BL184" s="736" t="e">
        <f>BZ184*#REF!</f>
        <v>#REF!</v>
      </c>
      <c r="BM184" s="736" t="e">
        <f>CA184*#REF!</f>
        <v>#REF!</v>
      </c>
      <c r="BO184" s="735" t="str">
        <f t="shared" si="290"/>
        <v>3.1</v>
      </c>
      <c r="BP184" s="721" t="str">
        <f t="shared" si="291"/>
        <v>LR3 3</v>
      </c>
      <c r="BQ184" s="408" t="str">
        <f t="shared" si="292"/>
        <v>騒音・振動・悪臭の防止</v>
      </c>
      <c r="BR184" s="717">
        <f t="shared" si="293"/>
        <v>0.4</v>
      </c>
      <c r="BS184" s="717">
        <f t="shared" si="294"/>
        <v>0.4</v>
      </c>
      <c r="BT184" s="717">
        <f t="shared" si="295"/>
        <v>0.4</v>
      </c>
      <c r="BU184" s="717">
        <f t="shared" si="296"/>
        <v>0.4</v>
      </c>
      <c r="BV184" s="717">
        <f t="shared" si="297"/>
        <v>0.4</v>
      </c>
      <c r="BW184" s="717">
        <f t="shared" si="298"/>
        <v>0.4</v>
      </c>
      <c r="BX184" s="717">
        <f t="shared" si="299"/>
        <v>0.4</v>
      </c>
      <c r="BY184" s="717">
        <f t="shared" si="300"/>
        <v>0.4</v>
      </c>
      <c r="BZ184" s="717">
        <f t="shared" si="301"/>
        <v>0.4</v>
      </c>
      <c r="CA184" s="717">
        <f t="shared" si="302"/>
        <v>0.4</v>
      </c>
      <c r="CB184" s="718">
        <f t="shared" si="303"/>
        <v>0</v>
      </c>
      <c r="CC184" s="717">
        <f t="shared" si="304"/>
        <v>0</v>
      </c>
      <c r="CD184" s="717">
        <f t="shared" si="305"/>
        <v>0</v>
      </c>
      <c r="CF184" s="518" t="s">
        <v>330</v>
      </c>
      <c r="CG184" s="459" t="s">
        <v>569</v>
      </c>
      <c r="CH184" s="456" t="s">
        <v>227</v>
      </c>
      <c r="CI184" s="503">
        <v>0.4</v>
      </c>
      <c r="CJ184" s="503">
        <v>0.4</v>
      </c>
      <c r="CK184" s="503">
        <v>0.4</v>
      </c>
      <c r="CL184" s="503">
        <v>0.4</v>
      </c>
      <c r="CM184" s="503">
        <v>0.4</v>
      </c>
      <c r="CN184" s="503">
        <v>0.4</v>
      </c>
      <c r="CO184" s="503">
        <v>0.4</v>
      </c>
      <c r="CP184" s="503">
        <v>0.4</v>
      </c>
      <c r="CQ184" s="503">
        <v>0.4</v>
      </c>
      <c r="CR184" s="503">
        <v>0.4</v>
      </c>
      <c r="CS184" s="504"/>
      <c r="CT184" s="503"/>
      <c r="CU184" s="503"/>
      <c r="CW184" s="518" t="s">
        <v>330</v>
      </c>
      <c r="CX184" s="459" t="s">
        <v>569</v>
      </c>
      <c r="CY184" s="456" t="s">
        <v>227</v>
      </c>
      <c r="CZ184" s="503">
        <v>0.4</v>
      </c>
      <c r="DA184" s="503">
        <v>0.4</v>
      </c>
      <c r="DB184" s="503">
        <v>0.4</v>
      </c>
      <c r="DC184" s="503">
        <v>0.4</v>
      </c>
      <c r="DD184" s="503">
        <v>0.4</v>
      </c>
      <c r="DE184" s="503">
        <v>0.4</v>
      </c>
      <c r="DF184" s="503">
        <v>0.4</v>
      </c>
      <c r="DG184" s="503">
        <v>0.4</v>
      </c>
      <c r="DH184" s="503">
        <v>0.4</v>
      </c>
      <c r="DI184" s="503">
        <v>0.4</v>
      </c>
      <c r="DJ184" s="504"/>
      <c r="DK184" s="503"/>
      <c r="DL184" s="503"/>
      <c r="DN184" s="518" t="s">
        <v>330</v>
      </c>
      <c r="DO184" s="459" t="s">
        <v>569</v>
      </c>
      <c r="DP184" s="456" t="s">
        <v>227</v>
      </c>
      <c r="DQ184" s="503">
        <v>0.4</v>
      </c>
      <c r="DR184" s="503">
        <v>0.4</v>
      </c>
      <c r="DS184" s="503">
        <v>0.4</v>
      </c>
      <c r="DT184" s="503">
        <v>0.4</v>
      </c>
      <c r="DU184" s="503">
        <v>0.4</v>
      </c>
      <c r="DV184" s="503">
        <v>0.4</v>
      </c>
      <c r="DW184" s="503">
        <v>0.4</v>
      </c>
      <c r="DX184" s="503">
        <v>0.4</v>
      </c>
      <c r="DY184" s="503">
        <v>0.4</v>
      </c>
      <c r="DZ184" s="503">
        <v>0.4</v>
      </c>
      <c r="EA184" s="504"/>
      <c r="EB184" s="503"/>
      <c r="EC184" s="503"/>
      <c r="ED184" s="558"/>
      <c r="EF184" s="518" t="s">
        <v>330</v>
      </c>
      <c r="EG184" s="459" t="s">
        <v>569</v>
      </c>
      <c r="EH184" s="456" t="s">
        <v>227</v>
      </c>
      <c r="EI184" s="624">
        <f t="shared" si="329"/>
        <v>0.4</v>
      </c>
      <c r="EJ184" s="624">
        <f t="shared" si="330"/>
        <v>0.4</v>
      </c>
      <c r="EK184" s="624">
        <f t="shared" si="331"/>
        <v>0.4</v>
      </c>
      <c r="EL184" s="624">
        <f t="shared" si="332"/>
        <v>0.4</v>
      </c>
      <c r="EM184" s="624">
        <f t="shared" si="333"/>
        <v>0.4</v>
      </c>
      <c r="EN184" s="624">
        <f t="shared" si="334"/>
        <v>0.4</v>
      </c>
      <c r="EO184" s="624">
        <f t="shared" si="335"/>
        <v>0.4</v>
      </c>
      <c r="EP184" s="624">
        <f t="shared" si="336"/>
        <v>0.4</v>
      </c>
      <c r="EQ184" s="624">
        <f t="shared" si="337"/>
        <v>0.4</v>
      </c>
      <c r="ER184" s="624">
        <f t="shared" si="338"/>
        <v>0.4</v>
      </c>
      <c r="ES184" s="625">
        <f t="shared" si="339"/>
        <v>0</v>
      </c>
      <c r="ET184" s="624">
        <f t="shared" si="340"/>
        <v>0</v>
      </c>
      <c r="EU184" s="624">
        <f t="shared" si="341"/>
        <v>0</v>
      </c>
      <c r="EW184" s="518" t="s">
        <v>330</v>
      </c>
      <c r="EX184" s="459" t="s">
        <v>569</v>
      </c>
      <c r="EY184" s="456"/>
      <c r="EZ184" s="666">
        <v>0</v>
      </c>
      <c r="FA184" s="601"/>
      <c r="FB184" s="601"/>
      <c r="FC184" s="601"/>
      <c r="FD184" s="601"/>
      <c r="FE184" s="601"/>
      <c r="FF184" s="601"/>
      <c r="FG184" s="601"/>
      <c r="FH184" s="601"/>
      <c r="FI184" s="601"/>
      <c r="FJ184" s="657"/>
      <c r="FK184" s="601"/>
      <c r="FL184" s="601"/>
    </row>
    <row r="185" spans="2:168">
      <c r="B185" s="732" t="str">
        <f t="shared" si="274"/>
        <v>3.1.1</v>
      </c>
      <c r="C185" s="408" t="str">
        <f t="shared" si="285"/>
        <v>騒音</v>
      </c>
      <c r="D185" s="731" t="e">
        <f t="shared" ref="D185:E187" si="342">IF(I$184=0,0,G185/I$184)</f>
        <v>#REF!</v>
      </c>
      <c r="E185" s="731" t="e">
        <f t="shared" si="342"/>
        <v>#REF!</v>
      </c>
      <c r="G185" s="730" t="e">
        <f t="shared" si="287"/>
        <v>#REF!</v>
      </c>
      <c r="H185" s="730" t="e">
        <f t="shared" si="288"/>
        <v>#REF!</v>
      </c>
      <c r="I185" s="730"/>
      <c r="J185" s="730"/>
      <c r="K185" s="730" t="e">
        <f>IF(#REF!=0,0,1)</f>
        <v>#REF!</v>
      </c>
      <c r="L185" s="730" t="e">
        <f>IF(#REF!=0,0,1)</f>
        <v>#REF!</v>
      </c>
      <c r="M185" s="730">
        <f t="shared" si="289"/>
        <v>0.33333333333333331</v>
      </c>
      <c r="N185" s="730">
        <f t="shared" ref="N185:N194" si="343">(CB$7*CB185)+(CC$7*CC185)+(CD$7*CD185)</f>
        <v>0</v>
      </c>
      <c r="P185" s="729"/>
      <c r="Q185" s="728"/>
      <c r="R185" s="414">
        <v>1</v>
      </c>
      <c r="S185" s="743" t="s">
        <v>228</v>
      </c>
      <c r="T185" s="745"/>
      <c r="U185" s="726"/>
      <c r="V185" s="734">
        <f t="shared" si="322"/>
        <v>0</v>
      </c>
      <c r="W185" s="733">
        <f t="shared" si="323"/>
        <v>0</v>
      </c>
      <c r="Y185" s="1">
        <f t="shared" si="306"/>
        <v>0</v>
      </c>
      <c r="Z185" s="1">
        <f t="shared" si="307"/>
        <v>0</v>
      </c>
      <c r="AA185" s="1">
        <f t="shared" si="308"/>
        <v>0</v>
      </c>
      <c r="AB185" s="1">
        <f t="shared" si="309"/>
        <v>0</v>
      </c>
      <c r="AC185" s="1">
        <f t="shared" si="310"/>
        <v>0</v>
      </c>
      <c r="AD185" s="1">
        <f t="shared" si="311"/>
        <v>0</v>
      </c>
      <c r="AE185" s="1">
        <f t="shared" si="312"/>
        <v>0</v>
      </c>
      <c r="AF185" s="1">
        <f t="shared" si="313"/>
        <v>0</v>
      </c>
      <c r="AG185" s="1">
        <f t="shared" si="314"/>
        <v>0</v>
      </c>
      <c r="AH185" s="1">
        <f t="shared" si="315"/>
        <v>0</v>
      </c>
      <c r="AI185" s="1">
        <f t="shared" si="316"/>
        <v>0</v>
      </c>
      <c r="AJ185" s="1">
        <f t="shared" si="317"/>
        <v>0</v>
      </c>
      <c r="AK185" s="1">
        <f t="shared" si="318"/>
        <v>0</v>
      </c>
      <c r="AM185" s="679"/>
      <c r="AN185" s="679"/>
      <c r="AO185" s="679"/>
      <c r="AP185" s="679"/>
      <c r="AQ185" s="679"/>
      <c r="AR185" s="679"/>
      <c r="AS185" s="679"/>
      <c r="AT185" s="679"/>
      <c r="AU185" s="679"/>
      <c r="AV185" s="679"/>
      <c r="AW185" s="679"/>
      <c r="AX185" s="679"/>
      <c r="AY185" s="679"/>
      <c r="BA185" s="723"/>
      <c r="BB185" s="723" t="e">
        <f t="shared" si="324"/>
        <v>#REF!</v>
      </c>
      <c r="BC185" s="723"/>
      <c r="BD185" s="722" t="e">
        <f>BR185*#REF!</f>
        <v>#REF!</v>
      </c>
      <c r="BE185" s="722" t="e">
        <f>BS185*#REF!</f>
        <v>#REF!</v>
      </c>
      <c r="BF185" s="722" t="e">
        <f>BT185*#REF!</f>
        <v>#REF!</v>
      </c>
      <c r="BG185" s="722" t="e">
        <f>BU185*#REF!</f>
        <v>#REF!</v>
      </c>
      <c r="BH185" s="722" t="e">
        <f>BV185*#REF!</f>
        <v>#REF!</v>
      </c>
      <c r="BI185" s="722" t="e">
        <f>BW185*#REF!</f>
        <v>#REF!</v>
      </c>
      <c r="BJ185" s="722" t="e">
        <f>BX185*#REF!</f>
        <v>#REF!</v>
      </c>
      <c r="BK185" s="722" t="e">
        <f>BY185*#REF!</f>
        <v>#REF!</v>
      </c>
      <c r="BL185" s="722" t="e">
        <f>BZ185*#REF!</f>
        <v>#REF!</v>
      </c>
      <c r="BM185" s="722" t="e">
        <f>CA185*#REF!</f>
        <v>#REF!</v>
      </c>
      <c r="BO185" s="384" t="str">
        <f t="shared" si="290"/>
        <v>3.1.1</v>
      </c>
      <c r="BP185" s="749" t="str">
        <f t="shared" si="291"/>
        <v>LR3 3.1</v>
      </c>
      <c r="BQ185" s="408" t="str">
        <f t="shared" si="292"/>
        <v>騒音</v>
      </c>
      <c r="BR185" s="719">
        <f t="shared" si="293"/>
        <v>0.33333333333333331</v>
      </c>
      <c r="BS185" s="719">
        <f t="shared" si="294"/>
        <v>0.33333333333333331</v>
      </c>
      <c r="BT185" s="719">
        <f t="shared" si="295"/>
        <v>0.33333333333333331</v>
      </c>
      <c r="BU185" s="719">
        <f t="shared" si="296"/>
        <v>0.33333333333333331</v>
      </c>
      <c r="BV185" s="719">
        <f t="shared" si="297"/>
        <v>0.33333333333333331</v>
      </c>
      <c r="BW185" s="719">
        <f t="shared" si="298"/>
        <v>0.33333333333333331</v>
      </c>
      <c r="BX185" s="719">
        <f t="shared" si="299"/>
        <v>0.33333333333333331</v>
      </c>
      <c r="BY185" s="719">
        <f t="shared" si="300"/>
        <v>0.33333333333333331</v>
      </c>
      <c r="BZ185" s="719">
        <f t="shared" si="301"/>
        <v>0.33333333333333331</v>
      </c>
      <c r="CA185" s="719">
        <f t="shared" si="302"/>
        <v>0.33333333333333331</v>
      </c>
      <c r="CB185" s="748">
        <f t="shared" si="303"/>
        <v>0</v>
      </c>
      <c r="CC185" s="719">
        <f t="shared" si="304"/>
        <v>0</v>
      </c>
      <c r="CD185" s="719">
        <f t="shared" si="305"/>
        <v>0</v>
      </c>
      <c r="CF185" s="518" t="s">
        <v>238</v>
      </c>
      <c r="CG185" s="455" t="s">
        <v>570</v>
      </c>
      <c r="CH185" s="456" t="s">
        <v>228</v>
      </c>
      <c r="CI185" s="461">
        <v>0.33333333333333331</v>
      </c>
      <c r="CJ185" s="461">
        <v>0.33333333333333331</v>
      </c>
      <c r="CK185" s="461">
        <v>0.33333333333333331</v>
      </c>
      <c r="CL185" s="461">
        <v>0.33333333333333331</v>
      </c>
      <c r="CM185" s="461">
        <v>0.33333333333333331</v>
      </c>
      <c r="CN185" s="461">
        <v>0.33333333333333331</v>
      </c>
      <c r="CO185" s="461">
        <v>0.33333333333333331</v>
      </c>
      <c r="CP185" s="461">
        <v>0.33333333333333331</v>
      </c>
      <c r="CQ185" s="461">
        <v>0.33333333333333331</v>
      </c>
      <c r="CR185" s="461">
        <v>0.33333333333333331</v>
      </c>
      <c r="CS185" s="462"/>
      <c r="CT185" s="461"/>
      <c r="CU185" s="461"/>
      <c r="CW185" s="518" t="s">
        <v>238</v>
      </c>
      <c r="CX185" s="455" t="s">
        <v>570</v>
      </c>
      <c r="CY185" s="456" t="s">
        <v>228</v>
      </c>
      <c r="CZ185" s="461">
        <v>0.33333333333333331</v>
      </c>
      <c r="DA185" s="461">
        <v>0.33333333333333331</v>
      </c>
      <c r="DB185" s="461">
        <v>0.33333333333333331</v>
      </c>
      <c r="DC185" s="461">
        <v>0.33333333333333331</v>
      </c>
      <c r="DD185" s="461">
        <v>0.33333333333333331</v>
      </c>
      <c r="DE185" s="461">
        <v>0.33333333333333331</v>
      </c>
      <c r="DF185" s="461">
        <v>0.33333333333333331</v>
      </c>
      <c r="DG185" s="461">
        <v>0.33333333333333331</v>
      </c>
      <c r="DH185" s="461">
        <v>0.33333333333333331</v>
      </c>
      <c r="DI185" s="461">
        <v>0.33333333333333331</v>
      </c>
      <c r="DJ185" s="462"/>
      <c r="DK185" s="461"/>
      <c r="DL185" s="461"/>
      <c r="DN185" s="518" t="s">
        <v>238</v>
      </c>
      <c r="DO185" s="455" t="s">
        <v>570</v>
      </c>
      <c r="DP185" s="456" t="s">
        <v>228</v>
      </c>
      <c r="DQ185" s="461">
        <v>0.33333333333333331</v>
      </c>
      <c r="DR185" s="461">
        <v>0.33333333333333331</v>
      </c>
      <c r="DS185" s="461">
        <v>0.33333333333333331</v>
      </c>
      <c r="DT185" s="461">
        <v>0.33333333333333331</v>
      </c>
      <c r="DU185" s="461">
        <v>0.33333333333333331</v>
      </c>
      <c r="DV185" s="461">
        <v>0.33333333333333331</v>
      </c>
      <c r="DW185" s="461">
        <v>0.33333333333333331</v>
      </c>
      <c r="DX185" s="461">
        <v>0.33333333333333331</v>
      </c>
      <c r="DY185" s="461">
        <v>0.33333333333333331</v>
      </c>
      <c r="DZ185" s="461">
        <v>0.33333333333333331</v>
      </c>
      <c r="EA185" s="461"/>
      <c r="EB185" s="461"/>
      <c r="EC185" s="461"/>
      <c r="ED185" s="555"/>
      <c r="EF185" s="518" t="s">
        <v>238</v>
      </c>
      <c r="EG185" s="455" t="s">
        <v>570</v>
      </c>
      <c r="EH185" s="456" t="s">
        <v>228</v>
      </c>
      <c r="EI185" s="609">
        <f t="shared" si="329"/>
        <v>0.33333333333333331</v>
      </c>
      <c r="EJ185" s="609">
        <f t="shared" si="330"/>
        <v>0.33333333333333331</v>
      </c>
      <c r="EK185" s="609">
        <f t="shared" si="331"/>
        <v>0.33333333333333331</v>
      </c>
      <c r="EL185" s="609">
        <f t="shared" si="332"/>
        <v>0.33333333333333331</v>
      </c>
      <c r="EM185" s="609">
        <f t="shared" si="333"/>
        <v>0.33333333333333331</v>
      </c>
      <c r="EN185" s="609">
        <f t="shared" si="334"/>
        <v>0.33333333333333331</v>
      </c>
      <c r="EO185" s="609">
        <f t="shared" si="335"/>
        <v>0.33333333333333331</v>
      </c>
      <c r="EP185" s="609">
        <f t="shared" si="336"/>
        <v>0.33333333333333331</v>
      </c>
      <c r="EQ185" s="609">
        <f t="shared" si="337"/>
        <v>0.33333333333333331</v>
      </c>
      <c r="ER185" s="609">
        <f t="shared" si="338"/>
        <v>0.33333333333333331</v>
      </c>
      <c r="ES185" s="609">
        <f t="shared" si="339"/>
        <v>0</v>
      </c>
      <c r="ET185" s="609">
        <f t="shared" si="340"/>
        <v>0</v>
      </c>
      <c r="EU185" s="609">
        <f t="shared" si="341"/>
        <v>0</v>
      </c>
      <c r="EW185" s="518" t="s">
        <v>238</v>
      </c>
      <c r="EX185" s="455" t="s">
        <v>570</v>
      </c>
      <c r="EY185" s="456"/>
      <c r="EZ185" s="666">
        <v>0</v>
      </c>
      <c r="FA185" s="598"/>
      <c r="FB185" s="598"/>
      <c r="FC185" s="598"/>
      <c r="FD185" s="598"/>
      <c r="FE185" s="598"/>
      <c r="FF185" s="598"/>
      <c r="FG185" s="598"/>
      <c r="FH185" s="598"/>
      <c r="FI185" s="598"/>
      <c r="FJ185" s="598"/>
      <c r="FK185" s="598"/>
      <c r="FL185" s="598"/>
    </row>
    <row r="186" spans="2:168">
      <c r="B186" s="732" t="str">
        <f t="shared" si="274"/>
        <v>3.1.2</v>
      </c>
      <c r="C186" s="408" t="str">
        <f t="shared" si="285"/>
        <v>振動</v>
      </c>
      <c r="D186" s="731" t="e">
        <f t="shared" si="342"/>
        <v>#REF!</v>
      </c>
      <c r="E186" s="731" t="e">
        <f t="shared" si="342"/>
        <v>#REF!</v>
      </c>
      <c r="G186" s="730" t="e">
        <f t="shared" si="287"/>
        <v>#REF!</v>
      </c>
      <c r="H186" s="730" t="e">
        <f t="shared" si="288"/>
        <v>#REF!</v>
      </c>
      <c r="I186" s="730"/>
      <c r="J186" s="730"/>
      <c r="K186" s="730" t="e">
        <f>IF(#REF!=0,0,1)</f>
        <v>#REF!</v>
      </c>
      <c r="L186" s="730" t="e">
        <f>IF(#REF!=0,0,1)</f>
        <v>#REF!</v>
      </c>
      <c r="M186" s="730">
        <f t="shared" si="289"/>
        <v>0.33333333333333331</v>
      </c>
      <c r="N186" s="730">
        <f t="shared" si="343"/>
        <v>0</v>
      </c>
      <c r="P186" s="729"/>
      <c r="Q186" s="728"/>
      <c r="R186" s="727">
        <v>2</v>
      </c>
      <c r="S186" s="743" t="s">
        <v>440</v>
      </c>
      <c r="T186" s="745"/>
      <c r="U186" s="726"/>
      <c r="V186" s="747">
        <f t="shared" si="322"/>
        <v>0</v>
      </c>
      <c r="W186" s="746">
        <f t="shared" si="323"/>
        <v>0</v>
      </c>
      <c r="Y186" s="1">
        <f t="shared" si="306"/>
        <v>0</v>
      </c>
      <c r="Z186" s="1">
        <f t="shared" si="307"/>
        <v>0</v>
      </c>
      <c r="AA186" s="1">
        <f t="shared" si="308"/>
        <v>0</v>
      </c>
      <c r="AB186" s="1">
        <f t="shared" si="309"/>
        <v>0</v>
      </c>
      <c r="AC186" s="1">
        <f t="shared" si="310"/>
        <v>0</v>
      </c>
      <c r="AD186" s="1">
        <f t="shared" si="311"/>
        <v>0</v>
      </c>
      <c r="AE186" s="1">
        <f t="shared" si="312"/>
        <v>0</v>
      </c>
      <c r="AF186" s="1">
        <f t="shared" si="313"/>
        <v>0</v>
      </c>
      <c r="AG186" s="1">
        <f t="shared" si="314"/>
        <v>0</v>
      </c>
      <c r="AH186" s="1">
        <f t="shared" si="315"/>
        <v>0</v>
      </c>
      <c r="AI186" s="1">
        <f t="shared" si="316"/>
        <v>0</v>
      </c>
      <c r="AJ186" s="1">
        <f t="shared" si="317"/>
        <v>0</v>
      </c>
      <c r="AK186" s="1">
        <f t="shared" si="318"/>
        <v>0</v>
      </c>
      <c r="AM186" s="680"/>
      <c r="AN186" s="680"/>
      <c r="AO186" s="680"/>
      <c r="AP186" s="680"/>
      <c r="AQ186" s="680"/>
      <c r="AR186" s="680"/>
      <c r="AS186" s="680"/>
      <c r="AT186" s="680"/>
      <c r="AU186" s="680"/>
      <c r="AV186" s="680"/>
      <c r="AW186" s="680"/>
      <c r="AX186" s="680"/>
      <c r="AY186" s="680"/>
      <c r="BA186" s="723"/>
      <c r="BB186" s="723" t="e">
        <f t="shared" si="324"/>
        <v>#REF!</v>
      </c>
      <c r="BC186" s="723"/>
      <c r="BD186" s="722" t="e">
        <f>BR186*#REF!</f>
        <v>#REF!</v>
      </c>
      <c r="BE186" s="722" t="e">
        <f>BS186*#REF!</f>
        <v>#REF!</v>
      </c>
      <c r="BF186" s="722" t="e">
        <f>BT186*#REF!</f>
        <v>#REF!</v>
      </c>
      <c r="BG186" s="722" t="e">
        <f>BU186*#REF!</f>
        <v>#REF!</v>
      </c>
      <c r="BH186" s="722" t="e">
        <f>BV186*#REF!</f>
        <v>#REF!</v>
      </c>
      <c r="BI186" s="722" t="e">
        <f>BW186*#REF!</f>
        <v>#REF!</v>
      </c>
      <c r="BJ186" s="722" t="e">
        <f>BX186*#REF!</f>
        <v>#REF!</v>
      </c>
      <c r="BK186" s="722" t="e">
        <f>BY186*#REF!</f>
        <v>#REF!</v>
      </c>
      <c r="BL186" s="722" t="e">
        <f>BZ186*#REF!</f>
        <v>#REF!</v>
      </c>
      <c r="BM186" s="722" t="e">
        <f>CA186*#REF!</f>
        <v>#REF!</v>
      </c>
      <c r="BO186" s="384" t="str">
        <f t="shared" si="290"/>
        <v>3.1.2</v>
      </c>
      <c r="BP186" s="749" t="str">
        <f t="shared" si="291"/>
        <v>LR3 3.1</v>
      </c>
      <c r="BQ186" s="408" t="str">
        <f t="shared" si="292"/>
        <v>振動</v>
      </c>
      <c r="BR186" s="719">
        <f t="shared" si="293"/>
        <v>0.33333333333333331</v>
      </c>
      <c r="BS186" s="719">
        <f t="shared" si="294"/>
        <v>0.33333333333333331</v>
      </c>
      <c r="BT186" s="719">
        <f t="shared" si="295"/>
        <v>0.33333333333333331</v>
      </c>
      <c r="BU186" s="719">
        <f t="shared" si="296"/>
        <v>0.33333333333333331</v>
      </c>
      <c r="BV186" s="719">
        <f t="shared" si="297"/>
        <v>0.33333333333333331</v>
      </c>
      <c r="BW186" s="719">
        <f t="shared" si="298"/>
        <v>0.33333333333333331</v>
      </c>
      <c r="BX186" s="719">
        <f t="shared" si="299"/>
        <v>0.33333333333333331</v>
      </c>
      <c r="BY186" s="719">
        <f t="shared" si="300"/>
        <v>0.33333333333333331</v>
      </c>
      <c r="BZ186" s="719">
        <f t="shared" si="301"/>
        <v>0.33333333333333331</v>
      </c>
      <c r="CA186" s="719">
        <f t="shared" si="302"/>
        <v>0.33333333333333331</v>
      </c>
      <c r="CB186" s="748">
        <f t="shared" si="303"/>
        <v>0</v>
      </c>
      <c r="CC186" s="719">
        <f t="shared" si="304"/>
        <v>0</v>
      </c>
      <c r="CD186" s="719">
        <f t="shared" si="305"/>
        <v>0</v>
      </c>
      <c r="CF186" s="518" t="s">
        <v>239</v>
      </c>
      <c r="CG186" s="455" t="s">
        <v>570</v>
      </c>
      <c r="CH186" s="456" t="s">
        <v>571</v>
      </c>
      <c r="CI186" s="461">
        <v>0.33333333333333331</v>
      </c>
      <c r="CJ186" s="461">
        <v>0.33333333333333331</v>
      </c>
      <c r="CK186" s="461">
        <v>0.33333333333333331</v>
      </c>
      <c r="CL186" s="461">
        <v>0.33333333333333331</v>
      </c>
      <c r="CM186" s="461">
        <v>0.33333333333333331</v>
      </c>
      <c r="CN186" s="461">
        <v>0.33333333333333331</v>
      </c>
      <c r="CO186" s="461">
        <v>0.33333333333333331</v>
      </c>
      <c r="CP186" s="461">
        <v>0.33333333333333331</v>
      </c>
      <c r="CQ186" s="461">
        <v>0.33333333333333331</v>
      </c>
      <c r="CR186" s="461">
        <v>0.33333333333333331</v>
      </c>
      <c r="CS186" s="462"/>
      <c r="CT186" s="461"/>
      <c r="CU186" s="461"/>
      <c r="CW186" s="518" t="s">
        <v>239</v>
      </c>
      <c r="CX186" s="455" t="s">
        <v>570</v>
      </c>
      <c r="CY186" s="456" t="s">
        <v>571</v>
      </c>
      <c r="CZ186" s="461">
        <v>0.33333333333333331</v>
      </c>
      <c r="DA186" s="461">
        <v>0.33333333333333331</v>
      </c>
      <c r="DB186" s="461">
        <v>0.33333333333333331</v>
      </c>
      <c r="DC186" s="461">
        <v>0.33333333333333331</v>
      </c>
      <c r="DD186" s="461">
        <v>0.33333333333333331</v>
      </c>
      <c r="DE186" s="461">
        <v>0.33333333333333331</v>
      </c>
      <c r="DF186" s="461">
        <v>0.33333333333333331</v>
      </c>
      <c r="DG186" s="461">
        <v>0.33333333333333331</v>
      </c>
      <c r="DH186" s="461">
        <v>0.33333333333333331</v>
      </c>
      <c r="DI186" s="461">
        <v>0.33333333333333331</v>
      </c>
      <c r="DJ186" s="462"/>
      <c r="DK186" s="461"/>
      <c r="DL186" s="461"/>
      <c r="DN186" s="518" t="s">
        <v>239</v>
      </c>
      <c r="DO186" s="455" t="s">
        <v>570</v>
      </c>
      <c r="DP186" s="456" t="s">
        <v>571</v>
      </c>
      <c r="DQ186" s="461">
        <v>0.33333333333333331</v>
      </c>
      <c r="DR186" s="461">
        <v>0.33333333333333331</v>
      </c>
      <c r="DS186" s="461">
        <v>0.33333333333333331</v>
      </c>
      <c r="DT186" s="461">
        <v>0.33333333333333331</v>
      </c>
      <c r="DU186" s="461">
        <v>0.33333333333333331</v>
      </c>
      <c r="DV186" s="461">
        <v>0.33333333333333331</v>
      </c>
      <c r="DW186" s="461">
        <v>0.33333333333333331</v>
      </c>
      <c r="DX186" s="461">
        <v>0.33333333333333331</v>
      </c>
      <c r="DY186" s="461">
        <v>0.33333333333333331</v>
      </c>
      <c r="DZ186" s="461">
        <v>0.33333333333333331</v>
      </c>
      <c r="EA186" s="461"/>
      <c r="EB186" s="461"/>
      <c r="EC186" s="461"/>
      <c r="ED186" s="555"/>
      <c r="EF186" s="518" t="s">
        <v>239</v>
      </c>
      <c r="EG186" s="455" t="s">
        <v>570</v>
      </c>
      <c r="EH186" s="456" t="s">
        <v>571</v>
      </c>
      <c r="EI186" s="609">
        <f t="shared" si="329"/>
        <v>0.33333333333333331</v>
      </c>
      <c r="EJ186" s="609">
        <f t="shared" si="330"/>
        <v>0.33333333333333331</v>
      </c>
      <c r="EK186" s="609">
        <f t="shared" si="331"/>
        <v>0.33333333333333331</v>
      </c>
      <c r="EL186" s="609">
        <f t="shared" si="332"/>
        <v>0.33333333333333331</v>
      </c>
      <c r="EM186" s="609">
        <f t="shared" si="333"/>
        <v>0.33333333333333331</v>
      </c>
      <c r="EN186" s="609">
        <f t="shared" si="334"/>
        <v>0.33333333333333331</v>
      </c>
      <c r="EO186" s="609">
        <f t="shared" si="335"/>
        <v>0.33333333333333331</v>
      </c>
      <c r="EP186" s="609">
        <f t="shared" si="336"/>
        <v>0.33333333333333331</v>
      </c>
      <c r="EQ186" s="609">
        <f t="shared" si="337"/>
        <v>0.33333333333333331</v>
      </c>
      <c r="ER186" s="609">
        <f t="shared" si="338"/>
        <v>0.33333333333333331</v>
      </c>
      <c r="ES186" s="609">
        <f t="shared" si="339"/>
        <v>0</v>
      </c>
      <c r="ET186" s="609">
        <f t="shared" si="340"/>
        <v>0</v>
      </c>
      <c r="EU186" s="609">
        <f t="shared" si="341"/>
        <v>0</v>
      </c>
      <c r="EW186" s="518" t="s">
        <v>239</v>
      </c>
      <c r="EX186" s="455" t="s">
        <v>570</v>
      </c>
      <c r="EY186" s="456"/>
      <c r="EZ186" s="666">
        <v>0</v>
      </c>
      <c r="FA186" s="598"/>
      <c r="FB186" s="598"/>
      <c r="FC186" s="598"/>
      <c r="FD186" s="598"/>
      <c r="FE186" s="598"/>
      <c r="FF186" s="598"/>
      <c r="FG186" s="598"/>
      <c r="FH186" s="598"/>
      <c r="FI186" s="598"/>
      <c r="FJ186" s="598"/>
      <c r="FK186" s="598"/>
      <c r="FL186" s="598"/>
    </row>
    <row r="187" spans="2:168" ht="14.25" thickBot="1">
      <c r="B187" s="732" t="str">
        <f t="shared" si="274"/>
        <v>3.1.3</v>
      </c>
      <c r="C187" s="408" t="str">
        <f t="shared" si="285"/>
        <v>悪臭</v>
      </c>
      <c r="D187" s="731" t="e">
        <f t="shared" si="342"/>
        <v>#REF!</v>
      </c>
      <c r="E187" s="731" t="e">
        <f t="shared" si="342"/>
        <v>#REF!</v>
      </c>
      <c r="G187" s="730" t="e">
        <f t="shared" si="287"/>
        <v>#REF!</v>
      </c>
      <c r="H187" s="730" t="e">
        <f t="shared" si="288"/>
        <v>#REF!</v>
      </c>
      <c r="I187" s="730"/>
      <c r="J187" s="730"/>
      <c r="K187" s="730" t="e">
        <f>IF(#REF!=0,0,1)</f>
        <v>#REF!</v>
      </c>
      <c r="L187" s="730" t="e">
        <f>IF(#REF!=0,0,1)</f>
        <v>#REF!</v>
      </c>
      <c r="M187" s="730">
        <f t="shared" si="289"/>
        <v>0.33333333333333331</v>
      </c>
      <c r="N187" s="730">
        <f t="shared" si="343"/>
        <v>0</v>
      </c>
      <c r="P187" s="729"/>
      <c r="Q187" s="728"/>
      <c r="R187" s="414">
        <v>3</v>
      </c>
      <c r="S187" s="743" t="s">
        <v>441</v>
      </c>
      <c r="T187" s="745"/>
      <c r="U187" s="726"/>
      <c r="V187" s="725">
        <f t="shared" si="322"/>
        <v>0</v>
      </c>
      <c r="W187" s="724">
        <f t="shared" si="323"/>
        <v>0</v>
      </c>
      <c r="Y187" s="1">
        <f t="shared" si="306"/>
        <v>0</v>
      </c>
      <c r="Z187" s="1">
        <f t="shared" si="307"/>
        <v>0</v>
      </c>
      <c r="AA187" s="1">
        <f t="shared" si="308"/>
        <v>0</v>
      </c>
      <c r="AB187" s="1">
        <f t="shared" si="309"/>
        <v>0</v>
      </c>
      <c r="AC187" s="1">
        <f t="shared" si="310"/>
        <v>0</v>
      </c>
      <c r="AD187" s="1">
        <f t="shared" si="311"/>
        <v>0</v>
      </c>
      <c r="AE187" s="1">
        <f t="shared" si="312"/>
        <v>0</v>
      </c>
      <c r="AF187" s="1">
        <f t="shared" si="313"/>
        <v>0</v>
      </c>
      <c r="AG187" s="1">
        <f t="shared" si="314"/>
        <v>0</v>
      </c>
      <c r="AH187" s="1">
        <f t="shared" si="315"/>
        <v>0</v>
      </c>
      <c r="AI187" s="1">
        <f t="shared" si="316"/>
        <v>0</v>
      </c>
      <c r="AJ187" s="1">
        <f t="shared" si="317"/>
        <v>0</v>
      </c>
      <c r="AK187" s="1">
        <f t="shared" si="318"/>
        <v>0</v>
      </c>
      <c r="AM187" s="683"/>
      <c r="AN187" s="683"/>
      <c r="AO187" s="683"/>
      <c r="AP187" s="683"/>
      <c r="AQ187" s="683"/>
      <c r="AR187" s="683"/>
      <c r="AS187" s="683"/>
      <c r="AT187" s="683"/>
      <c r="AU187" s="683"/>
      <c r="AV187" s="683"/>
      <c r="AW187" s="683"/>
      <c r="AX187" s="683"/>
      <c r="AY187" s="683"/>
      <c r="BA187" s="723"/>
      <c r="BB187" s="723" t="e">
        <f t="shared" si="324"/>
        <v>#REF!</v>
      </c>
      <c r="BC187" s="723"/>
      <c r="BD187" s="722" t="e">
        <f>BR187*#REF!</f>
        <v>#REF!</v>
      </c>
      <c r="BE187" s="722" t="e">
        <f>BS187*#REF!</f>
        <v>#REF!</v>
      </c>
      <c r="BF187" s="722" t="e">
        <f>BT187*#REF!</f>
        <v>#REF!</v>
      </c>
      <c r="BG187" s="722" t="e">
        <f>BU187*#REF!</f>
        <v>#REF!</v>
      </c>
      <c r="BH187" s="722" t="e">
        <f>BV187*#REF!</f>
        <v>#REF!</v>
      </c>
      <c r="BI187" s="722" t="e">
        <f>BW187*#REF!</f>
        <v>#REF!</v>
      </c>
      <c r="BJ187" s="722" t="e">
        <f>BX187*#REF!</f>
        <v>#REF!</v>
      </c>
      <c r="BK187" s="722" t="e">
        <f>BY187*#REF!</f>
        <v>#REF!</v>
      </c>
      <c r="BL187" s="722" t="e">
        <f>BZ187*#REF!</f>
        <v>#REF!</v>
      </c>
      <c r="BM187" s="722" t="e">
        <f>CA187*#REF!</f>
        <v>#REF!</v>
      </c>
      <c r="BO187" s="384" t="str">
        <f t="shared" si="290"/>
        <v>3.1.3</v>
      </c>
      <c r="BP187" s="749" t="str">
        <f t="shared" si="291"/>
        <v>LR3 3.1</v>
      </c>
      <c r="BQ187" s="408" t="str">
        <f t="shared" si="292"/>
        <v>悪臭</v>
      </c>
      <c r="BR187" s="719">
        <f t="shared" si="293"/>
        <v>0.33333333333333331</v>
      </c>
      <c r="BS187" s="719">
        <f t="shared" si="294"/>
        <v>0.33333333333333331</v>
      </c>
      <c r="BT187" s="719">
        <f t="shared" si="295"/>
        <v>0.33333333333333331</v>
      </c>
      <c r="BU187" s="719">
        <f t="shared" si="296"/>
        <v>0.33333333333333331</v>
      </c>
      <c r="BV187" s="719">
        <f t="shared" si="297"/>
        <v>0.33333333333333331</v>
      </c>
      <c r="BW187" s="719">
        <f t="shared" si="298"/>
        <v>0.33333333333333331</v>
      </c>
      <c r="BX187" s="719">
        <f t="shared" si="299"/>
        <v>0.33333333333333331</v>
      </c>
      <c r="BY187" s="719">
        <f t="shared" si="300"/>
        <v>0.33333333333333331</v>
      </c>
      <c r="BZ187" s="719">
        <f t="shared" si="301"/>
        <v>0.33333333333333331</v>
      </c>
      <c r="CA187" s="719">
        <f t="shared" si="302"/>
        <v>0.33333333333333331</v>
      </c>
      <c r="CB187" s="748">
        <f t="shared" si="303"/>
        <v>0</v>
      </c>
      <c r="CC187" s="719">
        <f t="shared" si="304"/>
        <v>0</v>
      </c>
      <c r="CD187" s="719">
        <f t="shared" si="305"/>
        <v>0</v>
      </c>
      <c r="CF187" s="518" t="s">
        <v>811</v>
      </c>
      <c r="CG187" s="455" t="s">
        <v>570</v>
      </c>
      <c r="CH187" s="456" t="s">
        <v>514</v>
      </c>
      <c r="CI187" s="461">
        <v>0.33333333333333331</v>
      </c>
      <c r="CJ187" s="461">
        <v>0.33333333333333331</v>
      </c>
      <c r="CK187" s="461">
        <v>0.33333333333333331</v>
      </c>
      <c r="CL187" s="461">
        <v>0.33333333333333331</v>
      </c>
      <c r="CM187" s="461">
        <v>0.33333333333333331</v>
      </c>
      <c r="CN187" s="461">
        <v>0.33333333333333331</v>
      </c>
      <c r="CO187" s="461">
        <v>0.33333333333333331</v>
      </c>
      <c r="CP187" s="461">
        <v>0.33333333333333331</v>
      </c>
      <c r="CQ187" s="461">
        <v>0.33333333333333331</v>
      </c>
      <c r="CR187" s="461">
        <v>0.33333333333333331</v>
      </c>
      <c r="CS187" s="462"/>
      <c r="CT187" s="461"/>
      <c r="CU187" s="461"/>
      <c r="CW187" s="518" t="s">
        <v>240</v>
      </c>
      <c r="CX187" s="455" t="s">
        <v>570</v>
      </c>
      <c r="CY187" s="456" t="s">
        <v>514</v>
      </c>
      <c r="CZ187" s="461">
        <v>0.33333333333333331</v>
      </c>
      <c r="DA187" s="461">
        <v>0.33333333333333331</v>
      </c>
      <c r="DB187" s="461">
        <v>0.33333333333333331</v>
      </c>
      <c r="DC187" s="461">
        <v>0.33333333333333331</v>
      </c>
      <c r="DD187" s="461">
        <v>0.33333333333333331</v>
      </c>
      <c r="DE187" s="461">
        <v>0.33333333333333331</v>
      </c>
      <c r="DF187" s="461">
        <v>0.33333333333333331</v>
      </c>
      <c r="DG187" s="461">
        <v>0.33333333333333331</v>
      </c>
      <c r="DH187" s="461">
        <v>0.33333333333333331</v>
      </c>
      <c r="DI187" s="461">
        <v>0.33333333333333331</v>
      </c>
      <c r="DJ187" s="462"/>
      <c r="DK187" s="461"/>
      <c r="DL187" s="461"/>
      <c r="DN187" s="518" t="s">
        <v>240</v>
      </c>
      <c r="DO187" s="455" t="s">
        <v>570</v>
      </c>
      <c r="DP187" s="456" t="s">
        <v>514</v>
      </c>
      <c r="DQ187" s="461">
        <v>0.33333333333333331</v>
      </c>
      <c r="DR187" s="461">
        <v>0.33333333333333331</v>
      </c>
      <c r="DS187" s="461">
        <v>0.33333333333333331</v>
      </c>
      <c r="DT187" s="461">
        <v>0.33333333333333331</v>
      </c>
      <c r="DU187" s="461">
        <v>0.33333333333333331</v>
      </c>
      <c r="DV187" s="461">
        <v>0.33333333333333331</v>
      </c>
      <c r="DW187" s="461">
        <v>0.33333333333333331</v>
      </c>
      <c r="DX187" s="461">
        <v>0.33333333333333331</v>
      </c>
      <c r="DY187" s="461">
        <v>0.33333333333333331</v>
      </c>
      <c r="DZ187" s="461">
        <v>0.33333333333333331</v>
      </c>
      <c r="EA187" s="461"/>
      <c r="EB187" s="461"/>
      <c r="EC187" s="461"/>
      <c r="ED187" s="555"/>
      <c r="EF187" s="518" t="s">
        <v>240</v>
      </c>
      <c r="EG187" s="455" t="s">
        <v>570</v>
      </c>
      <c r="EH187" s="456" t="s">
        <v>514</v>
      </c>
      <c r="EI187" s="609">
        <f t="shared" si="329"/>
        <v>0.33333333333333331</v>
      </c>
      <c r="EJ187" s="609">
        <f t="shared" si="330"/>
        <v>0.33333333333333331</v>
      </c>
      <c r="EK187" s="609">
        <f t="shared" si="331"/>
        <v>0.33333333333333331</v>
      </c>
      <c r="EL187" s="609">
        <f t="shared" si="332"/>
        <v>0.33333333333333331</v>
      </c>
      <c r="EM187" s="609">
        <f t="shared" si="333"/>
        <v>0.33333333333333331</v>
      </c>
      <c r="EN187" s="609">
        <f t="shared" si="334"/>
        <v>0.33333333333333331</v>
      </c>
      <c r="EO187" s="609">
        <f t="shared" si="335"/>
        <v>0.33333333333333331</v>
      </c>
      <c r="EP187" s="609">
        <f t="shared" si="336"/>
        <v>0.33333333333333331</v>
      </c>
      <c r="EQ187" s="609">
        <f t="shared" si="337"/>
        <v>0.33333333333333331</v>
      </c>
      <c r="ER187" s="609">
        <f t="shared" si="338"/>
        <v>0.33333333333333331</v>
      </c>
      <c r="ES187" s="609">
        <f t="shared" si="339"/>
        <v>0</v>
      </c>
      <c r="ET187" s="609">
        <f t="shared" si="340"/>
        <v>0</v>
      </c>
      <c r="EU187" s="609">
        <f t="shared" si="341"/>
        <v>0</v>
      </c>
      <c r="EW187" s="518" t="s">
        <v>240</v>
      </c>
      <c r="EX187" s="455" t="s">
        <v>570</v>
      </c>
      <c r="EY187" s="456"/>
      <c r="EZ187" s="666">
        <v>0</v>
      </c>
      <c r="FA187" s="598"/>
      <c r="FB187" s="598"/>
      <c r="FC187" s="598"/>
      <c r="FD187" s="598"/>
      <c r="FE187" s="598"/>
      <c r="FF187" s="598"/>
      <c r="FG187" s="598"/>
      <c r="FH187" s="598"/>
      <c r="FI187" s="598"/>
      <c r="FJ187" s="598"/>
      <c r="FK187" s="598"/>
      <c r="FL187" s="598"/>
    </row>
    <row r="188" spans="2:168" ht="14.25" thickBot="1">
      <c r="B188" s="732" t="str">
        <f t="shared" si="274"/>
        <v>3.2</v>
      </c>
      <c r="C188" s="408" t="str">
        <f t="shared" si="285"/>
        <v>風害・砂塵、日照阻害の抑制</v>
      </c>
      <c r="D188" s="731" t="e">
        <f>IF(I$183=0,0,G188/I$183)</f>
        <v>#REF!</v>
      </c>
      <c r="E188" s="731" t="e">
        <f>IF(J$183=0,0,H188/J$183)</f>
        <v>#REF!</v>
      </c>
      <c r="G188" s="730" t="e">
        <f t="shared" si="287"/>
        <v>#REF!</v>
      </c>
      <c r="H188" s="730" t="e">
        <f t="shared" si="288"/>
        <v>#REF!</v>
      </c>
      <c r="I188" s="730" t="e">
        <f>SUM(G189:G191)</f>
        <v>#REF!</v>
      </c>
      <c r="J188" s="730" t="e">
        <f>SUM(H189:H191)</f>
        <v>#REF!</v>
      </c>
      <c r="K188" s="730" t="e">
        <f>IF(#REF!=0,0,1)</f>
        <v>#REF!</v>
      </c>
      <c r="L188" s="730" t="e">
        <f>IF(#REF!=0,0,1)</f>
        <v>#REF!</v>
      </c>
      <c r="M188" s="730">
        <f t="shared" si="289"/>
        <v>0.4</v>
      </c>
      <c r="N188" s="730">
        <f t="shared" si="343"/>
        <v>0</v>
      </c>
      <c r="P188" s="729"/>
      <c r="Q188" s="744">
        <v>3.2</v>
      </c>
      <c r="R188" s="743" t="s">
        <v>559</v>
      </c>
      <c r="S188" s="742"/>
      <c r="T188" s="741"/>
      <c r="U188" s="726"/>
      <c r="V188" s="740">
        <f t="shared" si="322"/>
        <v>0</v>
      </c>
      <c r="W188" s="739">
        <f t="shared" si="323"/>
        <v>0</v>
      </c>
      <c r="Y188" s="1">
        <f t="shared" si="306"/>
        <v>0</v>
      </c>
      <c r="Z188" s="1">
        <f t="shared" si="307"/>
        <v>0</v>
      </c>
      <c r="AA188" s="1">
        <f t="shared" si="308"/>
        <v>0</v>
      </c>
      <c r="AB188" s="1">
        <f t="shared" si="309"/>
        <v>0</v>
      </c>
      <c r="AC188" s="1">
        <f t="shared" si="310"/>
        <v>0</v>
      </c>
      <c r="AD188" s="1">
        <f t="shared" si="311"/>
        <v>0</v>
      </c>
      <c r="AE188" s="1">
        <f t="shared" si="312"/>
        <v>0</v>
      </c>
      <c r="AF188" s="1">
        <f t="shared" si="313"/>
        <v>0</v>
      </c>
      <c r="AG188" s="1">
        <f t="shared" si="314"/>
        <v>0</v>
      </c>
      <c r="AH188" s="1">
        <f t="shared" si="315"/>
        <v>0</v>
      </c>
      <c r="AI188" s="1">
        <f t="shared" si="316"/>
        <v>0</v>
      </c>
      <c r="AJ188" s="1">
        <f t="shared" si="317"/>
        <v>0</v>
      </c>
      <c r="AK188" s="1">
        <f t="shared" si="318"/>
        <v>0</v>
      </c>
      <c r="AM188" s="738" t="s">
        <v>802</v>
      </c>
      <c r="AN188" s="738" t="s">
        <v>49</v>
      </c>
      <c r="AO188" s="738" t="s">
        <v>49</v>
      </c>
      <c r="AP188" s="738" t="s">
        <v>49</v>
      </c>
      <c r="AQ188" s="738" t="s">
        <v>49</v>
      </c>
      <c r="AR188" s="738" t="s">
        <v>49</v>
      </c>
      <c r="AS188" s="738" t="s">
        <v>49</v>
      </c>
      <c r="AT188" s="738" t="s">
        <v>802</v>
      </c>
      <c r="AU188" s="738" t="s">
        <v>49</v>
      </c>
      <c r="AV188" s="738" t="s">
        <v>810</v>
      </c>
      <c r="AW188" s="738" t="s">
        <v>809</v>
      </c>
      <c r="AX188" s="738" t="s">
        <v>802</v>
      </c>
      <c r="AY188" s="738" t="s">
        <v>802</v>
      </c>
      <c r="BA188" s="737"/>
      <c r="BB188" s="737" t="e">
        <f t="shared" si="324"/>
        <v>#REF!</v>
      </c>
      <c r="BC188" s="737"/>
      <c r="BD188" s="736" t="e">
        <f>BR188*#REF!</f>
        <v>#REF!</v>
      </c>
      <c r="BE188" s="736" t="e">
        <f>BS188*#REF!</f>
        <v>#REF!</v>
      </c>
      <c r="BF188" s="736" t="e">
        <f>BT188*#REF!</f>
        <v>#REF!</v>
      </c>
      <c r="BG188" s="736" t="e">
        <f>BU188*#REF!</f>
        <v>#REF!</v>
      </c>
      <c r="BH188" s="736" t="e">
        <f>BV188*#REF!</f>
        <v>#REF!</v>
      </c>
      <c r="BI188" s="736" t="e">
        <f>BW188*#REF!</f>
        <v>#REF!</v>
      </c>
      <c r="BJ188" s="736" t="e">
        <f>BX188*#REF!</f>
        <v>#REF!</v>
      </c>
      <c r="BK188" s="736" t="e">
        <f>BY188*#REF!</f>
        <v>#REF!</v>
      </c>
      <c r="BL188" s="736" t="e">
        <f>BZ188*#REF!</f>
        <v>#REF!</v>
      </c>
      <c r="BM188" s="736" t="e">
        <f>CA188*#REF!</f>
        <v>#REF!</v>
      </c>
      <c r="BO188" s="735" t="str">
        <f t="shared" si="290"/>
        <v>3.2</v>
      </c>
      <c r="BP188" s="721" t="str">
        <f t="shared" si="291"/>
        <v>LR3 3</v>
      </c>
      <c r="BQ188" s="408" t="str">
        <f t="shared" si="292"/>
        <v>風害・砂塵、日照阻害の抑制</v>
      </c>
      <c r="BR188" s="717">
        <f t="shared" si="293"/>
        <v>0.4</v>
      </c>
      <c r="BS188" s="717">
        <f t="shared" si="294"/>
        <v>0.4</v>
      </c>
      <c r="BT188" s="717">
        <f t="shared" si="295"/>
        <v>0.4</v>
      </c>
      <c r="BU188" s="717">
        <f t="shared" si="296"/>
        <v>0.4</v>
      </c>
      <c r="BV188" s="717">
        <f t="shared" si="297"/>
        <v>0.4</v>
      </c>
      <c r="BW188" s="717">
        <f t="shared" si="298"/>
        <v>0.4</v>
      </c>
      <c r="BX188" s="717">
        <f t="shared" si="299"/>
        <v>0.4</v>
      </c>
      <c r="BY188" s="717">
        <f t="shared" si="300"/>
        <v>0.4</v>
      </c>
      <c r="BZ188" s="717">
        <f t="shared" si="301"/>
        <v>0.4</v>
      </c>
      <c r="CA188" s="717">
        <f t="shared" si="302"/>
        <v>0.4</v>
      </c>
      <c r="CB188" s="718">
        <f t="shared" si="303"/>
        <v>0</v>
      </c>
      <c r="CC188" s="717">
        <f t="shared" si="304"/>
        <v>0</v>
      </c>
      <c r="CD188" s="717">
        <f t="shared" si="305"/>
        <v>0</v>
      </c>
      <c r="CF188" s="518" t="s">
        <v>331</v>
      </c>
      <c r="CG188" s="459" t="s">
        <v>569</v>
      </c>
      <c r="CH188" s="456" t="s">
        <v>808</v>
      </c>
      <c r="CI188" s="503">
        <v>0.4</v>
      </c>
      <c r="CJ188" s="503">
        <v>0.4</v>
      </c>
      <c r="CK188" s="503">
        <v>0.4</v>
      </c>
      <c r="CL188" s="503">
        <v>0.4</v>
      </c>
      <c r="CM188" s="503">
        <v>0.4</v>
      </c>
      <c r="CN188" s="503">
        <v>0.4</v>
      </c>
      <c r="CO188" s="503">
        <v>0.4</v>
      </c>
      <c r="CP188" s="503">
        <v>0.4</v>
      </c>
      <c r="CQ188" s="503">
        <v>0.4</v>
      </c>
      <c r="CR188" s="503">
        <v>0.4</v>
      </c>
      <c r="CS188" s="504"/>
      <c r="CT188" s="503"/>
      <c r="CU188" s="503"/>
      <c r="CW188" s="518" t="s">
        <v>331</v>
      </c>
      <c r="CX188" s="459" t="s">
        <v>569</v>
      </c>
      <c r="CY188" s="456" t="s">
        <v>807</v>
      </c>
      <c r="CZ188" s="503">
        <v>0.4</v>
      </c>
      <c r="DA188" s="503">
        <v>0.4</v>
      </c>
      <c r="DB188" s="503">
        <v>0.4</v>
      </c>
      <c r="DC188" s="503">
        <v>0.4</v>
      </c>
      <c r="DD188" s="503">
        <v>0.4</v>
      </c>
      <c r="DE188" s="503">
        <v>0.4</v>
      </c>
      <c r="DF188" s="503">
        <v>0.4</v>
      </c>
      <c r="DG188" s="503">
        <v>0.4</v>
      </c>
      <c r="DH188" s="503">
        <v>0.4</v>
      </c>
      <c r="DI188" s="503">
        <v>0.4</v>
      </c>
      <c r="DJ188" s="504"/>
      <c r="DK188" s="503"/>
      <c r="DL188" s="503"/>
      <c r="DN188" s="518" t="s">
        <v>331</v>
      </c>
      <c r="DO188" s="459" t="s">
        <v>569</v>
      </c>
      <c r="DP188" s="456" t="s">
        <v>135</v>
      </c>
      <c r="DQ188" s="503">
        <v>0.4</v>
      </c>
      <c r="DR188" s="503">
        <v>0.4</v>
      </c>
      <c r="DS188" s="503">
        <v>0.4</v>
      </c>
      <c r="DT188" s="503">
        <v>0.4</v>
      </c>
      <c r="DU188" s="503">
        <v>0.4</v>
      </c>
      <c r="DV188" s="503">
        <v>0.4</v>
      </c>
      <c r="DW188" s="503">
        <v>0.4</v>
      </c>
      <c r="DX188" s="503">
        <v>0.4</v>
      </c>
      <c r="DY188" s="503">
        <v>0.4</v>
      </c>
      <c r="DZ188" s="503">
        <v>0.4</v>
      </c>
      <c r="EA188" s="504"/>
      <c r="EB188" s="503"/>
      <c r="EC188" s="503"/>
      <c r="ED188" s="558"/>
      <c r="EF188" s="518" t="s">
        <v>331</v>
      </c>
      <c r="EG188" s="459" t="s">
        <v>569</v>
      </c>
      <c r="EH188" s="456" t="s">
        <v>135</v>
      </c>
      <c r="EI188" s="624">
        <f t="shared" si="329"/>
        <v>0.4</v>
      </c>
      <c r="EJ188" s="624">
        <f t="shared" si="330"/>
        <v>0.4</v>
      </c>
      <c r="EK188" s="624">
        <f t="shared" si="331"/>
        <v>0.4</v>
      </c>
      <c r="EL188" s="624">
        <f t="shared" si="332"/>
        <v>0.4</v>
      </c>
      <c r="EM188" s="624">
        <f t="shared" si="333"/>
        <v>0.4</v>
      </c>
      <c r="EN188" s="624">
        <f t="shared" si="334"/>
        <v>0.4</v>
      </c>
      <c r="EO188" s="624">
        <f t="shared" si="335"/>
        <v>0.4</v>
      </c>
      <c r="EP188" s="624">
        <f t="shared" si="336"/>
        <v>0.4</v>
      </c>
      <c r="EQ188" s="624">
        <f t="shared" si="337"/>
        <v>0.4</v>
      </c>
      <c r="ER188" s="624">
        <f t="shared" si="338"/>
        <v>0.4</v>
      </c>
      <c r="ES188" s="625">
        <f t="shared" si="339"/>
        <v>0</v>
      </c>
      <c r="ET188" s="624">
        <f t="shared" si="340"/>
        <v>0</v>
      </c>
      <c r="EU188" s="624">
        <f t="shared" si="341"/>
        <v>0</v>
      </c>
      <c r="EW188" s="518" t="s">
        <v>331</v>
      </c>
      <c r="EX188" s="459" t="s">
        <v>569</v>
      </c>
      <c r="EY188" s="456"/>
      <c r="EZ188" s="666">
        <v>0</v>
      </c>
      <c r="FA188" s="601"/>
      <c r="FB188" s="601"/>
      <c r="FC188" s="601"/>
      <c r="FD188" s="601"/>
      <c r="FE188" s="601"/>
      <c r="FF188" s="601"/>
      <c r="FG188" s="601"/>
      <c r="FH188" s="601"/>
      <c r="FI188" s="601"/>
      <c r="FJ188" s="657"/>
      <c r="FK188" s="601"/>
      <c r="FL188" s="601"/>
    </row>
    <row r="189" spans="2:168">
      <c r="B189" s="732" t="str">
        <f t="shared" si="274"/>
        <v>3.2.1</v>
      </c>
      <c r="C189" s="720" t="str">
        <f t="shared" si="285"/>
        <v>風害の抑制</v>
      </c>
      <c r="D189" s="731" t="e">
        <f t="shared" ref="D189:E191" si="344">IF(I$188=0,0,G189/I$188)</f>
        <v>#REF!</v>
      </c>
      <c r="E189" s="731" t="e">
        <f t="shared" si="344"/>
        <v>#REF!</v>
      </c>
      <c r="G189" s="730" t="e">
        <f t="shared" si="287"/>
        <v>#REF!</v>
      </c>
      <c r="H189" s="730" t="e">
        <f t="shared" si="288"/>
        <v>#REF!</v>
      </c>
      <c r="I189" s="730"/>
      <c r="J189" s="730"/>
      <c r="K189" s="730" t="e">
        <f>IF(#REF!=0,0,1)</f>
        <v>#REF!</v>
      </c>
      <c r="L189" s="730" t="e">
        <f>IF(#REF!=0,0,1)</f>
        <v>#REF!</v>
      </c>
      <c r="M189" s="730">
        <f t="shared" si="289"/>
        <v>0.7</v>
      </c>
      <c r="N189" s="730">
        <f t="shared" si="343"/>
        <v>0</v>
      </c>
      <c r="P189" s="729"/>
      <c r="Q189" s="728"/>
      <c r="R189" s="414">
        <v>1</v>
      </c>
      <c r="S189" s="743" t="s">
        <v>398</v>
      </c>
      <c r="T189" s="745"/>
      <c r="U189" s="726"/>
      <c r="V189" s="734">
        <f t="shared" si="322"/>
        <v>0</v>
      </c>
      <c r="W189" s="733">
        <f t="shared" si="323"/>
        <v>0</v>
      </c>
      <c r="Y189" s="1">
        <f t="shared" si="306"/>
        <v>0</v>
      </c>
      <c r="Z189" s="1">
        <f t="shared" si="307"/>
        <v>0</v>
      </c>
      <c r="AA189" s="1">
        <f t="shared" si="308"/>
        <v>0</v>
      </c>
      <c r="AB189" s="1">
        <f t="shared" si="309"/>
        <v>0</v>
      </c>
      <c r="AC189" s="1">
        <f t="shared" si="310"/>
        <v>0</v>
      </c>
      <c r="AD189" s="1">
        <f t="shared" si="311"/>
        <v>0</v>
      </c>
      <c r="AE189" s="1">
        <f t="shared" si="312"/>
        <v>0</v>
      </c>
      <c r="AF189" s="1">
        <f t="shared" si="313"/>
        <v>0</v>
      </c>
      <c r="AG189" s="1">
        <f t="shared" si="314"/>
        <v>0</v>
      </c>
      <c r="AH189" s="1">
        <f t="shared" si="315"/>
        <v>0</v>
      </c>
      <c r="AI189" s="1">
        <f t="shared" si="316"/>
        <v>0</v>
      </c>
      <c r="AJ189" s="1">
        <f t="shared" si="317"/>
        <v>0</v>
      </c>
      <c r="AK189" s="1">
        <f t="shared" si="318"/>
        <v>0</v>
      </c>
      <c r="AM189" s="679"/>
      <c r="AN189" s="679"/>
      <c r="AO189" s="679"/>
      <c r="AP189" s="679"/>
      <c r="AQ189" s="679"/>
      <c r="AR189" s="679"/>
      <c r="AS189" s="679"/>
      <c r="AT189" s="679"/>
      <c r="AU189" s="679"/>
      <c r="AV189" s="679"/>
      <c r="AW189" s="679"/>
      <c r="AX189" s="679"/>
      <c r="AY189" s="679"/>
      <c r="BA189" s="723"/>
      <c r="BB189" s="723" t="e">
        <f t="shared" si="324"/>
        <v>#REF!</v>
      </c>
      <c r="BC189" s="723"/>
      <c r="BD189" s="722" t="e">
        <f>BR189*#REF!</f>
        <v>#REF!</v>
      </c>
      <c r="BE189" s="722" t="e">
        <f>BS189*#REF!</f>
        <v>#REF!</v>
      </c>
      <c r="BF189" s="722" t="e">
        <f>BT189*#REF!</f>
        <v>#REF!</v>
      </c>
      <c r="BG189" s="722" t="e">
        <f>BU189*#REF!</f>
        <v>#REF!</v>
      </c>
      <c r="BH189" s="722" t="e">
        <f>BV189*#REF!</f>
        <v>#REF!</v>
      </c>
      <c r="BI189" s="722" t="e">
        <f>BW189*#REF!</f>
        <v>#REF!</v>
      </c>
      <c r="BJ189" s="722" t="e">
        <f>BX189*#REF!</f>
        <v>#REF!</v>
      </c>
      <c r="BK189" s="722" t="e">
        <f>BY189*#REF!</f>
        <v>#REF!</v>
      </c>
      <c r="BL189" s="722" t="e">
        <f>BZ189*#REF!</f>
        <v>#REF!</v>
      </c>
      <c r="BM189" s="722" t="e">
        <f>CA189*#REF!</f>
        <v>#REF!</v>
      </c>
      <c r="BO189" s="384" t="str">
        <f t="shared" si="290"/>
        <v>3.2.1</v>
      </c>
      <c r="BP189" s="721" t="str">
        <f t="shared" si="291"/>
        <v>LR3 3.2</v>
      </c>
      <c r="BQ189" s="720" t="str">
        <f t="shared" si="292"/>
        <v>風害の抑制</v>
      </c>
      <c r="BR189" s="719">
        <f t="shared" si="293"/>
        <v>0.7</v>
      </c>
      <c r="BS189" s="719">
        <f t="shared" si="294"/>
        <v>0.7</v>
      </c>
      <c r="BT189" s="719">
        <f t="shared" si="295"/>
        <v>0.7</v>
      </c>
      <c r="BU189" s="719">
        <f t="shared" si="296"/>
        <v>0.7</v>
      </c>
      <c r="BV189" s="719">
        <f t="shared" si="297"/>
        <v>0.7</v>
      </c>
      <c r="BW189" s="719">
        <f t="shared" si="298"/>
        <v>0.7</v>
      </c>
      <c r="BX189" s="719">
        <f t="shared" si="299"/>
        <v>0.6</v>
      </c>
      <c r="BY189" s="719">
        <f t="shared" si="300"/>
        <v>0.7</v>
      </c>
      <c r="BZ189" s="719">
        <f t="shared" si="301"/>
        <v>0.7</v>
      </c>
      <c r="CA189" s="719">
        <f t="shared" si="302"/>
        <v>0.7</v>
      </c>
      <c r="CB189" s="718">
        <f t="shared" si="303"/>
        <v>0</v>
      </c>
      <c r="CC189" s="717">
        <f t="shared" si="304"/>
        <v>0</v>
      </c>
      <c r="CD189" s="717">
        <f t="shared" si="305"/>
        <v>0</v>
      </c>
      <c r="CF189" s="518" t="s">
        <v>241</v>
      </c>
      <c r="CG189" s="459" t="s">
        <v>515</v>
      </c>
      <c r="CH189" s="519" t="s">
        <v>806</v>
      </c>
      <c r="CI189" s="461">
        <v>0.7</v>
      </c>
      <c r="CJ189" s="461">
        <v>0.7</v>
      </c>
      <c r="CK189" s="461">
        <v>0.7</v>
      </c>
      <c r="CL189" s="461">
        <v>0.7</v>
      </c>
      <c r="CM189" s="461">
        <v>0.7</v>
      </c>
      <c r="CN189" s="461">
        <v>0.7</v>
      </c>
      <c r="CO189" s="474">
        <v>0.6</v>
      </c>
      <c r="CP189" s="461">
        <v>0.7</v>
      </c>
      <c r="CQ189" s="461">
        <v>0.7</v>
      </c>
      <c r="CR189" s="461">
        <v>0.7</v>
      </c>
      <c r="CS189" s="504"/>
      <c r="CT189" s="503"/>
      <c r="CU189" s="503"/>
      <c r="CW189" s="518" t="s">
        <v>805</v>
      </c>
      <c r="CX189" s="459" t="s">
        <v>515</v>
      </c>
      <c r="CY189" s="519" t="s">
        <v>398</v>
      </c>
      <c r="CZ189" s="461">
        <v>0.7</v>
      </c>
      <c r="DA189" s="461">
        <v>0.7</v>
      </c>
      <c r="DB189" s="461">
        <v>0.7</v>
      </c>
      <c r="DC189" s="461">
        <v>0.7</v>
      </c>
      <c r="DD189" s="461">
        <v>0.7</v>
      </c>
      <c r="DE189" s="461">
        <v>0.7</v>
      </c>
      <c r="DF189" s="503">
        <v>0.6</v>
      </c>
      <c r="DG189" s="461">
        <v>0.7</v>
      </c>
      <c r="DH189" s="461">
        <v>0.7</v>
      </c>
      <c r="DI189" s="461">
        <v>0.7</v>
      </c>
      <c r="DJ189" s="504"/>
      <c r="DK189" s="503"/>
      <c r="DL189" s="503"/>
      <c r="DN189" s="518" t="s">
        <v>241</v>
      </c>
      <c r="DO189" s="459" t="s">
        <v>515</v>
      </c>
      <c r="DP189" s="519" t="s">
        <v>398</v>
      </c>
      <c r="DQ189" s="461">
        <v>0.7</v>
      </c>
      <c r="DR189" s="461">
        <v>0.7</v>
      </c>
      <c r="DS189" s="461">
        <v>0.7</v>
      </c>
      <c r="DT189" s="461">
        <v>0.7</v>
      </c>
      <c r="DU189" s="461">
        <v>0.7</v>
      </c>
      <c r="DV189" s="461">
        <v>0.7</v>
      </c>
      <c r="DW189" s="503">
        <v>0.6</v>
      </c>
      <c r="DX189" s="461">
        <v>0.7</v>
      </c>
      <c r="DY189" s="461">
        <v>0.7</v>
      </c>
      <c r="DZ189" s="461">
        <v>0.7</v>
      </c>
      <c r="EA189" s="504"/>
      <c r="EB189" s="503"/>
      <c r="EC189" s="503"/>
      <c r="ED189" s="558"/>
      <c r="EF189" s="518" t="s">
        <v>241</v>
      </c>
      <c r="EG189" s="459" t="s">
        <v>515</v>
      </c>
      <c r="EH189" s="519" t="s">
        <v>398</v>
      </c>
      <c r="EI189" s="609">
        <f t="shared" si="329"/>
        <v>0.7</v>
      </c>
      <c r="EJ189" s="609">
        <f t="shared" si="330"/>
        <v>0.7</v>
      </c>
      <c r="EK189" s="609">
        <f t="shared" si="331"/>
        <v>0.7</v>
      </c>
      <c r="EL189" s="609">
        <f t="shared" si="332"/>
        <v>0.7</v>
      </c>
      <c r="EM189" s="609">
        <f t="shared" si="333"/>
        <v>0.7</v>
      </c>
      <c r="EN189" s="609">
        <f t="shared" si="334"/>
        <v>0.7</v>
      </c>
      <c r="EO189" s="624">
        <f t="shared" si="335"/>
        <v>0.6</v>
      </c>
      <c r="EP189" s="609">
        <f t="shared" si="336"/>
        <v>0.7</v>
      </c>
      <c r="EQ189" s="609">
        <f t="shared" si="337"/>
        <v>0.7</v>
      </c>
      <c r="ER189" s="609">
        <f t="shared" si="338"/>
        <v>0.7</v>
      </c>
      <c r="ES189" s="625">
        <f t="shared" si="339"/>
        <v>0</v>
      </c>
      <c r="ET189" s="624">
        <f t="shared" si="340"/>
        <v>0</v>
      </c>
      <c r="EU189" s="624">
        <f t="shared" si="341"/>
        <v>0</v>
      </c>
      <c r="EW189" s="518" t="s">
        <v>241</v>
      </c>
      <c r="EX189" s="459" t="s">
        <v>515</v>
      </c>
      <c r="EY189" s="519"/>
      <c r="EZ189" s="666">
        <v>0</v>
      </c>
      <c r="FA189" s="598"/>
      <c r="FB189" s="598"/>
      <c r="FC189" s="598"/>
      <c r="FD189" s="598"/>
      <c r="FE189" s="598"/>
      <c r="FF189" s="601"/>
      <c r="FG189" s="598"/>
      <c r="FH189" s="598"/>
      <c r="FI189" s="598"/>
      <c r="FJ189" s="657"/>
      <c r="FK189" s="601"/>
      <c r="FL189" s="601"/>
    </row>
    <row r="190" spans="2:168">
      <c r="B190" s="732" t="str">
        <f t="shared" si="274"/>
        <v>3.2.2</v>
      </c>
      <c r="C190" s="720" t="str">
        <f t="shared" si="285"/>
        <v>砂塵の抑制</v>
      </c>
      <c r="D190" s="731" t="e">
        <f t="shared" si="344"/>
        <v>#REF!</v>
      </c>
      <c r="E190" s="731" t="e">
        <f t="shared" si="344"/>
        <v>#REF!</v>
      </c>
      <c r="G190" s="730" t="e">
        <f t="shared" si="287"/>
        <v>#REF!</v>
      </c>
      <c r="H190" s="730" t="e">
        <f t="shared" si="288"/>
        <v>#REF!</v>
      </c>
      <c r="I190" s="730"/>
      <c r="J190" s="730"/>
      <c r="K190" s="730" t="e">
        <f>IF(#REF!=0,0,1)</f>
        <v>#REF!</v>
      </c>
      <c r="L190" s="730" t="e">
        <f>IF(#REF!=0,0,1)</f>
        <v>#REF!</v>
      </c>
      <c r="M190" s="730">
        <f t="shared" si="289"/>
        <v>0</v>
      </c>
      <c r="N190" s="730">
        <f t="shared" si="343"/>
        <v>0</v>
      </c>
      <c r="P190" s="729"/>
      <c r="Q190" s="728"/>
      <c r="R190" s="414">
        <v>2</v>
      </c>
      <c r="S190" s="743" t="s">
        <v>229</v>
      </c>
      <c r="T190" s="745"/>
      <c r="U190" s="726"/>
      <c r="V190" s="747">
        <f t="shared" si="322"/>
        <v>0</v>
      </c>
      <c r="W190" s="746">
        <f t="shared" si="323"/>
        <v>0</v>
      </c>
      <c r="Y190" s="1">
        <f t="shared" si="306"/>
        <v>0</v>
      </c>
      <c r="Z190" s="1">
        <f t="shared" si="307"/>
        <v>0</v>
      </c>
      <c r="AA190" s="1">
        <f t="shared" si="308"/>
        <v>0</v>
      </c>
      <c r="AB190" s="1">
        <f t="shared" si="309"/>
        <v>0</v>
      </c>
      <c r="AC190" s="1">
        <f t="shared" si="310"/>
        <v>0</v>
      </c>
      <c r="AD190" s="1">
        <f t="shared" si="311"/>
        <v>0</v>
      </c>
      <c r="AE190" s="1">
        <f t="shared" si="312"/>
        <v>0</v>
      </c>
      <c r="AF190" s="1">
        <f t="shared" si="313"/>
        <v>0</v>
      </c>
      <c r="AG190" s="1">
        <f t="shared" si="314"/>
        <v>0</v>
      </c>
      <c r="AH190" s="1">
        <f t="shared" si="315"/>
        <v>0</v>
      </c>
      <c r="AI190" s="1">
        <f t="shared" si="316"/>
        <v>0</v>
      </c>
      <c r="AJ190" s="1">
        <f t="shared" si="317"/>
        <v>0</v>
      </c>
      <c r="AK190" s="1">
        <f t="shared" si="318"/>
        <v>0</v>
      </c>
      <c r="AM190" s="680"/>
      <c r="AN190" s="680"/>
      <c r="AO190" s="680"/>
      <c r="AP190" s="680"/>
      <c r="AQ190" s="680"/>
      <c r="AR190" s="680"/>
      <c r="AS190" s="680"/>
      <c r="AT190" s="680"/>
      <c r="AU190" s="680"/>
      <c r="AV190" s="680"/>
      <c r="AW190" s="680"/>
      <c r="AX190" s="680"/>
      <c r="AY190" s="680"/>
      <c r="BA190" s="723"/>
      <c r="BB190" s="723" t="e">
        <f t="shared" si="324"/>
        <v>#REF!</v>
      </c>
      <c r="BC190" s="723"/>
      <c r="BD190" s="722" t="e">
        <f>BR190*#REF!</f>
        <v>#REF!</v>
      </c>
      <c r="BE190" s="722" t="e">
        <f>BS190*#REF!</f>
        <v>#REF!</v>
      </c>
      <c r="BF190" s="722" t="e">
        <f>BT190*#REF!</f>
        <v>#REF!</v>
      </c>
      <c r="BG190" s="722" t="e">
        <f>BU190*#REF!</f>
        <v>#REF!</v>
      </c>
      <c r="BH190" s="722" t="e">
        <f>BV190*#REF!</f>
        <v>#REF!</v>
      </c>
      <c r="BI190" s="722" t="e">
        <f>BW190*#REF!</f>
        <v>#REF!</v>
      </c>
      <c r="BJ190" s="722" t="e">
        <f>BX190*#REF!</f>
        <v>#REF!</v>
      </c>
      <c r="BK190" s="722" t="e">
        <f>BY190*#REF!</f>
        <v>#REF!</v>
      </c>
      <c r="BL190" s="722" t="e">
        <f>BZ190*#REF!</f>
        <v>#REF!</v>
      </c>
      <c r="BM190" s="722" t="e">
        <f>CA190*#REF!</f>
        <v>#REF!</v>
      </c>
      <c r="BO190" s="384" t="str">
        <f t="shared" si="290"/>
        <v>3.2.2</v>
      </c>
      <c r="BP190" s="721" t="str">
        <f t="shared" si="291"/>
        <v>LR3 3.2</v>
      </c>
      <c r="BQ190" s="720" t="str">
        <f t="shared" si="292"/>
        <v>砂塵の抑制</v>
      </c>
      <c r="BR190" s="719">
        <f t="shared" si="293"/>
        <v>0</v>
      </c>
      <c r="BS190" s="719">
        <f t="shared" si="294"/>
        <v>0</v>
      </c>
      <c r="BT190" s="719">
        <f t="shared" si="295"/>
        <v>0</v>
      </c>
      <c r="BU190" s="719">
        <f t="shared" si="296"/>
        <v>0</v>
      </c>
      <c r="BV190" s="719">
        <f t="shared" si="297"/>
        <v>0</v>
      </c>
      <c r="BW190" s="719">
        <f t="shared" si="298"/>
        <v>0</v>
      </c>
      <c r="BX190" s="719">
        <f t="shared" si="299"/>
        <v>0.2</v>
      </c>
      <c r="BY190" s="719">
        <f t="shared" si="300"/>
        <v>0</v>
      </c>
      <c r="BZ190" s="719">
        <f t="shared" si="301"/>
        <v>0</v>
      </c>
      <c r="CA190" s="719">
        <f t="shared" si="302"/>
        <v>0</v>
      </c>
      <c r="CB190" s="718">
        <f t="shared" si="303"/>
        <v>0</v>
      </c>
      <c r="CC190" s="717">
        <f t="shared" si="304"/>
        <v>0</v>
      </c>
      <c r="CD190" s="717">
        <f t="shared" si="305"/>
        <v>0</v>
      </c>
      <c r="CF190" s="518" t="s">
        <v>591</v>
      </c>
      <c r="CG190" s="459" t="s">
        <v>516</v>
      </c>
      <c r="CH190" s="519" t="s">
        <v>229</v>
      </c>
      <c r="CI190" s="461"/>
      <c r="CJ190" s="461"/>
      <c r="CK190" s="461"/>
      <c r="CL190" s="461"/>
      <c r="CM190" s="461"/>
      <c r="CN190" s="461"/>
      <c r="CO190" s="474">
        <v>0.2</v>
      </c>
      <c r="CP190" s="461"/>
      <c r="CQ190" s="461"/>
      <c r="CR190" s="461"/>
      <c r="CS190" s="504"/>
      <c r="CT190" s="503"/>
      <c r="CU190" s="503"/>
      <c r="CW190" s="518" t="s">
        <v>242</v>
      </c>
      <c r="CX190" s="459" t="s">
        <v>400</v>
      </c>
      <c r="CY190" s="519" t="s">
        <v>229</v>
      </c>
      <c r="CZ190" s="461"/>
      <c r="DA190" s="461"/>
      <c r="DB190" s="461"/>
      <c r="DC190" s="461"/>
      <c r="DD190" s="461"/>
      <c r="DE190" s="461"/>
      <c r="DF190" s="503">
        <v>0.2</v>
      </c>
      <c r="DG190" s="461"/>
      <c r="DH190" s="461"/>
      <c r="DI190" s="461"/>
      <c r="DJ190" s="504"/>
      <c r="DK190" s="503"/>
      <c r="DL190" s="503"/>
      <c r="DN190" s="518" t="s">
        <v>242</v>
      </c>
      <c r="DO190" s="459" t="s">
        <v>400</v>
      </c>
      <c r="DP190" s="519" t="s">
        <v>229</v>
      </c>
      <c r="DQ190" s="461"/>
      <c r="DR190" s="461"/>
      <c r="DS190" s="461"/>
      <c r="DT190" s="461"/>
      <c r="DU190" s="461"/>
      <c r="DV190" s="461"/>
      <c r="DW190" s="503">
        <v>0.2</v>
      </c>
      <c r="DX190" s="461"/>
      <c r="DY190" s="461"/>
      <c r="DZ190" s="461"/>
      <c r="EA190" s="504"/>
      <c r="EB190" s="503"/>
      <c r="EC190" s="503"/>
      <c r="ED190" s="558"/>
      <c r="EF190" s="518" t="s">
        <v>242</v>
      </c>
      <c r="EG190" s="459" t="s">
        <v>400</v>
      </c>
      <c r="EH190" s="519" t="s">
        <v>229</v>
      </c>
      <c r="EI190" s="609">
        <f t="shared" si="329"/>
        <v>0</v>
      </c>
      <c r="EJ190" s="609">
        <f t="shared" si="330"/>
        <v>0</v>
      </c>
      <c r="EK190" s="609">
        <f t="shared" si="331"/>
        <v>0</v>
      </c>
      <c r="EL190" s="609">
        <f t="shared" si="332"/>
        <v>0</v>
      </c>
      <c r="EM190" s="609">
        <f t="shared" si="333"/>
        <v>0</v>
      </c>
      <c r="EN190" s="609">
        <f t="shared" si="334"/>
        <v>0</v>
      </c>
      <c r="EO190" s="624">
        <f t="shared" si="335"/>
        <v>0.2</v>
      </c>
      <c r="EP190" s="609">
        <f t="shared" si="336"/>
        <v>0</v>
      </c>
      <c r="EQ190" s="609">
        <f t="shared" si="337"/>
        <v>0</v>
      </c>
      <c r="ER190" s="609">
        <f t="shared" si="338"/>
        <v>0</v>
      </c>
      <c r="ES190" s="625">
        <f t="shared" si="339"/>
        <v>0</v>
      </c>
      <c r="ET190" s="624">
        <f t="shared" si="340"/>
        <v>0</v>
      </c>
      <c r="EU190" s="624">
        <f t="shared" si="341"/>
        <v>0</v>
      </c>
      <c r="EW190" s="518" t="s">
        <v>242</v>
      </c>
      <c r="EX190" s="459" t="s">
        <v>400</v>
      </c>
      <c r="EY190" s="519"/>
      <c r="EZ190" s="598">
        <f>DQ190</f>
        <v>0</v>
      </c>
      <c r="FA190" s="598"/>
      <c r="FB190" s="598"/>
      <c r="FC190" s="598"/>
      <c r="FD190" s="598"/>
      <c r="FE190" s="598"/>
      <c r="FF190" s="601"/>
      <c r="FG190" s="598"/>
      <c r="FH190" s="598"/>
      <c r="FI190" s="598"/>
      <c r="FJ190" s="657"/>
      <c r="FK190" s="601"/>
      <c r="FL190" s="601"/>
    </row>
    <row r="191" spans="2:168" ht="14.25" thickBot="1">
      <c r="B191" s="732" t="str">
        <f t="shared" si="274"/>
        <v>3.2.3</v>
      </c>
      <c r="C191" s="720" t="str">
        <f t="shared" si="285"/>
        <v>日照阻害の抑制</v>
      </c>
      <c r="D191" s="731" t="e">
        <f t="shared" si="344"/>
        <v>#REF!</v>
      </c>
      <c r="E191" s="731" t="e">
        <f t="shared" si="344"/>
        <v>#REF!</v>
      </c>
      <c r="G191" s="730" t="e">
        <f t="shared" si="287"/>
        <v>#REF!</v>
      </c>
      <c r="H191" s="730" t="e">
        <f t="shared" si="288"/>
        <v>#REF!</v>
      </c>
      <c r="I191" s="730"/>
      <c r="J191" s="730"/>
      <c r="K191" s="730" t="e">
        <f>IF(#REF!=0,0,1)</f>
        <v>#REF!</v>
      </c>
      <c r="L191" s="730" t="e">
        <f>IF(#REF!=0,0,1)</f>
        <v>#REF!</v>
      </c>
      <c r="M191" s="730">
        <f t="shared" si="289"/>
        <v>0.3</v>
      </c>
      <c r="N191" s="730">
        <f t="shared" si="343"/>
        <v>0</v>
      </c>
      <c r="P191" s="729"/>
      <c r="Q191" s="728"/>
      <c r="R191" s="727">
        <v>3</v>
      </c>
      <c r="S191" s="743" t="s">
        <v>442</v>
      </c>
      <c r="T191" s="745"/>
      <c r="U191" s="726"/>
      <c r="V191" s="725">
        <f t="shared" si="322"/>
        <v>0</v>
      </c>
      <c r="W191" s="724">
        <f t="shared" si="323"/>
        <v>0</v>
      </c>
      <c r="Y191" s="1">
        <f t="shared" si="306"/>
        <v>0</v>
      </c>
      <c r="Z191" s="1">
        <f t="shared" si="307"/>
        <v>0</v>
      </c>
      <c r="AA191" s="1">
        <f t="shared" si="308"/>
        <v>0</v>
      </c>
      <c r="AB191" s="1">
        <f t="shared" si="309"/>
        <v>0</v>
      </c>
      <c r="AC191" s="1">
        <f t="shared" si="310"/>
        <v>0</v>
      </c>
      <c r="AD191" s="1">
        <f t="shared" si="311"/>
        <v>0</v>
      </c>
      <c r="AE191" s="1">
        <f t="shared" si="312"/>
        <v>0</v>
      </c>
      <c r="AF191" s="1">
        <f t="shared" si="313"/>
        <v>0</v>
      </c>
      <c r="AG191" s="1">
        <f t="shared" si="314"/>
        <v>0</v>
      </c>
      <c r="AH191" s="1">
        <f t="shared" si="315"/>
        <v>0</v>
      </c>
      <c r="AI191" s="1">
        <f t="shared" si="316"/>
        <v>0</v>
      </c>
      <c r="AJ191" s="1">
        <f t="shared" si="317"/>
        <v>0</v>
      </c>
      <c r="AK191" s="1">
        <f t="shared" si="318"/>
        <v>0</v>
      </c>
      <c r="AM191" s="680"/>
      <c r="AN191" s="680"/>
      <c r="AO191" s="680"/>
      <c r="AP191" s="680"/>
      <c r="AQ191" s="680"/>
      <c r="AR191" s="680"/>
      <c r="AS191" s="680"/>
      <c r="AT191" s="680"/>
      <c r="AU191" s="680"/>
      <c r="AV191" s="680"/>
      <c r="AW191" s="680"/>
      <c r="AX191" s="680"/>
      <c r="AY191" s="680"/>
      <c r="BA191" s="723"/>
      <c r="BB191" s="723" t="e">
        <f t="shared" si="324"/>
        <v>#REF!</v>
      </c>
      <c r="BC191" s="723"/>
      <c r="BD191" s="722" t="e">
        <f>BR191*#REF!</f>
        <v>#REF!</v>
      </c>
      <c r="BE191" s="722" t="e">
        <f>BS191*#REF!</f>
        <v>#REF!</v>
      </c>
      <c r="BF191" s="722" t="e">
        <f>BT191*#REF!</f>
        <v>#REF!</v>
      </c>
      <c r="BG191" s="722" t="e">
        <f>BU191*#REF!</f>
        <v>#REF!</v>
      </c>
      <c r="BH191" s="722" t="e">
        <f>BV191*#REF!</f>
        <v>#REF!</v>
      </c>
      <c r="BI191" s="722" t="e">
        <f>BW191*#REF!</f>
        <v>#REF!</v>
      </c>
      <c r="BJ191" s="722" t="e">
        <f>BX191*#REF!</f>
        <v>#REF!</v>
      </c>
      <c r="BK191" s="722" t="e">
        <f>BY191*#REF!</f>
        <v>#REF!</v>
      </c>
      <c r="BL191" s="722" t="e">
        <f>BZ191*#REF!</f>
        <v>#REF!</v>
      </c>
      <c r="BM191" s="722" t="e">
        <f>CA191*#REF!</f>
        <v>#REF!</v>
      </c>
      <c r="BO191" s="384" t="str">
        <f t="shared" si="290"/>
        <v>3.2.3</v>
      </c>
      <c r="BP191" s="721" t="str">
        <f t="shared" si="291"/>
        <v>LR3 3.2</v>
      </c>
      <c r="BQ191" s="720" t="str">
        <f t="shared" si="292"/>
        <v>日照阻害の抑制</v>
      </c>
      <c r="BR191" s="719">
        <f t="shared" si="293"/>
        <v>0.3</v>
      </c>
      <c r="BS191" s="719">
        <f t="shared" si="294"/>
        <v>0.3</v>
      </c>
      <c r="BT191" s="719">
        <f t="shared" si="295"/>
        <v>0.3</v>
      </c>
      <c r="BU191" s="719">
        <f t="shared" si="296"/>
        <v>0.3</v>
      </c>
      <c r="BV191" s="719">
        <f t="shared" si="297"/>
        <v>0.3</v>
      </c>
      <c r="BW191" s="719">
        <f t="shared" si="298"/>
        <v>0.3</v>
      </c>
      <c r="BX191" s="719">
        <f t="shared" si="299"/>
        <v>0.2</v>
      </c>
      <c r="BY191" s="719">
        <f t="shared" si="300"/>
        <v>0.3</v>
      </c>
      <c r="BZ191" s="719">
        <f t="shared" si="301"/>
        <v>0.3</v>
      </c>
      <c r="CA191" s="719">
        <f t="shared" si="302"/>
        <v>0.3</v>
      </c>
      <c r="CB191" s="718">
        <f t="shared" si="303"/>
        <v>0</v>
      </c>
      <c r="CC191" s="717">
        <f t="shared" si="304"/>
        <v>0</v>
      </c>
      <c r="CD191" s="717">
        <f t="shared" si="305"/>
        <v>0</v>
      </c>
      <c r="CF191" s="518" t="s">
        <v>242</v>
      </c>
      <c r="CG191" s="459" t="s">
        <v>515</v>
      </c>
      <c r="CH191" s="519" t="s">
        <v>442</v>
      </c>
      <c r="CI191" s="461">
        <v>0.3</v>
      </c>
      <c r="CJ191" s="461">
        <v>0.3</v>
      </c>
      <c r="CK191" s="461">
        <v>0.3</v>
      </c>
      <c r="CL191" s="461">
        <v>0.3</v>
      </c>
      <c r="CM191" s="461">
        <v>0.3</v>
      </c>
      <c r="CN191" s="461">
        <v>0.3</v>
      </c>
      <c r="CO191" s="474">
        <v>0.2</v>
      </c>
      <c r="CP191" s="461">
        <v>0.3</v>
      </c>
      <c r="CQ191" s="461">
        <v>0.3</v>
      </c>
      <c r="CR191" s="461">
        <v>0.3</v>
      </c>
      <c r="CS191" s="504"/>
      <c r="CT191" s="503"/>
      <c r="CU191" s="503"/>
      <c r="CW191" s="518" t="s">
        <v>804</v>
      </c>
      <c r="CX191" s="459" t="s">
        <v>515</v>
      </c>
      <c r="CY191" s="519" t="s">
        <v>442</v>
      </c>
      <c r="CZ191" s="461">
        <v>0.3</v>
      </c>
      <c r="DA191" s="461">
        <v>0.3</v>
      </c>
      <c r="DB191" s="461">
        <v>0.3</v>
      </c>
      <c r="DC191" s="461">
        <v>0.3</v>
      </c>
      <c r="DD191" s="461">
        <v>0.3</v>
      </c>
      <c r="DE191" s="461">
        <v>0.3</v>
      </c>
      <c r="DF191" s="503">
        <v>0.2</v>
      </c>
      <c r="DG191" s="461">
        <v>0.3</v>
      </c>
      <c r="DH191" s="461">
        <v>0.3</v>
      </c>
      <c r="DI191" s="461">
        <v>0.3</v>
      </c>
      <c r="DJ191" s="504"/>
      <c r="DK191" s="503"/>
      <c r="DL191" s="503"/>
      <c r="DN191" s="518" t="s">
        <v>243</v>
      </c>
      <c r="DO191" s="459" t="s">
        <v>515</v>
      </c>
      <c r="DP191" s="519" t="s">
        <v>442</v>
      </c>
      <c r="DQ191" s="461">
        <v>0.3</v>
      </c>
      <c r="DR191" s="461">
        <v>0.3</v>
      </c>
      <c r="DS191" s="461">
        <v>0.3</v>
      </c>
      <c r="DT191" s="461">
        <v>0.3</v>
      </c>
      <c r="DU191" s="461">
        <v>0.3</v>
      </c>
      <c r="DV191" s="461">
        <v>0.3</v>
      </c>
      <c r="DW191" s="503">
        <v>0.2</v>
      </c>
      <c r="DX191" s="461">
        <v>0.3</v>
      </c>
      <c r="DY191" s="461">
        <v>0.3</v>
      </c>
      <c r="DZ191" s="461">
        <v>0.3</v>
      </c>
      <c r="EA191" s="504"/>
      <c r="EB191" s="503"/>
      <c r="EC191" s="503"/>
      <c r="ED191" s="558"/>
      <c r="EF191" s="518" t="s">
        <v>243</v>
      </c>
      <c r="EG191" s="459" t="s">
        <v>515</v>
      </c>
      <c r="EH191" s="519" t="s">
        <v>442</v>
      </c>
      <c r="EI191" s="609">
        <f t="shared" si="329"/>
        <v>0.3</v>
      </c>
      <c r="EJ191" s="609">
        <f t="shared" si="330"/>
        <v>0.3</v>
      </c>
      <c r="EK191" s="609">
        <f t="shared" si="331"/>
        <v>0.3</v>
      </c>
      <c r="EL191" s="609">
        <f t="shared" si="332"/>
        <v>0.3</v>
      </c>
      <c r="EM191" s="609">
        <f t="shared" si="333"/>
        <v>0.3</v>
      </c>
      <c r="EN191" s="609">
        <f t="shared" si="334"/>
        <v>0.3</v>
      </c>
      <c r="EO191" s="624">
        <f t="shared" si="335"/>
        <v>0.2</v>
      </c>
      <c r="EP191" s="609">
        <f t="shared" si="336"/>
        <v>0.3</v>
      </c>
      <c r="EQ191" s="609">
        <f t="shared" si="337"/>
        <v>0.3</v>
      </c>
      <c r="ER191" s="609">
        <f t="shared" si="338"/>
        <v>0.3</v>
      </c>
      <c r="ES191" s="625">
        <f t="shared" si="339"/>
        <v>0</v>
      </c>
      <c r="ET191" s="624">
        <f t="shared" si="340"/>
        <v>0</v>
      </c>
      <c r="EU191" s="624">
        <f t="shared" si="341"/>
        <v>0</v>
      </c>
      <c r="EW191" s="518" t="s">
        <v>243</v>
      </c>
      <c r="EX191" s="459" t="s">
        <v>515</v>
      </c>
      <c r="EY191" s="519"/>
      <c r="EZ191" s="666">
        <v>0</v>
      </c>
      <c r="FA191" s="598"/>
      <c r="FB191" s="598"/>
      <c r="FC191" s="598"/>
      <c r="FD191" s="598"/>
      <c r="FE191" s="598"/>
      <c r="FF191" s="601"/>
      <c r="FG191" s="598"/>
      <c r="FH191" s="598"/>
      <c r="FI191" s="598"/>
      <c r="FJ191" s="657"/>
      <c r="FK191" s="601"/>
      <c r="FL191" s="601"/>
    </row>
    <row r="192" spans="2:168" ht="14.25" thickBot="1">
      <c r="B192" s="732" t="str">
        <f t="shared" si="274"/>
        <v>3.3</v>
      </c>
      <c r="C192" s="408" t="str">
        <f t="shared" si="285"/>
        <v>光害の抑制</v>
      </c>
      <c r="D192" s="731" t="e">
        <f>IF(I$183=0,0,G192/I$183)</f>
        <v>#REF!</v>
      </c>
      <c r="E192" s="731" t="e">
        <f>IF(J$183=0,0,H192/J$183)</f>
        <v>#REF!</v>
      </c>
      <c r="G192" s="730" t="e">
        <f t="shared" si="287"/>
        <v>#REF!</v>
      </c>
      <c r="H192" s="730" t="e">
        <f t="shared" si="288"/>
        <v>#REF!</v>
      </c>
      <c r="I192" s="730" t="e">
        <f>SUM(G193:G194)</f>
        <v>#REF!</v>
      </c>
      <c r="J192" s="730" t="e">
        <f>SUM(H193:H194)</f>
        <v>#REF!</v>
      </c>
      <c r="K192" s="730" t="e">
        <f>IF(#REF!=0,0,1)</f>
        <v>#REF!</v>
      </c>
      <c r="L192" s="730" t="e">
        <f>IF(#REF!=0,0,1)</f>
        <v>#REF!</v>
      </c>
      <c r="M192" s="730">
        <f t="shared" si="289"/>
        <v>0.2</v>
      </c>
      <c r="N192" s="730">
        <f t="shared" si="343"/>
        <v>0</v>
      </c>
      <c r="P192" s="729"/>
      <c r="Q192" s="744">
        <v>3.3</v>
      </c>
      <c r="R192" s="743" t="s">
        <v>230</v>
      </c>
      <c r="S192" s="742"/>
      <c r="T192" s="741"/>
      <c r="U192" s="726"/>
      <c r="V192" s="740">
        <f t="shared" si="322"/>
        <v>0</v>
      </c>
      <c r="W192" s="739">
        <f t="shared" si="323"/>
        <v>0</v>
      </c>
      <c r="Y192" s="1">
        <f t="shared" si="306"/>
        <v>0</v>
      </c>
      <c r="Z192" s="1">
        <f t="shared" si="307"/>
        <v>0</v>
      </c>
      <c r="AA192" s="1">
        <f t="shared" si="308"/>
        <v>0</v>
      </c>
      <c r="AB192" s="1">
        <f t="shared" si="309"/>
        <v>0</v>
      </c>
      <c r="AC192" s="1">
        <f t="shared" si="310"/>
        <v>0</v>
      </c>
      <c r="AD192" s="1">
        <f t="shared" si="311"/>
        <v>0</v>
      </c>
      <c r="AE192" s="1">
        <f t="shared" si="312"/>
        <v>0</v>
      </c>
      <c r="AF192" s="1">
        <f t="shared" si="313"/>
        <v>0</v>
      </c>
      <c r="AG192" s="1">
        <f t="shared" si="314"/>
        <v>0</v>
      </c>
      <c r="AH192" s="1">
        <f t="shared" si="315"/>
        <v>0</v>
      </c>
      <c r="AI192" s="1">
        <f t="shared" si="316"/>
        <v>0</v>
      </c>
      <c r="AJ192" s="1">
        <f t="shared" si="317"/>
        <v>0</v>
      </c>
      <c r="AK192" s="1">
        <f t="shared" si="318"/>
        <v>0</v>
      </c>
      <c r="AM192" s="738" t="s">
        <v>801</v>
      </c>
      <c r="AN192" s="738" t="s">
        <v>49</v>
      </c>
      <c r="AO192" s="738" t="s">
        <v>49</v>
      </c>
      <c r="AP192" s="738" t="s">
        <v>49</v>
      </c>
      <c r="AQ192" s="738" t="s">
        <v>802</v>
      </c>
      <c r="AR192" s="738" t="s">
        <v>49</v>
      </c>
      <c r="AS192" s="738" t="s">
        <v>802</v>
      </c>
      <c r="AT192" s="738" t="s">
        <v>803</v>
      </c>
      <c r="AU192" s="738" t="s">
        <v>802</v>
      </c>
      <c r="AV192" s="738" t="s">
        <v>802</v>
      </c>
      <c r="AW192" s="738" t="s">
        <v>49</v>
      </c>
      <c r="AX192" s="738" t="s">
        <v>49</v>
      </c>
      <c r="AY192" s="738" t="s">
        <v>801</v>
      </c>
      <c r="BA192" s="737"/>
      <c r="BB192" s="737" t="e">
        <f t="shared" si="324"/>
        <v>#REF!</v>
      </c>
      <c r="BC192" s="737"/>
      <c r="BD192" s="736" t="e">
        <f>BR192*#REF!</f>
        <v>#REF!</v>
      </c>
      <c r="BE192" s="736" t="e">
        <f>BS192*#REF!</f>
        <v>#REF!</v>
      </c>
      <c r="BF192" s="736" t="e">
        <f>BT192*#REF!</f>
        <v>#REF!</v>
      </c>
      <c r="BG192" s="736" t="e">
        <f>BU192*#REF!</f>
        <v>#REF!</v>
      </c>
      <c r="BH192" s="736" t="e">
        <f>BV192*#REF!</f>
        <v>#REF!</v>
      </c>
      <c r="BI192" s="736" t="e">
        <f>BW192*#REF!</f>
        <v>#REF!</v>
      </c>
      <c r="BJ192" s="736" t="e">
        <f>BX192*#REF!</f>
        <v>#REF!</v>
      </c>
      <c r="BK192" s="736" t="e">
        <f>BY192*#REF!</f>
        <v>#REF!</v>
      </c>
      <c r="BL192" s="736" t="e">
        <f>BZ192*#REF!</f>
        <v>#REF!</v>
      </c>
      <c r="BM192" s="736" t="e">
        <f>CA192*#REF!</f>
        <v>#REF!</v>
      </c>
      <c r="BO192" s="735" t="str">
        <f t="shared" si="290"/>
        <v>3.3</v>
      </c>
      <c r="BP192" s="721" t="str">
        <f t="shared" si="291"/>
        <v>LR3 3</v>
      </c>
      <c r="BQ192" s="408" t="str">
        <f t="shared" si="292"/>
        <v>光害の抑制</v>
      </c>
      <c r="BR192" s="717">
        <f t="shared" si="293"/>
        <v>0.2</v>
      </c>
      <c r="BS192" s="717">
        <f t="shared" si="294"/>
        <v>0.2</v>
      </c>
      <c r="BT192" s="717">
        <f t="shared" si="295"/>
        <v>0.2</v>
      </c>
      <c r="BU192" s="717">
        <f t="shared" si="296"/>
        <v>0.2</v>
      </c>
      <c r="BV192" s="717">
        <f t="shared" si="297"/>
        <v>0.2</v>
      </c>
      <c r="BW192" s="717">
        <f t="shared" si="298"/>
        <v>0.2</v>
      </c>
      <c r="BX192" s="717">
        <f t="shared" si="299"/>
        <v>0.2</v>
      </c>
      <c r="BY192" s="717">
        <f t="shared" si="300"/>
        <v>0.2</v>
      </c>
      <c r="BZ192" s="717">
        <f t="shared" si="301"/>
        <v>0.2</v>
      </c>
      <c r="CA192" s="717">
        <f t="shared" si="302"/>
        <v>0.2</v>
      </c>
      <c r="CB192" s="718">
        <f t="shared" si="303"/>
        <v>0</v>
      </c>
      <c r="CC192" s="717">
        <f t="shared" si="304"/>
        <v>0</v>
      </c>
      <c r="CD192" s="717">
        <f t="shared" si="305"/>
        <v>0</v>
      </c>
      <c r="CF192" s="518" t="s">
        <v>402</v>
      </c>
      <c r="CG192" s="459" t="s">
        <v>569</v>
      </c>
      <c r="CH192" s="519" t="s">
        <v>517</v>
      </c>
      <c r="CI192" s="461">
        <v>0.2</v>
      </c>
      <c r="CJ192" s="461">
        <v>0.2</v>
      </c>
      <c r="CK192" s="461">
        <v>0.2</v>
      </c>
      <c r="CL192" s="461">
        <v>0.2</v>
      </c>
      <c r="CM192" s="461">
        <v>0.2</v>
      </c>
      <c r="CN192" s="461">
        <v>0.2</v>
      </c>
      <c r="CO192" s="503">
        <v>0.2</v>
      </c>
      <c r="CP192" s="461">
        <v>0.2</v>
      </c>
      <c r="CQ192" s="461">
        <v>0.2</v>
      </c>
      <c r="CR192" s="461">
        <v>0.2</v>
      </c>
      <c r="CS192" s="504"/>
      <c r="CT192" s="503"/>
      <c r="CU192" s="503"/>
      <c r="CW192" s="518" t="s">
        <v>402</v>
      </c>
      <c r="CX192" s="459" t="s">
        <v>569</v>
      </c>
      <c r="CY192" s="519" t="s">
        <v>517</v>
      </c>
      <c r="CZ192" s="503">
        <v>0.2</v>
      </c>
      <c r="DA192" s="503">
        <v>0.2</v>
      </c>
      <c r="DB192" s="503">
        <v>0.2</v>
      </c>
      <c r="DC192" s="503">
        <v>0.2</v>
      </c>
      <c r="DD192" s="503">
        <v>0.2</v>
      </c>
      <c r="DE192" s="503">
        <v>0.2</v>
      </c>
      <c r="DF192" s="503">
        <v>0.2</v>
      </c>
      <c r="DG192" s="503">
        <v>0.2</v>
      </c>
      <c r="DH192" s="503">
        <v>0.2</v>
      </c>
      <c r="DI192" s="503">
        <v>0.2</v>
      </c>
      <c r="DJ192" s="504"/>
      <c r="DK192" s="503"/>
      <c r="DL192" s="503"/>
      <c r="DN192" s="518" t="s">
        <v>800</v>
      </c>
      <c r="DO192" s="459" t="s">
        <v>569</v>
      </c>
      <c r="DP192" s="519" t="s">
        <v>517</v>
      </c>
      <c r="DQ192" s="503">
        <v>0.2</v>
      </c>
      <c r="DR192" s="503">
        <v>0.2</v>
      </c>
      <c r="DS192" s="503">
        <v>0.2</v>
      </c>
      <c r="DT192" s="503">
        <v>0.2</v>
      </c>
      <c r="DU192" s="503">
        <v>0.2</v>
      </c>
      <c r="DV192" s="503">
        <v>0.2</v>
      </c>
      <c r="DW192" s="503">
        <v>0.2</v>
      </c>
      <c r="DX192" s="503">
        <v>0.2</v>
      </c>
      <c r="DY192" s="503">
        <v>0.2</v>
      </c>
      <c r="DZ192" s="503">
        <v>0.2</v>
      </c>
      <c r="EA192" s="504"/>
      <c r="EB192" s="503"/>
      <c r="EC192" s="503"/>
      <c r="ED192" s="558"/>
      <c r="EF192" s="518" t="s">
        <v>402</v>
      </c>
      <c r="EG192" s="459" t="s">
        <v>569</v>
      </c>
      <c r="EH192" s="519" t="s">
        <v>517</v>
      </c>
      <c r="EI192" s="624">
        <f t="shared" si="329"/>
        <v>0.2</v>
      </c>
      <c r="EJ192" s="624">
        <f t="shared" si="330"/>
        <v>0.2</v>
      </c>
      <c r="EK192" s="624">
        <f t="shared" si="331"/>
        <v>0.2</v>
      </c>
      <c r="EL192" s="624">
        <f t="shared" si="332"/>
        <v>0.2</v>
      </c>
      <c r="EM192" s="624">
        <f t="shared" si="333"/>
        <v>0.2</v>
      </c>
      <c r="EN192" s="624">
        <f t="shared" si="334"/>
        <v>0.2</v>
      </c>
      <c r="EO192" s="624">
        <f t="shared" si="335"/>
        <v>0.2</v>
      </c>
      <c r="EP192" s="624">
        <f t="shared" si="336"/>
        <v>0.2</v>
      </c>
      <c r="EQ192" s="624">
        <f t="shared" si="337"/>
        <v>0.2</v>
      </c>
      <c r="ER192" s="624">
        <f t="shared" si="338"/>
        <v>0.2</v>
      </c>
      <c r="ES192" s="625">
        <f t="shared" si="339"/>
        <v>0</v>
      </c>
      <c r="ET192" s="624">
        <f t="shared" si="340"/>
        <v>0</v>
      </c>
      <c r="EU192" s="624">
        <f t="shared" si="341"/>
        <v>0</v>
      </c>
      <c r="EW192" s="518" t="s">
        <v>402</v>
      </c>
      <c r="EX192" s="459" t="s">
        <v>569</v>
      </c>
      <c r="EY192" s="519"/>
      <c r="EZ192" s="666">
        <v>0</v>
      </c>
      <c r="FA192" s="601"/>
      <c r="FB192" s="601"/>
      <c r="FC192" s="601"/>
      <c r="FD192" s="601"/>
      <c r="FE192" s="601"/>
      <c r="FF192" s="601"/>
      <c r="FG192" s="601"/>
      <c r="FH192" s="601"/>
      <c r="FI192" s="601"/>
      <c r="FJ192" s="657"/>
      <c r="FK192" s="601"/>
      <c r="FL192" s="601"/>
    </row>
    <row r="193" spans="2:168">
      <c r="B193" s="732" t="str">
        <f t="shared" si="274"/>
        <v>3.3.1</v>
      </c>
      <c r="C193" s="720" t="str">
        <f t="shared" si="285"/>
        <v>屋外照明及び屋内照明のうち外に漏れる光への対策</v>
      </c>
      <c r="D193" s="731" t="e">
        <f>IF(I$192=0,0,G193/I$192)</f>
        <v>#REF!</v>
      </c>
      <c r="E193" s="731" t="e">
        <f>IF(J$192=0,0,H193/J$192)</f>
        <v>#REF!</v>
      </c>
      <c r="G193" s="730" t="e">
        <f t="shared" si="287"/>
        <v>#REF!</v>
      </c>
      <c r="H193" s="730" t="e">
        <f t="shared" si="288"/>
        <v>#REF!</v>
      </c>
      <c r="I193" s="730"/>
      <c r="J193" s="730"/>
      <c r="K193" s="730" t="e">
        <f>IF(#REF!=0,0,1)</f>
        <v>#REF!</v>
      </c>
      <c r="L193" s="730" t="e">
        <f>IF(#REF!=0,0,1)</f>
        <v>#REF!</v>
      </c>
      <c r="M193" s="730">
        <f t="shared" si="289"/>
        <v>0.7</v>
      </c>
      <c r="N193" s="730">
        <f t="shared" si="343"/>
        <v>0</v>
      </c>
      <c r="P193" s="729"/>
      <c r="Q193" s="728"/>
      <c r="R193" s="414">
        <v>1</v>
      </c>
      <c r="S193" s="3868" t="s">
        <v>231</v>
      </c>
      <c r="T193" s="3867"/>
      <c r="U193" s="726"/>
      <c r="V193" s="734">
        <f t="shared" si="322"/>
        <v>0</v>
      </c>
      <c r="W193" s="733">
        <f t="shared" si="323"/>
        <v>0</v>
      </c>
      <c r="Y193" s="1">
        <f t="shared" si="306"/>
        <v>0</v>
      </c>
      <c r="Z193" s="1">
        <f t="shared" si="307"/>
        <v>0</v>
      </c>
      <c r="AA193" s="1">
        <f t="shared" si="308"/>
        <v>0</v>
      </c>
      <c r="AB193" s="1">
        <f t="shared" si="309"/>
        <v>0</v>
      </c>
      <c r="AC193" s="1">
        <f t="shared" si="310"/>
        <v>0</v>
      </c>
      <c r="AD193" s="1">
        <f t="shared" si="311"/>
        <v>0</v>
      </c>
      <c r="AE193" s="1">
        <f t="shared" si="312"/>
        <v>0</v>
      </c>
      <c r="AF193" s="1">
        <f t="shared" si="313"/>
        <v>0</v>
      </c>
      <c r="AG193" s="1">
        <f t="shared" si="314"/>
        <v>0</v>
      </c>
      <c r="AH193" s="1">
        <f t="shared" si="315"/>
        <v>0</v>
      </c>
      <c r="AI193" s="1">
        <f t="shared" si="316"/>
        <v>0</v>
      </c>
      <c r="AJ193" s="1">
        <f t="shared" si="317"/>
        <v>0</v>
      </c>
      <c r="AK193" s="1">
        <f t="shared" si="318"/>
        <v>0</v>
      </c>
      <c r="AM193" s="679"/>
      <c r="AN193" s="679"/>
      <c r="AO193" s="679"/>
      <c r="AP193" s="679"/>
      <c r="AQ193" s="679"/>
      <c r="AR193" s="679"/>
      <c r="AS193" s="679"/>
      <c r="AT193" s="679"/>
      <c r="AU193" s="679"/>
      <c r="AV193" s="679"/>
      <c r="AW193" s="679"/>
      <c r="AX193" s="679"/>
      <c r="AY193" s="679"/>
      <c r="BA193" s="723"/>
      <c r="BB193" s="723" t="e">
        <f t="shared" si="324"/>
        <v>#REF!</v>
      </c>
      <c r="BC193" s="723"/>
      <c r="BD193" s="722" t="e">
        <f>BR193*#REF!</f>
        <v>#REF!</v>
      </c>
      <c r="BE193" s="722" t="e">
        <f>BS193*#REF!</f>
        <v>#REF!</v>
      </c>
      <c r="BF193" s="722" t="e">
        <f>BT193*#REF!</f>
        <v>#REF!</v>
      </c>
      <c r="BG193" s="722" t="e">
        <f>BU193*#REF!</f>
        <v>#REF!</v>
      </c>
      <c r="BH193" s="722" t="e">
        <f>BV193*#REF!</f>
        <v>#REF!</v>
      </c>
      <c r="BI193" s="722" t="e">
        <f>BW193*#REF!</f>
        <v>#REF!</v>
      </c>
      <c r="BJ193" s="722" t="e">
        <f>BX193*#REF!</f>
        <v>#REF!</v>
      </c>
      <c r="BK193" s="722" t="e">
        <f>BY193*#REF!</f>
        <v>#REF!</v>
      </c>
      <c r="BL193" s="722" t="e">
        <f>BZ193*#REF!</f>
        <v>#REF!</v>
      </c>
      <c r="BM193" s="722" t="e">
        <f>CA193*#REF!</f>
        <v>#REF!</v>
      </c>
      <c r="BO193" s="384" t="str">
        <f t="shared" si="290"/>
        <v>3.3.1</v>
      </c>
      <c r="BP193" s="721" t="str">
        <f t="shared" si="291"/>
        <v>LR3 3.3</v>
      </c>
      <c r="BQ193" s="720" t="str">
        <f t="shared" si="292"/>
        <v>屋外照明及び屋内照明のうち外に漏れる光への対策</v>
      </c>
      <c r="BR193" s="719">
        <f t="shared" si="293"/>
        <v>0.7</v>
      </c>
      <c r="BS193" s="719">
        <f t="shared" si="294"/>
        <v>0.7</v>
      </c>
      <c r="BT193" s="719">
        <f t="shared" si="295"/>
        <v>0.7</v>
      </c>
      <c r="BU193" s="719">
        <f t="shared" si="296"/>
        <v>0.7</v>
      </c>
      <c r="BV193" s="719">
        <f t="shared" si="297"/>
        <v>0.7</v>
      </c>
      <c r="BW193" s="719">
        <f t="shared" si="298"/>
        <v>0.7</v>
      </c>
      <c r="BX193" s="719">
        <f t="shared" si="299"/>
        <v>0.7</v>
      </c>
      <c r="BY193" s="719">
        <f t="shared" si="300"/>
        <v>0.7</v>
      </c>
      <c r="BZ193" s="719">
        <f t="shared" si="301"/>
        <v>0.7</v>
      </c>
      <c r="CA193" s="719">
        <f t="shared" si="302"/>
        <v>0.7</v>
      </c>
      <c r="CB193" s="718">
        <f t="shared" si="303"/>
        <v>0</v>
      </c>
      <c r="CC193" s="717">
        <f t="shared" si="304"/>
        <v>0</v>
      </c>
      <c r="CD193" s="717">
        <f t="shared" si="305"/>
        <v>0</v>
      </c>
      <c r="CF193" s="518" t="s">
        <v>323</v>
      </c>
      <c r="CG193" s="459" t="s">
        <v>516</v>
      </c>
      <c r="CH193" s="519" t="s">
        <v>404</v>
      </c>
      <c r="CI193" s="503">
        <v>0.7</v>
      </c>
      <c r="CJ193" s="503">
        <v>0.7</v>
      </c>
      <c r="CK193" s="503">
        <v>0.7</v>
      </c>
      <c r="CL193" s="503">
        <v>0.7</v>
      </c>
      <c r="CM193" s="503">
        <v>0.7</v>
      </c>
      <c r="CN193" s="503">
        <v>0.7</v>
      </c>
      <c r="CO193" s="461">
        <v>0.7</v>
      </c>
      <c r="CP193" s="503">
        <v>0.7</v>
      </c>
      <c r="CQ193" s="503">
        <v>0.7</v>
      </c>
      <c r="CR193" s="503">
        <v>0.7</v>
      </c>
      <c r="CS193" s="504"/>
      <c r="CT193" s="503"/>
      <c r="CU193" s="503"/>
      <c r="CW193" s="518" t="s">
        <v>323</v>
      </c>
      <c r="CX193" s="459" t="s">
        <v>516</v>
      </c>
      <c r="CY193" s="519" t="s">
        <v>404</v>
      </c>
      <c r="CZ193" s="461">
        <v>0.7</v>
      </c>
      <c r="DA193" s="461">
        <v>0.7</v>
      </c>
      <c r="DB193" s="461">
        <v>0.7</v>
      </c>
      <c r="DC193" s="461">
        <v>0.7</v>
      </c>
      <c r="DD193" s="461">
        <v>0.7</v>
      </c>
      <c r="DE193" s="461">
        <v>0.7</v>
      </c>
      <c r="DF193" s="461">
        <v>0.7</v>
      </c>
      <c r="DG193" s="461">
        <v>0.7</v>
      </c>
      <c r="DH193" s="461">
        <v>0.7</v>
      </c>
      <c r="DI193" s="461">
        <v>0.7</v>
      </c>
      <c r="DJ193" s="504"/>
      <c r="DK193" s="503"/>
      <c r="DL193" s="503"/>
      <c r="DN193" s="518" t="s">
        <v>323</v>
      </c>
      <c r="DO193" s="459" t="s">
        <v>516</v>
      </c>
      <c r="DP193" s="519" t="s">
        <v>404</v>
      </c>
      <c r="DQ193" s="461">
        <v>0.7</v>
      </c>
      <c r="DR193" s="461">
        <v>0.7</v>
      </c>
      <c r="DS193" s="461">
        <v>0.7</v>
      </c>
      <c r="DT193" s="461">
        <v>0.7</v>
      </c>
      <c r="DU193" s="461">
        <v>0.7</v>
      </c>
      <c r="DV193" s="461">
        <v>0.7</v>
      </c>
      <c r="DW193" s="461">
        <v>0.7</v>
      </c>
      <c r="DX193" s="461">
        <v>0.7</v>
      </c>
      <c r="DY193" s="461">
        <v>0.7</v>
      </c>
      <c r="DZ193" s="461">
        <v>0.7</v>
      </c>
      <c r="EA193" s="504"/>
      <c r="EB193" s="503"/>
      <c r="EC193" s="503"/>
      <c r="ED193" s="558"/>
      <c r="EF193" s="518" t="s">
        <v>323</v>
      </c>
      <c r="EG193" s="459" t="s">
        <v>516</v>
      </c>
      <c r="EH193" s="519" t="s">
        <v>404</v>
      </c>
      <c r="EI193" s="609">
        <f t="shared" si="329"/>
        <v>0.7</v>
      </c>
      <c r="EJ193" s="609">
        <f t="shared" si="330"/>
        <v>0.7</v>
      </c>
      <c r="EK193" s="609">
        <f t="shared" si="331"/>
        <v>0.7</v>
      </c>
      <c r="EL193" s="609">
        <f t="shared" si="332"/>
        <v>0.7</v>
      </c>
      <c r="EM193" s="609">
        <f t="shared" si="333"/>
        <v>0.7</v>
      </c>
      <c r="EN193" s="609">
        <f t="shared" si="334"/>
        <v>0.7</v>
      </c>
      <c r="EO193" s="609">
        <f t="shared" si="335"/>
        <v>0.7</v>
      </c>
      <c r="EP193" s="609">
        <f t="shared" si="336"/>
        <v>0.7</v>
      </c>
      <c r="EQ193" s="609">
        <f t="shared" si="337"/>
        <v>0.7</v>
      </c>
      <c r="ER193" s="609">
        <f t="shared" si="338"/>
        <v>0.7</v>
      </c>
      <c r="ES193" s="625">
        <f t="shared" si="339"/>
        <v>0</v>
      </c>
      <c r="ET193" s="624">
        <f t="shared" si="340"/>
        <v>0</v>
      </c>
      <c r="EU193" s="624">
        <f t="shared" si="341"/>
        <v>0</v>
      </c>
      <c r="EW193" s="518" t="s">
        <v>323</v>
      </c>
      <c r="EX193" s="459" t="s">
        <v>516</v>
      </c>
      <c r="EY193" s="519"/>
      <c r="EZ193" s="666">
        <v>0</v>
      </c>
      <c r="FA193" s="598"/>
      <c r="FB193" s="598"/>
      <c r="FC193" s="598"/>
      <c r="FD193" s="598"/>
      <c r="FE193" s="598"/>
      <c r="FF193" s="598"/>
      <c r="FG193" s="598"/>
      <c r="FH193" s="598"/>
      <c r="FI193" s="598"/>
      <c r="FJ193" s="657"/>
      <c r="FK193" s="601"/>
      <c r="FL193" s="601"/>
    </row>
    <row r="194" spans="2:168" ht="14.25" thickBot="1">
      <c r="B194" s="732" t="str">
        <f t="shared" si="274"/>
        <v>3.3.2</v>
      </c>
      <c r="C194" s="720" t="str">
        <f t="shared" si="285"/>
        <v>昼光の建物外壁による反射光（グレア）への対策</v>
      </c>
      <c r="D194" s="731" t="e">
        <f>IF(I$192=0,0,G194/I$192)</f>
        <v>#REF!</v>
      </c>
      <c r="E194" s="731" t="e">
        <f>IF(J$192=0,0,H194/J$192)</f>
        <v>#REF!</v>
      </c>
      <c r="G194" s="730" t="e">
        <f t="shared" si="287"/>
        <v>#REF!</v>
      </c>
      <c r="H194" s="730" t="e">
        <f t="shared" si="288"/>
        <v>#REF!</v>
      </c>
      <c r="I194" s="730"/>
      <c r="J194" s="730"/>
      <c r="K194" s="730" t="e">
        <f>IF(#REF!=0,0,1)</f>
        <v>#REF!</v>
      </c>
      <c r="L194" s="730" t="e">
        <f>IF(#REF!=0,0,1)</f>
        <v>#REF!</v>
      </c>
      <c r="M194" s="730">
        <f t="shared" si="289"/>
        <v>0.3</v>
      </c>
      <c r="N194" s="730">
        <f t="shared" si="343"/>
        <v>0</v>
      </c>
      <c r="P194" s="729"/>
      <c r="Q194" s="728"/>
      <c r="R194" s="727">
        <v>2</v>
      </c>
      <c r="S194" s="3869" t="s">
        <v>551</v>
      </c>
      <c r="T194" s="3870"/>
      <c r="U194" s="726"/>
      <c r="V194" s="725">
        <f t="shared" si="322"/>
        <v>0</v>
      </c>
      <c r="W194" s="724">
        <f t="shared" si="323"/>
        <v>0</v>
      </c>
      <c r="Y194" s="1">
        <f t="shared" si="306"/>
        <v>0</v>
      </c>
      <c r="Z194" s="1">
        <f t="shared" si="307"/>
        <v>0</v>
      </c>
      <c r="AA194" s="1">
        <f t="shared" si="308"/>
        <v>0</v>
      </c>
      <c r="AB194" s="1">
        <f t="shared" si="309"/>
        <v>0</v>
      </c>
      <c r="AC194" s="1">
        <f t="shared" si="310"/>
        <v>0</v>
      </c>
      <c r="AD194" s="1">
        <f t="shared" si="311"/>
        <v>0</v>
      </c>
      <c r="AE194" s="1">
        <f t="shared" si="312"/>
        <v>0</v>
      </c>
      <c r="AF194" s="1">
        <f t="shared" si="313"/>
        <v>0</v>
      </c>
      <c r="AG194" s="1">
        <f t="shared" si="314"/>
        <v>0</v>
      </c>
      <c r="AH194" s="1">
        <f t="shared" si="315"/>
        <v>0</v>
      </c>
      <c r="AI194" s="1">
        <f t="shared" si="316"/>
        <v>0</v>
      </c>
      <c r="AJ194" s="1">
        <f t="shared" si="317"/>
        <v>0</v>
      </c>
      <c r="AK194" s="1">
        <f t="shared" si="318"/>
        <v>0</v>
      </c>
      <c r="AM194" s="683"/>
      <c r="AN194" s="683"/>
      <c r="AO194" s="683"/>
      <c r="AP194" s="683"/>
      <c r="AQ194" s="683"/>
      <c r="AR194" s="683"/>
      <c r="AS194" s="683"/>
      <c r="AT194" s="683"/>
      <c r="AU194" s="683"/>
      <c r="AV194" s="683"/>
      <c r="AW194" s="683"/>
      <c r="AX194" s="683"/>
      <c r="AY194" s="683"/>
      <c r="BA194" s="723"/>
      <c r="BB194" s="723" t="e">
        <f t="shared" si="324"/>
        <v>#REF!</v>
      </c>
      <c r="BC194" s="723"/>
      <c r="BD194" s="722" t="e">
        <f>BR194*#REF!</f>
        <v>#REF!</v>
      </c>
      <c r="BE194" s="722" t="e">
        <f>BS194*#REF!</f>
        <v>#REF!</v>
      </c>
      <c r="BF194" s="722" t="e">
        <f>BT194*#REF!</f>
        <v>#REF!</v>
      </c>
      <c r="BG194" s="722" t="e">
        <f>BU194*#REF!</f>
        <v>#REF!</v>
      </c>
      <c r="BH194" s="722" t="e">
        <f>BV194*#REF!</f>
        <v>#REF!</v>
      </c>
      <c r="BI194" s="722" t="e">
        <f>BW194*#REF!</f>
        <v>#REF!</v>
      </c>
      <c r="BJ194" s="722" t="e">
        <f>BX194*#REF!</f>
        <v>#REF!</v>
      </c>
      <c r="BK194" s="722" t="e">
        <f>BY194*#REF!</f>
        <v>#REF!</v>
      </c>
      <c r="BL194" s="722" t="e">
        <f>BZ194*#REF!</f>
        <v>#REF!</v>
      </c>
      <c r="BM194" s="722" t="e">
        <f>CA194*#REF!</f>
        <v>#REF!</v>
      </c>
      <c r="BO194" s="384" t="str">
        <f t="shared" si="290"/>
        <v>3.3.2</v>
      </c>
      <c r="BP194" s="721" t="str">
        <f t="shared" si="291"/>
        <v>LR3 3.3</v>
      </c>
      <c r="BQ194" s="720" t="str">
        <f t="shared" si="292"/>
        <v>昼光の建物外壁による反射光（グレア）への対策</v>
      </c>
      <c r="BR194" s="719">
        <f t="shared" si="293"/>
        <v>0.3</v>
      </c>
      <c r="BS194" s="719">
        <f t="shared" si="294"/>
        <v>0.3</v>
      </c>
      <c r="BT194" s="719">
        <f t="shared" si="295"/>
        <v>0.3</v>
      </c>
      <c r="BU194" s="719">
        <f t="shared" si="296"/>
        <v>0.3</v>
      </c>
      <c r="BV194" s="719">
        <f t="shared" si="297"/>
        <v>0.3</v>
      </c>
      <c r="BW194" s="719">
        <f t="shared" si="298"/>
        <v>0.3</v>
      </c>
      <c r="BX194" s="719">
        <f t="shared" si="299"/>
        <v>0.3</v>
      </c>
      <c r="BY194" s="719">
        <f t="shared" si="300"/>
        <v>0.3</v>
      </c>
      <c r="BZ194" s="719">
        <f t="shared" si="301"/>
        <v>0.3</v>
      </c>
      <c r="CA194" s="719">
        <f t="shared" si="302"/>
        <v>0.3</v>
      </c>
      <c r="CB194" s="718">
        <f t="shared" si="303"/>
        <v>0</v>
      </c>
      <c r="CC194" s="717">
        <f t="shared" si="304"/>
        <v>0</v>
      </c>
      <c r="CD194" s="717">
        <f t="shared" si="305"/>
        <v>0</v>
      </c>
      <c r="CF194" s="518" t="s">
        <v>324</v>
      </c>
      <c r="CG194" s="459" t="s">
        <v>516</v>
      </c>
      <c r="CH194" s="519" t="s">
        <v>701</v>
      </c>
      <c r="CI194" s="461">
        <v>0.3</v>
      </c>
      <c r="CJ194" s="461">
        <v>0.3</v>
      </c>
      <c r="CK194" s="461">
        <v>0.3</v>
      </c>
      <c r="CL194" s="461">
        <v>0.3</v>
      </c>
      <c r="CM194" s="461">
        <v>0.3</v>
      </c>
      <c r="CN194" s="461">
        <v>0.3</v>
      </c>
      <c r="CO194" s="461">
        <v>0.3</v>
      </c>
      <c r="CP194" s="461">
        <v>0.3</v>
      </c>
      <c r="CQ194" s="461">
        <v>0.3</v>
      </c>
      <c r="CR194" s="461">
        <v>0.3</v>
      </c>
      <c r="CS194" s="504"/>
      <c r="CT194" s="503"/>
      <c r="CU194" s="503"/>
      <c r="CW194" s="518" t="s">
        <v>324</v>
      </c>
      <c r="CX194" s="459" t="s">
        <v>516</v>
      </c>
      <c r="CY194" s="519" t="s">
        <v>701</v>
      </c>
      <c r="CZ194" s="461">
        <v>0.3</v>
      </c>
      <c r="DA194" s="461">
        <v>0.3</v>
      </c>
      <c r="DB194" s="461">
        <v>0.3</v>
      </c>
      <c r="DC194" s="461">
        <v>0.3</v>
      </c>
      <c r="DD194" s="461">
        <v>0.3</v>
      </c>
      <c r="DE194" s="461">
        <v>0.3</v>
      </c>
      <c r="DF194" s="461">
        <v>0.3</v>
      </c>
      <c r="DG194" s="461">
        <v>0.3</v>
      </c>
      <c r="DH194" s="461">
        <v>0.3</v>
      </c>
      <c r="DI194" s="461">
        <v>0.3</v>
      </c>
      <c r="DJ194" s="504"/>
      <c r="DK194" s="503"/>
      <c r="DL194" s="503"/>
      <c r="DN194" s="518" t="s">
        <v>799</v>
      </c>
      <c r="DO194" s="459" t="s">
        <v>516</v>
      </c>
      <c r="DP194" s="519" t="s">
        <v>701</v>
      </c>
      <c r="DQ194" s="461">
        <v>0.3</v>
      </c>
      <c r="DR194" s="461">
        <v>0.3</v>
      </c>
      <c r="DS194" s="461">
        <v>0.3</v>
      </c>
      <c r="DT194" s="461">
        <v>0.3</v>
      </c>
      <c r="DU194" s="461">
        <v>0.3</v>
      </c>
      <c r="DV194" s="461">
        <v>0.3</v>
      </c>
      <c r="DW194" s="461">
        <v>0.3</v>
      </c>
      <c r="DX194" s="461">
        <v>0.3</v>
      </c>
      <c r="DY194" s="461">
        <v>0.3</v>
      </c>
      <c r="DZ194" s="461">
        <v>0.3</v>
      </c>
      <c r="EA194" s="504"/>
      <c r="EB194" s="503"/>
      <c r="EC194" s="503"/>
      <c r="ED194" s="558"/>
      <c r="EF194" s="518" t="s">
        <v>324</v>
      </c>
      <c r="EG194" s="459" t="s">
        <v>516</v>
      </c>
      <c r="EH194" s="519" t="s">
        <v>701</v>
      </c>
      <c r="EI194" s="609">
        <f t="shared" si="329"/>
        <v>0.3</v>
      </c>
      <c r="EJ194" s="609">
        <f t="shared" si="330"/>
        <v>0.3</v>
      </c>
      <c r="EK194" s="609">
        <f t="shared" si="331"/>
        <v>0.3</v>
      </c>
      <c r="EL194" s="609">
        <f t="shared" si="332"/>
        <v>0.3</v>
      </c>
      <c r="EM194" s="609">
        <f t="shared" si="333"/>
        <v>0.3</v>
      </c>
      <c r="EN194" s="609">
        <f t="shared" si="334"/>
        <v>0.3</v>
      </c>
      <c r="EO194" s="609">
        <f t="shared" si="335"/>
        <v>0.3</v>
      </c>
      <c r="EP194" s="609">
        <f t="shared" si="336"/>
        <v>0.3</v>
      </c>
      <c r="EQ194" s="609">
        <f t="shared" si="337"/>
        <v>0.3</v>
      </c>
      <c r="ER194" s="609">
        <f t="shared" si="338"/>
        <v>0.3</v>
      </c>
      <c r="ES194" s="625">
        <f t="shared" si="339"/>
        <v>0</v>
      </c>
      <c r="ET194" s="624">
        <f t="shared" si="340"/>
        <v>0</v>
      </c>
      <c r="EU194" s="624">
        <f t="shared" si="341"/>
        <v>0</v>
      </c>
      <c r="EW194" s="518" t="s">
        <v>324</v>
      </c>
      <c r="EX194" s="459" t="s">
        <v>516</v>
      </c>
      <c r="EY194" s="519"/>
      <c r="EZ194" s="666">
        <v>0</v>
      </c>
      <c r="FA194" s="598"/>
      <c r="FB194" s="598"/>
      <c r="FC194" s="598"/>
      <c r="FD194" s="598"/>
      <c r="FE194" s="598"/>
      <c r="FF194" s="598"/>
      <c r="FG194" s="598"/>
      <c r="FH194" s="598"/>
      <c r="FI194" s="598"/>
      <c r="FJ194" s="657"/>
      <c r="FK194" s="601"/>
      <c r="FL194" s="601"/>
    </row>
    <row r="195" spans="2:168">
      <c r="D195" s="716"/>
      <c r="E195" s="715"/>
      <c r="G195" s="715"/>
      <c r="H195" s="715"/>
      <c r="I195" s="715"/>
      <c r="J195" s="715"/>
      <c r="K195" s="715"/>
      <c r="L195" s="715"/>
      <c r="M195" s="715"/>
      <c r="N195" s="715"/>
      <c r="P195" s="564"/>
      <c r="Q195" s="564"/>
      <c r="R195" s="564"/>
      <c r="S195" s="564"/>
      <c r="T195" s="564"/>
      <c r="BO195" s="714"/>
      <c r="BP195" s="714"/>
    </row>
    <row r="196" spans="2:168" hidden="1">
      <c r="D196" s="716"/>
      <c r="E196" s="715"/>
      <c r="G196" s="715"/>
      <c r="H196" s="715"/>
      <c r="I196" s="715"/>
      <c r="J196" s="715"/>
      <c r="K196" s="715"/>
      <c r="L196" s="715"/>
      <c r="M196" s="715"/>
      <c r="N196" s="715"/>
      <c r="BO196" s="714"/>
      <c r="BP196" s="714"/>
    </row>
    <row r="197" spans="2:168" hidden="1">
      <c r="D197" s="716"/>
      <c r="E197" s="715"/>
      <c r="G197" s="715"/>
      <c r="H197" s="715"/>
      <c r="I197" s="715"/>
      <c r="J197" s="715"/>
      <c r="K197" s="715"/>
      <c r="L197" s="715"/>
      <c r="M197" s="715"/>
      <c r="N197" s="715"/>
      <c r="BO197" s="714"/>
      <c r="BP197" s="714"/>
    </row>
    <row r="198" spans="2:168" hidden="1">
      <c r="D198" s="716"/>
      <c r="E198" s="715"/>
      <c r="G198" s="715"/>
      <c r="H198" s="715"/>
      <c r="I198" s="715"/>
      <c r="J198" s="715"/>
      <c r="K198" s="715"/>
      <c r="L198" s="715"/>
      <c r="M198" s="715"/>
      <c r="N198" s="715"/>
      <c r="BO198" s="714"/>
      <c r="BP198" s="714"/>
    </row>
    <row r="199" spans="2:168" hidden="1">
      <c r="D199" s="716"/>
      <c r="E199" s="715"/>
      <c r="G199" s="715"/>
      <c r="H199" s="715"/>
      <c r="I199" s="715"/>
      <c r="J199" s="715"/>
      <c r="K199" s="715"/>
      <c r="L199" s="715"/>
      <c r="M199" s="715"/>
      <c r="N199" s="715"/>
      <c r="BO199" s="714"/>
      <c r="BP199" s="714"/>
    </row>
    <row r="200" spans="2:168" hidden="1">
      <c r="D200" s="716"/>
      <c r="E200" s="715"/>
      <c r="G200" s="715"/>
      <c r="H200" s="715"/>
      <c r="I200" s="715"/>
      <c r="J200" s="715"/>
      <c r="K200" s="715"/>
      <c r="L200" s="715"/>
      <c r="M200" s="715"/>
      <c r="N200" s="715"/>
      <c r="BO200" s="714"/>
      <c r="BP200" s="714"/>
    </row>
    <row r="201" spans="2:168" hidden="1">
      <c r="D201" s="716"/>
      <c r="E201" s="715"/>
      <c r="G201" s="715"/>
      <c r="H201" s="715"/>
      <c r="I201" s="715"/>
      <c r="J201" s="715"/>
      <c r="K201" s="715"/>
      <c r="L201" s="715"/>
      <c r="M201" s="715"/>
      <c r="N201" s="715"/>
      <c r="BO201" s="714"/>
      <c r="BP201" s="714"/>
    </row>
    <row r="202" spans="2:168" hidden="1">
      <c r="D202" s="716"/>
      <c r="E202" s="715"/>
      <c r="G202" s="715"/>
      <c r="H202" s="715"/>
      <c r="I202" s="715"/>
      <c r="J202" s="715"/>
      <c r="K202" s="715"/>
      <c r="L202" s="715"/>
      <c r="M202" s="715"/>
      <c r="N202" s="715"/>
      <c r="BO202" s="714"/>
      <c r="BP202" s="714"/>
    </row>
    <row r="203" spans="2:168" hidden="1">
      <c r="D203" s="716"/>
      <c r="E203" s="715"/>
      <c r="G203" s="715"/>
      <c r="H203" s="715"/>
      <c r="I203" s="715"/>
      <c r="J203" s="715"/>
      <c r="K203" s="715"/>
      <c r="L203" s="715"/>
      <c r="M203" s="715"/>
      <c r="N203" s="715"/>
      <c r="BO203" s="714"/>
      <c r="BP203" s="714"/>
    </row>
    <row r="204" spans="2:168" hidden="1">
      <c r="D204" s="716"/>
      <c r="E204" s="715"/>
      <c r="G204" s="715"/>
      <c r="H204" s="715"/>
      <c r="I204" s="715"/>
      <c r="J204" s="715"/>
      <c r="K204" s="715"/>
      <c r="L204" s="715"/>
      <c r="M204" s="715"/>
      <c r="N204" s="715"/>
      <c r="BO204" s="714"/>
      <c r="BP204" s="714"/>
    </row>
    <row r="205" spans="2:168" hidden="1">
      <c r="D205" s="716"/>
      <c r="E205" s="715"/>
      <c r="G205" s="715"/>
      <c r="H205" s="715"/>
      <c r="I205" s="715"/>
      <c r="J205" s="715"/>
      <c r="K205" s="715"/>
      <c r="L205" s="715"/>
      <c r="M205" s="715"/>
      <c r="N205" s="715"/>
      <c r="BO205" s="714"/>
      <c r="BP205" s="714"/>
    </row>
    <row r="206" spans="2:168" hidden="1">
      <c r="D206" s="716"/>
      <c r="E206" s="715"/>
      <c r="G206" s="715"/>
      <c r="H206" s="715"/>
      <c r="I206" s="715"/>
      <c r="J206" s="715"/>
      <c r="K206" s="715"/>
      <c r="L206" s="715"/>
      <c r="M206" s="715"/>
      <c r="N206" s="715"/>
      <c r="BO206" s="714"/>
      <c r="BP206" s="714"/>
    </row>
    <row r="207" spans="2:168" hidden="1">
      <c r="D207" s="716"/>
      <c r="E207" s="715"/>
      <c r="G207" s="715"/>
      <c r="H207" s="715"/>
      <c r="I207" s="715"/>
      <c r="J207" s="715"/>
      <c r="K207" s="715"/>
      <c r="L207" s="715"/>
      <c r="M207" s="715"/>
      <c r="N207" s="715"/>
      <c r="BO207" s="714"/>
      <c r="BP207" s="714"/>
    </row>
    <row r="208" spans="2:168" hidden="1">
      <c r="D208" s="716"/>
      <c r="E208" s="715"/>
      <c r="G208" s="715"/>
      <c r="H208" s="715"/>
      <c r="I208" s="715"/>
      <c r="J208" s="715"/>
      <c r="K208" s="715"/>
      <c r="L208" s="715"/>
      <c r="M208" s="715"/>
      <c r="N208" s="715"/>
      <c r="BO208" s="714"/>
      <c r="BP208" s="714"/>
    </row>
    <row r="209" spans="4:68" hidden="1">
      <c r="D209" s="716"/>
      <c r="E209" s="715"/>
      <c r="G209" s="715"/>
      <c r="H209" s="715"/>
      <c r="I209" s="715"/>
      <c r="J209" s="715"/>
      <c r="K209" s="715"/>
      <c r="L209" s="715"/>
      <c r="M209" s="715"/>
      <c r="N209" s="715"/>
      <c r="BO209" s="714"/>
      <c r="BP209" s="714"/>
    </row>
    <row r="210" spans="4:68" hidden="1">
      <c r="D210" s="716"/>
      <c r="E210" s="715"/>
      <c r="G210" s="715"/>
      <c r="H210" s="715"/>
      <c r="I210" s="715"/>
      <c r="J210" s="715"/>
      <c r="K210" s="715"/>
      <c r="L210" s="715"/>
      <c r="M210" s="715"/>
      <c r="N210" s="715"/>
      <c r="BO210" s="714"/>
      <c r="BP210" s="714"/>
    </row>
    <row r="211" spans="4:68" hidden="1">
      <c r="D211" s="716"/>
      <c r="E211" s="715"/>
      <c r="G211" s="715"/>
      <c r="H211" s="715"/>
      <c r="I211" s="715"/>
      <c r="J211" s="715"/>
      <c r="K211" s="715"/>
      <c r="L211" s="715"/>
      <c r="M211" s="715"/>
      <c r="N211" s="715"/>
      <c r="BO211" s="714"/>
      <c r="BP211" s="714"/>
    </row>
    <row r="212" spans="4:68" hidden="1">
      <c r="D212" s="716"/>
      <c r="E212" s="715"/>
      <c r="G212" s="715"/>
      <c r="H212" s="715"/>
      <c r="I212" s="715"/>
      <c r="J212" s="715"/>
      <c r="K212" s="715"/>
      <c r="L212" s="715"/>
      <c r="M212" s="715"/>
      <c r="N212" s="715"/>
      <c r="BO212" s="714"/>
      <c r="BP212" s="714"/>
    </row>
    <row r="213" spans="4:68" hidden="1">
      <c r="D213" s="716"/>
      <c r="E213" s="715"/>
      <c r="G213" s="715"/>
      <c r="H213" s="715"/>
      <c r="I213" s="715"/>
      <c r="J213" s="715"/>
      <c r="K213" s="715"/>
      <c r="L213" s="715"/>
      <c r="M213" s="715"/>
      <c r="N213" s="715"/>
      <c r="BO213" s="714"/>
      <c r="BP213" s="714"/>
    </row>
    <row r="214" spans="4:68" hidden="1">
      <c r="D214" s="716"/>
      <c r="E214" s="715"/>
      <c r="G214" s="715"/>
      <c r="H214" s="715"/>
      <c r="I214" s="715"/>
      <c r="J214" s="715"/>
      <c r="K214" s="715"/>
      <c r="L214" s="715"/>
      <c r="M214" s="715"/>
      <c r="N214" s="715"/>
      <c r="BO214" s="714"/>
      <c r="BP214" s="714"/>
    </row>
    <row r="215" spans="4:68" hidden="1">
      <c r="D215" s="716"/>
      <c r="E215" s="715"/>
      <c r="G215" s="715"/>
      <c r="H215" s="715"/>
      <c r="I215" s="715"/>
      <c r="J215" s="715"/>
      <c r="K215" s="715"/>
      <c r="L215" s="715"/>
      <c r="M215" s="715"/>
      <c r="N215" s="715"/>
      <c r="BO215" s="714"/>
      <c r="BP215" s="714"/>
    </row>
    <row r="216" spans="4:68" hidden="1">
      <c r="D216" s="716"/>
      <c r="E216" s="715"/>
      <c r="G216" s="715"/>
      <c r="H216" s="715"/>
      <c r="I216" s="715"/>
      <c r="J216" s="715"/>
      <c r="K216" s="715"/>
      <c r="L216" s="715"/>
      <c r="M216" s="715"/>
      <c r="N216" s="715"/>
      <c r="BO216" s="714"/>
      <c r="BP216" s="714"/>
    </row>
    <row r="217" spans="4:68" hidden="1">
      <c r="D217" s="716"/>
      <c r="E217" s="715"/>
      <c r="G217" s="715"/>
      <c r="H217" s="715"/>
      <c r="I217" s="715"/>
      <c r="J217" s="715"/>
      <c r="K217" s="715"/>
      <c r="L217" s="715"/>
      <c r="M217" s="715"/>
      <c r="N217" s="715"/>
      <c r="BO217" s="714"/>
      <c r="BP217" s="714"/>
    </row>
    <row r="218" spans="4:68" hidden="1">
      <c r="D218" s="716"/>
      <c r="E218" s="715"/>
      <c r="G218" s="715"/>
      <c r="H218" s="715"/>
      <c r="I218" s="715"/>
      <c r="J218" s="715"/>
      <c r="K218" s="715"/>
      <c r="L218" s="715"/>
      <c r="M218" s="715"/>
      <c r="N218" s="715"/>
      <c r="BO218" s="714"/>
      <c r="BP218" s="714"/>
    </row>
    <row r="219" spans="4:68" hidden="1">
      <c r="D219" s="716"/>
      <c r="E219" s="715"/>
      <c r="G219" s="715"/>
      <c r="H219" s="715"/>
      <c r="I219" s="715"/>
      <c r="J219" s="715"/>
      <c r="K219" s="715"/>
      <c r="L219" s="715"/>
      <c r="M219" s="715"/>
      <c r="N219" s="715"/>
      <c r="BO219" s="714"/>
      <c r="BP219" s="714"/>
    </row>
    <row r="220" spans="4:68" hidden="1">
      <c r="D220" s="716"/>
      <c r="E220" s="715"/>
      <c r="G220" s="715"/>
      <c r="H220" s="715"/>
      <c r="I220" s="715"/>
      <c r="J220" s="715"/>
      <c r="K220" s="715"/>
      <c r="L220" s="715"/>
      <c r="M220" s="715"/>
      <c r="N220" s="715"/>
      <c r="BO220" s="714"/>
      <c r="BP220" s="714"/>
    </row>
    <row r="221" spans="4:68" hidden="1">
      <c r="D221" s="716"/>
      <c r="E221" s="715"/>
      <c r="G221" s="715"/>
      <c r="H221" s="715"/>
      <c r="I221" s="715"/>
      <c r="J221" s="715"/>
      <c r="K221" s="715"/>
      <c r="L221" s="715"/>
      <c r="M221" s="715"/>
      <c r="N221" s="715"/>
      <c r="BO221" s="714"/>
      <c r="BP221" s="714"/>
    </row>
    <row r="222" spans="4:68" hidden="1">
      <c r="D222" s="716"/>
      <c r="E222" s="715"/>
      <c r="G222" s="715"/>
      <c r="H222" s="715"/>
      <c r="I222" s="715"/>
      <c r="J222" s="715"/>
      <c r="K222" s="715"/>
      <c r="L222" s="715"/>
      <c r="M222" s="715"/>
      <c r="N222" s="715"/>
      <c r="BO222" s="714"/>
      <c r="BP222" s="714"/>
    </row>
    <row r="223" spans="4:68" hidden="1">
      <c r="D223" s="716"/>
      <c r="E223" s="715"/>
      <c r="G223" s="715"/>
      <c r="H223" s="715"/>
      <c r="I223" s="715"/>
      <c r="J223" s="715"/>
      <c r="K223" s="715"/>
      <c r="L223" s="715"/>
      <c r="M223" s="715"/>
      <c r="N223" s="715"/>
      <c r="BO223" s="714"/>
      <c r="BP223" s="714"/>
    </row>
    <row r="224" spans="4:68" hidden="1">
      <c r="D224" s="716"/>
      <c r="E224" s="715"/>
      <c r="G224" s="715"/>
      <c r="H224" s="715"/>
      <c r="I224" s="715"/>
      <c r="J224" s="715"/>
      <c r="K224" s="715"/>
      <c r="L224" s="715"/>
      <c r="M224" s="715"/>
      <c r="N224" s="715"/>
      <c r="BO224" s="714"/>
      <c r="BP224" s="714"/>
    </row>
    <row r="225" spans="4:68" hidden="1">
      <c r="D225" s="716"/>
      <c r="E225" s="715"/>
      <c r="G225" s="715"/>
      <c r="H225" s="715"/>
      <c r="I225" s="715"/>
      <c r="J225" s="715"/>
      <c r="K225" s="715"/>
      <c r="L225" s="715"/>
      <c r="M225" s="715"/>
      <c r="N225" s="715"/>
      <c r="BO225" s="714"/>
      <c r="BP225" s="714"/>
    </row>
    <row r="226" spans="4:68" hidden="1">
      <c r="D226" s="716"/>
      <c r="E226" s="715"/>
      <c r="G226" s="715"/>
      <c r="H226" s="715"/>
      <c r="I226" s="715"/>
      <c r="J226" s="715"/>
      <c r="K226" s="715"/>
      <c r="L226" s="715"/>
      <c r="M226" s="715"/>
      <c r="N226" s="715"/>
      <c r="BO226" s="714"/>
      <c r="BP226" s="714"/>
    </row>
    <row r="227" spans="4:68" hidden="1">
      <c r="D227" s="716"/>
      <c r="E227" s="715"/>
      <c r="G227" s="715"/>
      <c r="H227" s="715"/>
      <c r="I227" s="715"/>
      <c r="J227" s="715"/>
      <c r="K227" s="715"/>
      <c r="L227" s="715"/>
      <c r="M227" s="715"/>
      <c r="N227" s="715"/>
      <c r="BO227" s="714"/>
      <c r="BP227" s="714"/>
    </row>
    <row r="228" spans="4:68" hidden="1">
      <c r="D228" s="716"/>
      <c r="E228" s="715"/>
      <c r="G228" s="715"/>
      <c r="H228" s="715"/>
      <c r="I228" s="715"/>
      <c r="J228" s="715"/>
      <c r="K228" s="715"/>
      <c r="L228" s="715"/>
      <c r="M228" s="715"/>
      <c r="N228" s="715"/>
      <c r="BO228" s="714"/>
      <c r="BP228" s="714"/>
    </row>
    <row r="229" spans="4:68" hidden="1">
      <c r="D229" s="716"/>
      <c r="E229" s="715"/>
      <c r="G229" s="715"/>
      <c r="H229" s="715"/>
      <c r="I229" s="715"/>
      <c r="J229" s="715"/>
      <c r="K229" s="715"/>
      <c r="L229" s="715"/>
      <c r="M229" s="715"/>
      <c r="N229" s="715"/>
      <c r="BO229" s="714"/>
      <c r="BP229" s="714"/>
    </row>
    <row r="230" spans="4:68" hidden="1">
      <c r="D230" s="716"/>
      <c r="E230" s="715"/>
      <c r="G230" s="715"/>
      <c r="H230" s="715"/>
      <c r="I230" s="715"/>
      <c r="J230" s="715"/>
      <c r="K230" s="715"/>
      <c r="L230" s="715"/>
      <c r="M230" s="715"/>
      <c r="N230" s="715"/>
      <c r="BO230" s="714"/>
      <c r="BP230" s="714"/>
    </row>
    <row r="231" spans="4:68" hidden="1">
      <c r="D231" s="716"/>
      <c r="E231" s="715"/>
      <c r="G231" s="715"/>
      <c r="H231" s="715"/>
      <c r="I231" s="715"/>
      <c r="J231" s="715"/>
      <c r="K231" s="715"/>
      <c r="L231" s="715"/>
      <c r="M231" s="715"/>
      <c r="N231" s="715"/>
      <c r="BO231" s="714"/>
      <c r="BP231" s="714"/>
    </row>
    <row r="232" spans="4:68" hidden="1">
      <c r="D232" s="716"/>
      <c r="E232" s="715"/>
      <c r="G232" s="715"/>
      <c r="H232" s="715"/>
      <c r="I232" s="715"/>
      <c r="J232" s="715"/>
      <c r="K232" s="715"/>
      <c r="L232" s="715"/>
      <c r="M232" s="715"/>
      <c r="N232" s="715"/>
      <c r="BO232" s="714"/>
      <c r="BP232" s="714"/>
    </row>
    <row r="233" spans="4:68" hidden="1">
      <c r="D233" s="716"/>
      <c r="E233" s="715"/>
      <c r="G233" s="715"/>
      <c r="H233" s="715"/>
      <c r="I233" s="715"/>
      <c r="J233" s="715"/>
      <c r="K233" s="715"/>
      <c r="L233" s="715"/>
      <c r="M233" s="715"/>
      <c r="N233" s="715"/>
      <c r="BO233" s="714"/>
      <c r="BP233" s="714"/>
    </row>
    <row r="234" spans="4:68">
      <c r="D234" s="716"/>
      <c r="E234" s="715"/>
      <c r="G234" s="715"/>
      <c r="H234" s="715"/>
      <c r="I234" s="715"/>
      <c r="J234" s="715"/>
      <c r="K234" s="715"/>
      <c r="L234" s="715"/>
      <c r="M234" s="715"/>
      <c r="N234" s="715"/>
      <c r="BO234" s="714"/>
      <c r="BP234" s="714"/>
    </row>
  </sheetData>
  <mergeCells count="9">
    <mergeCell ref="R155:T155"/>
    <mergeCell ref="S193:T193"/>
    <mergeCell ref="S194:T194"/>
    <mergeCell ref="P3:T3"/>
    <mergeCell ref="S5:T5"/>
    <mergeCell ref="R47:S47"/>
    <mergeCell ref="S85:T85"/>
    <mergeCell ref="S87:T87"/>
    <mergeCell ref="S150:T150"/>
  </mergeCells>
  <phoneticPr fontId="26"/>
  <conditionalFormatting sqref="AM10:AY61">
    <cfRule type="expression" dxfId="115" priority="1" stopIfTrue="1">
      <formula>(BR10=0)</formula>
    </cfRule>
    <cfRule type="expression" dxfId="114" priority="2" stopIfTrue="1">
      <formula>AND(AM$7&gt;0,AM10="")</formula>
    </cfRule>
  </conditionalFormatting>
  <conditionalFormatting sqref="AM63:AY111 AM113:AY120 AM123:AY144 AM146:AY171 AM174:AY194">
    <cfRule type="expression" dxfId="113" priority="7" stopIfTrue="1">
      <formula>(BR63=0)</formula>
    </cfRule>
    <cfRule type="expression" dxfId="112" priority="8" stopIfTrue="1">
      <formula>AND(AM$7&gt;0,AM63="")</formula>
    </cfRule>
  </conditionalFormatting>
  <conditionalFormatting sqref="AW173:AY173">
    <cfRule type="expression" dxfId="111" priority="5" stopIfTrue="1">
      <formula>(CB173=0)</formula>
    </cfRule>
    <cfRule type="expression" dxfId="110" priority="6" stopIfTrue="1">
      <formula>AND(AW$7&gt;0,AW173="")</formula>
    </cfRule>
  </conditionalFormatting>
  <dataValidations count="1">
    <dataValidation allowBlank="1" showErrorMessage="1" sqref="AM10:AY61 AM173:AY194 AM63:AY111 AM113:AY121 AM123:AY144 AM146:AY171 V10:W194" xr:uid="{00000000-0002-0000-0700-000000000000}"/>
  </dataValidations>
  <printOptions horizontalCentered="1"/>
  <pageMargins left="0.59055118110236227" right="0.59055118110236227" top="0.78740157480314965" bottom="0.59055118110236227" header="0.51181102362204722" footer="0.51181102362204722"/>
  <pageSetup paperSize="9" scale="45" fitToWidth="2" fitToHeight="0" orientation="portrait" verticalDpi="4294967293" r:id="rId1"/>
  <headerFooter alignWithMargins="0">
    <oddHeader>&amp;L&amp;F&amp;R&amp;A</oddHeader>
    <oddFooter>&amp;C&amp;P/&amp;N</oddFooter>
  </headerFooter>
  <rowBreaks count="1" manualBreakCount="1">
    <brk id="111" max="30" man="1"/>
  </rowBreaks>
  <colBreaks count="1" manualBreakCount="1">
    <brk id="66" max="193"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41">
    <pageSetUpPr autoPageBreaks="0" fitToPage="1"/>
  </sheetPr>
  <dimension ref="A1:AK581"/>
  <sheetViews>
    <sheetView showGridLines="0" workbookViewId="0"/>
  </sheetViews>
  <sheetFormatPr defaultColWidth="9" defaultRowHeight="14.25" zeroHeight="1"/>
  <cols>
    <col min="1" max="1" width="0.875" customWidth="1"/>
    <col min="2" max="2" width="4" style="392" customWidth="1"/>
    <col min="3" max="3" width="5.125" customWidth="1"/>
    <col min="4" max="4" width="5.375" customWidth="1"/>
    <col min="5" max="8" width="7.375" customWidth="1"/>
    <col min="9" max="15" width="5.75" customWidth="1"/>
    <col min="16" max="21" width="7.25" customWidth="1"/>
    <col min="22" max="22" width="2.25" customWidth="1"/>
    <col min="23" max="24" width="6.625" style="702" hidden="1" customWidth="1"/>
    <col min="25" max="32" width="6.625" hidden="1" customWidth="1"/>
    <col min="33" max="33" width="6.25" hidden="1" customWidth="1"/>
    <col min="34" max="34" width="12.375" hidden="1" customWidth="1"/>
    <col min="35" max="36" width="5.25" hidden="1" customWidth="1"/>
    <col min="37" max="37" width="29.125" hidden="1" customWidth="1"/>
  </cols>
  <sheetData>
    <row r="1" spans="1:37" ht="6" customHeight="1" thickBot="1"/>
    <row r="2" spans="1:37" ht="17.25">
      <c r="B2" s="3171" t="str">
        <f>Main!C6</f>
        <v>CASBEE for Building Design (New Construction) 2024 Edition</v>
      </c>
      <c r="C2" s="379"/>
      <c r="D2" s="380"/>
      <c r="E2" s="1087"/>
      <c r="F2" s="1087"/>
      <c r="G2" s="1087"/>
      <c r="H2" s="381"/>
      <c r="I2" s="1081"/>
      <c r="J2" s="1081"/>
      <c r="K2" s="1081"/>
      <c r="L2" s="1081"/>
      <c r="M2" s="1081"/>
      <c r="O2" s="119" t="s">
        <v>1491</v>
      </c>
      <c r="Q2" s="394"/>
      <c r="T2" s="560"/>
      <c r="U2" s="2323" t="str">
        <f>Main!C6</f>
        <v>CASBEE for Building Design (New Construction) 2024 Edition</v>
      </c>
      <c r="V2" s="1176"/>
      <c r="W2" s="703"/>
      <c r="X2" s="703"/>
    </row>
    <row r="3" spans="1:37" ht="14.25" customHeight="1" thickBot="1">
      <c r="B3" s="3871" t="str">
        <f>Main!$C$11</f>
        <v>XXX Building</v>
      </c>
      <c r="C3" s="3872"/>
      <c r="D3" s="3872"/>
      <c r="E3" s="3872"/>
      <c r="F3" s="3872"/>
      <c r="G3" s="3872"/>
      <c r="H3" s="3873"/>
      <c r="I3" s="1081"/>
      <c r="O3" s="119" t="s">
        <v>1492</v>
      </c>
      <c r="R3" s="1177" t="str">
        <f>Main!C5</f>
        <v>CASBEE-BD_NCe_2024_v1.21</v>
      </c>
      <c r="T3" s="1178"/>
      <c r="U3" s="1178"/>
      <c r="V3" s="1179"/>
      <c r="W3" s="689"/>
      <c r="X3" s="689"/>
      <c r="Z3" s="1">
        <f>Main!I3</f>
        <v>2</v>
      </c>
      <c r="AA3" s="1" t="str">
        <f>Main!J3</f>
        <v>NC</v>
      </c>
    </row>
    <row r="4" spans="1:37" ht="3.75" customHeight="1" thickBot="1">
      <c r="B4" s="1180"/>
      <c r="C4" s="1072"/>
      <c r="D4" s="1071"/>
      <c r="E4" s="8"/>
      <c r="F4" s="8"/>
      <c r="G4" s="8"/>
      <c r="H4" s="8"/>
      <c r="I4" s="8"/>
      <c r="J4" s="8"/>
      <c r="K4" s="8"/>
      <c r="L4" s="8"/>
      <c r="M4" s="8"/>
      <c r="N4" s="8"/>
      <c r="O4" s="8"/>
      <c r="P4" s="1181"/>
      <c r="Q4" s="1181"/>
      <c r="R4" s="8"/>
      <c r="S4" s="8"/>
      <c r="T4" s="8"/>
      <c r="U4" s="406"/>
      <c r="V4" s="1179"/>
      <c r="W4" s="689"/>
      <c r="X4" s="689"/>
    </row>
    <row r="5" spans="1:37" s="1105" customFormat="1" ht="17.25" customHeight="1" thickBot="1">
      <c r="B5" s="2883" t="s">
        <v>1464</v>
      </c>
      <c r="C5" s="2884"/>
      <c r="D5" s="2885"/>
      <c r="E5" s="3893" t="str">
        <f>IF(Main!E39=0,"",Main!E39)</f>
        <v>Execution design stage</v>
      </c>
      <c r="F5" s="3893"/>
      <c r="G5" s="3893"/>
      <c r="H5" s="3894"/>
      <c r="I5" s="2886"/>
      <c r="J5" s="2887"/>
      <c r="K5" s="2887"/>
      <c r="L5" s="2887"/>
      <c r="M5" s="2887"/>
      <c r="N5" s="2887"/>
      <c r="O5" s="2887"/>
      <c r="P5" s="2887"/>
      <c r="Q5" s="2887"/>
      <c r="R5" s="2887"/>
      <c r="S5" s="2887"/>
      <c r="T5" s="2887"/>
      <c r="U5" s="2888"/>
      <c r="V5" s="2889"/>
      <c r="W5" s="3895" t="s">
        <v>779</v>
      </c>
      <c r="X5" s="3896"/>
      <c r="Z5" s="354"/>
      <c r="AA5" s="689"/>
      <c r="AB5" s="354"/>
      <c r="AC5" s="689"/>
      <c r="AD5" s="689"/>
      <c r="AE5" s="689"/>
      <c r="AF5" s="2890" t="s">
        <v>3305</v>
      </c>
      <c r="AG5" s="119"/>
      <c r="AH5" s="2890" t="s">
        <v>3306</v>
      </c>
    </row>
    <row r="6" spans="1:37" s="1105" customFormat="1" ht="30.6" customHeight="1">
      <c r="B6" s="2891"/>
      <c r="C6" s="2892"/>
      <c r="D6" s="2893"/>
      <c r="E6" s="2894"/>
      <c r="F6" s="2894"/>
      <c r="G6" s="2894"/>
      <c r="H6" s="2895"/>
      <c r="I6" s="3902" t="s">
        <v>1542</v>
      </c>
      <c r="J6" s="3903"/>
      <c r="K6" s="3903"/>
      <c r="L6" s="3903"/>
      <c r="M6" s="3903"/>
      <c r="N6" s="3903"/>
      <c r="O6" s="3903"/>
      <c r="P6" s="3904"/>
      <c r="Q6" s="3899" t="s">
        <v>2367</v>
      </c>
      <c r="R6" s="3900"/>
      <c r="S6" s="3899" t="s">
        <v>3443</v>
      </c>
      <c r="T6" s="3901"/>
      <c r="U6" s="2896"/>
      <c r="V6" s="2889"/>
      <c r="W6" s="3897"/>
      <c r="X6" s="3898"/>
      <c r="Z6" s="2897" t="s">
        <v>780</v>
      </c>
      <c r="AA6" s="2898"/>
      <c r="AB6" s="2899" t="s">
        <v>781</v>
      </c>
      <c r="AC6" s="2898"/>
      <c r="AD6" s="2898"/>
      <c r="AE6" s="689"/>
      <c r="AF6" s="355">
        <f>Weight!D7</f>
        <v>1</v>
      </c>
      <c r="AG6" s="119"/>
      <c r="AH6" s="355">
        <f>Weight!E7</f>
        <v>0</v>
      </c>
    </row>
    <row r="7" spans="1:37" s="1105" customFormat="1" ht="23.25" customHeight="1" thickBot="1">
      <c r="B7" s="2900" t="s">
        <v>2368</v>
      </c>
      <c r="C7" s="2901"/>
      <c r="D7" s="2902"/>
      <c r="E7" s="2903"/>
      <c r="F7" s="2903"/>
      <c r="G7" s="2903"/>
      <c r="H7" s="2904"/>
      <c r="I7" s="3905"/>
      <c r="J7" s="3906"/>
      <c r="K7" s="3906"/>
      <c r="L7" s="3906"/>
      <c r="M7" s="3906"/>
      <c r="N7" s="3906"/>
      <c r="O7" s="3906"/>
      <c r="P7" s="3907"/>
      <c r="Q7" s="2905" t="s">
        <v>1541</v>
      </c>
      <c r="R7" s="2906" t="s">
        <v>3406</v>
      </c>
      <c r="S7" s="2907" t="s">
        <v>1541</v>
      </c>
      <c r="T7" s="2908" t="s">
        <v>3406</v>
      </c>
      <c r="U7" s="2909" t="s">
        <v>1468</v>
      </c>
      <c r="V7" s="2889"/>
      <c r="W7" s="690" t="s">
        <v>780</v>
      </c>
      <c r="X7" s="690" t="s">
        <v>781</v>
      </c>
      <c r="Z7" s="2910" t="s">
        <v>3307</v>
      </c>
      <c r="AA7" s="2911" t="s">
        <v>3308</v>
      </c>
      <c r="AB7" s="2910" t="s">
        <v>3307</v>
      </c>
      <c r="AC7" s="2911" t="s">
        <v>3308</v>
      </c>
      <c r="AD7" s="2912" t="s">
        <v>3309</v>
      </c>
      <c r="AE7" s="689"/>
      <c r="AF7" s="355" t="s">
        <v>429</v>
      </c>
      <c r="AG7" s="119"/>
      <c r="AH7" s="355" t="s">
        <v>429</v>
      </c>
    </row>
    <row r="8" spans="1:37" s="1105" customFormat="1" ht="16.149999999999999" customHeight="1" thickBot="1">
      <c r="B8" s="2913" t="s">
        <v>1535</v>
      </c>
      <c r="C8" s="2914"/>
      <c r="D8" s="2915"/>
      <c r="E8" s="2916"/>
      <c r="F8" s="2916"/>
      <c r="G8" s="2916"/>
      <c r="H8" s="2917"/>
      <c r="I8" s="2918"/>
      <c r="J8" s="2919"/>
      <c r="K8" s="2919"/>
      <c r="L8" s="2919"/>
      <c r="M8" s="2919"/>
      <c r="N8" s="2919"/>
      <c r="O8" s="2919"/>
      <c r="P8" s="2920"/>
      <c r="Q8" s="2921"/>
      <c r="R8" s="1182"/>
      <c r="S8" s="1183"/>
      <c r="T8" s="1184"/>
      <c r="U8" s="1185">
        <f>ROUNDDOWN(AD8,1)</f>
        <v>3</v>
      </c>
      <c r="V8" s="2889"/>
      <c r="W8" s="689"/>
      <c r="X8" s="689"/>
      <c r="Z8" s="356"/>
      <c r="AA8" s="2922"/>
      <c r="AB8" s="356"/>
      <c r="AC8" s="2922"/>
      <c r="AD8" s="2923">
        <f>AA9*AD9+AA62*AD62+AA112*AD112</f>
        <v>3.0000000000000004</v>
      </c>
      <c r="AE8" s="689"/>
      <c r="AF8" s="355">
        <f>Weight!M8</f>
        <v>0</v>
      </c>
      <c r="AG8" s="119"/>
      <c r="AH8" s="355">
        <f>Weight!N8</f>
        <v>0</v>
      </c>
      <c r="AK8" s="3137" t="str">
        <f>Weight!C8</f>
        <v>Environmental Quality of Building</v>
      </c>
    </row>
    <row r="9" spans="1:37" s="1105" customFormat="1" ht="14.25" customHeight="1" thickBot="1">
      <c r="B9" s="2924" t="s">
        <v>1543</v>
      </c>
      <c r="C9" s="2925"/>
      <c r="D9" s="2925"/>
      <c r="E9" s="2925"/>
      <c r="F9" s="2925"/>
      <c r="G9" s="2925"/>
      <c r="H9" s="2926"/>
      <c r="I9" s="2927"/>
      <c r="J9" s="2928"/>
      <c r="K9" s="2928"/>
      <c r="L9" s="2928"/>
      <c r="M9" s="2928"/>
      <c r="N9" s="2928"/>
      <c r="O9" s="2928"/>
      <c r="P9" s="2929"/>
      <c r="Q9" s="2930"/>
      <c r="R9" s="1186">
        <f t="shared" ref="R9:R44" si="0">AA9</f>
        <v>0.4</v>
      </c>
      <c r="S9" s="1187"/>
      <c r="T9" s="1186">
        <f>AC9</f>
        <v>0</v>
      </c>
      <c r="U9" s="1188">
        <f>ROUNDDOWN(AD9,1)</f>
        <v>3</v>
      </c>
      <c r="V9" s="2889"/>
      <c r="W9" s="689"/>
      <c r="X9" s="689"/>
      <c r="Z9" s="356"/>
      <c r="AA9" s="357">
        <f>Weight!D9</f>
        <v>0.4</v>
      </c>
      <c r="AB9" s="356"/>
      <c r="AC9" s="357"/>
      <c r="AD9" s="2923">
        <f>AD10*AA10+AD20*AA20+AD35*AA35+AD48*AA48</f>
        <v>3</v>
      </c>
      <c r="AE9" s="689"/>
      <c r="AF9" s="358">
        <f>Weight!M9</f>
        <v>0.4</v>
      </c>
      <c r="AG9" s="119"/>
      <c r="AH9" s="355">
        <f>Weight!N9</f>
        <v>0</v>
      </c>
      <c r="AI9" s="355" t="s">
        <v>797</v>
      </c>
      <c r="AJ9" s="355" t="s">
        <v>1045</v>
      </c>
      <c r="AK9" s="3137" t="str">
        <f>Weight!C9</f>
        <v>Indoor Environment</v>
      </c>
    </row>
    <row r="10" spans="1:37" s="1105" customFormat="1" ht="14.25" customHeight="1" thickBot="1">
      <c r="B10" s="2931">
        <v>1</v>
      </c>
      <c r="C10" s="2932" t="s">
        <v>2518</v>
      </c>
      <c r="D10" s="5"/>
      <c r="E10" s="2396"/>
      <c r="F10" s="2396"/>
      <c r="G10" s="2396"/>
      <c r="H10" s="2933"/>
      <c r="I10" s="2934"/>
      <c r="J10" s="2935"/>
      <c r="K10" s="2935"/>
      <c r="L10" s="2935"/>
      <c r="M10" s="2935"/>
      <c r="N10" s="2935"/>
      <c r="O10" s="2935"/>
      <c r="P10" s="2936"/>
      <c r="Q10" s="1189">
        <f>ROUNDDOWN(Z10,1)</f>
        <v>3</v>
      </c>
      <c r="R10" s="1190">
        <f>AA10</f>
        <v>0.15</v>
      </c>
      <c r="S10" s="1189">
        <f>ROUNDDOWN(AB10,1)</f>
        <v>0</v>
      </c>
      <c r="T10" s="1191">
        <f t="shared" ref="T10:T44" si="1">AC10</f>
        <v>0</v>
      </c>
      <c r="U10" s="1192">
        <f>ROUNDDOWN(AD10,1)</f>
        <v>3</v>
      </c>
      <c r="V10" s="2889"/>
      <c r="W10" s="691"/>
      <c r="X10" s="691"/>
      <c r="Z10" s="685">
        <f>Z11*AA11+Z14*AA14+Z19*AA19</f>
        <v>3.0000000000000004</v>
      </c>
      <c r="AA10" s="580">
        <f>Weight!D10</f>
        <v>0.15</v>
      </c>
      <c r="AB10" s="685">
        <f>AB11*AC11+AB14*AC14+AB19*AC19</f>
        <v>0</v>
      </c>
      <c r="AC10" s="360">
        <f>SUM(AC11,AC14,AC19)</f>
        <v>0</v>
      </c>
      <c r="AD10" s="2922">
        <f>IF(AB10=0,Z10,IF(Z10=0,AB10,Z10*AF$6+AB10*AH$6))</f>
        <v>3.0000000000000004</v>
      </c>
      <c r="AE10" s="689"/>
      <c r="AF10" s="355">
        <f>Weight!M10</f>
        <v>0.15</v>
      </c>
      <c r="AG10" s="119"/>
      <c r="AH10" s="360">
        <f>SUM(AH11,AH14,AH19)</f>
        <v>0</v>
      </c>
      <c r="AI10" s="2937"/>
      <c r="AJ10" s="2937"/>
      <c r="AK10" s="3137" t="str">
        <f>Weight!C10</f>
        <v>Sound Environment</v>
      </c>
    </row>
    <row r="11" spans="1:37" s="1105" customFormat="1" ht="15.75" thickBot="1">
      <c r="B11" s="2938"/>
      <c r="C11" s="2939">
        <v>1.1000000000000001</v>
      </c>
      <c r="D11" s="2940" t="s">
        <v>1936</v>
      </c>
      <c r="E11" s="2941"/>
      <c r="F11" s="2941"/>
      <c r="G11" s="2941"/>
      <c r="H11" s="2942"/>
      <c r="I11" s="3884">
        <f>'Q1'!G20</f>
        <v>0</v>
      </c>
      <c r="J11" s="3885"/>
      <c r="K11" s="3885"/>
      <c r="L11" s="3885"/>
      <c r="M11" s="3885"/>
      <c r="N11" s="3885"/>
      <c r="O11" s="3885"/>
      <c r="P11" s="3886"/>
      <c r="Q11" s="871">
        <f t="shared" ref="Q11:Q74" si="2">ROUNDDOWN(Z11,1)</f>
        <v>3</v>
      </c>
      <c r="R11" s="1193">
        <f t="shared" si="0"/>
        <v>0.4</v>
      </c>
      <c r="S11" s="871">
        <f t="shared" ref="S11:S74" si="3">ROUNDDOWN(AB11,1)</f>
        <v>0</v>
      </c>
      <c r="T11" s="1193">
        <f t="shared" si="1"/>
        <v>0</v>
      </c>
      <c r="U11" s="1194"/>
      <c r="V11" s="2889"/>
      <c r="W11" s="581">
        <f>IF('Q1'!F14="対象外",0,'Q1'!F14)</f>
        <v>3</v>
      </c>
      <c r="X11" s="582">
        <f>IF('Q1'!L14="対象外",0,'Q1'!L14)</f>
        <v>3</v>
      </c>
      <c r="Z11" s="684">
        <f>IF(AA11=0,0,W11)</f>
        <v>3</v>
      </c>
      <c r="AA11" s="580">
        <f>Weight!D11</f>
        <v>0.4</v>
      </c>
      <c r="AB11" s="684">
        <f>IF(AC11=0,0,X11)</f>
        <v>0</v>
      </c>
      <c r="AC11" s="580">
        <f>Weight!E11</f>
        <v>0</v>
      </c>
      <c r="AD11" s="2922"/>
      <c r="AE11" s="689"/>
      <c r="AF11" s="355">
        <f>Weight!M11</f>
        <v>0.4</v>
      </c>
      <c r="AG11" s="119"/>
      <c r="AH11" s="355">
        <f>Weight!N11</f>
        <v>0</v>
      </c>
      <c r="AI11" s="2937"/>
      <c r="AJ11" s="2937"/>
      <c r="AK11" s="3137" t="str">
        <f>Weight!C11</f>
        <v>Indoor Noise Level</v>
      </c>
    </row>
    <row r="12" spans="1:37" s="1105" customFormat="1" ht="15.75" hidden="1" thickBot="1">
      <c r="A12" s="1105" t="s">
        <v>3310</v>
      </c>
      <c r="B12" s="2943"/>
      <c r="C12" s="993"/>
      <c r="D12" s="2944">
        <v>1</v>
      </c>
      <c r="E12" s="2945" t="s">
        <v>1545</v>
      </c>
      <c r="F12" s="2945"/>
      <c r="G12" s="2945"/>
      <c r="H12" s="2946"/>
      <c r="I12" s="3881"/>
      <c r="J12" s="3882"/>
      <c r="K12" s="3882"/>
      <c r="L12" s="3882"/>
      <c r="M12" s="3882"/>
      <c r="N12" s="3882"/>
      <c r="O12" s="3882"/>
      <c r="P12" s="3883"/>
      <c r="Q12" s="772">
        <f t="shared" si="2"/>
        <v>0</v>
      </c>
      <c r="R12" s="1195">
        <f t="shared" si="0"/>
        <v>0</v>
      </c>
      <c r="S12" s="772">
        <f t="shared" si="3"/>
        <v>0</v>
      </c>
      <c r="T12" s="1195">
        <f t="shared" si="1"/>
        <v>0</v>
      </c>
      <c r="U12" s="1192"/>
      <c r="V12" s="2889"/>
      <c r="W12" s="702"/>
      <c r="X12" s="702"/>
      <c r="Z12" s="590"/>
      <c r="AA12" s="580">
        <f>Weight!D12</f>
        <v>0</v>
      </c>
      <c r="AB12" s="590"/>
      <c r="AC12" s="580">
        <f>Weight!E12</f>
        <v>0</v>
      </c>
      <c r="AD12" s="2922"/>
      <c r="AE12" s="689"/>
      <c r="AF12" s="355">
        <f>Weight!M12</f>
        <v>0</v>
      </c>
      <c r="AG12" s="119"/>
      <c r="AH12" s="355">
        <f>Weight!N12</f>
        <v>0</v>
      </c>
      <c r="AI12" s="2937"/>
      <c r="AJ12" s="2937"/>
      <c r="AK12" s="3137" t="str">
        <f>Weight!C12</f>
        <v>Background noise level</v>
      </c>
    </row>
    <row r="13" spans="1:37" s="1105" customFormat="1" ht="15.75" hidden="1" thickBot="1">
      <c r="B13" s="2947"/>
      <c r="C13" s="955"/>
      <c r="D13" s="2948">
        <v>2</v>
      </c>
      <c r="E13" s="2949" t="s">
        <v>1546</v>
      </c>
      <c r="F13" s="2949"/>
      <c r="G13" s="2949"/>
      <c r="H13" s="2950"/>
      <c r="I13" s="3881"/>
      <c r="J13" s="3882"/>
      <c r="K13" s="3882"/>
      <c r="L13" s="3882"/>
      <c r="M13" s="3882"/>
      <c r="N13" s="3882"/>
      <c r="O13" s="3882"/>
      <c r="P13" s="3883"/>
      <c r="Q13" s="852">
        <f t="shared" si="2"/>
        <v>0</v>
      </c>
      <c r="R13" s="1195">
        <f t="shared" si="0"/>
        <v>0</v>
      </c>
      <c r="S13" s="852">
        <f t="shared" si="3"/>
        <v>0</v>
      </c>
      <c r="T13" s="1195">
        <f>AC13</f>
        <v>0</v>
      </c>
      <c r="U13" s="1192"/>
      <c r="V13" s="2889"/>
      <c r="W13" s="583">
        <f>IF('Q1'!F40="対象外",0,'Q1'!F40)</f>
        <v>0</v>
      </c>
      <c r="X13" s="584">
        <f>'Q1'!K40</f>
        <v>0</v>
      </c>
      <c r="Z13" s="590"/>
      <c r="AA13" s="580">
        <f>Weight!D13</f>
        <v>0</v>
      </c>
      <c r="AB13" s="590"/>
      <c r="AC13" s="580">
        <f>Weight!E13</f>
        <v>0</v>
      </c>
      <c r="AD13" s="2922"/>
      <c r="AE13" s="689"/>
      <c r="AF13" s="355">
        <f>Weight!M13</f>
        <v>0</v>
      </c>
      <c r="AG13" s="119"/>
      <c r="AH13" s="355">
        <f>Weight!N13</f>
        <v>0</v>
      </c>
      <c r="AI13" s="2937"/>
      <c r="AJ13" s="2937"/>
      <c r="AK13" s="3137" t="str">
        <f>Weight!C13</f>
        <v>Equipment noise</v>
      </c>
    </row>
    <row r="14" spans="1:37" s="1105" customFormat="1" ht="15.75" thickBot="1">
      <c r="B14" s="2938"/>
      <c r="C14" s="2939">
        <v>1.2</v>
      </c>
      <c r="D14" s="2941" t="s">
        <v>1547</v>
      </c>
      <c r="E14" s="1150"/>
      <c r="F14" s="1150"/>
      <c r="G14" s="1150"/>
      <c r="H14" s="2261"/>
      <c r="I14" s="2934"/>
      <c r="J14" s="2935"/>
      <c r="K14" s="2935"/>
      <c r="L14" s="2935"/>
      <c r="M14" s="2935"/>
      <c r="N14" s="2935"/>
      <c r="O14" s="2935"/>
      <c r="P14" s="2936"/>
      <c r="Q14" s="1196">
        <f>ROUNDDOWN(Z14,1)</f>
        <v>3</v>
      </c>
      <c r="R14" s="1195">
        <f t="shared" si="0"/>
        <v>0.4</v>
      </c>
      <c r="S14" s="1196">
        <f t="shared" si="3"/>
        <v>0</v>
      </c>
      <c r="T14" s="1195">
        <f t="shared" si="1"/>
        <v>0</v>
      </c>
      <c r="U14" s="1192"/>
      <c r="V14" s="2889"/>
      <c r="W14" s="692"/>
      <c r="X14" s="692"/>
      <c r="Z14" s="359">
        <f>SUMPRODUCT(Z15:Z18,AA15:AA18)</f>
        <v>3</v>
      </c>
      <c r="AA14" s="580">
        <f>Weight!D14</f>
        <v>0.4</v>
      </c>
      <c r="AB14" s="359">
        <f>SUMPRODUCT(AB15:AB18,AC15:AC18)</f>
        <v>0</v>
      </c>
      <c r="AC14" s="580">
        <f>Weight!E14</f>
        <v>0</v>
      </c>
      <c r="AD14" s="2922"/>
      <c r="AE14" s="689"/>
      <c r="AF14" s="355">
        <f>Weight!M14</f>
        <v>0.4</v>
      </c>
      <c r="AG14" s="119"/>
      <c r="AH14" s="355">
        <f>Weight!N14</f>
        <v>0</v>
      </c>
      <c r="AI14" s="2014"/>
      <c r="AJ14" s="2014"/>
      <c r="AK14" s="3137" t="str">
        <f>Weight!C14</f>
        <v>Sound Insulation</v>
      </c>
    </row>
    <row r="15" spans="1:37" s="1105" customFormat="1" ht="14.25" customHeight="1">
      <c r="B15" s="2938"/>
      <c r="C15" s="2951"/>
      <c r="D15" s="2043">
        <v>1</v>
      </c>
      <c r="E15" s="1933" t="s">
        <v>1548</v>
      </c>
      <c r="F15" s="2941"/>
      <c r="G15" s="2941"/>
      <c r="H15" s="2942"/>
      <c r="I15" s="3881">
        <f>'Q1'!G88</f>
        <v>0</v>
      </c>
      <c r="J15" s="3882"/>
      <c r="K15" s="3882"/>
      <c r="L15" s="3882"/>
      <c r="M15" s="3882"/>
      <c r="N15" s="3882"/>
      <c r="O15" s="3882"/>
      <c r="P15" s="3883"/>
      <c r="Q15" s="858">
        <f t="shared" si="2"/>
        <v>3</v>
      </c>
      <c r="R15" s="1195">
        <f t="shared" si="0"/>
        <v>0.6</v>
      </c>
      <c r="S15" s="858">
        <f t="shared" si="3"/>
        <v>0</v>
      </c>
      <c r="T15" s="1195">
        <f t="shared" si="1"/>
        <v>0</v>
      </c>
      <c r="U15" s="1192"/>
      <c r="V15" s="2889"/>
      <c r="W15" s="581">
        <f>IF('Q1'!F75="対象外",0,'Q1'!F75)</f>
        <v>3</v>
      </c>
      <c r="X15" s="582">
        <f>'Q1'!K75</f>
        <v>0</v>
      </c>
      <c r="Z15" s="362">
        <f>IF(AA15=0,0,W15)</f>
        <v>3</v>
      </c>
      <c r="AA15" s="580">
        <f>Weight!D15</f>
        <v>0.6</v>
      </c>
      <c r="AB15" s="362">
        <f>IF(AC15=0,0,X15)</f>
        <v>0</v>
      </c>
      <c r="AC15" s="580">
        <f>Weight!E15</f>
        <v>0</v>
      </c>
      <c r="AD15" s="2922"/>
      <c r="AE15" s="689"/>
      <c r="AF15" s="355">
        <f>Weight!M15</f>
        <v>0.6</v>
      </c>
      <c r="AG15" s="119"/>
      <c r="AH15" s="355">
        <f>Weight!N15</f>
        <v>0</v>
      </c>
      <c r="AI15" s="2937"/>
      <c r="AJ15" s="2937"/>
      <c r="AK15" s="3137" t="str">
        <f>Weight!C15</f>
        <v>Sound Insulation of Openings</v>
      </c>
    </row>
    <row r="16" spans="1:37" s="1105" customFormat="1" ht="14.25" customHeight="1">
      <c r="B16" s="2938"/>
      <c r="C16" s="810"/>
      <c r="D16" s="2043">
        <v>2</v>
      </c>
      <c r="E16" s="1933" t="s">
        <v>1549</v>
      </c>
      <c r="F16" s="2941"/>
      <c r="G16" s="2941"/>
      <c r="H16" s="2942"/>
      <c r="I16" s="3881">
        <f>'Q1'!G105</f>
        <v>0</v>
      </c>
      <c r="J16" s="3882"/>
      <c r="K16" s="3882"/>
      <c r="L16" s="3882"/>
      <c r="M16" s="3882"/>
      <c r="N16" s="3882"/>
      <c r="O16" s="3882"/>
      <c r="P16" s="3883"/>
      <c r="Q16" s="772">
        <f t="shared" si="2"/>
        <v>3</v>
      </c>
      <c r="R16" s="1195">
        <f t="shared" si="0"/>
        <v>0.4</v>
      </c>
      <c r="S16" s="772">
        <f t="shared" si="3"/>
        <v>0</v>
      </c>
      <c r="T16" s="1195">
        <f t="shared" si="1"/>
        <v>0</v>
      </c>
      <c r="U16" s="1192"/>
      <c r="V16" s="2889"/>
      <c r="W16" s="585">
        <f>IF('Q1'!F92="対象外",0,'Q1'!F92)</f>
        <v>3</v>
      </c>
      <c r="X16" s="586">
        <f>'Q1'!K92</f>
        <v>3</v>
      </c>
      <c r="Z16" s="362">
        <f t="shared" ref="Z16:Z19" si="4">IF(AA16=0,0,W16)</f>
        <v>3</v>
      </c>
      <c r="AA16" s="580">
        <f>Weight!D16</f>
        <v>0.4</v>
      </c>
      <c r="AB16" s="362">
        <f t="shared" ref="AB16:AB19" si="5">IF(AC16=0,0,X16)</f>
        <v>0</v>
      </c>
      <c r="AC16" s="580">
        <f>Weight!E16</f>
        <v>0</v>
      </c>
      <c r="AD16" s="2922"/>
      <c r="AE16" s="689"/>
      <c r="AF16" s="355">
        <f>Weight!M16</f>
        <v>0.4</v>
      </c>
      <c r="AG16" s="119"/>
      <c r="AH16" s="355">
        <f>Weight!N16</f>
        <v>0</v>
      </c>
      <c r="AI16" s="2937"/>
      <c r="AJ16" s="2937"/>
      <c r="AK16" s="3137" t="str">
        <f>Weight!C16</f>
        <v>Sound Insulation of Partition Walls</v>
      </c>
    </row>
    <row r="17" spans="2:37" s="1105" customFormat="1" ht="19.899999999999999" customHeight="1">
      <c r="B17" s="2938"/>
      <c r="C17" s="810"/>
      <c r="D17" s="2043">
        <v>3</v>
      </c>
      <c r="E17" s="3876" t="s">
        <v>1550</v>
      </c>
      <c r="F17" s="3877"/>
      <c r="G17" s="3877"/>
      <c r="H17" s="3878"/>
      <c r="I17" s="3881">
        <f>'Q1'!G122</f>
        <v>0</v>
      </c>
      <c r="J17" s="3882"/>
      <c r="K17" s="3882"/>
      <c r="L17" s="3882"/>
      <c r="M17" s="3882"/>
      <c r="N17" s="3882"/>
      <c r="O17" s="3882"/>
      <c r="P17" s="3883"/>
      <c r="Q17" s="772">
        <f t="shared" si="2"/>
        <v>0</v>
      </c>
      <c r="R17" s="1195">
        <f t="shared" si="0"/>
        <v>0</v>
      </c>
      <c r="S17" s="772">
        <f t="shared" si="3"/>
        <v>0</v>
      </c>
      <c r="T17" s="1195">
        <f t="shared" si="1"/>
        <v>0</v>
      </c>
      <c r="U17" s="1192"/>
      <c r="V17" s="2889"/>
      <c r="W17" s="585">
        <f>IF('Q1'!F109="対象外",0,'Q1'!F109)</f>
        <v>3</v>
      </c>
      <c r="X17" s="586">
        <f>'Q1'!K109</f>
        <v>3</v>
      </c>
      <c r="Z17" s="362">
        <f t="shared" si="4"/>
        <v>0</v>
      </c>
      <c r="AA17" s="580">
        <f>Weight!D17</f>
        <v>0</v>
      </c>
      <c r="AB17" s="362">
        <f t="shared" si="5"/>
        <v>0</v>
      </c>
      <c r="AC17" s="580">
        <f>Weight!E17</f>
        <v>0</v>
      </c>
      <c r="AD17" s="2922"/>
      <c r="AE17" s="689"/>
      <c r="AF17" s="355">
        <f>Weight!M17</f>
        <v>0</v>
      </c>
      <c r="AG17" s="119"/>
      <c r="AH17" s="355">
        <f>Weight!N17</f>
        <v>0</v>
      </c>
      <c r="AI17" s="2937"/>
      <c r="AJ17" s="2937"/>
      <c r="AK17" s="3137" t="str">
        <f>Weight!C17</f>
        <v>Sound Insulation Performance of Floor Slabs (light-weight impact source)</v>
      </c>
    </row>
    <row r="18" spans="2:37" s="1105" customFormat="1" ht="19.899999999999999" customHeight="1">
      <c r="B18" s="2938"/>
      <c r="C18" s="936"/>
      <c r="D18" s="2043">
        <v>4</v>
      </c>
      <c r="E18" s="3876" t="s">
        <v>1551</v>
      </c>
      <c r="F18" s="3908"/>
      <c r="G18" s="3908"/>
      <c r="H18" s="3909"/>
      <c r="I18" s="3881">
        <f>'Q1'!G139</f>
        <v>0</v>
      </c>
      <c r="J18" s="3882"/>
      <c r="K18" s="3882"/>
      <c r="L18" s="3882"/>
      <c r="M18" s="3882"/>
      <c r="N18" s="3882"/>
      <c r="O18" s="3882"/>
      <c r="P18" s="3883"/>
      <c r="Q18" s="772">
        <f t="shared" si="2"/>
        <v>0</v>
      </c>
      <c r="R18" s="1195">
        <f t="shared" si="0"/>
        <v>0</v>
      </c>
      <c r="S18" s="772">
        <f t="shared" si="3"/>
        <v>0</v>
      </c>
      <c r="T18" s="1195">
        <f t="shared" si="1"/>
        <v>0</v>
      </c>
      <c r="U18" s="1192"/>
      <c r="V18" s="2889"/>
      <c r="W18" s="585">
        <f>IF('Q1'!F126="対象外",0,'Q1'!F126)</f>
        <v>3</v>
      </c>
      <c r="X18" s="586">
        <f>'Q1'!K126</f>
        <v>3</v>
      </c>
      <c r="Z18" s="362">
        <f t="shared" si="4"/>
        <v>0</v>
      </c>
      <c r="AA18" s="580">
        <f>Weight!D18</f>
        <v>0</v>
      </c>
      <c r="AB18" s="362">
        <f t="shared" si="5"/>
        <v>0</v>
      </c>
      <c r="AC18" s="580">
        <f>Weight!E18</f>
        <v>0</v>
      </c>
      <c r="AD18" s="2922"/>
      <c r="AE18" s="689"/>
      <c r="AF18" s="355">
        <f>Weight!M18</f>
        <v>0</v>
      </c>
      <c r="AG18" s="119"/>
      <c r="AH18" s="355">
        <f>Weight!N18</f>
        <v>0</v>
      </c>
      <c r="AI18" s="2937"/>
      <c r="AJ18" s="2937"/>
      <c r="AK18" s="3137" t="str">
        <f>Weight!C18</f>
        <v>Sound Insulation Performance of Floor Slabs (heavy-weight impact source)</v>
      </c>
    </row>
    <row r="19" spans="2:37" s="1105" customFormat="1" ht="14.25" customHeight="1" thickBot="1">
      <c r="B19" s="2952"/>
      <c r="C19" s="2953">
        <v>1.3</v>
      </c>
      <c r="D19" s="2941" t="s">
        <v>1552</v>
      </c>
      <c r="E19" s="2941"/>
      <c r="F19" s="2941"/>
      <c r="G19" s="2941"/>
      <c r="H19" s="2942"/>
      <c r="I19" s="3881">
        <f>'Q1'!G149</f>
        <v>0</v>
      </c>
      <c r="J19" s="3882"/>
      <c r="K19" s="3882"/>
      <c r="L19" s="3882"/>
      <c r="M19" s="3882"/>
      <c r="N19" s="3882"/>
      <c r="O19" s="3882"/>
      <c r="P19" s="3883"/>
      <c r="Q19" s="866">
        <f t="shared" si="2"/>
        <v>3</v>
      </c>
      <c r="R19" s="1195">
        <f t="shared" si="0"/>
        <v>0.2</v>
      </c>
      <c r="S19" s="866">
        <f t="shared" si="3"/>
        <v>0</v>
      </c>
      <c r="T19" s="1195">
        <f t="shared" si="1"/>
        <v>0</v>
      </c>
      <c r="U19" s="1192"/>
      <c r="V19" s="2889"/>
      <c r="W19" s="583">
        <f>IF('Q1'!F143="対象外",0,'Q1'!F143)</f>
        <v>3</v>
      </c>
      <c r="X19" s="584">
        <f>'Q1'!K143</f>
        <v>3</v>
      </c>
      <c r="Z19" s="684">
        <f t="shared" si="4"/>
        <v>3</v>
      </c>
      <c r="AA19" s="580">
        <f>Weight!D19</f>
        <v>0.2</v>
      </c>
      <c r="AB19" s="684">
        <f t="shared" si="5"/>
        <v>0</v>
      </c>
      <c r="AC19" s="580">
        <f>Weight!E19</f>
        <v>0</v>
      </c>
      <c r="AD19" s="2922"/>
      <c r="AE19" s="689"/>
      <c r="AF19" s="355">
        <f>Weight!M19</f>
        <v>0.2</v>
      </c>
      <c r="AG19" s="119"/>
      <c r="AH19" s="355">
        <f>Weight!N19</f>
        <v>0</v>
      </c>
      <c r="AI19" s="2014"/>
      <c r="AJ19" s="2014"/>
      <c r="AK19" s="3137" t="str">
        <f>Weight!C19</f>
        <v>Sound Absorption</v>
      </c>
    </row>
    <row r="20" spans="2:37" s="1105" customFormat="1" ht="14.25" customHeight="1">
      <c r="B20" s="2954">
        <v>2</v>
      </c>
      <c r="C20" s="2955" t="s">
        <v>1553</v>
      </c>
      <c r="D20" s="2956"/>
      <c r="E20" s="2957"/>
      <c r="F20" s="2957"/>
      <c r="G20" s="2957"/>
      <c r="H20" s="2958"/>
      <c r="I20" s="2959"/>
      <c r="J20" s="2960"/>
      <c r="K20" s="2960"/>
      <c r="L20" s="2960"/>
      <c r="M20" s="2960"/>
      <c r="N20" s="2960"/>
      <c r="O20" s="2960"/>
      <c r="P20" s="2961"/>
      <c r="Q20" s="1197">
        <f t="shared" si="2"/>
        <v>3</v>
      </c>
      <c r="R20" s="1198">
        <f t="shared" si="0"/>
        <v>0.35</v>
      </c>
      <c r="S20" s="1199">
        <f t="shared" si="3"/>
        <v>0</v>
      </c>
      <c r="T20" s="1200">
        <f>AC20</f>
        <v>0</v>
      </c>
      <c r="U20" s="1201">
        <f>ROUNDDOWN(AD20,1)</f>
        <v>3</v>
      </c>
      <c r="V20" s="2889"/>
      <c r="W20" s="693"/>
      <c r="X20" s="693"/>
      <c r="Z20" s="685">
        <f>Z21*AA21+Z30*AA30+Z31*AA31+Z32*AA32</f>
        <v>2.9999999999999996</v>
      </c>
      <c r="AA20" s="580">
        <f>Weight!D20</f>
        <v>0.35</v>
      </c>
      <c r="AB20" s="685">
        <f>AB21*AC21+AB30*AC30+AB31*AC31+AB32*AC32</f>
        <v>0</v>
      </c>
      <c r="AC20" s="360">
        <f>SUM(AC21,AC30,AC31,AC32)</f>
        <v>0</v>
      </c>
      <c r="AD20" s="2922">
        <f>IF(AB20=0,Z20,IF(Z20=0,AB20,Z20*AF$6+AB20*AH$6))</f>
        <v>2.9999999999999996</v>
      </c>
      <c r="AE20" s="689"/>
      <c r="AF20" s="355">
        <f>Weight!M20</f>
        <v>0.35</v>
      </c>
      <c r="AG20" s="119"/>
      <c r="AH20" s="360">
        <f>SUM(AH21,AH30,AH31,AH32)</f>
        <v>0</v>
      </c>
      <c r="AI20" s="2937"/>
      <c r="AJ20" s="2937"/>
      <c r="AK20" s="3137" t="str">
        <f>Weight!C20</f>
        <v>Thermal Comfort</v>
      </c>
    </row>
    <row r="21" spans="2:37" s="1105" customFormat="1" ht="14.25" customHeight="1" thickBot="1">
      <c r="B21" s="2938"/>
      <c r="C21" s="2939">
        <v>2.1</v>
      </c>
      <c r="D21" s="2962" t="s">
        <v>1554</v>
      </c>
      <c r="E21" s="2957"/>
      <c r="F21" s="2957"/>
      <c r="G21" s="2957"/>
      <c r="H21" s="2958"/>
      <c r="I21" s="2934"/>
      <c r="J21" s="2935"/>
      <c r="K21" s="2935"/>
      <c r="L21" s="2935"/>
      <c r="M21" s="2935"/>
      <c r="N21" s="2935"/>
      <c r="O21" s="2935"/>
      <c r="P21" s="2936"/>
      <c r="Q21" s="1202">
        <f t="shared" si="2"/>
        <v>3</v>
      </c>
      <c r="R21" s="1203">
        <f t="shared" si="0"/>
        <v>0.625</v>
      </c>
      <c r="S21" s="1204">
        <f t="shared" si="3"/>
        <v>0</v>
      </c>
      <c r="T21" s="1205">
        <f>AC21</f>
        <v>0</v>
      </c>
      <c r="U21" s="1194"/>
      <c r="V21" s="2889"/>
      <c r="W21" s="694"/>
      <c r="X21" s="694"/>
      <c r="Z21" s="359">
        <f>SUMPRODUCT(Z22:Z29,AA22:AA29)</f>
        <v>2.9999999999999996</v>
      </c>
      <c r="AA21" s="580">
        <f>Weight!D21</f>
        <v>0.625</v>
      </c>
      <c r="AB21" s="359">
        <f>SUMPRODUCT(AB22:AB29,AC22:AC29)</f>
        <v>0</v>
      </c>
      <c r="AC21" s="580">
        <f>Weight!E21</f>
        <v>0</v>
      </c>
      <c r="AD21" s="2922"/>
      <c r="AE21" s="689"/>
      <c r="AF21" s="355">
        <f>Weight!M21</f>
        <v>0.5</v>
      </c>
      <c r="AG21" s="119"/>
      <c r="AH21" s="355">
        <f>Weight!N21</f>
        <v>0</v>
      </c>
      <c r="AI21" s="2937"/>
      <c r="AJ21" s="2937"/>
      <c r="AK21" s="3137" t="str">
        <f>Weight!C21</f>
        <v>Room Temperature Control</v>
      </c>
    </row>
    <row r="22" spans="2:37" s="1105" customFormat="1" ht="14.25" customHeight="1">
      <c r="B22" s="2938"/>
      <c r="C22" s="728"/>
      <c r="D22" s="2043">
        <v>1</v>
      </c>
      <c r="E22" s="2941" t="s">
        <v>3373</v>
      </c>
      <c r="F22" s="2941"/>
      <c r="G22" s="2941"/>
      <c r="H22" s="2963"/>
      <c r="I22" s="3881">
        <f>'Q1'!G177</f>
        <v>0</v>
      </c>
      <c r="J22" s="3882"/>
      <c r="K22" s="3882"/>
      <c r="L22" s="3882"/>
      <c r="M22" s="3882"/>
      <c r="N22" s="3882"/>
      <c r="O22" s="3882"/>
      <c r="P22" s="3883"/>
      <c r="Q22" s="858">
        <f t="shared" si="2"/>
        <v>3</v>
      </c>
      <c r="R22" s="1195">
        <f t="shared" si="0"/>
        <v>0.37499999999999994</v>
      </c>
      <c r="S22" s="858">
        <f t="shared" si="3"/>
        <v>0</v>
      </c>
      <c r="T22" s="1195">
        <f t="shared" si="1"/>
        <v>0</v>
      </c>
      <c r="U22" s="1192"/>
      <c r="V22" s="2889"/>
      <c r="W22" s="581">
        <f>IF('Q1'!F155="対象外",0,'Q1'!F155)</f>
        <v>3</v>
      </c>
      <c r="X22" s="582">
        <f>'Q1'!M155</f>
        <v>3</v>
      </c>
      <c r="Z22" s="362">
        <f t="shared" ref="Z22:Z31" si="6">IF(AA22=0,0,W22)</f>
        <v>3</v>
      </c>
      <c r="AA22" s="580">
        <f>Weight!D22</f>
        <v>0.37499999999999994</v>
      </c>
      <c r="AB22" s="362">
        <f t="shared" ref="AB22:AB31" si="7">IF(AC22=0,0,X22)</f>
        <v>0</v>
      </c>
      <c r="AC22" s="580">
        <f>Weight!E22</f>
        <v>0</v>
      </c>
      <c r="AD22" s="2922"/>
      <c r="AE22" s="689"/>
      <c r="AF22" s="355">
        <f>Weight!M22</f>
        <v>0.37499999999999994</v>
      </c>
      <c r="AG22" s="119"/>
      <c r="AH22" s="355">
        <f>Weight!N22</f>
        <v>0</v>
      </c>
      <c r="AI22" s="2937"/>
      <c r="AJ22" s="2937"/>
      <c r="AK22" s="3137" t="str">
        <f>Weight!C22</f>
        <v>Room Temperature</v>
      </c>
    </row>
    <row r="23" spans="2:37" s="1105" customFormat="1" ht="13.9" hidden="1" customHeight="1">
      <c r="B23" s="2947"/>
      <c r="C23" s="966"/>
      <c r="D23" s="2948">
        <v>2</v>
      </c>
      <c r="E23" s="2949" t="s">
        <v>1555</v>
      </c>
      <c r="F23" s="2949"/>
      <c r="G23" s="2949"/>
      <c r="H23" s="2950"/>
      <c r="I23" s="3881"/>
      <c r="J23" s="3882"/>
      <c r="K23" s="3882"/>
      <c r="L23" s="3882"/>
      <c r="M23" s="3882"/>
      <c r="N23" s="3882"/>
      <c r="O23" s="3882"/>
      <c r="P23" s="3883"/>
      <c r="Q23" s="772">
        <f t="shared" si="2"/>
        <v>0</v>
      </c>
      <c r="R23" s="1206">
        <f t="shared" si="0"/>
        <v>0</v>
      </c>
      <c r="S23" s="772">
        <f t="shared" si="3"/>
        <v>0</v>
      </c>
      <c r="T23" s="1206">
        <f t="shared" si="1"/>
        <v>0</v>
      </c>
      <c r="U23" s="1207"/>
      <c r="V23" s="2889"/>
      <c r="W23" s="585">
        <f>IF('Q1'!F171="対象外",0,'Q1'!F171)</f>
        <v>0</v>
      </c>
      <c r="X23" s="586"/>
      <c r="Z23" s="362">
        <f t="shared" si="6"/>
        <v>0</v>
      </c>
      <c r="AA23" s="580">
        <f>Weight!D23</f>
        <v>0</v>
      </c>
      <c r="AB23" s="362">
        <f t="shared" si="7"/>
        <v>0</v>
      </c>
      <c r="AC23" s="580">
        <f>Weight!E23</f>
        <v>0</v>
      </c>
      <c r="AD23" s="2922"/>
      <c r="AE23" s="689"/>
      <c r="AF23" s="355">
        <f>Weight!M23</f>
        <v>0</v>
      </c>
      <c r="AG23" s="119"/>
      <c r="AH23" s="355">
        <f>Weight!N23</f>
        <v>0</v>
      </c>
      <c r="AI23" s="2937"/>
      <c r="AJ23" s="2937"/>
      <c r="AK23" s="3137" t="str">
        <f>Weight!C23</f>
        <v>Variable Loads and Following-up Control</v>
      </c>
    </row>
    <row r="24" spans="2:37" s="1105" customFormat="1" ht="14.25" customHeight="1">
      <c r="B24" s="2938"/>
      <c r="C24" s="728"/>
      <c r="D24" s="2043">
        <v>2</v>
      </c>
      <c r="E24" s="2941" t="s">
        <v>1556</v>
      </c>
      <c r="F24" s="2941"/>
      <c r="G24" s="2941"/>
      <c r="H24" s="2963"/>
      <c r="I24" s="3881" t="str">
        <f>'Q1'!G194</f>
        <v>sample input; Introduction of airflow windows</v>
      </c>
      <c r="J24" s="3882"/>
      <c r="K24" s="3882"/>
      <c r="L24" s="3882"/>
      <c r="M24" s="3882"/>
      <c r="N24" s="3882"/>
      <c r="O24" s="3882"/>
      <c r="P24" s="3883"/>
      <c r="Q24" s="772">
        <f t="shared" si="2"/>
        <v>3</v>
      </c>
      <c r="R24" s="1195">
        <f t="shared" si="0"/>
        <v>0.25</v>
      </c>
      <c r="S24" s="772">
        <f t="shared" si="3"/>
        <v>0</v>
      </c>
      <c r="T24" s="1195">
        <f t="shared" si="1"/>
        <v>0</v>
      </c>
      <c r="U24" s="1192"/>
      <c r="V24" s="2889"/>
      <c r="W24" s="585">
        <f>IF('Q1'!F181="対象外",0,'Q1'!F181)</f>
        <v>3</v>
      </c>
      <c r="X24" s="586">
        <f>'Q1'!K181</f>
        <v>3</v>
      </c>
      <c r="Z24" s="362">
        <f t="shared" si="6"/>
        <v>3</v>
      </c>
      <c r="AA24" s="580">
        <f>Weight!D24</f>
        <v>0.25</v>
      </c>
      <c r="AB24" s="362">
        <f t="shared" si="7"/>
        <v>0</v>
      </c>
      <c r="AC24" s="580">
        <f>Weight!E24</f>
        <v>0</v>
      </c>
      <c r="AD24" s="2922"/>
      <c r="AE24" s="689"/>
      <c r="AF24" s="355">
        <f>Weight!M24</f>
        <v>0.25</v>
      </c>
      <c r="AG24" s="119"/>
      <c r="AH24" s="355">
        <f>Weight!N24</f>
        <v>0</v>
      </c>
      <c r="AI24" s="2937"/>
      <c r="AJ24" s="2937"/>
      <c r="AK24" s="3137" t="str">
        <f>Weight!C24</f>
        <v>Perimeter Performance</v>
      </c>
    </row>
    <row r="25" spans="2:37" s="1105" customFormat="1" ht="14.25" customHeight="1">
      <c r="B25" s="2938"/>
      <c r="C25" s="728"/>
      <c r="D25" s="2043">
        <v>3</v>
      </c>
      <c r="E25" s="2941" t="s">
        <v>1557</v>
      </c>
      <c r="F25" s="2941"/>
      <c r="G25" s="2941"/>
      <c r="H25" s="2963"/>
      <c r="I25" s="3881">
        <f>'Q1'!G236</f>
        <v>0</v>
      </c>
      <c r="J25" s="3882"/>
      <c r="K25" s="3882"/>
      <c r="L25" s="3882"/>
      <c r="M25" s="3882"/>
      <c r="N25" s="3882"/>
      <c r="O25" s="3882"/>
      <c r="P25" s="3883"/>
      <c r="Q25" s="772">
        <f t="shared" si="2"/>
        <v>3</v>
      </c>
      <c r="R25" s="1195">
        <f t="shared" si="0"/>
        <v>0.37499999999999994</v>
      </c>
      <c r="S25" s="772">
        <f t="shared" si="3"/>
        <v>0</v>
      </c>
      <c r="T25" s="1195">
        <f t="shared" si="1"/>
        <v>0</v>
      </c>
      <c r="U25" s="1192"/>
      <c r="V25" s="2889"/>
      <c r="W25" s="585">
        <f>IF('Q1'!F203="対象外",0,'Q1'!F203)</f>
        <v>3</v>
      </c>
      <c r="X25" s="586"/>
      <c r="Z25" s="362">
        <f t="shared" si="6"/>
        <v>3</v>
      </c>
      <c r="AA25" s="580">
        <f>Weight!D25</f>
        <v>0.37499999999999994</v>
      </c>
      <c r="AB25" s="362">
        <f t="shared" si="7"/>
        <v>0</v>
      </c>
      <c r="AC25" s="580">
        <f>Weight!E25</f>
        <v>0</v>
      </c>
      <c r="AD25" s="2922"/>
      <c r="AE25" s="689"/>
      <c r="AF25" s="355">
        <f>Weight!M25</f>
        <v>0.37499999999999994</v>
      </c>
      <c r="AG25" s="119"/>
      <c r="AH25" s="355">
        <f>Weight!N25</f>
        <v>0</v>
      </c>
      <c r="AI25" s="2937"/>
      <c r="AJ25" s="2937"/>
      <c r="AK25" s="3137" t="str">
        <f>Weight!C25</f>
        <v>Zoned Control</v>
      </c>
    </row>
    <row r="26" spans="2:37" s="1105" customFormat="1" ht="12.95" hidden="1" customHeight="1">
      <c r="B26" s="2947"/>
      <c r="C26" s="966"/>
      <c r="D26" s="2948">
        <v>5</v>
      </c>
      <c r="E26" s="2949" t="s">
        <v>1558</v>
      </c>
      <c r="F26" s="2949"/>
      <c r="G26" s="2949"/>
      <c r="H26" s="2950"/>
      <c r="I26" s="3881"/>
      <c r="J26" s="3882"/>
      <c r="K26" s="3882"/>
      <c r="L26" s="3882"/>
      <c r="M26" s="3882"/>
      <c r="N26" s="3882"/>
      <c r="O26" s="3882"/>
      <c r="P26" s="3883"/>
      <c r="Q26" s="772">
        <f t="shared" si="2"/>
        <v>0</v>
      </c>
      <c r="R26" s="1206">
        <f t="shared" si="0"/>
        <v>0</v>
      </c>
      <c r="S26" s="772">
        <f t="shared" si="3"/>
        <v>0</v>
      </c>
      <c r="T26" s="1206">
        <f t="shared" si="1"/>
        <v>0</v>
      </c>
      <c r="U26" s="1207"/>
      <c r="V26" s="2889"/>
      <c r="W26" s="585">
        <f>IF('Q1'!F212="対象外",0,'Q1'!F212)</f>
        <v>0</v>
      </c>
      <c r="X26" s="586">
        <f>'Q1'!K212</f>
        <v>0</v>
      </c>
      <c r="Z26" s="2014">
        <f t="shared" si="6"/>
        <v>0</v>
      </c>
      <c r="AA26" s="580">
        <f>Weight!D26</f>
        <v>0</v>
      </c>
      <c r="AB26" s="2014">
        <f t="shared" si="7"/>
        <v>0</v>
      </c>
      <c r="AC26" s="580">
        <f>Weight!E26</f>
        <v>0</v>
      </c>
      <c r="AD26" s="2922"/>
      <c r="AE26" s="689"/>
      <c r="AF26" s="355">
        <f>Weight!M26</f>
        <v>0</v>
      </c>
      <c r="AG26" s="119"/>
      <c r="AH26" s="355">
        <f>Weight!N26</f>
        <v>0</v>
      </c>
      <c r="AI26" s="2937"/>
      <c r="AJ26" s="2937"/>
      <c r="AK26" s="3137" t="str">
        <f>Weight!C26</f>
        <v>Temperature and Humidity Control</v>
      </c>
    </row>
    <row r="27" spans="2:37" s="1105" customFormat="1" ht="12.95" hidden="1" customHeight="1">
      <c r="B27" s="2947"/>
      <c r="C27" s="966"/>
      <c r="D27" s="2948">
        <v>6</v>
      </c>
      <c r="E27" s="2949" t="s">
        <v>1559</v>
      </c>
      <c r="F27" s="2949"/>
      <c r="G27" s="2949"/>
      <c r="H27" s="2950"/>
      <c r="I27" s="3881"/>
      <c r="J27" s="3882"/>
      <c r="K27" s="3882"/>
      <c r="L27" s="3882"/>
      <c r="M27" s="3882"/>
      <c r="N27" s="3882"/>
      <c r="O27" s="3882"/>
      <c r="P27" s="3883"/>
      <c r="Q27" s="772">
        <f t="shared" si="2"/>
        <v>0</v>
      </c>
      <c r="R27" s="1206">
        <f t="shared" si="0"/>
        <v>0</v>
      </c>
      <c r="S27" s="772">
        <f t="shared" si="3"/>
        <v>0</v>
      </c>
      <c r="T27" s="1206">
        <f t="shared" si="1"/>
        <v>0</v>
      </c>
      <c r="U27" s="1207"/>
      <c r="V27" s="2889"/>
      <c r="W27" s="585"/>
      <c r="X27" s="586">
        <f>'Q1'!F221</f>
        <v>0</v>
      </c>
      <c r="Z27" s="2014">
        <f t="shared" si="6"/>
        <v>0</v>
      </c>
      <c r="AA27" s="580">
        <f>Weight!D27</f>
        <v>0</v>
      </c>
      <c r="AB27" s="2014">
        <f t="shared" si="7"/>
        <v>0</v>
      </c>
      <c r="AC27" s="580">
        <f>Weight!E27</f>
        <v>0</v>
      </c>
      <c r="AD27" s="2922"/>
      <c r="AE27" s="689"/>
      <c r="AF27" s="355">
        <f>Weight!M27</f>
        <v>0</v>
      </c>
      <c r="AG27" s="119"/>
      <c r="AH27" s="355">
        <f>Weight!N27</f>
        <v>0</v>
      </c>
      <c r="AI27" s="2937"/>
      <c r="AJ27" s="2937"/>
      <c r="AK27" s="3137" t="str">
        <f>Weight!C27</f>
        <v>Individual Control</v>
      </c>
    </row>
    <row r="28" spans="2:37" s="1105" customFormat="1" ht="12.95" hidden="1" customHeight="1">
      <c r="B28" s="2947"/>
      <c r="C28" s="966"/>
      <c r="D28" s="2948">
        <v>7</v>
      </c>
      <c r="E28" s="2949" t="s">
        <v>1560</v>
      </c>
      <c r="F28" s="2949"/>
      <c r="G28" s="2949"/>
      <c r="H28" s="2950"/>
      <c r="I28" s="3881"/>
      <c r="J28" s="3882"/>
      <c r="K28" s="3882"/>
      <c r="L28" s="3882"/>
      <c r="M28" s="3882"/>
      <c r="N28" s="3882"/>
      <c r="O28" s="3882"/>
      <c r="P28" s="3883"/>
      <c r="Q28" s="772">
        <f t="shared" si="2"/>
        <v>0</v>
      </c>
      <c r="R28" s="1206">
        <f t="shared" si="0"/>
        <v>0</v>
      </c>
      <c r="S28" s="772">
        <f t="shared" si="3"/>
        <v>0</v>
      </c>
      <c r="T28" s="1206">
        <f t="shared" si="1"/>
        <v>0</v>
      </c>
      <c r="U28" s="1207"/>
      <c r="V28" s="2889"/>
      <c r="W28" s="585">
        <f>IF('Q1'!F230="対象外",0,'Q1'!F230)</f>
        <v>0</v>
      </c>
      <c r="X28" s="586"/>
      <c r="Z28" s="2014">
        <f t="shared" si="6"/>
        <v>0</v>
      </c>
      <c r="AA28" s="580">
        <f>Weight!D28</f>
        <v>0</v>
      </c>
      <c r="AB28" s="2014">
        <f t="shared" si="7"/>
        <v>0</v>
      </c>
      <c r="AC28" s="580">
        <f>Weight!E28</f>
        <v>0</v>
      </c>
      <c r="AD28" s="2922"/>
      <c r="AE28" s="689"/>
      <c r="AF28" s="355">
        <f>Weight!M28</f>
        <v>0</v>
      </c>
      <c r="AG28" s="119"/>
      <c r="AH28" s="355">
        <f>Weight!N28</f>
        <v>0</v>
      </c>
      <c r="AI28" s="2937"/>
      <c r="AJ28" s="2937"/>
      <c r="AK28" s="3137" t="str">
        <f>Weight!C28</f>
        <v>Allowance for After-hours Air Conditioning</v>
      </c>
    </row>
    <row r="29" spans="2:37" s="1105" customFormat="1" ht="12.95" hidden="1" customHeight="1">
      <c r="B29" s="2947"/>
      <c r="C29" s="966"/>
      <c r="D29" s="2948">
        <v>8</v>
      </c>
      <c r="E29" s="2949" t="s">
        <v>1561</v>
      </c>
      <c r="F29" s="2949"/>
      <c r="G29" s="2949"/>
      <c r="H29" s="2950"/>
      <c r="I29" s="3881"/>
      <c r="J29" s="3882"/>
      <c r="K29" s="3882"/>
      <c r="L29" s="3882"/>
      <c r="M29" s="3882"/>
      <c r="N29" s="3882"/>
      <c r="O29" s="3882"/>
      <c r="P29" s="3883"/>
      <c r="Q29" s="772">
        <f t="shared" si="2"/>
        <v>0</v>
      </c>
      <c r="R29" s="1206">
        <f t="shared" si="0"/>
        <v>0</v>
      </c>
      <c r="S29" s="772">
        <f t="shared" si="3"/>
        <v>0</v>
      </c>
      <c r="T29" s="1206">
        <f t="shared" si="1"/>
        <v>0</v>
      </c>
      <c r="U29" s="1207"/>
      <c r="V29" s="2889"/>
      <c r="W29" s="585">
        <f>IF('Q1'!K230="対象外",0,'Q1'!K230)</f>
        <v>0</v>
      </c>
      <c r="X29" s="586"/>
      <c r="Z29" s="2014">
        <f t="shared" si="6"/>
        <v>0</v>
      </c>
      <c r="AA29" s="580">
        <f>Weight!D29</f>
        <v>0</v>
      </c>
      <c r="AB29" s="2014">
        <f t="shared" si="7"/>
        <v>0</v>
      </c>
      <c r="AC29" s="580">
        <f>Weight!E29</f>
        <v>0</v>
      </c>
      <c r="AD29" s="2922"/>
      <c r="AE29" s="689"/>
      <c r="AF29" s="355">
        <f>Weight!M29</f>
        <v>0</v>
      </c>
      <c r="AG29" s="119"/>
      <c r="AH29" s="355">
        <f>Weight!N29</f>
        <v>0</v>
      </c>
      <c r="AI29" s="2937"/>
      <c r="AJ29" s="2937"/>
      <c r="AK29" s="3137" t="str">
        <f>Weight!C29</f>
        <v>Monitoring Systems</v>
      </c>
    </row>
    <row r="30" spans="2:37" s="1105" customFormat="1" ht="14.25" customHeight="1">
      <c r="B30" s="2938"/>
      <c r="C30" s="2953">
        <v>2.2000000000000002</v>
      </c>
      <c r="D30" s="2941" t="s">
        <v>1562</v>
      </c>
      <c r="E30" s="2964"/>
      <c r="F30" s="2964"/>
      <c r="G30" s="2964"/>
      <c r="H30" s="2963"/>
      <c r="I30" s="3881">
        <f>'Q1'!G253</f>
        <v>0</v>
      </c>
      <c r="J30" s="3882"/>
      <c r="K30" s="3882"/>
      <c r="L30" s="3882"/>
      <c r="M30" s="3882"/>
      <c r="N30" s="3882"/>
      <c r="O30" s="3882"/>
      <c r="P30" s="3883"/>
      <c r="Q30" s="1208">
        <f t="shared" si="2"/>
        <v>0</v>
      </c>
      <c r="R30" s="1195">
        <f t="shared" si="0"/>
        <v>0</v>
      </c>
      <c r="S30" s="1208">
        <f t="shared" si="3"/>
        <v>0</v>
      </c>
      <c r="T30" s="1195">
        <f t="shared" si="1"/>
        <v>0</v>
      </c>
      <c r="U30" s="1192"/>
      <c r="V30" s="2889"/>
      <c r="W30" s="585">
        <f>IF('Q1'!F240="対象外",0,'Q1'!F240)</f>
        <v>0</v>
      </c>
      <c r="X30" s="586">
        <f>'Q1'!K240</f>
        <v>3</v>
      </c>
      <c r="Z30" s="684">
        <f t="shared" si="6"/>
        <v>0</v>
      </c>
      <c r="AA30" s="580">
        <f>Weight!D30</f>
        <v>0</v>
      </c>
      <c r="AB30" s="684">
        <f t="shared" si="7"/>
        <v>0</v>
      </c>
      <c r="AC30" s="580">
        <f>Weight!E30</f>
        <v>0</v>
      </c>
      <c r="AD30" s="2922"/>
      <c r="AE30" s="689"/>
      <c r="AF30" s="355">
        <f>Weight!M30</f>
        <v>0.2</v>
      </c>
      <c r="AG30" s="119"/>
      <c r="AH30" s="355">
        <f>Weight!N30</f>
        <v>0</v>
      </c>
      <c r="AI30" s="2937"/>
      <c r="AJ30" s="2937"/>
      <c r="AK30" s="3137" t="str">
        <f>Weight!C30</f>
        <v>Humidity Control</v>
      </c>
    </row>
    <row r="31" spans="2:37" s="1105" customFormat="1" ht="14.25" customHeight="1" thickBot="1">
      <c r="B31" s="2938"/>
      <c r="C31" s="2951">
        <v>2.2999999999999998</v>
      </c>
      <c r="D31" s="2940" t="s">
        <v>1563</v>
      </c>
      <c r="E31" s="2957"/>
      <c r="F31" s="2957"/>
      <c r="G31" s="2957"/>
      <c r="H31" s="2958"/>
      <c r="I31" s="3881">
        <f>'Q1'!G280</f>
        <v>0</v>
      </c>
      <c r="J31" s="3882"/>
      <c r="K31" s="3882"/>
      <c r="L31" s="3882"/>
      <c r="M31" s="3882"/>
      <c r="N31" s="3882"/>
      <c r="O31" s="3882"/>
      <c r="P31" s="3883"/>
      <c r="Q31" s="772">
        <f t="shared" si="2"/>
        <v>3</v>
      </c>
      <c r="R31" s="1195">
        <f t="shared" si="0"/>
        <v>0.37499999999999994</v>
      </c>
      <c r="S31" s="772">
        <f t="shared" si="3"/>
        <v>0</v>
      </c>
      <c r="T31" s="1195">
        <f t="shared" si="1"/>
        <v>0</v>
      </c>
      <c r="U31" s="1192"/>
      <c r="V31" s="2889"/>
      <c r="W31" s="583">
        <f>IF('Q1'!F257="対象外",0,'Q1'!F257)</f>
        <v>3</v>
      </c>
      <c r="X31" s="584">
        <f>'Q1'!K257</f>
        <v>3</v>
      </c>
      <c r="Z31" s="684">
        <f t="shared" si="6"/>
        <v>3</v>
      </c>
      <c r="AA31" s="580">
        <f>Weight!D31</f>
        <v>0.37499999999999994</v>
      </c>
      <c r="AB31" s="684">
        <f t="shared" si="7"/>
        <v>0</v>
      </c>
      <c r="AC31" s="580">
        <f>Weight!E31</f>
        <v>0</v>
      </c>
      <c r="AD31" s="2922"/>
      <c r="AE31" s="689"/>
      <c r="AF31" s="355">
        <f>Weight!M31</f>
        <v>0.3</v>
      </c>
      <c r="AG31" s="119"/>
      <c r="AH31" s="355">
        <f>Weight!N31</f>
        <v>0</v>
      </c>
      <c r="AI31" s="2937"/>
      <c r="AJ31" s="2937"/>
      <c r="AK31" s="3137" t="str">
        <f>Weight!C31</f>
        <v>Type of Air Conditioning System</v>
      </c>
    </row>
    <row r="32" spans="2:37" s="1105" customFormat="1" ht="14.45" hidden="1" customHeight="1" thickBot="1">
      <c r="B32" s="2938"/>
      <c r="C32" s="2965">
        <v>2.2999999999999998</v>
      </c>
      <c r="D32" s="2966" t="s">
        <v>3311</v>
      </c>
      <c r="E32" s="2964"/>
      <c r="F32" s="2964"/>
      <c r="G32" s="2964"/>
      <c r="H32" s="2963"/>
      <c r="I32" s="2934"/>
      <c r="J32" s="2935"/>
      <c r="K32" s="2935"/>
      <c r="L32" s="2935"/>
      <c r="M32" s="2935"/>
      <c r="N32" s="2935"/>
      <c r="O32" s="2935"/>
      <c r="P32" s="2936"/>
      <c r="Q32" s="772">
        <f t="shared" si="2"/>
        <v>0</v>
      </c>
      <c r="R32" s="1195">
        <f>AA32</f>
        <v>0</v>
      </c>
      <c r="S32" s="772">
        <f t="shared" si="3"/>
        <v>0</v>
      </c>
      <c r="T32" s="1195">
        <f>AC32</f>
        <v>0</v>
      </c>
      <c r="U32" s="1192"/>
      <c r="V32" s="2889"/>
      <c r="W32" s="702"/>
      <c r="X32" s="702"/>
      <c r="Z32" s="359">
        <f>SUMPRODUCT(Z33:Z34,AA33:AA34)</f>
        <v>0</v>
      </c>
      <c r="AA32" s="580">
        <f>Weight!D32</f>
        <v>0</v>
      </c>
      <c r="AB32" s="359">
        <f>SUMPRODUCT(AB33:AB34,AC33:AC34)</f>
        <v>0</v>
      </c>
      <c r="AC32" s="580">
        <f>Weight!E32</f>
        <v>0</v>
      </c>
      <c r="AD32" s="2922"/>
      <c r="AE32" s="689"/>
      <c r="AF32" s="355">
        <f>Weight!M32</f>
        <v>0</v>
      </c>
      <c r="AG32" s="119"/>
      <c r="AH32" s="355">
        <f>Weight!N33</f>
        <v>0</v>
      </c>
      <c r="AI32" s="2937"/>
      <c r="AJ32" s="2937"/>
      <c r="AK32" s="3137">
        <f>Weight!C32</f>
        <v>0</v>
      </c>
    </row>
    <row r="33" spans="2:37" s="1105" customFormat="1" ht="13.5" hidden="1" customHeight="1" thickBot="1">
      <c r="B33" s="2938"/>
      <c r="C33" s="982"/>
      <c r="D33" s="2967">
        <v>1</v>
      </c>
      <c r="E33" s="2966" t="s">
        <v>3312</v>
      </c>
      <c r="F33" s="2966"/>
      <c r="G33" s="2966"/>
      <c r="H33" s="2968"/>
      <c r="I33" s="3881"/>
      <c r="J33" s="3882"/>
      <c r="K33" s="3882"/>
      <c r="L33" s="3882"/>
      <c r="M33" s="3882"/>
      <c r="N33" s="3882"/>
      <c r="O33" s="3882"/>
      <c r="P33" s="3883"/>
      <c r="Q33" s="772">
        <f t="shared" si="2"/>
        <v>0</v>
      </c>
      <c r="R33" s="1195">
        <f t="shared" si="0"/>
        <v>0</v>
      </c>
      <c r="S33" s="772">
        <f t="shared" si="3"/>
        <v>0</v>
      </c>
      <c r="T33" s="1195">
        <f t="shared" si="1"/>
        <v>0</v>
      </c>
      <c r="U33" s="1192"/>
      <c r="V33" s="2969"/>
      <c r="W33" s="581">
        <f>'Q1'!F274</f>
        <v>0</v>
      </c>
      <c r="X33" s="582"/>
      <c r="Z33" s="362">
        <f>IF($Z$3=4,#REF!,W33)</f>
        <v>0</v>
      </c>
      <c r="AA33" s="580">
        <f>Weight!D33</f>
        <v>0</v>
      </c>
      <c r="AB33" s="362">
        <f>IF($Z$3=4,#REF!,X33)</f>
        <v>0</v>
      </c>
      <c r="AC33" s="580">
        <f>Weight!E33</f>
        <v>0</v>
      </c>
      <c r="AD33" s="2922"/>
      <c r="AE33" s="689"/>
      <c r="AF33" s="355">
        <f>Weight!M33</f>
        <v>0</v>
      </c>
      <c r="AG33" s="119"/>
      <c r="AH33" s="355">
        <f>Weight!N33</f>
        <v>0</v>
      </c>
      <c r="AI33" s="2937"/>
      <c r="AJ33" s="2937"/>
      <c r="AK33" s="3137">
        <f>Weight!C33</f>
        <v>0</v>
      </c>
    </row>
    <row r="34" spans="2:37" s="1105" customFormat="1" ht="13.5" hidden="1" customHeight="1" thickBot="1">
      <c r="B34" s="2970"/>
      <c r="C34" s="977"/>
      <c r="D34" s="2967">
        <v>2</v>
      </c>
      <c r="E34" s="2966" t="s">
        <v>3313</v>
      </c>
      <c r="F34" s="2966"/>
      <c r="G34" s="2966"/>
      <c r="H34" s="2968"/>
      <c r="I34" s="3881"/>
      <c r="J34" s="3882"/>
      <c r="K34" s="3882"/>
      <c r="L34" s="3882"/>
      <c r="M34" s="3882"/>
      <c r="N34" s="3882"/>
      <c r="O34" s="3882"/>
      <c r="P34" s="3883"/>
      <c r="Q34" s="866">
        <f t="shared" si="2"/>
        <v>0</v>
      </c>
      <c r="R34" s="1195">
        <f t="shared" si="0"/>
        <v>0</v>
      </c>
      <c r="S34" s="866">
        <f t="shared" si="3"/>
        <v>0</v>
      </c>
      <c r="T34" s="1195">
        <f t="shared" si="1"/>
        <v>0</v>
      </c>
      <c r="U34" s="1192"/>
      <c r="V34" s="2969"/>
      <c r="W34" s="583">
        <f>'Q1'!K274</f>
        <v>0</v>
      </c>
      <c r="X34" s="584"/>
      <c r="Z34" s="362">
        <f>IF($Z$3=4,#REF!,W34)</f>
        <v>0</v>
      </c>
      <c r="AA34" s="580">
        <f>Weight!D34</f>
        <v>0</v>
      </c>
      <c r="AB34" s="362">
        <f>IF($Z$3=4,#REF!,X34)</f>
        <v>0</v>
      </c>
      <c r="AC34" s="580">
        <f>Weight!E34</f>
        <v>0</v>
      </c>
      <c r="AD34" s="2922"/>
      <c r="AE34" s="689"/>
      <c r="AF34" s="355">
        <f>Weight!M34</f>
        <v>0</v>
      </c>
      <c r="AG34" s="119"/>
      <c r="AH34" s="355">
        <f>Weight!N34</f>
        <v>0</v>
      </c>
      <c r="AI34" s="2937"/>
      <c r="AJ34" s="2937"/>
      <c r="AK34" s="3137">
        <f>Weight!C34</f>
        <v>0</v>
      </c>
    </row>
    <row r="35" spans="2:37" s="1105" customFormat="1" ht="14.25" customHeight="1">
      <c r="B35" s="2954">
        <v>3</v>
      </c>
      <c r="C35" s="2955" t="s">
        <v>1564</v>
      </c>
      <c r="D35" s="2956"/>
      <c r="E35" s="2957"/>
      <c r="F35" s="2957"/>
      <c r="G35" s="2957"/>
      <c r="H35" s="2958"/>
      <c r="I35" s="2971"/>
      <c r="J35" s="2972"/>
      <c r="K35" s="2972"/>
      <c r="L35" s="2972"/>
      <c r="M35" s="2972"/>
      <c r="N35" s="2972"/>
      <c r="O35" s="2972"/>
      <c r="P35" s="2973"/>
      <c r="Q35" s="1209">
        <f t="shared" si="2"/>
        <v>3</v>
      </c>
      <c r="R35" s="1198">
        <f>AA35</f>
        <v>0.25</v>
      </c>
      <c r="S35" s="1209">
        <f t="shared" si="3"/>
        <v>0</v>
      </c>
      <c r="T35" s="1200">
        <f>AC35</f>
        <v>0</v>
      </c>
      <c r="U35" s="1201">
        <f>ROUNDDOWN(AD35,1)</f>
        <v>3</v>
      </c>
      <c r="V35" s="2889"/>
      <c r="W35" s="693"/>
      <c r="X35" s="693"/>
      <c r="Z35" s="685">
        <f>Z36*AA36+Z40*AA40+Z44*AA44+Z47*AA47</f>
        <v>3</v>
      </c>
      <c r="AA35" s="580">
        <f>Weight!D35</f>
        <v>0.25</v>
      </c>
      <c r="AB35" s="685">
        <f>AB36*AC36+AB40*AC40+AB44*AC44+AB47*AC47</f>
        <v>0</v>
      </c>
      <c r="AC35" s="360">
        <f>SUM(AC36,AC40,AC44,AC47)</f>
        <v>0</v>
      </c>
      <c r="AD35" s="2922">
        <f>IF(AB35=0,Z35,IF(Z35=0,AB35,Z35*AF$6+AB35*AH$6))</f>
        <v>3</v>
      </c>
      <c r="AE35" s="689"/>
      <c r="AF35" s="355">
        <f>Weight!M35</f>
        <v>0.25</v>
      </c>
      <c r="AG35" s="119"/>
      <c r="AH35" s="360">
        <f>SUM(AH36,AH40,AH44,AH47)</f>
        <v>0</v>
      </c>
      <c r="AI35" s="2937"/>
      <c r="AJ35" s="2937"/>
      <c r="AK35" s="3137" t="str">
        <f>Weight!C35</f>
        <v>Lighting &amp; Illumination</v>
      </c>
    </row>
    <row r="36" spans="2:37" s="1105" customFormat="1" ht="14.25" customHeight="1" thickBot="1">
      <c r="B36" s="2938"/>
      <c r="C36" s="2939">
        <v>3.1</v>
      </c>
      <c r="D36" s="2962" t="s">
        <v>1577</v>
      </c>
      <c r="E36" s="2957"/>
      <c r="F36" s="2957"/>
      <c r="G36" s="2957"/>
      <c r="H36" s="2958"/>
      <c r="I36" s="2971"/>
      <c r="J36" s="2972"/>
      <c r="K36" s="2972"/>
      <c r="L36" s="2972"/>
      <c r="M36" s="2972"/>
      <c r="N36" s="2972"/>
      <c r="O36" s="2972"/>
      <c r="P36" s="2973"/>
      <c r="Q36" s="1202">
        <f t="shared" si="2"/>
        <v>3</v>
      </c>
      <c r="R36" s="1203">
        <f>AA36</f>
        <v>0.3</v>
      </c>
      <c r="S36" s="1204">
        <f t="shared" si="3"/>
        <v>0</v>
      </c>
      <c r="T36" s="1205">
        <f>AC36</f>
        <v>0</v>
      </c>
      <c r="U36" s="1194"/>
      <c r="V36" s="2889"/>
      <c r="W36" s="694"/>
      <c r="X36" s="694"/>
      <c r="Z36" s="359">
        <f>SUMPRODUCT(Z37:Z39,AA37:AA39)</f>
        <v>3</v>
      </c>
      <c r="AA36" s="580">
        <f>Weight!D36</f>
        <v>0.3</v>
      </c>
      <c r="AB36" s="359">
        <f>SUMPRODUCT(AB37:AB39,AC37:AC39)</f>
        <v>0</v>
      </c>
      <c r="AC36" s="580">
        <f>Weight!E36</f>
        <v>0</v>
      </c>
      <c r="AD36" s="2922"/>
      <c r="AE36" s="689"/>
      <c r="AF36" s="355">
        <f>Weight!M36</f>
        <v>0.3</v>
      </c>
      <c r="AG36" s="119"/>
      <c r="AH36" s="355">
        <f>Weight!N36</f>
        <v>0</v>
      </c>
      <c r="AI36" s="2937"/>
      <c r="AJ36" s="2937"/>
      <c r="AK36" s="3137" t="str">
        <f>Weight!C36</f>
        <v>Daylighting</v>
      </c>
    </row>
    <row r="37" spans="2:37" s="1105" customFormat="1" ht="14.25" customHeight="1">
      <c r="B37" s="2938"/>
      <c r="C37" s="728"/>
      <c r="D37" s="2043">
        <v>1</v>
      </c>
      <c r="E37" s="2941" t="s">
        <v>1568</v>
      </c>
      <c r="F37" s="2941"/>
      <c r="G37" s="2941"/>
      <c r="H37" s="2963"/>
      <c r="I37" s="3881">
        <f>'Q1'!G292</f>
        <v>0</v>
      </c>
      <c r="J37" s="3882"/>
      <c r="K37" s="3882"/>
      <c r="L37" s="3882"/>
      <c r="M37" s="3882"/>
      <c r="N37" s="3882"/>
      <c r="O37" s="3882"/>
      <c r="P37" s="3883"/>
      <c r="Q37" s="858">
        <f t="shared" si="2"/>
        <v>3</v>
      </c>
      <c r="R37" s="1195">
        <f t="shared" si="0"/>
        <v>0.6</v>
      </c>
      <c r="S37" s="858">
        <f t="shared" si="3"/>
        <v>0</v>
      </c>
      <c r="T37" s="1195">
        <f t="shared" si="1"/>
        <v>0</v>
      </c>
      <c r="U37" s="1192"/>
      <c r="V37" s="2889"/>
      <c r="W37" s="581">
        <f>IF('Q1'!F286="対象外",0,'Q1'!F286)</f>
        <v>3</v>
      </c>
      <c r="X37" s="582">
        <f>'Q1'!K286</f>
        <v>3</v>
      </c>
      <c r="Z37" s="362">
        <f t="shared" ref="Z37:Z39" si="8">IF(AA37=0,0,W37)</f>
        <v>3</v>
      </c>
      <c r="AA37" s="580">
        <f>Weight!D37</f>
        <v>0.6</v>
      </c>
      <c r="AB37" s="362">
        <f t="shared" ref="AB37:AB39" si="9">IF(AC37=0,0,X37)</f>
        <v>0</v>
      </c>
      <c r="AC37" s="580">
        <f>Weight!E37</f>
        <v>0</v>
      </c>
      <c r="AD37" s="2922"/>
      <c r="AE37" s="689"/>
      <c r="AF37" s="355">
        <f>Weight!M37</f>
        <v>0.6</v>
      </c>
      <c r="AG37" s="119"/>
      <c r="AH37" s="355">
        <f>Weight!N37</f>
        <v>0</v>
      </c>
      <c r="AI37" s="2937"/>
      <c r="AJ37" s="2937"/>
      <c r="AK37" s="3137" t="str">
        <f>Weight!C37</f>
        <v>Daylight Factor</v>
      </c>
    </row>
    <row r="38" spans="2:37" s="1105" customFormat="1" ht="14.25" customHeight="1">
      <c r="B38" s="2938"/>
      <c r="C38" s="728"/>
      <c r="D38" s="2043">
        <v>2</v>
      </c>
      <c r="E38" s="2941" t="s">
        <v>1569</v>
      </c>
      <c r="F38" s="2941"/>
      <c r="G38" s="2941"/>
      <c r="H38" s="2963"/>
      <c r="I38" s="3881">
        <f>'Q1'!G303</f>
        <v>0</v>
      </c>
      <c r="J38" s="3882"/>
      <c r="K38" s="3882"/>
      <c r="L38" s="3882"/>
      <c r="M38" s="3882"/>
      <c r="N38" s="3882"/>
      <c r="O38" s="3882"/>
      <c r="P38" s="3883"/>
      <c r="Q38" s="772">
        <f>ROUNDDOWN(Z38,1)</f>
        <v>0</v>
      </c>
      <c r="R38" s="1195">
        <f t="shared" si="0"/>
        <v>0</v>
      </c>
      <c r="S38" s="772">
        <f t="shared" si="3"/>
        <v>0</v>
      </c>
      <c r="T38" s="1195">
        <f t="shared" si="1"/>
        <v>0</v>
      </c>
      <c r="U38" s="1192"/>
      <c r="V38" s="2889"/>
      <c r="W38" s="585"/>
      <c r="X38" s="586">
        <f>'Q1'!F297</f>
        <v>3</v>
      </c>
      <c r="Z38" s="362">
        <f t="shared" si="8"/>
        <v>0</v>
      </c>
      <c r="AA38" s="580">
        <f>Weight!D38</f>
        <v>0</v>
      </c>
      <c r="AB38" s="362">
        <f t="shared" si="9"/>
        <v>0</v>
      </c>
      <c r="AC38" s="580">
        <f>Weight!E38</f>
        <v>0</v>
      </c>
      <c r="AD38" s="2922"/>
      <c r="AE38" s="689"/>
      <c r="AF38" s="355">
        <f>Weight!M38</f>
        <v>0</v>
      </c>
      <c r="AG38" s="119"/>
      <c r="AH38" s="355">
        <f>Weight!N38</f>
        <v>0</v>
      </c>
      <c r="AI38" s="2937"/>
      <c r="AJ38" s="2937"/>
      <c r="AK38" s="3137" t="str">
        <f>Weight!C38</f>
        <v>Openings by Orientation</v>
      </c>
    </row>
    <row r="39" spans="2:37" s="1105" customFormat="1" ht="14.25" customHeight="1" thickBot="1">
      <c r="B39" s="2938"/>
      <c r="C39" s="776"/>
      <c r="D39" s="2043">
        <v>3</v>
      </c>
      <c r="E39" s="2941" t="s">
        <v>1570</v>
      </c>
      <c r="F39" s="2941"/>
      <c r="G39" s="2941"/>
      <c r="H39" s="2963"/>
      <c r="I39" s="3881">
        <f>'Q1'!G313</f>
        <v>0</v>
      </c>
      <c r="J39" s="3882"/>
      <c r="K39" s="3882"/>
      <c r="L39" s="3882"/>
      <c r="M39" s="3882"/>
      <c r="N39" s="3882"/>
      <c r="O39" s="3882"/>
      <c r="P39" s="3883"/>
      <c r="Q39" s="852">
        <f t="shared" si="2"/>
        <v>3</v>
      </c>
      <c r="R39" s="1195">
        <f t="shared" si="0"/>
        <v>0.4</v>
      </c>
      <c r="S39" s="852">
        <f t="shared" si="3"/>
        <v>0</v>
      </c>
      <c r="T39" s="1195">
        <f t="shared" si="1"/>
        <v>0</v>
      </c>
      <c r="U39" s="1192"/>
      <c r="V39" s="2889"/>
      <c r="W39" s="583">
        <f>IF('Q1'!F307="対象外",0,'Q1'!F307)</f>
        <v>3</v>
      </c>
      <c r="X39" s="584">
        <f>'Q1'!K307</f>
        <v>3</v>
      </c>
      <c r="Z39" s="362">
        <f t="shared" si="8"/>
        <v>3</v>
      </c>
      <c r="AA39" s="580">
        <f>Weight!D39</f>
        <v>0.4</v>
      </c>
      <c r="AB39" s="362">
        <f t="shared" si="9"/>
        <v>0</v>
      </c>
      <c r="AC39" s="580">
        <f>Weight!E39</f>
        <v>0</v>
      </c>
      <c r="AD39" s="2922"/>
      <c r="AE39" s="689"/>
      <c r="AF39" s="355">
        <f>Weight!M39</f>
        <v>0.4</v>
      </c>
      <c r="AG39" s="119"/>
      <c r="AH39" s="355">
        <f>Weight!N39</f>
        <v>0</v>
      </c>
      <c r="AI39" s="2014"/>
      <c r="AJ39" s="2014"/>
      <c r="AK39" s="3137" t="str">
        <f>Weight!C39</f>
        <v>Daylight Devices</v>
      </c>
    </row>
    <row r="40" spans="2:37" s="1105" customFormat="1" ht="14.25" customHeight="1" thickBot="1">
      <c r="B40" s="2974"/>
      <c r="C40" s="2951">
        <v>3.2</v>
      </c>
      <c r="D40" s="2940" t="s">
        <v>1565</v>
      </c>
      <c r="E40" s="2957"/>
      <c r="F40" s="2957"/>
      <c r="G40" s="2957"/>
      <c r="H40" s="2958"/>
      <c r="I40" s="2934"/>
      <c r="J40" s="2935"/>
      <c r="K40" s="2935"/>
      <c r="L40" s="2935"/>
      <c r="M40" s="2935"/>
      <c r="N40" s="2935"/>
      <c r="O40" s="2935"/>
      <c r="P40" s="2936"/>
      <c r="Q40" s="1196">
        <f t="shared" si="2"/>
        <v>3</v>
      </c>
      <c r="R40" s="1190">
        <f>AA40</f>
        <v>0.3</v>
      </c>
      <c r="S40" s="1196">
        <f t="shared" si="3"/>
        <v>0</v>
      </c>
      <c r="T40" s="1191">
        <f>AC40</f>
        <v>0</v>
      </c>
      <c r="U40" s="1192"/>
      <c r="V40" s="2889"/>
      <c r="W40" s="692"/>
      <c r="X40" s="692"/>
      <c r="Z40" s="359">
        <f>SUMPRODUCT(Z41:Z43,AA41:AA43)</f>
        <v>3</v>
      </c>
      <c r="AA40" s="580">
        <f>Weight!D40</f>
        <v>0.3</v>
      </c>
      <c r="AB40" s="359">
        <f>SUMPRODUCT(AB41:AB43,AC41:AC43)</f>
        <v>0</v>
      </c>
      <c r="AC40" s="580">
        <f>Weight!E40</f>
        <v>0</v>
      </c>
      <c r="AD40" s="2922"/>
      <c r="AE40" s="689"/>
      <c r="AF40" s="355">
        <f>Weight!M40</f>
        <v>0.3</v>
      </c>
      <c r="AG40" s="119"/>
      <c r="AH40" s="355">
        <f>Weight!N40</f>
        <v>0</v>
      </c>
      <c r="AI40" s="2937"/>
      <c r="AJ40" s="2937"/>
      <c r="AK40" s="3137" t="str">
        <f>Weight!C40</f>
        <v>Anti-glare Measures</v>
      </c>
    </row>
    <row r="41" spans="2:37" s="1105" customFormat="1" ht="14.25" hidden="1" customHeight="1">
      <c r="B41" s="2975"/>
      <c r="C41" s="966"/>
      <c r="D41" s="2948">
        <v>1</v>
      </c>
      <c r="E41" s="2949" t="s">
        <v>1571</v>
      </c>
      <c r="F41" s="2949"/>
      <c r="G41" s="2949"/>
      <c r="H41" s="2950"/>
      <c r="I41" s="3881"/>
      <c r="J41" s="3882"/>
      <c r="K41" s="3882"/>
      <c r="L41" s="3882"/>
      <c r="M41" s="3882"/>
      <c r="N41" s="3882"/>
      <c r="O41" s="3882"/>
      <c r="P41" s="3883"/>
      <c r="Q41" s="858">
        <f t="shared" si="2"/>
        <v>0</v>
      </c>
      <c r="R41" s="1206">
        <f t="shared" si="0"/>
        <v>0</v>
      </c>
      <c r="S41" s="858">
        <f t="shared" si="3"/>
        <v>0</v>
      </c>
      <c r="T41" s="1206">
        <f t="shared" si="1"/>
        <v>0</v>
      </c>
      <c r="U41" s="1207"/>
      <c r="V41" s="2889"/>
      <c r="W41" s="581">
        <f>IF('Q1'!F318="対象外",0,'Q1'!F318)</f>
        <v>0</v>
      </c>
      <c r="X41" s="582">
        <f>'Q1'!K318</f>
        <v>0</v>
      </c>
      <c r="Z41" s="2014"/>
      <c r="AA41" s="580">
        <f>Weight!D41</f>
        <v>0</v>
      </c>
      <c r="AB41" s="2014"/>
      <c r="AC41" s="580">
        <f>Weight!E41</f>
        <v>0</v>
      </c>
      <c r="AD41" s="2922"/>
      <c r="AE41" s="689"/>
      <c r="AF41" s="355">
        <f>Weight!M41</f>
        <v>0</v>
      </c>
      <c r="AG41" s="119"/>
      <c r="AH41" s="355">
        <f>Weight!N41</f>
        <v>0</v>
      </c>
      <c r="AI41" s="2937"/>
      <c r="AJ41" s="2937"/>
      <c r="AK41" s="3137" t="str">
        <f>Weight!C41</f>
        <v>Glare from Light Fixtures</v>
      </c>
    </row>
    <row r="42" spans="2:37" s="1105" customFormat="1" ht="14.25" customHeight="1">
      <c r="B42" s="2974"/>
      <c r="C42" s="728"/>
      <c r="D42" s="2043">
        <v>1</v>
      </c>
      <c r="E42" s="2941" t="s">
        <v>1572</v>
      </c>
      <c r="F42" s="2941"/>
      <c r="G42" s="2941"/>
      <c r="H42" s="2963"/>
      <c r="I42" s="3881">
        <f>'Q1'!G333</f>
        <v>0</v>
      </c>
      <c r="J42" s="3882"/>
      <c r="K42" s="3882"/>
      <c r="L42" s="3882"/>
      <c r="M42" s="3882"/>
      <c r="N42" s="3882"/>
      <c r="O42" s="3882"/>
      <c r="P42" s="3883"/>
      <c r="Q42" s="772">
        <f t="shared" si="2"/>
        <v>3</v>
      </c>
      <c r="R42" s="1195">
        <f t="shared" si="0"/>
        <v>1</v>
      </c>
      <c r="S42" s="1208">
        <f t="shared" si="3"/>
        <v>0</v>
      </c>
      <c r="T42" s="1195">
        <f t="shared" si="1"/>
        <v>0</v>
      </c>
      <c r="U42" s="1192"/>
      <c r="V42" s="2889"/>
      <c r="W42" s="585">
        <f>IF('Q1'!F327="対象外",0,'Q1'!F327)</f>
        <v>3</v>
      </c>
      <c r="X42" s="586">
        <f>'Q1'!K327</f>
        <v>3</v>
      </c>
      <c r="Z42" s="362">
        <f t="shared" ref="Z42:Z47" si="10">IF(AA42=0,0,W42)</f>
        <v>3</v>
      </c>
      <c r="AA42" s="580">
        <f>Weight!D42</f>
        <v>1</v>
      </c>
      <c r="AB42" s="362">
        <f t="shared" ref="AB42:AB47" si="11">IF(AC42=0,0,X42)</f>
        <v>0</v>
      </c>
      <c r="AC42" s="580">
        <f>Weight!E42</f>
        <v>0</v>
      </c>
      <c r="AD42" s="2922"/>
      <c r="AE42" s="689"/>
      <c r="AF42" s="355">
        <f>Weight!M42</f>
        <v>1</v>
      </c>
      <c r="AG42" s="119"/>
      <c r="AH42" s="355">
        <f>Weight!N42</f>
        <v>0</v>
      </c>
      <c r="AI42" s="2937"/>
      <c r="AJ42" s="2937"/>
      <c r="AK42" s="3137" t="str">
        <f>Weight!C42</f>
        <v>Daylight Control</v>
      </c>
    </row>
    <row r="43" spans="2:37" s="1105" customFormat="1" ht="14.25" hidden="1" customHeight="1">
      <c r="B43" s="2974"/>
      <c r="C43" s="776"/>
      <c r="D43" s="2967">
        <v>2</v>
      </c>
      <c r="E43" s="2966" t="s">
        <v>1573</v>
      </c>
      <c r="F43" s="2941"/>
      <c r="G43" s="2941"/>
      <c r="H43" s="2968"/>
      <c r="I43" s="3881"/>
      <c r="J43" s="3882"/>
      <c r="K43" s="3882"/>
      <c r="L43" s="3882"/>
      <c r="M43" s="3882"/>
      <c r="N43" s="3882"/>
      <c r="O43" s="3882"/>
      <c r="P43" s="3883"/>
      <c r="Q43" s="772">
        <f t="shared" si="2"/>
        <v>0</v>
      </c>
      <c r="R43" s="1195">
        <f t="shared" si="0"/>
        <v>0</v>
      </c>
      <c r="S43" s="1208">
        <f t="shared" si="3"/>
        <v>0</v>
      </c>
      <c r="T43" s="1195">
        <f t="shared" si="1"/>
        <v>0</v>
      </c>
      <c r="U43" s="1192"/>
      <c r="V43" s="2889"/>
      <c r="W43" s="585">
        <f>'Q1'!F337</f>
        <v>0</v>
      </c>
      <c r="X43" s="586"/>
      <c r="Z43" s="362">
        <f t="shared" si="10"/>
        <v>0</v>
      </c>
      <c r="AA43" s="580">
        <f>Weight!D43</f>
        <v>0</v>
      </c>
      <c r="AB43" s="362">
        <f t="shared" si="11"/>
        <v>0</v>
      </c>
      <c r="AC43" s="580">
        <f>Weight!E43</f>
        <v>0</v>
      </c>
      <c r="AD43" s="2922"/>
      <c r="AE43" s="689"/>
      <c r="AF43" s="355">
        <f>Weight!M43</f>
        <v>0</v>
      </c>
      <c r="AG43" s="119"/>
      <c r="AH43" s="355">
        <f>Weight!N43</f>
        <v>0</v>
      </c>
      <c r="AI43" s="2937"/>
      <c r="AJ43" s="2937"/>
      <c r="AK43" s="3137" t="str">
        <f>Weight!C43</f>
        <v>Reflection Control</v>
      </c>
    </row>
    <row r="44" spans="2:37" s="1105" customFormat="1" ht="14.25" customHeight="1">
      <c r="B44" s="2976"/>
      <c r="C44" s="2939">
        <v>3.3</v>
      </c>
      <c r="D44" s="2962" t="s">
        <v>1566</v>
      </c>
      <c r="E44" s="2962"/>
      <c r="F44" s="2941"/>
      <c r="G44" s="2941"/>
      <c r="H44" s="2977"/>
      <c r="I44" s="3881">
        <f>'Q1'!G367</f>
        <v>0</v>
      </c>
      <c r="J44" s="3882"/>
      <c r="K44" s="3882"/>
      <c r="L44" s="3882"/>
      <c r="M44" s="3882"/>
      <c r="N44" s="3882"/>
      <c r="O44" s="3882"/>
      <c r="P44" s="3883"/>
      <c r="Q44" s="1208">
        <f t="shared" si="2"/>
        <v>3</v>
      </c>
      <c r="R44" s="1195">
        <f t="shared" si="0"/>
        <v>0.15</v>
      </c>
      <c r="S44" s="1208">
        <f t="shared" si="3"/>
        <v>0</v>
      </c>
      <c r="T44" s="1195">
        <f t="shared" si="1"/>
        <v>0</v>
      </c>
      <c r="U44" s="1192"/>
      <c r="V44" s="2889"/>
      <c r="W44" s="585">
        <f>IF('Q1'!F352="対象外",0,'Q1'!F352)</f>
        <v>3</v>
      </c>
      <c r="X44" s="586">
        <f>'Q1'!M352</f>
        <v>3</v>
      </c>
      <c r="Z44" s="684">
        <f t="shared" si="10"/>
        <v>3</v>
      </c>
      <c r="AA44" s="580">
        <f>Weight!D44</f>
        <v>0.15</v>
      </c>
      <c r="AB44" s="684">
        <f t="shared" si="11"/>
        <v>0</v>
      </c>
      <c r="AC44" s="580">
        <f>Weight!E44</f>
        <v>0</v>
      </c>
      <c r="AD44" s="2922"/>
      <c r="AE44" s="689"/>
      <c r="AF44" s="355">
        <f>Weight!M44</f>
        <v>0.15</v>
      </c>
      <c r="AG44" s="119"/>
      <c r="AH44" s="355">
        <f>Weight!N44</f>
        <v>0</v>
      </c>
      <c r="AI44" s="2937"/>
      <c r="AJ44" s="2937"/>
      <c r="AK44" s="3137" t="str">
        <f>Weight!C44</f>
        <v>Illuminance Level</v>
      </c>
    </row>
    <row r="45" spans="2:37" s="1105" customFormat="1" ht="14.25" hidden="1" customHeight="1">
      <c r="B45" s="2978"/>
      <c r="C45" s="969"/>
      <c r="D45" s="2948">
        <v>1</v>
      </c>
      <c r="E45" s="2949" t="s">
        <v>1575</v>
      </c>
      <c r="F45" s="2941"/>
      <c r="G45" s="2941"/>
      <c r="H45" s="2950"/>
      <c r="I45" s="3881"/>
      <c r="J45" s="3882"/>
      <c r="K45" s="3882"/>
      <c r="L45" s="3882"/>
      <c r="M45" s="3882"/>
      <c r="N45" s="3882"/>
      <c r="O45" s="3882"/>
      <c r="P45" s="3883"/>
      <c r="Q45" s="772">
        <f t="shared" si="2"/>
        <v>0</v>
      </c>
      <c r="R45" s="1206">
        <f t="shared" ref="R45:R79" si="12">AA45</f>
        <v>0</v>
      </c>
      <c r="S45" s="772">
        <f t="shared" si="3"/>
        <v>0</v>
      </c>
      <c r="T45" s="1206">
        <f t="shared" ref="T45:T79" si="13">AC45</f>
        <v>0</v>
      </c>
      <c r="U45" s="1207"/>
      <c r="V45" s="2889"/>
      <c r="W45" s="585"/>
      <c r="X45" s="586"/>
      <c r="Z45" s="2014">
        <f t="shared" si="10"/>
        <v>0</v>
      </c>
      <c r="AA45" s="580">
        <f>Weight!D45</f>
        <v>0</v>
      </c>
      <c r="AB45" s="2014">
        <f t="shared" si="11"/>
        <v>0</v>
      </c>
      <c r="AC45" s="580">
        <f>Weight!E45</f>
        <v>0</v>
      </c>
      <c r="AD45" s="2922"/>
      <c r="AE45" s="689"/>
      <c r="AF45" s="355">
        <f>Weight!M45</f>
        <v>0</v>
      </c>
      <c r="AG45" s="119"/>
      <c r="AH45" s="355">
        <f>Weight!N45</f>
        <v>0</v>
      </c>
      <c r="AI45" s="2937"/>
      <c r="AJ45" s="2937"/>
      <c r="AK45" s="3137" t="str">
        <f>Weight!C45</f>
        <v>照度</v>
      </c>
    </row>
    <row r="46" spans="2:37" s="1105" customFormat="1" ht="14.25" hidden="1" customHeight="1">
      <c r="B46" s="2978"/>
      <c r="C46" s="955"/>
      <c r="D46" s="2948">
        <v>2</v>
      </c>
      <c r="E46" s="2949" t="s">
        <v>1576</v>
      </c>
      <c r="F46" s="2941"/>
      <c r="G46" s="2941"/>
      <c r="H46" s="2950"/>
      <c r="I46" s="3881"/>
      <c r="J46" s="3882"/>
      <c r="K46" s="3882"/>
      <c r="L46" s="3882"/>
      <c r="M46" s="3882"/>
      <c r="N46" s="3882"/>
      <c r="O46" s="3882"/>
      <c r="P46" s="3883"/>
      <c r="Q46" s="772">
        <f t="shared" si="2"/>
        <v>0</v>
      </c>
      <c r="R46" s="1206">
        <f t="shared" si="12"/>
        <v>0</v>
      </c>
      <c r="S46" s="772">
        <f t="shared" si="3"/>
        <v>0</v>
      </c>
      <c r="T46" s="1206">
        <f t="shared" si="13"/>
        <v>0</v>
      </c>
      <c r="U46" s="1207"/>
      <c r="V46" s="2889"/>
      <c r="W46" s="585"/>
      <c r="X46" s="586"/>
      <c r="Z46" s="2014">
        <f t="shared" si="10"/>
        <v>0</v>
      </c>
      <c r="AA46" s="580">
        <f>Weight!D46</f>
        <v>0</v>
      </c>
      <c r="AB46" s="2014">
        <f t="shared" si="11"/>
        <v>0</v>
      </c>
      <c r="AC46" s="580">
        <f>Weight!E46</f>
        <v>0</v>
      </c>
      <c r="AD46" s="2922"/>
      <c r="AE46" s="689"/>
      <c r="AF46" s="355">
        <f>Weight!M46</f>
        <v>0</v>
      </c>
      <c r="AG46" s="119"/>
      <c r="AH46" s="355">
        <f>Weight!N46</f>
        <v>0</v>
      </c>
      <c r="AI46" s="2937"/>
      <c r="AJ46" s="2937"/>
      <c r="AK46" s="3137" t="str">
        <f>Weight!C46</f>
        <v>照度均斉度</v>
      </c>
    </row>
    <row r="47" spans="2:37" s="1105" customFormat="1" ht="14.25" customHeight="1" thickBot="1">
      <c r="B47" s="2979"/>
      <c r="C47" s="2953">
        <v>3.4</v>
      </c>
      <c r="D47" s="2962" t="s">
        <v>4541</v>
      </c>
      <c r="E47" s="2980"/>
      <c r="F47" s="2941"/>
      <c r="G47" s="2941"/>
      <c r="H47" s="2963"/>
      <c r="I47" s="3890">
        <f>'Q1'!G384</f>
        <v>0</v>
      </c>
      <c r="J47" s="3891"/>
      <c r="K47" s="3891"/>
      <c r="L47" s="3891"/>
      <c r="M47" s="3891"/>
      <c r="N47" s="3891"/>
      <c r="O47" s="3891"/>
      <c r="P47" s="3892"/>
      <c r="Q47" s="866">
        <f t="shared" si="2"/>
        <v>3</v>
      </c>
      <c r="R47" s="1195">
        <f t="shared" si="12"/>
        <v>0.25</v>
      </c>
      <c r="S47" s="866">
        <f t="shared" si="3"/>
        <v>0</v>
      </c>
      <c r="T47" s="1195">
        <f t="shared" si="13"/>
        <v>0</v>
      </c>
      <c r="U47" s="1192"/>
      <c r="V47" s="2889"/>
      <c r="W47" s="583">
        <f>IF('Q1'!F371="対象外",0,'Q1'!F371)</f>
        <v>3</v>
      </c>
      <c r="X47" s="584">
        <f>'Q1'!K371</f>
        <v>3</v>
      </c>
      <c r="Z47" s="684">
        <f t="shared" si="10"/>
        <v>3</v>
      </c>
      <c r="AA47" s="580">
        <f>Weight!D47</f>
        <v>0.25</v>
      </c>
      <c r="AB47" s="684">
        <f t="shared" si="11"/>
        <v>0</v>
      </c>
      <c r="AC47" s="580">
        <f>Weight!E47</f>
        <v>0</v>
      </c>
      <c r="AD47" s="2922"/>
      <c r="AE47" s="689"/>
      <c r="AF47" s="355">
        <f>Weight!M47</f>
        <v>0.25</v>
      </c>
      <c r="AG47" s="119"/>
      <c r="AH47" s="355">
        <f>Weight!N47</f>
        <v>0</v>
      </c>
      <c r="AI47" s="2937"/>
      <c r="AJ47" s="2937"/>
      <c r="AK47" s="3137" t="str">
        <f>Weight!C47</f>
        <v>Lighting Controllability</v>
      </c>
    </row>
    <row r="48" spans="2:37" s="1105" customFormat="1" ht="14.25" customHeight="1">
      <c r="B48" s="2954">
        <v>4</v>
      </c>
      <c r="C48" s="2955" t="s">
        <v>1578</v>
      </c>
      <c r="D48" s="2956"/>
      <c r="E48" s="2957"/>
      <c r="F48" s="2941"/>
      <c r="G48" s="2941"/>
      <c r="H48" s="2958"/>
      <c r="I48" s="2971"/>
      <c r="J48" s="2972"/>
      <c r="K48" s="2972"/>
      <c r="L48" s="2972"/>
      <c r="M48" s="2972"/>
      <c r="N48" s="2972"/>
      <c r="O48" s="2972"/>
      <c r="P48" s="2973"/>
      <c r="Q48" s="1197">
        <f t="shared" si="2"/>
        <v>3</v>
      </c>
      <c r="R48" s="1198">
        <f t="shared" si="12"/>
        <v>0.25</v>
      </c>
      <c r="S48" s="1199">
        <f t="shared" si="3"/>
        <v>0</v>
      </c>
      <c r="T48" s="1200">
        <f t="shared" si="13"/>
        <v>0</v>
      </c>
      <c r="U48" s="1201">
        <f>ROUNDDOWN(AD48,1)</f>
        <v>3</v>
      </c>
      <c r="V48" s="2889"/>
      <c r="W48" s="693"/>
      <c r="X48" s="693"/>
      <c r="Z48" s="685">
        <f>Z49*AA49+Z54*AA54+Z59*AA59</f>
        <v>3</v>
      </c>
      <c r="AA48" s="580">
        <f>Weight!D48</f>
        <v>0.25</v>
      </c>
      <c r="AB48" s="685">
        <f>AB49*AC49+AB54*AC54+AB59*AC59</f>
        <v>0</v>
      </c>
      <c r="AC48" s="360">
        <f>SUM(AC49,AC54,AC59)</f>
        <v>0</v>
      </c>
      <c r="AD48" s="2922">
        <f>IF(AB48=0,Z48,IF(Z48=0,AB48,Z48*AF$6+AB48*AH$6))</f>
        <v>3</v>
      </c>
      <c r="AE48" s="689"/>
      <c r="AF48" s="355">
        <f>Weight!M48</f>
        <v>0.25</v>
      </c>
      <c r="AG48" s="119"/>
      <c r="AH48" s="360">
        <f>SUM(AH49,AH54,AH59)</f>
        <v>0</v>
      </c>
      <c r="AI48" s="2937"/>
      <c r="AJ48" s="2937"/>
      <c r="AK48" s="3137" t="str">
        <f>Weight!C48</f>
        <v>Air Quality</v>
      </c>
    </row>
    <row r="49" spans="2:37" s="1105" customFormat="1" ht="14.25" customHeight="1" thickBot="1">
      <c r="B49" s="2938"/>
      <c r="C49" s="2939">
        <v>4.0999999999999996</v>
      </c>
      <c r="D49" s="2962" t="s">
        <v>1579</v>
      </c>
      <c r="E49" s="2962"/>
      <c r="F49" s="2941"/>
      <c r="G49" s="2941"/>
      <c r="H49" s="2977"/>
      <c r="I49" s="2971"/>
      <c r="J49" s="2972"/>
      <c r="K49" s="2972"/>
      <c r="L49" s="2972"/>
      <c r="M49" s="2972"/>
      <c r="N49" s="2972"/>
      <c r="O49" s="2972"/>
      <c r="P49" s="2973"/>
      <c r="Q49" s="1210">
        <f t="shared" si="2"/>
        <v>3</v>
      </c>
      <c r="R49" s="1190">
        <f t="shared" si="12"/>
        <v>0.5</v>
      </c>
      <c r="S49" s="1204">
        <f t="shared" si="3"/>
        <v>0</v>
      </c>
      <c r="T49" s="1191">
        <f t="shared" si="13"/>
        <v>0</v>
      </c>
      <c r="U49" s="1192"/>
      <c r="V49" s="2889"/>
      <c r="W49" s="694"/>
      <c r="X49" s="694"/>
      <c r="Z49" s="359">
        <f>SUMPRODUCT(Z50:Z53,AA50:AA53)</f>
        <v>3</v>
      </c>
      <c r="AA49" s="580">
        <f>Weight!D49</f>
        <v>0.5</v>
      </c>
      <c r="AB49" s="359">
        <f>SUMPRODUCT(AB50:AB53,AC50:AC53)</f>
        <v>0</v>
      </c>
      <c r="AC49" s="580">
        <f>Weight!E49</f>
        <v>0</v>
      </c>
      <c r="AD49" s="2922"/>
      <c r="AE49" s="689"/>
      <c r="AF49" s="355">
        <f>Weight!M49</f>
        <v>0.5</v>
      </c>
      <c r="AG49" s="119"/>
      <c r="AH49" s="355">
        <f>Weight!N49</f>
        <v>0</v>
      </c>
      <c r="AI49" s="2937"/>
      <c r="AJ49" s="2937"/>
      <c r="AK49" s="3137" t="str">
        <f>Weight!C49</f>
        <v>Source Control</v>
      </c>
    </row>
    <row r="50" spans="2:37" s="1105" customFormat="1" ht="14.25" customHeight="1" thickBot="1">
      <c r="B50" s="2938"/>
      <c r="C50" s="728"/>
      <c r="D50" s="2043">
        <v>1</v>
      </c>
      <c r="E50" s="2941" t="s">
        <v>1580</v>
      </c>
      <c r="F50" s="2941"/>
      <c r="G50" s="2941"/>
      <c r="H50" s="2963"/>
      <c r="I50" s="3881">
        <f>'Q1'!G396</f>
        <v>0</v>
      </c>
      <c r="J50" s="3882"/>
      <c r="K50" s="3882"/>
      <c r="L50" s="3882"/>
      <c r="M50" s="3882"/>
      <c r="N50" s="3882"/>
      <c r="O50" s="3882"/>
      <c r="P50" s="3883"/>
      <c r="Q50" s="858">
        <f t="shared" si="2"/>
        <v>3</v>
      </c>
      <c r="R50" s="1195">
        <f t="shared" si="12"/>
        <v>1</v>
      </c>
      <c r="S50" s="858">
        <f t="shared" si="3"/>
        <v>0</v>
      </c>
      <c r="T50" s="1195">
        <f t="shared" si="13"/>
        <v>0</v>
      </c>
      <c r="U50" s="1192"/>
      <c r="V50" s="2889"/>
      <c r="W50" s="581">
        <f>IF('Q1'!F390="対象外",0,'Q1'!F390)</f>
        <v>3</v>
      </c>
      <c r="X50" s="582">
        <f>'Q1'!K390</f>
        <v>3</v>
      </c>
      <c r="Z50" s="362">
        <f>IF(AA50=0,0,W50)</f>
        <v>3</v>
      </c>
      <c r="AA50" s="580">
        <f>Weight!D50</f>
        <v>1</v>
      </c>
      <c r="AB50" s="362">
        <f>IF(AC50=0,0,X50)</f>
        <v>0</v>
      </c>
      <c r="AC50" s="580">
        <f>Weight!E50</f>
        <v>0</v>
      </c>
      <c r="AD50" s="2922"/>
      <c r="AE50" s="689"/>
      <c r="AF50" s="355">
        <f>Weight!M50</f>
        <v>1</v>
      </c>
      <c r="AG50" s="119"/>
      <c r="AH50" s="355">
        <f>Weight!N50</f>
        <v>0</v>
      </c>
      <c r="AI50" s="2937"/>
      <c r="AJ50" s="2937"/>
      <c r="AK50" s="3137" t="str">
        <f>Weight!C50</f>
        <v>Chemical Pollutants</v>
      </c>
    </row>
    <row r="51" spans="2:37" s="1105" customFormat="1" ht="13.9" hidden="1" customHeight="1" thickBot="1">
      <c r="B51" s="2938"/>
      <c r="C51" s="728"/>
      <c r="D51" s="2967">
        <v>2</v>
      </c>
      <c r="E51" s="2966" t="s">
        <v>1581</v>
      </c>
      <c r="F51" s="2941"/>
      <c r="G51" s="2941"/>
      <c r="H51" s="2968"/>
      <c r="I51" s="3881"/>
      <c r="J51" s="3882"/>
      <c r="K51" s="3882"/>
      <c r="L51" s="3882"/>
      <c r="M51" s="3882"/>
      <c r="N51" s="3882"/>
      <c r="O51" s="3882"/>
      <c r="P51" s="3883"/>
      <c r="Q51" s="772">
        <f t="shared" si="2"/>
        <v>0</v>
      </c>
      <c r="R51" s="1195">
        <f t="shared" si="12"/>
        <v>0</v>
      </c>
      <c r="S51" s="772">
        <f t="shared" si="3"/>
        <v>0</v>
      </c>
      <c r="T51" s="1195">
        <f t="shared" si="13"/>
        <v>0</v>
      </c>
      <c r="U51" s="1192"/>
      <c r="V51" s="2889"/>
      <c r="W51" s="585">
        <f>'Q1'!F400</f>
        <v>0</v>
      </c>
      <c r="X51" s="586">
        <f>'Q1'!K400</f>
        <v>0</v>
      </c>
      <c r="Z51" s="362">
        <f>IF($Z$3=4,#REF!,W51)</f>
        <v>0</v>
      </c>
      <c r="AA51" s="580">
        <f>Weight!D51</f>
        <v>0</v>
      </c>
      <c r="AB51" s="362">
        <f>IF($Z$3=4,#REF!,X51)</f>
        <v>0</v>
      </c>
      <c r="AC51" s="580">
        <f>Weight!E51</f>
        <v>0</v>
      </c>
      <c r="AD51" s="2922"/>
      <c r="AE51" s="689"/>
      <c r="AF51" s="355">
        <f>Weight!M51</f>
        <v>0</v>
      </c>
      <c r="AG51" s="119"/>
      <c r="AH51" s="355">
        <f>Weight!N51</f>
        <v>0</v>
      </c>
      <c r="AI51" s="2937"/>
      <c r="AJ51" s="2937"/>
      <c r="AK51" s="3137" t="str">
        <f>Weight!C51</f>
        <v>Asbestos</v>
      </c>
    </row>
    <row r="52" spans="2:37" s="1105" customFormat="1" ht="13.9" hidden="1" customHeight="1" thickBot="1">
      <c r="B52" s="2947"/>
      <c r="C52" s="966"/>
      <c r="D52" s="2948">
        <v>3</v>
      </c>
      <c r="E52" s="2949" t="s">
        <v>3407</v>
      </c>
      <c r="F52" s="2941"/>
      <c r="G52" s="2941"/>
      <c r="H52" s="2950"/>
      <c r="I52" s="3881"/>
      <c r="J52" s="3882"/>
      <c r="K52" s="3882"/>
      <c r="L52" s="3882"/>
      <c r="M52" s="3882"/>
      <c r="N52" s="3882"/>
      <c r="O52" s="3882"/>
      <c r="P52" s="3883"/>
      <c r="Q52" s="772">
        <f t="shared" si="2"/>
        <v>0</v>
      </c>
      <c r="R52" s="1206">
        <f t="shared" si="12"/>
        <v>0</v>
      </c>
      <c r="S52" s="772">
        <f t="shared" si="3"/>
        <v>0</v>
      </c>
      <c r="T52" s="1206">
        <f t="shared" si="13"/>
        <v>0</v>
      </c>
      <c r="U52" s="1207"/>
      <c r="V52" s="2889"/>
      <c r="W52" s="585">
        <f>IF('Q1'!F409="対象外",0,'Q1'!F409)</f>
        <v>0</v>
      </c>
      <c r="X52" s="586">
        <f>'Q1'!K409</f>
        <v>0</v>
      </c>
      <c r="Z52" s="2014"/>
      <c r="AA52" s="580">
        <f>Weight!D52</f>
        <v>0</v>
      </c>
      <c r="AB52" s="2014"/>
      <c r="AC52" s="580">
        <f>Weight!E52</f>
        <v>0</v>
      </c>
      <c r="AD52" s="2922"/>
      <c r="AE52" s="689"/>
      <c r="AF52" s="355">
        <f>Weight!M52</f>
        <v>0</v>
      </c>
      <c r="AG52" s="119"/>
      <c r="AH52" s="355">
        <f>Weight!N52</f>
        <v>0</v>
      </c>
      <c r="AI52" s="2937"/>
      <c r="AJ52" s="2937"/>
      <c r="AK52" s="3137" t="str">
        <f>Weight!C52</f>
        <v>Mites, Mold etc.</v>
      </c>
    </row>
    <row r="53" spans="2:37" s="1105" customFormat="1" ht="13.9" hidden="1" customHeight="1" thickBot="1">
      <c r="B53" s="2947"/>
      <c r="C53" s="964"/>
      <c r="D53" s="2948">
        <v>4</v>
      </c>
      <c r="E53" s="2949" t="s">
        <v>1582</v>
      </c>
      <c r="F53" s="2941"/>
      <c r="G53" s="2941"/>
      <c r="H53" s="2950"/>
      <c r="I53" s="3881"/>
      <c r="J53" s="3882"/>
      <c r="K53" s="3882"/>
      <c r="L53" s="3882"/>
      <c r="M53" s="3882"/>
      <c r="N53" s="3882"/>
      <c r="O53" s="3882"/>
      <c r="P53" s="3883"/>
      <c r="Q53" s="852">
        <f t="shared" si="2"/>
        <v>0</v>
      </c>
      <c r="R53" s="1206">
        <f t="shared" si="12"/>
        <v>0</v>
      </c>
      <c r="S53" s="852">
        <f t="shared" si="3"/>
        <v>0</v>
      </c>
      <c r="T53" s="1206">
        <f t="shared" si="13"/>
        <v>0</v>
      </c>
      <c r="U53" s="1207"/>
      <c r="V53" s="2889"/>
      <c r="W53" s="583">
        <f>IF('Q1'!F418="対象外",0,'Q1'!F418)</f>
        <v>0</v>
      </c>
      <c r="X53" s="584">
        <f>'Q1'!K418</f>
        <v>0</v>
      </c>
      <c r="Z53" s="2014"/>
      <c r="AA53" s="580">
        <f>Weight!D53</f>
        <v>0</v>
      </c>
      <c r="AB53" s="2014"/>
      <c r="AC53" s="580">
        <f>Weight!E53</f>
        <v>0</v>
      </c>
      <c r="AD53" s="2922"/>
      <c r="AE53" s="689"/>
      <c r="AF53" s="355">
        <f>Weight!M53</f>
        <v>0</v>
      </c>
      <c r="AG53" s="119"/>
      <c r="AH53" s="355">
        <f>Weight!N53</f>
        <v>0</v>
      </c>
      <c r="AI53" s="2937"/>
      <c r="AJ53" s="2937"/>
      <c r="AK53" s="3137" t="str">
        <f>Weight!C53</f>
        <v>Legionella</v>
      </c>
    </row>
    <row r="54" spans="2:37" s="1105" customFormat="1" ht="14.25" customHeight="1" thickBot="1">
      <c r="B54" s="2974"/>
      <c r="C54" s="2939">
        <v>4.2</v>
      </c>
      <c r="D54" s="2962" t="s">
        <v>1583</v>
      </c>
      <c r="E54" s="2957"/>
      <c r="F54" s="2941"/>
      <c r="G54" s="2941"/>
      <c r="H54" s="2963"/>
      <c r="I54" s="2934"/>
      <c r="J54" s="2935"/>
      <c r="K54" s="2935"/>
      <c r="L54" s="2935"/>
      <c r="M54" s="2935"/>
      <c r="N54" s="2935"/>
      <c r="O54" s="2935"/>
      <c r="P54" s="2936"/>
      <c r="Q54" s="1196">
        <f t="shared" si="2"/>
        <v>3</v>
      </c>
      <c r="R54" s="1190">
        <f>AA54</f>
        <v>0.3</v>
      </c>
      <c r="S54" s="1196">
        <f t="shared" si="3"/>
        <v>0</v>
      </c>
      <c r="T54" s="1191">
        <f t="shared" si="13"/>
        <v>0</v>
      </c>
      <c r="U54" s="1192"/>
      <c r="V54" s="2889"/>
      <c r="W54" s="692"/>
      <c r="X54" s="692"/>
      <c r="Z54" s="359">
        <f>SUMPRODUCT(Z55:Z58,AA55:AA58)</f>
        <v>3</v>
      </c>
      <c r="AA54" s="580">
        <f>Weight!D54</f>
        <v>0.3</v>
      </c>
      <c r="AB54" s="359">
        <f>SUMPRODUCT(AB55:AB58,AC55:AC58)</f>
        <v>0</v>
      </c>
      <c r="AC54" s="580">
        <f>Weight!E54</f>
        <v>0</v>
      </c>
      <c r="AD54" s="2922"/>
      <c r="AE54" s="689"/>
      <c r="AF54" s="355">
        <f>Weight!M54</f>
        <v>0.3</v>
      </c>
      <c r="AG54" s="119"/>
      <c r="AH54" s="355">
        <f>Weight!N54</f>
        <v>0</v>
      </c>
      <c r="AI54" s="2937"/>
      <c r="AJ54" s="2937"/>
      <c r="AK54" s="3137" t="str">
        <f>Weight!C54</f>
        <v>Ventilation</v>
      </c>
    </row>
    <row r="55" spans="2:37" s="1105" customFormat="1" ht="14.25" customHeight="1">
      <c r="B55" s="2974"/>
      <c r="C55" s="810"/>
      <c r="D55" s="2043">
        <v>1</v>
      </c>
      <c r="E55" s="2941" t="s">
        <v>1584</v>
      </c>
      <c r="F55" s="2941"/>
      <c r="G55" s="2941"/>
      <c r="H55" s="2981"/>
      <c r="I55" s="3881">
        <f>'Q1'!G435</f>
        <v>0</v>
      </c>
      <c r="J55" s="3882"/>
      <c r="K55" s="3882"/>
      <c r="L55" s="3882"/>
      <c r="M55" s="3882"/>
      <c r="N55" s="3882"/>
      <c r="O55" s="3882"/>
      <c r="P55" s="3883"/>
      <c r="Q55" s="858">
        <f t="shared" si="2"/>
        <v>3</v>
      </c>
      <c r="R55" s="1195">
        <f t="shared" si="12"/>
        <v>0.33333333333333331</v>
      </c>
      <c r="S55" s="858">
        <f t="shared" si="3"/>
        <v>0</v>
      </c>
      <c r="T55" s="1195">
        <f t="shared" si="13"/>
        <v>0</v>
      </c>
      <c r="U55" s="1192"/>
      <c r="V55" s="2889"/>
      <c r="W55" s="581">
        <f>IF('Q1'!F429="対象外",0,'Q1'!F429)</f>
        <v>3</v>
      </c>
      <c r="X55" s="582">
        <f>'Q1'!K429</f>
        <v>3</v>
      </c>
      <c r="Z55" s="362">
        <f t="shared" ref="Z55:Z57" si="14">IF(AA55=0,0,W55)</f>
        <v>3</v>
      </c>
      <c r="AA55" s="580">
        <f>Weight!D55</f>
        <v>0.33333333333333331</v>
      </c>
      <c r="AB55" s="362">
        <f t="shared" ref="AB55:AB57" si="15">IF(AC55=0,0,X55)</f>
        <v>0</v>
      </c>
      <c r="AC55" s="580">
        <f>Weight!E55</f>
        <v>0</v>
      </c>
      <c r="AD55" s="2922"/>
      <c r="AE55" s="689"/>
      <c r="AF55" s="355">
        <f>Weight!M55</f>
        <v>0.33333333333333331</v>
      </c>
      <c r="AG55" s="119"/>
      <c r="AH55" s="355">
        <f>Weight!N55</f>
        <v>0</v>
      </c>
      <c r="AI55" s="2014"/>
      <c r="AJ55" s="2014"/>
      <c r="AK55" s="3137" t="str">
        <f>Weight!C55</f>
        <v>Ventilation Rate</v>
      </c>
    </row>
    <row r="56" spans="2:37" s="1105" customFormat="1" ht="14.25" customHeight="1">
      <c r="B56" s="2974"/>
      <c r="C56" s="810"/>
      <c r="D56" s="2043">
        <v>2</v>
      </c>
      <c r="E56" s="2941" t="s">
        <v>1585</v>
      </c>
      <c r="F56" s="2941"/>
      <c r="G56" s="2941"/>
      <c r="H56" s="2963"/>
      <c r="I56" s="3881">
        <f>'Q1'!G445</f>
        <v>0</v>
      </c>
      <c r="J56" s="3882"/>
      <c r="K56" s="3882"/>
      <c r="L56" s="3882"/>
      <c r="M56" s="3882"/>
      <c r="N56" s="3882"/>
      <c r="O56" s="3882"/>
      <c r="P56" s="3883"/>
      <c r="Q56" s="772">
        <f t="shared" si="2"/>
        <v>3</v>
      </c>
      <c r="R56" s="1195">
        <f t="shared" si="12"/>
        <v>0.33333333333333331</v>
      </c>
      <c r="S56" s="772">
        <f t="shared" si="3"/>
        <v>0</v>
      </c>
      <c r="T56" s="1195">
        <f t="shared" si="13"/>
        <v>0</v>
      </c>
      <c r="U56" s="1192"/>
      <c r="V56" s="2889"/>
      <c r="W56" s="585">
        <f>IF('Q1'!F439="対象外",0,'Q1'!F439)</f>
        <v>3</v>
      </c>
      <c r="X56" s="586">
        <f>'Q1'!K439</f>
        <v>3</v>
      </c>
      <c r="Z56" s="362">
        <f t="shared" si="14"/>
        <v>3</v>
      </c>
      <c r="AA56" s="580">
        <f>Weight!D56</f>
        <v>0.33333333333333331</v>
      </c>
      <c r="AB56" s="362">
        <f t="shared" si="15"/>
        <v>0</v>
      </c>
      <c r="AC56" s="580">
        <f>Weight!E56</f>
        <v>0</v>
      </c>
      <c r="AD56" s="2922"/>
      <c r="AE56" s="689"/>
      <c r="AF56" s="355">
        <f>Weight!M56</f>
        <v>0.33333333333333331</v>
      </c>
      <c r="AG56" s="119"/>
      <c r="AH56" s="355">
        <f>Weight!N56</f>
        <v>0</v>
      </c>
      <c r="AI56" s="2937"/>
      <c r="AJ56" s="2937"/>
      <c r="AK56" s="3137" t="str">
        <f>Weight!C56</f>
        <v>Natural Ventilation Performance</v>
      </c>
    </row>
    <row r="57" spans="2:37" s="1105" customFormat="1" ht="14.25" customHeight="1" thickBot="1">
      <c r="B57" s="2974"/>
      <c r="C57" s="810"/>
      <c r="D57" s="2043">
        <v>3</v>
      </c>
      <c r="E57" s="2941" t="s">
        <v>1586</v>
      </c>
      <c r="F57" s="2941"/>
      <c r="G57" s="2941"/>
      <c r="H57" s="2963"/>
      <c r="I57" s="3881">
        <f>'Q1'!G465</f>
        <v>0</v>
      </c>
      <c r="J57" s="3882"/>
      <c r="K57" s="3882"/>
      <c r="L57" s="3882"/>
      <c r="M57" s="3882"/>
      <c r="N57" s="3882"/>
      <c r="O57" s="3882"/>
      <c r="P57" s="3883"/>
      <c r="Q57" s="852">
        <f t="shared" si="2"/>
        <v>3</v>
      </c>
      <c r="R57" s="1195">
        <f t="shared" si="12"/>
        <v>0.33333333333333331</v>
      </c>
      <c r="S57" s="852">
        <f t="shared" si="3"/>
        <v>0</v>
      </c>
      <c r="T57" s="1195">
        <f t="shared" si="13"/>
        <v>0</v>
      </c>
      <c r="U57" s="1192"/>
      <c r="V57" s="2889"/>
      <c r="W57" s="585">
        <f>IF('Q1'!F450="対象外",0,'Q1'!F450)</f>
        <v>3</v>
      </c>
      <c r="X57" s="586">
        <f>'Q1'!K450</f>
        <v>3</v>
      </c>
      <c r="Z57" s="362">
        <f t="shared" si="14"/>
        <v>3</v>
      </c>
      <c r="AA57" s="580">
        <f>Weight!D57</f>
        <v>0.33333333333333331</v>
      </c>
      <c r="AB57" s="362">
        <f t="shared" si="15"/>
        <v>0</v>
      </c>
      <c r="AC57" s="580">
        <f>Weight!E57</f>
        <v>0</v>
      </c>
      <c r="AD57" s="2922"/>
      <c r="AE57" s="689"/>
      <c r="AF57" s="355">
        <f>Weight!M57</f>
        <v>0.33333333333333331</v>
      </c>
      <c r="AG57" s="119"/>
      <c r="AH57" s="355">
        <f>Weight!N57</f>
        <v>0</v>
      </c>
      <c r="AI57" s="2937"/>
      <c r="AJ57" s="2937"/>
      <c r="AK57" s="3137" t="str">
        <f>Weight!C57</f>
        <v>Consideration for Outside Air Intake</v>
      </c>
    </row>
    <row r="58" spans="2:37" s="1105" customFormat="1" ht="14.25" hidden="1" customHeight="1" thickBot="1">
      <c r="B58" s="2975"/>
      <c r="C58" s="955"/>
      <c r="D58" s="2948">
        <v>4</v>
      </c>
      <c r="E58" s="2949" t="s">
        <v>1587</v>
      </c>
      <c r="F58" s="2949"/>
      <c r="G58" s="2949"/>
      <c r="H58" s="2950"/>
      <c r="I58" s="3881"/>
      <c r="J58" s="3882"/>
      <c r="K58" s="3882"/>
      <c r="L58" s="3882"/>
      <c r="M58" s="3882"/>
      <c r="N58" s="3882"/>
      <c r="O58" s="3882"/>
      <c r="P58" s="3883"/>
      <c r="Q58" s="852">
        <f t="shared" si="2"/>
        <v>0</v>
      </c>
      <c r="R58" s="1206">
        <f t="shared" si="12"/>
        <v>0</v>
      </c>
      <c r="S58" s="852">
        <f t="shared" si="3"/>
        <v>0</v>
      </c>
      <c r="T58" s="1206">
        <f t="shared" si="13"/>
        <v>0</v>
      </c>
      <c r="U58" s="1207"/>
      <c r="V58" s="2889"/>
      <c r="W58" s="583">
        <f>IF('Q1'!F459="対象外",0,'Q1'!F459)</f>
        <v>0</v>
      </c>
      <c r="X58" s="584">
        <f>'Q1'!K459</f>
        <v>0</v>
      </c>
      <c r="Z58" s="2014"/>
      <c r="AA58" s="580">
        <f>Weight!D58</f>
        <v>0</v>
      </c>
      <c r="AB58" s="2014"/>
      <c r="AC58" s="580">
        <f>Weight!E58</f>
        <v>0</v>
      </c>
      <c r="AD58" s="2922"/>
      <c r="AE58" s="689"/>
      <c r="AF58" s="355">
        <f>Weight!M58</f>
        <v>0</v>
      </c>
      <c r="AG58" s="119"/>
      <c r="AH58" s="355">
        <f>Weight!N58</f>
        <v>0</v>
      </c>
      <c r="AI58" s="2937"/>
      <c r="AJ58" s="2937"/>
      <c r="AK58" s="3137" t="str">
        <f>Weight!C58</f>
        <v>Air Supply Planning</v>
      </c>
    </row>
    <row r="59" spans="2:37" s="1105" customFormat="1" ht="14.25" customHeight="1" thickBot="1">
      <c r="B59" s="2974"/>
      <c r="C59" s="2939">
        <v>4.3</v>
      </c>
      <c r="D59" s="2962" t="s">
        <v>1588</v>
      </c>
      <c r="E59" s="2957"/>
      <c r="F59" s="2957"/>
      <c r="G59" s="2957"/>
      <c r="H59" s="2958"/>
      <c r="I59" s="2934"/>
      <c r="J59" s="2935"/>
      <c r="K59" s="2935"/>
      <c r="L59" s="2935"/>
      <c r="M59" s="2935"/>
      <c r="N59" s="2935"/>
      <c r="O59" s="2935"/>
      <c r="P59" s="2936"/>
      <c r="Q59" s="1210">
        <f t="shared" si="2"/>
        <v>3</v>
      </c>
      <c r="R59" s="1190">
        <f>AA59</f>
        <v>0.2</v>
      </c>
      <c r="S59" s="1196">
        <f t="shared" si="3"/>
        <v>0</v>
      </c>
      <c r="T59" s="1191">
        <f t="shared" si="13"/>
        <v>0</v>
      </c>
      <c r="U59" s="1192"/>
      <c r="V59" s="2889"/>
      <c r="W59" s="692"/>
      <c r="X59" s="693"/>
      <c r="Z59" s="359">
        <f>SUMPRODUCT(Z60:Z61,AA60:AA61)</f>
        <v>3</v>
      </c>
      <c r="AA59" s="580">
        <f>Weight!D59</f>
        <v>0.2</v>
      </c>
      <c r="AB59" s="359">
        <f>SUMPRODUCT(AB60:AB61,AC60:AC61)</f>
        <v>0</v>
      </c>
      <c r="AC59" s="580">
        <f>Weight!E59</f>
        <v>0</v>
      </c>
      <c r="AD59" s="2922"/>
      <c r="AE59" s="689"/>
      <c r="AF59" s="355">
        <f>Weight!M59</f>
        <v>0.2</v>
      </c>
      <c r="AG59" s="119"/>
      <c r="AH59" s="355">
        <f>Weight!N59</f>
        <v>0</v>
      </c>
      <c r="AI59" s="2937"/>
      <c r="AJ59" s="2937"/>
      <c r="AK59" s="3137" t="str">
        <f>Weight!C59</f>
        <v>Operation Plan</v>
      </c>
    </row>
    <row r="60" spans="2:37" s="1105" customFormat="1" ht="14.25" customHeight="1">
      <c r="B60" s="2974"/>
      <c r="C60" s="810"/>
      <c r="D60" s="2043">
        <v>1</v>
      </c>
      <c r="E60" s="2941" t="s">
        <v>1589</v>
      </c>
      <c r="F60" s="2941"/>
      <c r="G60" s="2941"/>
      <c r="H60" s="2963"/>
      <c r="I60" s="3881">
        <f>'Q1'!G476</f>
        <v>0</v>
      </c>
      <c r="J60" s="3882"/>
      <c r="K60" s="3882"/>
      <c r="L60" s="3882"/>
      <c r="M60" s="3882"/>
      <c r="N60" s="3882"/>
      <c r="O60" s="3882"/>
      <c r="P60" s="3883"/>
      <c r="Q60" s="858">
        <f t="shared" si="2"/>
        <v>3</v>
      </c>
      <c r="R60" s="1195">
        <f t="shared" si="12"/>
        <v>0.5</v>
      </c>
      <c r="S60" s="858">
        <f t="shared" si="3"/>
        <v>0</v>
      </c>
      <c r="T60" s="1195">
        <f t="shared" si="13"/>
        <v>0</v>
      </c>
      <c r="U60" s="1192"/>
      <c r="V60" s="2889"/>
      <c r="W60" s="587">
        <f>IF('Q1'!F470="対象外",0,'Q1'!F470)</f>
        <v>3</v>
      </c>
      <c r="X60" s="695"/>
      <c r="Z60" s="362">
        <f t="shared" ref="Z60:Z61" si="16">IF(AA60=0,0,W60)</f>
        <v>3</v>
      </c>
      <c r="AA60" s="580">
        <f>Weight!D60</f>
        <v>0.5</v>
      </c>
      <c r="AB60" s="362">
        <f t="shared" ref="AB60:AB61" si="17">IF(AC60=0,0,X60)</f>
        <v>0</v>
      </c>
      <c r="AC60" s="580">
        <f>Weight!E60</f>
        <v>0</v>
      </c>
      <c r="AD60" s="2922"/>
      <c r="AE60" s="689"/>
      <c r="AF60" s="355">
        <f>Weight!M60</f>
        <v>0.5</v>
      </c>
      <c r="AG60" s="119"/>
      <c r="AH60" s="355">
        <f>Weight!N60</f>
        <v>0</v>
      </c>
      <c r="AI60" s="2937"/>
      <c r="AJ60" s="2937"/>
      <c r="AK60" s="3137" t="str">
        <f>Weight!C60</f>
        <v>CO2 Monitoring</v>
      </c>
    </row>
    <row r="61" spans="2:37" s="1105" customFormat="1" ht="14.25" customHeight="1" thickBot="1">
      <c r="B61" s="2974"/>
      <c r="C61" s="810"/>
      <c r="D61" s="2982">
        <v>2</v>
      </c>
      <c r="E61" s="2940" t="s">
        <v>1590</v>
      </c>
      <c r="F61" s="2940"/>
      <c r="G61" s="2940"/>
      <c r="H61" s="2958"/>
      <c r="I61" s="3881">
        <f>'Q1'!L476</f>
        <v>0</v>
      </c>
      <c r="J61" s="3882"/>
      <c r="K61" s="3882"/>
      <c r="L61" s="3882"/>
      <c r="M61" s="3882"/>
      <c r="N61" s="3882"/>
      <c r="O61" s="3882"/>
      <c r="P61" s="3883"/>
      <c r="Q61" s="772">
        <f t="shared" si="2"/>
        <v>3</v>
      </c>
      <c r="R61" s="1195">
        <f t="shared" si="12"/>
        <v>0.5</v>
      </c>
      <c r="S61" s="852">
        <f t="shared" si="3"/>
        <v>0</v>
      </c>
      <c r="T61" s="1195">
        <f t="shared" si="13"/>
        <v>0</v>
      </c>
      <c r="U61" s="1192"/>
      <c r="V61" s="2889"/>
      <c r="W61" s="365">
        <f>IF('Q1'!K470="対象外",0,'Q1'!K470)</f>
        <v>3</v>
      </c>
      <c r="X61" s="695"/>
      <c r="Z61" s="362">
        <f t="shared" si="16"/>
        <v>3</v>
      </c>
      <c r="AA61" s="580">
        <f>Weight!D61</f>
        <v>0.5</v>
      </c>
      <c r="AB61" s="362">
        <f t="shared" si="17"/>
        <v>0</v>
      </c>
      <c r="AC61" s="580">
        <f>Weight!E61</f>
        <v>0</v>
      </c>
      <c r="AD61" s="2922"/>
      <c r="AE61" s="689"/>
      <c r="AF61" s="355">
        <f>Weight!M61</f>
        <v>0.5</v>
      </c>
      <c r="AG61" s="119"/>
      <c r="AH61" s="355">
        <f>Weight!N61</f>
        <v>0</v>
      </c>
      <c r="AI61" s="2937"/>
      <c r="AJ61" s="2937"/>
      <c r="AK61" s="3137" t="str">
        <f>Weight!C61</f>
        <v>Control of Smoking</v>
      </c>
    </row>
    <row r="62" spans="2:37" s="1105" customFormat="1" ht="14.25" customHeight="1" thickBot="1">
      <c r="B62" s="2983" t="s">
        <v>1498</v>
      </c>
      <c r="C62" s="2984"/>
      <c r="D62" s="2985"/>
      <c r="E62" s="2985"/>
      <c r="F62" s="2985"/>
      <c r="G62" s="2985"/>
      <c r="H62" s="2986"/>
      <c r="I62" s="2987"/>
      <c r="J62" s="2987"/>
      <c r="K62" s="2987"/>
      <c r="L62" s="2987"/>
      <c r="M62" s="2987"/>
      <c r="N62" s="2987"/>
      <c r="O62" s="2987"/>
      <c r="P62" s="2987"/>
      <c r="Q62" s="2988">
        <f t="shared" si="2"/>
        <v>0</v>
      </c>
      <c r="R62" s="1211">
        <f t="shared" si="12"/>
        <v>0.3</v>
      </c>
      <c r="S62" s="1212">
        <f t="shared" si="3"/>
        <v>0</v>
      </c>
      <c r="T62" s="1213">
        <f t="shared" si="13"/>
        <v>0</v>
      </c>
      <c r="U62" s="1214">
        <f>ROUNDDOWN(AD62,1)</f>
        <v>3</v>
      </c>
      <c r="V62" s="2889"/>
      <c r="W62" s="693"/>
      <c r="X62" s="693"/>
      <c r="Z62" s="363"/>
      <c r="AA62" s="357">
        <f>Weight!D62</f>
        <v>0.3</v>
      </c>
      <c r="AB62" s="363"/>
      <c r="AC62" s="357"/>
      <c r="AD62" s="2923">
        <f>AD63*AA63+AD78*AA78+AD100*AA100</f>
        <v>3.0000000000000004</v>
      </c>
      <c r="AE62" s="689"/>
      <c r="AF62" s="355">
        <f>Weight!M62</f>
        <v>0.3</v>
      </c>
      <c r="AG62" s="119"/>
      <c r="AH62" s="355">
        <f>Weight!N62</f>
        <v>0</v>
      </c>
      <c r="AI62" s="355" t="s">
        <v>797</v>
      </c>
      <c r="AJ62" s="355" t="s">
        <v>1045</v>
      </c>
      <c r="AK62" s="3137" t="str">
        <f>Weight!C62</f>
        <v>Quality of Service</v>
      </c>
    </row>
    <row r="63" spans="2:37" s="1105" customFormat="1" ht="14.25" customHeight="1">
      <c r="B63" s="2931">
        <v>1</v>
      </c>
      <c r="C63" s="2932" t="s">
        <v>1591</v>
      </c>
      <c r="D63" s="5"/>
      <c r="E63" s="2989"/>
      <c r="F63" s="2989"/>
      <c r="G63" s="2989"/>
      <c r="H63" s="2933"/>
      <c r="I63" s="2934"/>
      <c r="J63" s="2935"/>
      <c r="K63" s="2935"/>
      <c r="L63" s="2935"/>
      <c r="M63" s="2935"/>
      <c r="N63" s="2935"/>
      <c r="O63" s="2935"/>
      <c r="P63" s="2936"/>
      <c r="Q63" s="1197">
        <f t="shared" si="2"/>
        <v>3</v>
      </c>
      <c r="R63" s="1215">
        <f t="shared" si="12"/>
        <v>0.4</v>
      </c>
      <c r="S63" s="1199">
        <f t="shared" si="3"/>
        <v>0</v>
      </c>
      <c r="T63" s="1216">
        <f t="shared" si="13"/>
        <v>0</v>
      </c>
      <c r="U63" s="1217">
        <f>ROUNDDOWN(AD63,1)</f>
        <v>3</v>
      </c>
      <c r="V63" s="2889"/>
      <c r="W63" s="691"/>
      <c r="X63" s="691"/>
      <c r="Z63" s="685">
        <f>Z64*AA64+Z68*AA68+Z74*AA74</f>
        <v>3</v>
      </c>
      <c r="AA63" s="580">
        <f>Weight!D63</f>
        <v>0.4</v>
      </c>
      <c r="AB63" s="685">
        <f>AB64*AC64+AB68*AC68+AB74*AC74</f>
        <v>0</v>
      </c>
      <c r="AC63" s="360">
        <f>SUM(AC64,AC68,AC74)</f>
        <v>0</v>
      </c>
      <c r="AD63" s="2922">
        <f>IF(AB63=0,Z63,IF(Z63=0,AB63,Z63*AF$6+AB63*AH$6))</f>
        <v>3</v>
      </c>
      <c r="AE63" s="689"/>
      <c r="AF63" s="355">
        <f>Weight!M63</f>
        <v>0.4</v>
      </c>
      <c r="AG63" s="119"/>
      <c r="AH63" s="360">
        <f>SUM(AH64,AH68,AH74)</f>
        <v>0</v>
      </c>
      <c r="AI63" s="2937"/>
      <c r="AJ63" s="2937"/>
      <c r="AK63" s="3137" t="str">
        <f>Weight!C63</f>
        <v>Service Ability</v>
      </c>
    </row>
    <row r="64" spans="2:37" s="1105" customFormat="1" ht="14.25" customHeight="1" thickBot="1">
      <c r="B64" s="2974"/>
      <c r="C64" s="2951">
        <v>1.1000000000000001</v>
      </c>
      <c r="D64" s="2940" t="s">
        <v>1592</v>
      </c>
      <c r="E64" s="2957"/>
      <c r="F64" s="2957"/>
      <c r="G64" s="2957"/>
      <c r="H64" s="2958"/>
      <c r="I64" s="2971"/>
      <c r="J64" s="2972"/>
      <c r="K64" s="2972"/>
      <c r="L64" s="2972"/>
      <c r="M64" s="2972"/>
      <c r="N64" s="2972"/>
      <c r="O64" s="2972"/>
      <c r="P64" s="2973"/>
      <c r="Q64" s="1210">
        <f t="shared" si="2"/>
        <v>3</v>
      </c>
      <c r="R64" s="1190">
        <f t="shared" si="12"/>
        <v>0.4</v>
      </c>
      <c r="S64" s="1218">
        <f t="shared" si="3"/>
        <v>0</v>
      </c>
      <c r="T64" s="1191">
        <f t="shared" si="13"/>
        <v>0</v>
      </c>
      <c r="U64" s="1192"/>
      <c r="V64" s="2889"/>
      <c r="W64" s="694"/>
      <c r="X64" s="694"/>
      <c r="Z64" s="359">
        <f>SUMPRODUCT(Z65:Z67,AA65:AA67)</f>
        <v>3</v>
      </c>
      <c r="AA64" s="580">
        <f>Weight!D64</f>
        <v>0.4</v>
      </c>
      <c r="AB64" s="359">
        <f>SUMPRODUCT(AB65:AB67,AC65:AC67)</f>
        <v>0</v>
      </c>
      <c r="AC64" s="580">
        <f>Weight!E64</f>
        <v>0</v>
      </c>
      <c r="AD64" s="2922"/>
      <c r="AE64" s="689"/>
      <c r="AF64" s="355">
        <f>Weight!M64</f>
        <v>0.4</v>
      </c>
      <c r="AG64" s="119"/>
      <c r="AH64" s="355">
        <f>Weight!N64</f>
        <v>0</v>
      </c>
      <c r="AI64" s="2014"/>
      <c r="AJ64" s="2014"/>
      <c r="AK64" s="3137" t="str">
        <f>Weight!C64</f>
        <v xml:space="preserve"> Functionality &amp; Usability</v>
      </c>
    </row>
    <row r="65" spans="2:37" s="1105" customFormat="1" ht="14.25" customHeight="1">
      <c r="B65" s="2974"/>
      <c r="C65" s="810"/>
      <c r="D65" s="2043">
        <v>1</v>
      </c>
      <c r="E65" s="2941" t="s">
        <v>1593</v>
      </c>
      <c r="F65" s="2941"/>
      <c r="G65" s="2941"/>
      <c r="H65" s="2963"/>
      <c r="I65" s="3881">
        <f>'Q2'!G21</f>
        <v>0</v>
      </c>
      <c r="J65" s="3882"/>
      <c r="K65" s="3882"/>
      <c r="L65" s="3882"/>
      <c r="M65" s="3882"/>
      <c r="N65" s="3882"/>
      <c r="O65" s="3882"/>
      <c r="P65" s="3883"/>
      <c r="Q65" s="858">
        <f t="shared" si="2"/>
        <v>3</v>
      </c>
      <c r="R65" s="1195">
        <f t="shared" si="12"/>
        <v>0.33333333333333331</v>
      </c>
      <c r="S65" s="858">
        <f t="shared" si="3"/>
        <v>0</v>
      </c>
      <c r="T65" s="1195">
        <f t="shared" si="13"/>
        <v>0</v>
      </c>
      <c r="U65" s="1192"/>
      <c r="V65" s="2889"/>
      <c r="W65" s="581">
        <f>IF('Q2'!F15="対象外",0,'Q2'!F15)</f>
        <v>3</v>
      </c>
      <c r="X65" s="582">
        <f>'Q2'!K15</f>
        <v>3</v>
      </c>
      <c r="Z65" s="362">
        <f t="shared" ref="Z65:Z67" si="18">IF(AA65=0,0,W65)</f>
        <v>3</v>
      </c>
      <c r="AA65" s="580">
        <f>Weight!D65</f>
        <v>0.33333333333333331</v>
      </c>
      <c r="AB65" s="362">
        <f t="shared" ref="AB65:AB66" si="19">IF(AC65=0,0,X65)</f>
        <v>0</v>
      </c>
      <c r="AC65" s="580">
        <f>Weight!E65</f>
        <v>0</v>
      </c>
      <c r="AD65" s="2922"/>
      <c r="AE65" s="689"/>
      <c r="AF65" s="355">
        <f>Weight!M65</f>
        <v>0.33333333333333331</v>
      </c>
      <c r="AG65" s="119"/>
      <c r="AH65" s="355">
        <f>Weight!N65</f>
        <v>0</v>
      </c>
      <c r="AI65" s="2937"/>
      <c r="AJ65" s="2937"/>
      <c r="AK65" s="3137" t="str">
        <f>Weight!C65</f>
        <v>Provision of Space &amp; Storage</v>
      </c>
    </row>
    <row r="66" spans="2:37" s="1105" customFormat="1" ht="14.25" customHeight="1">
      <c r="B66" s="2974"/>
      <c r="C66" s="810"/>
      <c r="D66" s="2043">
        <v>2</v>
      </c>
      <c r="E66" s="3136" t="s">
        <v>1594</v>
      </c>
      <c r="F66" s="2941"/>
      <c r="G66" s="2941"/>
      <c r="H66" s="2963"/>
      <c r="I66" s="3881">
        <f>'Q2'!G32</f>
        <v>0</v>
      </c>
      <c r="J66" s="3882"/>
      <c r="K66" s="3882"/>
      <c r="L66" s="3882"/>
      <c r="M66" s="3882"/>
      <c r="N66" s="3882"/>
      <c r="O66" s="3882"/>
      <c r="P66" s="3883"/>
      <c r="Q66" s="772">
        <f t="shared" si="2"/>
        <v>3</v>
      </c>
      <c r="R66" s="1195">
        <f t="shared" si="12"/>
        <v>0.33333333333333331</v>
      </c>
      <c r="S66" s="772">
        <f t="shared" si="3"/>
        <v>0</v>
      </c>
      <c r="T66" s="1195">
        <f t="shared" si="13"/>
        <v>0</v>
      </c>
      <c r="U66" s="1192"/>
      <c r="V66" s="2889"/>
      <c r="W66" s="585">
        <f>IF('Q2'!F26="対象外",0,'Q2'!F26)</f>
        <v>3</v>
      </c>
      <c r="X66" s="586">
        <f>'Q2'!K26</f>
        <v>3</v>
      </c>
      <c r="Z66" s="362">
        <f t="shared" si="18"/>
        <v>3</v>
      </c>
      <c r="AA66" s="580">
        <f>Weight!D66</f>
        <v>0.33333333333333331</v>
      </c>
      <c r="AB66" s="362">
        <f t="shared" si="19"/>
        <v>0</v>
      </c>
      <c r="AC66" s="580">
        <f>Weight!E66</f>
        <v>0</v>
      </c>
      <c r="AD66" s="2922"/>
      <c r="AE66" s="689"/>
      <c r="AF66" s="355">
        <f>Weight!M66</f>
        <v>0.33333333333333331</v>
      </c>
      <c r="AG66" s="119"/>
      <c r="AH66" s="355">
        <f>Weight!N66</f>
        <v>0</v>
      </c>
      <c r="AI66" s="2937"/>
      <c r="AJ66" s="2937"/>
      <c r="AK66" s="3137" t="str">
        <f>Weight!C66</f>
        <v>Use of Advanced Information System</v>
      </c>
    </row>
    <row r="67" spans="2:37" s="1105" customFormat="1" ht="14.25" customHeight="1" thickBot="1">
      <c r="B67" s="2974"/>
      <c r="C67" s="936"/>
      <c r="D67" s="2043">
        <v>3</v>
      </c>
      <c r="E67" s="2941" t="s">
        <v>1595</v>
      </c>
      <c r="F67" s="2941"/>
      <c r="G67" s="2941"/>
      <c r="H67" s="2963"/>
      <c r="I67" s="3881">
        <f>'Q2'!G43</f>
        <v>0</v>
      </c>
      <c r="J67" s="3882"/>
      <c r="K67" s="3882"/>
      <c r="L67" s="3882"/>
      <c r="M67" s="3882"/>
      <c r="N67" s="3882"/>
      <c r="O67" s="3882"/>
      <c r="P67" s="3883"/>
      <c r="Q67" s="852">
        <f t="shared" si="2"/>
        <v>3</v>
      </c>
      <c r="R67" s="1195">
        <f t="shared" si="12"/>
        <v>0.33333333333333331</v>
      </c>
      <c r="S67" s="852">
        <f t="shared" si="3"/>
        <v>0</v>
      </c>
      <c r="T67" s="1195">
        <f t="shared" si="13"/>
        <v>0</v>
      </c>
      <c r="U67" s="1192"/>
      <c r="V67" s="2889"/>
      <c r="W67" s="583">
        <f>IF('Q2'!F37="対象外",0,'Q2'!F37)</f>
        <v>3</v>
      </c>
      <c r="X67" s="696"/>
      <c r="Z67" s="362">
        <f t="shared" si="18"/>
        <v>3</v>
      </c>
      <c r="AA67" s="580">
        <f>Weight!D67</f>
        <v>0.33333333333333331</v>
      </c>
      <c r="AB67" s="362">
        <f>IF(AC67=0,0,X67)</f>
        <v>0</v>
      </c>
      <c r="AC67" s="580">
        <f>Weight!E67</f>
        <v>0</v>
      </c>
      <c r="AD67" s="2922"/>
      <c r="AE67" s="689"/>
      <c r="AF67" s="355">
        <f>Weight!M67</f>
        <v>0.33333333333333331</v>
      </c>
      <c r="AG67" s="119"/>
      <c r="AH67" s="355">
        <f>Weight!N67</f>
        <v>0</v>
      </c>
      <c r="AI67" s="2014"/>
      <c r="AJ67" s="2014"/>
      <c r="AK67" s="3137" t="str">
        <f>Weight!C67</f>
        <v>Barrier-free Planning</v>
      </c>
    </row>
    <row r="68" spans="2:37" s="1105" customFormat="1" ht="14.25" customHeight="1" thickBot="1">
      <c r="B68" s="2974"/>
      <c r="C68" s="2939">
        <v>1.2</v>
      </c>
      <c r="D68" s="2940" t="s">
        <v>1596</v>
      </c>
      <c r="E68" s="2957"/>
      <c r="F68" s="2957"/>
      <c r="G68" s="2957"/>
      <c r="H68" s="2958"/>
      <c r="I68" s="2934"/>
      <c r="J68" s="2935"/>
      <c r="K68" s="2935"/>
      <c r="L68" s="2935"/>
      <c r="M68" s="2935"/>
      <c r="N68" s="2935"/>
      <c r="O68" s="2935"/>
      <c r="P68" s="2936"/>
      <c r="Q68" s="1210">
        <f t="shared" si="2"/>
        <v>3</v>
      </c>
      <c r="R68" s="1195">
        <f>AA68</f>
        <v>0.3</v>
      </c>
      <c r="S68" s="1196">
        <f t="shared" si="3"/>
        <v>0</v>
      </c>
      <c r="T68" s="1191">
        <f t="shared" si="13"/>
        <v>0</v>
      </c>
      <c r="U68" s="1192"/>
      <c r="V68" s="2889"/>
      <c r="W68" s="692"/>
      <c r="X68" s="692"/>
      <c r="Z68" s="359">
        <f>SUMPRODUCT(Z69:Z73,AA69:AA73)</f>
        <v>3</v>
      </c>
      <c r="AA68" s="580">
        <f>Weight!D68</f>
        <v>0.3</v>
      </c>
      <c r="AB68" s="359">
        <f>SUMPRODUCT(AB69:AB73,AC69:AC73)</f>
        <v>0</v>
      </c>
      <c r="AC68" s="580">
        <f>Weight!E68</f>
        <v>0</v>
      </c>
      <c r="AD68" s="2922"/>
      <c r="AE68" s="689"/>
      <c r="AF68" s="355">
        <f>Weight!M68</f>
        <v>0.3</v>
      </c>
      <c r="AG68" s="119"/>
      <c r="AH68" s="355">
        <f>Weight!N68</f>
        <v>0</v>
      </c>
      <c r="AI68" s="2937"/>
      <c r="AJ68" s="2937"/>
      <c r="AK68" s="3137" t="str">
        <f>Weight!C68</f>
        <v>Amenity</v>
      </c>
    </row>
    <row r="69" spans="2:37" s="1105" customFormat="1" ht="15">
      <c r="B69" s="2974"/>
      <c r="C69" s="810"/>
      <c r="D69" s="2043">
        <v>1</v>
      </c>
      <c r="E69" s="3142" t="s">
        <v>1597</v>
      </c>
      <c r="F69" s="2941"/>
      <c r="G69" s="2941"/>
      <c r="H69" s="2990"/>
      <c r="I69" s="3881">
        <f>'Q2'!G54</f>
        <v>0</v>
      </c>
      <c r="J69" s="3882"/>
      <c r="K69" s="3882"/>
      <c r="L69" s="3882"/>
      <c r="M69" s="3882"/>
      <c r="N69" s="3882"/>
      <c r="O69" s="3882"/>
      <c r="P69" s="3883"/>
      <c r="Q69" s="858">
        <f t="shared" si="2"/>
        <v>3</v>
      </c>
      <c r="R69" s="1195">
        <f t="shared" si="12"/>
        <v>0.33333333333333331</v>
      </c>
      <c r="S69" s="858">
        <f t="shared" si="3"/>
        <v>0</v>
      </c>
      <c r="T69" s="1195">
        <f t="shared" si="13"/>
        <v>0</v>
      </c>
      <c r="U69" s="1192"/>
      <c r="V69" s="2889"/>
      <c r="W69" s="581">
        <f>IF('Q2'!F48="対象外",0,'Q2'!F48)</f>
        <v>3</v>
      </c>
      <c r="X69" s="582">
        <f>'Q2'!M48</f>
        <v>3</v>
      </c>
      <c r="Z69" s="362">
        <f t="shared" ref="Z69:Z72" si="20">IF(AA69=0,0,W69)</f>
        <v>3</v>
      </c>
      <c r="AA69" s="580">
        <f>Weight!D69</f>
        <v>0.33333333333333331</v>
      </c>
      <c r="AB69" s="362">
        <f t="shared" ref="AB69:AB72" si="21">IF(AC69=0,0,X69)</f>
        <v>0</v>
      </c>
      <c r="AC69" s="580">
        <f>Weight!E69</f>
        <v>0</v>
      </c>
      <c r="AD69" s="2922"/>
      <c r="AE69" s="689"/>
      <c r="AF69" s="355">
        <f>Weight!M69</f>
        <v>0.33333333333333331</v>
      </c>
      <c r="AG69" s="119"/>
      <c r="AH69" s="355">
        <f>Weight!N69</f>
        <v>0</v>
      </c>
      <c r="AI69" s="2937"/>
      <c r="AJ69" s="2937"/>
      <c r="AK69" s="3137" t="str">
        <f>Weight!C69</f>
        <v>Perceived Spaciousness &amp; Access to View</v>
      </c>
    </row>
    <row r="70" spans="2:37" s="1105" customFormat="1" ht="15" hidden="1">
      <c r="B70" s="2974"/>
      <c r="C70" s="810"/>
      <c r="D70" s="2991"/>
      <c r="E70" s="2992"/>
      <c r="F70" s="2992"/>
      <c r="G70" s="2992"/>
      <c r="H70" s="2990" t="s">
        <v>3314</v>
      </c>
      <c r="I70" s="3881"/>
      <c r="J70" s="3882"/>
      <c r="K70" s="3882"/>
      <c r="L70" s="3882"/>
      <c r="M70" s="3882"/>
      <c r="N70" s="3882"/>
      <c r="O70" s="3882"/>
      <c r="P70" s="3883"/>
      <c r="Q70" s="772">
        <f t="shared" si="2"/>
        <v>0</v>
      </c>
      <c r="R70" s="1195">
        <f t="shared" si="12"/>
        <v>0</v>
      </c>
      <c r="S70" s="772">
        <f t="shared" si="3"/>
        <v>0</v>
      </c>
      <c r="T70" s="1195"/>
      <c r="U70" s="1192"/>
      <c r="V70" s="2889"/>
      <c r="W70" s="707">
        <v>100</v>
      </c>
      <c r="X70" s="586"/>
      <c r="Z70" s="362">
        <f t="shared" si="20"/>
        <v>0</v>
      </c>
      <c r="AA70" s="580">
        <f>Weight!D70</f>
        <v>0</v>
      </c>
      <c r="AB70" s="362">
        <f t="shared" si="21"/>
        <v>0</v>
      </c>
      <c r="AC70" s="580">
        <f>Weight!E70</f>
        <v>0</v>
      </c>
      <c r="AD70" s="2922"/>
      <c r="AE70" s="689"/>
      <c r="AF70" s="355">
        <f>Weight!M70</f>
        <v>0</v>
      </c>
      <c r="AG70" s="119"/>
      <c r="AH70" s="355">
        <f>Weight!N70</f>
        <v>0</v>
      </c>
      <c r="AI70" s="2937"/>
      <c r="AJ70" s="2937"/>
      <c r="AK70" s="3137">
        <f>Weight!C70</f>
        <v>0</v>
      </c>
    </row>
    <row r="71" spans="2:37" s="1105" customFormat="1" ht="15">
      <c r="B71" s="2974"/>
      <c r="C71" s="810"/>
      <c r="D71" s="2043">
        <v>2</v>
      </c>
      <c r="E71" s="2941" t="s">
        <v>1598</v>
      </c>
      <c r="F71" s="2941"/>
      <c r="G71" s="2941"/>
      <c r="H71" s="2963"/>
      <c r="I71" s="3881">
        <f>'Q2'!G64</f>
        <v>0</v>
      </c>
      <c r="J71" s="3882"/>
      <c r="K71" s="3882"/>
      <c r="L71" s="3882"/>
      <c r="M71" s="3882"/>
      <c r="N71" s="3882"/>
      <c r="O71" s="3882"/>
      <c r="P71" s="3883"/>
      <c r="Q71" s="772">
        <f t="shared" si="2"/>
        <v>3</v>
      </c>
      <c r="R71" s="1195">
        <f t="shared" si="12"/>
        <v>0.33333333333333331</v>
      </c>
      <c r="S71" s="772">
        <f t="shared" si="3"/>
        <v>0</v>
      </c>
      <c r="T71" s="1195">
        <f t="shared" si="13"/>
        <v>0</v>
      </c>
      <c r="U71" s="1192"/>
      <c r="V71" s="2889"/>
      <c r="W71" s="585">
        <f>IF('Q2'!F58="対象外",0,'Q2'!F58)</f>
        <v>3</v>
      </c>
      <c r="X71" s="586"/>
      <c r="Z71" s="362">
        <f t="shared" si="20"/>
        <v>3</v>
      </c>
      <c r="AA71" s="580">
        <f>Weight!D71</f>
        <v>0.33333333333333331</v>
      </c>
      <c r="AB71" s="362">
        <f t="shared" si="21"/>
        <v>0</v>
      </c>
      <c r="AC71" s="580">
        <f>Weight!E71</f>
        <v>0</v>
      </c>
      <c r="AD71" s="2922"/>
      <c r="AE71" s="689"/>
      <c r="AF71" s="355">
        <f>Weight!M71</f>
        <v>0.33333333333333331</v>
      </c>
      <c r="AG71" s="119"/>
      <c r="AH71" s="355">
        <f>Weight!N71</f>
        <v>0</v>
      </c>
      <c r="AI71" s="2937"/>
      <c r="AJ71" s="2937"/>
      <c r="AK71" s="3137" t="str">
        <f>Weight!C71</f>
        <v>Space for Refreshment</v>
      </c>
    </row>
    <row r="72" spans="2:37" s="1105" customFormat="1" ht="15.75" thickBot="1">
      <c r="B72" s="2974"/>
      <c r="C72" s="810"/>
      <c r="D72" s="2982">
        <v>3</v>
      </c>
      <c r="E72" s="2940" t="s">
        <v>1599</v>
      </c>
      <c r="F72" s="2940"/>
      <c r="G72" s="2940"/>
      <c r="H72" s="2963"/>
      <c r="I72" s="3881">
        <f>'Q2'!G74</f>
        <v>0</v>
      </c>
      <c r="J72" s="3882"/>
      <c r="K72" s="3882"/>
      <c r="L72" s="3882"/>
      <c r="M72" s="3882"/>
      <c r="N72" s="3882"/>
      <c r="O72" s="3882"/>
      <c r="P72" s="3883"/>
      <c r="Q72" s="772">
        <f t="shared" si="2"/>
        <v>3</v>
      </c>
      <c r="R72" s="1195">
        <f t="shared" si="12"/>
        <v>0.33333333333333331</v>
      </c>
      <c r="S72" s="772">
        <f t="shared" si="3"/>
        <v>0</v>
      </c>
      <c r="T72" s="1195">
        <f t="shared" si="13"/>
        <v>0</v>
      </c>
      <c r="U72" s="1192"/>
      <c r="V72" s="2889"/>
      <c r="W72" s="585">
        <f>IF('Q2'!F68="対象外",0,'Q2'!F68)</f>
        <v>3</v>
      </c>
      <c r="X72" s="586">
        <f>'Q2'!K68</f>
        <v>1</v>
      </c>
      <c r="Z72" s="362">
        <f t="shared" si="20"/>
        <v>3</v>
      </c>
      <c r="AA72" s="580">
        <f>Weight!D72</f>
        <v>0.33333333333333331</v>
      </c>
      <c r="AB72" s="362">
        <f t="shared" si="21"/>
        <v>0</v>
      </c>
      <c r="AC72" s="580">
        <f>Weight!E72</f>
        <v>0</v>
      </c>
      <c r="AD72" s="2922"/>
      <c r="AE72" s="689"/>
      <c r="AF72" s="355">
        <f>Weight!M72</f>
        <v>0.33333333333333331</v>
      </c>
      <c r="AG72" s="119"/>
      <c r="AH72" s="355">
        <f>Weight!N72</f>
        <v>0</v>
      </c>
      <c r="AI72" s="2937"/>
      <c r="AJ72" s="2937"/>
      <c r="AK72" s="3137" t="str">
        <f>Weight!C72</f>
        <v>Décor Planning</v>
      </c>
    </row>
    <row r="73" spans="2:37" s="1105" customFormat="1" ht="15.75" hidden="1" thickBot="1">
      <c r="B73" s="2974"/>
      <c r="C73" s="810"/>
      <c r="D73" s="2993"/>
      <c r="E73" s="2994"/>
      <c r="F73" s="2995"/>
      <c r="G73" s="2995"/>
      <c r="H73" s="2958"/>
      <c r="I73" s="3881"/>
      <c r="J73" s="3882"/>
      <c r="K73" s="3882"/>
      <c r="L73" s="3882"/>
      <c r="M73" s="3882"/>
      <c r="N73" s="3882"/>
      <c r="O73" s="3882"/>
      <c r="P73" s="3883"/>
      <c r="Q73" s="852">
        <f t="shared" si="2"/>
        <v>100</v>
      </c>
      <c r="R73" s="1195">
        <f t="shared" si="12"/>
        <v>0</v>
      </c>
      <c r="S73" s="852">
        <f t="shared" si="3"/>
        <v>0</v>
      </c>
      <c r="T73" s="1195"/>
      <c r="U73" s="1192"/>
      <c r="V73" s="2889"/>
      <c r="W73" s="708">
        <v>100</v>
      </c>
      <c r="X73" s="584"/>
      <c r="Z73" s="362">
        <f>IF($Z$3=4,#REF!,W73)</f>
        <v>100</v>
      </c>
      <c r="AA73" s="580">
        <f>Weight!D73</f>
        <v>0</v>
      </c>
      <c r="AB73" s="362">
        <f>IF($Z$3=4,#REF!,X73)</f>
        <v>0</v>
      </c>
      <c r="AC73" s="580">
        <f>Weight!E73</f>
        <v>0</v>
      </c>
      <c r="AD73" s="2922"/>
      <c r="AE73" s="689"/>
      <c r="AF73" s="355">
        <f>Weight!M73</f>
        <v>0</v>
      </c>
      <c r="AG73" s="119"/>
      <c r="AH73" s="355">
        <f>Weight!N73</f>
        <v>0</v>
      </c>
      <c r="AI73" s="2937"/>
      <c r="AJ73" s="2937"/>
      <c r="AK73" s="3137">
        <f>Weight!C73</f>
        <v>0</v>
      </c>
    </row>
    <row r="74" spans="2:37" s="1105" customFormat="1" ht="15.75" thickBot="1">
      <c r="B74" s="2996"/>
      <c r="C74" s="2939">
        <v>1.3</v>
      </c>
      <c r="D74" s="2940" t="s">
        <v>1600</v>
      </c>
      <c r="E74" s="2957"/>
      <c r="F74" s="2957"/>
      <c r="G74" s="2957"/>
      <c r="H74" s="2958"/>
      <c r="I74" s="2934"/>
      <c r="J74" s="2935"/>
      <c r="K74" s="2935"/>
      <c r="L74" s="2935"/>
      <c r="M74" s="2935"/>
      <c r="N74" s="2935"/>
      <c r="O74" s="2935"/>
      <c r="P74" s="2936"/>
      <c r="Q74" s="1196">
        <f t="shared" si="2"/>
        <v>3</v>
      </c>
      <c r="R74" s="1195">
        <f>AA74</f>
        <v>0.3</v>
      </c>
      <c r="S74" s="1219">
        <f t="shared" si="3"/>
        <v>0</v>
      </c>
      <c r="T74" s="1195">
        <f>AC74</f>
        <v>0</v>
      </c>
      <c r="U74" s="1192"/>
      <c r="V74" s="2889"/>
      <c r="W74" s="693"/>
      <c r="X74" s="693"/>
      <c r="Z74" s="359">
        <f>SUMPRODUCT(Z75:Z77,AA75:AA77)</f>
        <v>3</v>
      </c>
      <c r="AA74" s="580">
        <f>Weight!D74</f>
        <v>0.3</v>
      </c>
      <c r="AB74" s="359">
        <f>SUMPRODUCT(AB75:AB77,AC75:AC77)</f>
        <v>0</v>
      </c>
      <c r="AC74" s="580">
        <f>Weight!E74</f>
        <v>0</v>
      </c>
      <c r="AD74" s="2922"/>
      <c r="AE74" s="689"/>
      <c r="AF74" s="355">
        <f>Weight!M74</f>
        <v>0.3</v>
      </c>
      <c r="AG74" s="119"/>
      <c r="AH74" s="355">
        <f>Weight!N74</f>
        <v>0</v>
      </c>
      <c r="AI74" s="2937"/>
      <c r="AJ74" s="2937"/>
      <c r="AK74" s="3137" t="str">
        <f>Weight!C74</f>
        <v>Maintenance Management</v>
      </c>
    </row>
    <row r="75" spans="2:37" s="1105" customFormat="1" ht="19.899999999999999" customHeight="1">
      <c r="B75" s="2996"/>
      <c r="C75" s="810"/>
      <c r="D75" s="2043">
        <v>1</v>
      </c>
      <c r="E75" s="3876" t="s">
        <v>3376</v>
      </c>
      <c r="F75" s="3877"/>
      <c r="G75" s="3877"/>
      <c r="H75" s="3878"/>
      <c r="I75" s="3881">
        <f>'Q2'!G92</f>
        <v>0</v>
      </c>
      <c r="J75" s="3882"/>
      <c r="K75" s="3882"/>
      <c r="L75" s="3882"/>
      <c r="M75" s="3882"/>
      <c r="N75" s="3882"/>
      <c r="O75" s="3882"/>
      <c r="P75" s="3883"/>
      <c r="Q75" s="858">
        <f t="shared" ref="Q75:Q137" si="22">ROUNDDOWN(Z75,1)</f>
        <v>3</v>
      </c>
      <c r="R75" s="1195">
        <f t="shared" si="12"/>
        <v>0.5</v>
      </c>
      <c r="S75" s="858">
        <f t="shared" ref="S75:S138" si="23">ROUNDDOWN(AB75,1)</f>
        <v>0</v>
      </c>
      <c r="T75" s="1195">
        <f t="shared" si="13"/>
        <v>0</v>
      </c>
      <c r="U75" s="1192"/>
      <c r="V75" s="2889"/>
      <c r="W75" s="587">
        <f>IF('Q2'!F86="対象外",0,'Q2'!F86)</f>
        <v>3</v>
      </c>
      <c r="X75" s="691"/>
      <c r="Z75" s="362">
        <f t="shared" ref="Z75:Z76" si="24">IF(AA75=0,0,W75)</f>
        <v>3</v>
      </c>
      <c r="AA75" s="580">
        <f>Weight!D75</f>
        <v>0.5</v>
      </c>
      <c r="AB75" s="362">
        <f t="shared" ref="AB75:AB76" si="25">IF(AC75=0,0,X75)</f>
        <v>0</v>
      </c>
      <c r="AC75" s="580">
        <f>Weight!E75</f>
        <v>0</v>
      </c>
      <c r="AD75" s="2922"/>
      <c r="AE75" s="689"/>
      <c r="AF75" s="355">
        <f>Weight!M75</f>
        <v>0.5</v>
      </c>
      <c r="AG75" s="119"/>
      <c r="AH75" s="355">
        <f>Weight!N75</f>
        <v>0</v>
      </c>
      <c r="AI75" s="2014"/>
      <c r="AJ75" s="2937"/>
      <c r="AK75" s="3137" t="str">
        <f>Weight!C75</f>
        <v>Design that Considers Maintenance Management</v>
      </c>
    </row>
    <row r="76" spans="2:37" s="1105" customFormat="1" ht="14.25" customHeight="1" thickBot="1">
      <c r="B76" s="2974"/>
      <c r="C76" s="810"/>
      <c r="D76" s="2043">
        <v>2</v>
      </c>
      <c r="E76" s="3138" t="s">
        <v>1601</v>
      </c>
      <c r="F76" s="2941"/>
      <c r="G76" s="2941"/>
      <c r="H76" s="2963"/>
      <c r="I76" s="3881">
        <f>'Q2'!G138</f>
        <v>0</v>
      </c>
      <c r="J76" s="3882"/>
      <c r="K76" s="3882"/>
      <c r="L76" s="3882"/>
      <c r="M76" s="3882"/>
      <c r="N76" s="3882"/>
      <c r="O76" s="3882"/>
      <c r="P76" s="3883"/>
      <c r="Q76" s="772">
        <f t="shared" si="22"/>
        <v>3</v>
      </c>
      <c r="R76" s="1195">
        <f t="shared" si="12"/>
        <v>0.5</v>
      </c>
      <c r="S76" s="772">
        <f t="shared" si="23"/>
        <v>0</v>
      </c>
      <c r="T76" s="1195">
        <f t="shared" si="13"/>
        <v>0</v>
      </c>
      <c r="U76" s="1192"/>
      <c r="V76" s="2889"/>
      <c r="W76" s="365">
        <f>IF('Q2'!F132="対象外",0,'Q2'!F132)</f>
        <v>3</v>
      </c>
      <c r="X76" s="691"/>
      <c r="Z76" s="362">
        <f t="shared" si="24"/>
        <v>3</v>
      </c>
      <c r="AA76" s="580">
        <f>Weight!D76</f>
        <v>0.5</v>
      </c>
      <c r="AB76" s="362">
        <f t="shared" si="25"/>
        <v>0</v>
      </c>
      <c r="AC76" s="580">
        <f>Weight!E76</f>
        <v>0</v>
      </c>
      <c r="AD76" s="2922"/>
      <c r="AE76" s="689"/>
      <c r="AF76" s="355">
        <f>Weight!M76</f>
        <v>0.5</v>
      </c>
      <c r="AG76" s="119"/>
      <c r="AH76" s="355">
        <f>Weight!N76</f>
        <v>0</v>
      </c>
      <c r="AI76" s="2937"/>
      <c r="AJ76" s="2937"/>
      <c r="AK76" s="3137" t="str">
        <f>Weight!C76</f>
        <v>Securing Maintenance Management Functions</v>
      </c>
    </row>
    <row r="77" spans="2:37" s="1105" customFormat="1" ht="14.25" hidden="1" customHeight="1" thickBot="1">
      <c r="B77" s="2974"/>
      <c r="C77" s="936"/>
      <c r="D77" s="2967">
        <v>3</v>
      </c>
      <c r="E77" s="2966"/>
      <c r="F77" s="2966"/>
      <c r="G77" s="2966"/>
      <c r="H77" s="2968"/>
      <c r="I77" s="3881">
        <f>'Q2'!G190</f>
        <v>0</v>
      </c>
      <c r="J77" s="3882"/>
      <c r="K77" s="3882"/>
      <c r="L77" s="3882"/>
      <c r="M77" s="3882"/>
      <c r="N77" s="3882"/>
      <c r="O77" s="3882"/>
      <c r="P77" s="3883"/>
      <c r="Q77" s="852">
        <f t="shared" si="22"/>
        <v>3</v>
      </c>
      <c r="R77" s="1195">
        <f t="shared" si="12"/>
        <v>0</v>
      </c>
      <c r="S77" s="852">
        <f t="shared" si="23"/>
        <v>0</v>
      </c>
      <c r="T77" s="1195">
        <f t="shared" si="13"/>
        <v>0</v>
      </c>
      <c r="U77" s="1192"/>
      <c r="V77" s="2889"/>
      <c r="W77" s="588">
        <f>'Q2'!F184</f>
        <v>3</v>
      </c>
      <c r="X77" s="691"/>
      <c r="Z77" s="362">
        <f>IF($Z$3=4,#REF!,W77)</f>
        <v>3</v>
      </c>
      <c r="AA77" s="580">
        <f>Weight!D77</f>
        <v>0</v>
      </c>
      <c r="AB77" s="362">
        <f>IF($Z$3=4,#REF!,X77)</f>
        <v>0</v>
      </c>
      <c r="AC77" s="580">
        <f>Weight!E77</f>
        <v>0</v>
      </c>
      <c r="AD77" s="2922"/>
      <c r="AE77" s="689"/>
      <c r="AF77" s="355">
        <f>Weight!M77</f>
        <v>0</v>
      </c>
      <c r="AG77" s="119"/>
      <c r="AH77" s="355">
        <f>Weight!N77</f>
        <v>0</v>
      </c>
      <c r="AI77" s="2937"/>
      <c r="AJ77" s="2937"/>
      <c r="AK77" s="3137" t="str">
        <f>Weight!C77</f>
        <v>Sanitation management operations</v>
      </c>
    </row>
    <row r="78" spans="2:37" s="1105" customFormat="1" ht="14.25" customHeight="1">
      <c r="B78" s="2954">
        <v>2</v>
      </c>
      <c r="C78" s="2955" t="s">
        <v>1602</v>
      </c>
      <c r="D78" s="2956"/>
      <c r="E78" s="2956"/>
      <c r="F78" s="2956"/>
      <c r="G78" s="2956"/>
      <c r="H78" s="2958"/>
      <c r="I78" s="2971"/>
      <c r="J78" s="2972"/>
      <c r="K78" s="2972"/>
      <c r="L78" s="2972"/>
      <c r="M78" s="2972"/>
      <c r="N78" s="2972"/>
      <c r="O78" s="2972"/>
      <c r="P78" s="2973"/>
      <c r="Q78" s="1209">
        <f t="shared" si="22"/>
        <v>3</v>
      </c>
      <c r="R78" s="1198">
        <f t="shared" si="12"/>
        <v>0.3</v>
      </c>
      <c r="S78" s="1209">
        <f t="shared" si="23"/>
        <v>0</v>
      </c>
      <c r="T78" s="1200">
        <f t="shared" si="13"/>
        <v>0</v>
      </c>
      <c r="U78" s="1201">
        <f>ROUNDDOWN(AD78,1)</f>
        <v>3</v>
      </c>
      <c r="V78" s="2889"/>
      <c r="W78" s="693"/>
      <c r="X78" s="691"/>
      <c r="Z78" s="685">
        <f>Z79*AA79+Z82*AA82+Z89*AA89+Z93*AA93</f>
        <v>3.0000000000000004</v>
      </c>
      <c r="AA78" s="580">
        <f>Weight!D78</f>
        <v>0.3</v>
      </c>
      <c r="AB78" s="685">
        <f>AB79*AC79+AB82*AC82+AB89*AC89+AB93*AC93</f>
        <v>0</v>
      </c>
      <c r="AC78" s="360">
        <f>SUM(AC79,AC82,AC89,AC93)</f>
        <v>0</v>
      </c>
      <c r="AD78" s="2922">
        <f>IF(AB78=0,Z78,IF(Z78=0,AB78,Z78*AF$6+AB78*AH$6))</f>
        <v>3.0000000000000004</v>
      </c>
      <c r="AE78" s="689"/>
      <c r="AF78" s="355">
        <f>Weight!M78</f>
        <v>0.3</v>
      </c>
      <c r="AG78" s="119"/>
      <c r="AH78" s="360">
        <f>SUM(AH79,AH82,AH89,AH93)</f>
        <v>0</v>
      </c>
      <c r="AI78" s="2937"/>
      <c r="AJ78" s="2937"/>
      <c r="AK78" s="3137" t="str">
        <f>Weight!C78</f>
        <v>Durability &amp; Reliability</v>
      </c>
    </row>
    <row r="79" spans="2:37" s="1105" customFormat="1" ht="14.25" customHeight="1" thickBot="1">
      <c r="B79" s="2974"/>
      <c r="C79" s="2939">
        <v>2.1</v>
      </c>
      <c r="D79" s="2962" t="s">
        <v>3377</v>
      </c>
      <c r="E79" s="2957"/>
      <c r="F79" s="2957"/>
      <c r="G79" s="2957"/>
      <c r="H79" s="2958"/>
      <c r="I79" s="2971"/>
      <c r="J79" s="2972"/>
      <c r="K79" s="2972"/>
      <c r="L79" s="2972"/>
      <c r="M79" s="2972"/>
      <c r="N79" s="2972"/>
      <c r="O79" s="2972"/>
      <c r="P79" s="2973"/>
      <c r="Q79" s="1210">
        <f t="shared" si="22"/>
        <v>3</v>
      </c>
      <c r="R79" s="1190">
        <f t="shared" si="12"/>
        <v>0.5</v>
      </c>
      <c r="S79" s="1220">
        <f t="shared" si="23"/>
        <v>0</v>
      </c>
      <c r="T79" s="1191">
        <f t="shared" si="13"/>
        <v>0</v>
      </c>
      <c r="U79" s="1192"/>
      <c r="V79" s="2889"/>
      <c r="W79" s="366"/>
      <c r="X79" s="691"/>
      <c r="Z79" s="359">
        <f>SUMPRODUCT(Z80:Z81,AA80:AA81)</f>
        <v>3.0000000000000004</v>
      </c>
      <c r="AA79" s="580">
        <f>Weight!D79</f>
        <v>0.5</v>
      </c>
      <c r="AB79" s="359">
        <f>SUMPRODUCT(AB80:AB81,AC80:AC81)</f>
        <v>0</v>
      </c>
      <c r="AC79" s="580">
        <f>Weight!E79</f>
        <v>0</v>
      </c>
      <c r="AD79" s="2922"/>
      <c r="AE79" s="689"/>
      <c r="AF79" s="355">
        <f>Weight!M79</f>
        <v>0.5</v>
      </c>
      <c r="AG79" s="119"/>
      <c r="AH79" s="355">
        <f>Weight!N79</f>
        <v>0</v>
      </c>
      <c r="AI79" s="2937"/>
      <c r="AJ79" s="2937"/>
      <c r="AK79" s="3137" t="str">
        <f>Weight!C79</f>
        <v>Earthquake Resistance, Seismic Isolation, Seismic Control, &amp; Vibration Control</v>
      </c>
    </row>
    <row r="80" spans="2:37" s="1105" customFormat="1" ht="14.25" customHeight="1">
      <c r="B80" s="2974"/>
      <c r="C80" s="728"/>
      <c r="D80" s="2043">
        <v>1</v>
      </c>
      <c r="E80" s="2941" t="s">
        <v>1603</v>
      </c>
      <c r="F80" s="2941"/>
      <c r="G80" s="2941"/>
      <c r="H80" s="2963"/>
      <c r="I80" s="3881">
        <f>'Q2'!G214</f>
        <v>0</v>
      </c>
      <c r="J80" s="3882"/>
      <c r="K80" s="3882"/>
      <c r="L80" s="3882"/>
      <c r="M80" s="3882"/>
      <c r="N80" s="3882"/>
      <c r="O80" s="3882"/>
      <c r="P80" s="3883"/>
      <c r="Q80" s="858">
        <f t="shared" si="22"/>
        <v>3</v>
      </c>
      <c r="R80" s="1221">
        <f t="shared" ref="R80:R109" si="26">AA80</f>
        <v>0.8</v>
      </c>
      <c r="S80" s="1222">
        <f t="shared" si="23"/>
        <v>0</v>
      </c>
      <c r="T80" s="1191">
        <f t="shared" ref="T80:T109" si="27">AC80</f>
        <v>0</v>
      </c>
      <c r="U80" s="1192"/>
      <c r="V80" s="2889"/>
      <c r="W80" s="365">
        <f>IF('Q2'!F208="対象外",0,'Q2'!F208)</f>
        <v>3</v>
      </c>
      <c r="X80" s="691"/>
      <c r="Z80" s="362">
        <f t="shared" ref="Z80:Z81" si="28">IF(AA80=0,0,W80)</f>
        <v>3</v>
      </c>
      <c r="AA80" s="580">
        <f>Weight!D80</f>
        <v>0.8</v>
      </c>
      <c r="AB80" s="362">
        <f t="shared" ref="AB80:AB81" si="29">IF(AC80=0,0,X80)</f>
        <v>0</v>
      </c>
      <c r="AC80" s="580">
        <f>Weight!E80</f>
        <v>0</v>
      </c>
      <c r="AD80" s="2922"/>
      <c r="AE80" s="689"/>
      <c r="AF80" s="355">
        <f>Weight!M80</f>
        <v>0.8</v>
      </c>
      <c r="AG80" s="119"/>
      <c r="AH80" s="355">
        <f>Weight!N80</f>
        <v>0</v>
      </c>
      <c r="AI80" s="2937"/>
      <c r="AJ80" s="2937"/>
      <c r="AK80" s="3137" t="str">
        <f>Weight!C80</f>
        <v>Earthquake-resistance</v>
      </c>
    </row>
    <row r="81" spans="2:37" s="1105" customFormat="1" ht="14.25" customHeight="1" thickBot="1">
      <c r="B81" s="2974"/>
      <c r="C81" s="776"/>
      <c r="D81" s="2043">
        <v>2</v>
      </c>
      <c r="E81" s="3138" t="s">
        <v>3378</v>
      </c>
      <c r="F81" s="2941"/>
      <c r="G81" s="2941"/>
      <c r="H81" s="2963"/>
      <c r="I81" s="3881">
        <f>'Q2'!L214</f>
        <v>0</v>
      </c>
      <c r="J81" s="3882"/>
      <c r="K81" s="3882"/>
      <c r="L81" s="3882"/>
      <c r="M81" s="3882"/>
      <c r="N81" s="3882"/>
      <c r="O81" s="3882"/>
      <c r="P81" s="3883"/>
      <c r="Q81" s="852">
        <f t="shared" si="22"/>
        <v>3</v>
      </c>
      <c r="R81" s="1221">
        <f t="shared" si="26"/>
        <v>0.2</v>
      </c>
      <c r="S81" s="1222">
        <f t="shared" si="23"/>
        <v>0</v>
      </c>
      <c r="T81" s="1191">
        <f t="shared" si="27"/>
        <v>0</v>
      </c>
      <c r="U81" s="1192"/>
      <c r="V81" s="2889"/>
      <c r="W81" s="365">
        <f>IF('Q2'!K208="対象外",0,'Q2'!K208)</f>
        <v>3</v>
      </c>
      <c r="X81" s="691"/>
      <c r="Z81" s="362">
        <f t="shared" si="28"/>
        <v>3</v>
      </c>
      <c r="AA81" s="580">
        <f>Weight!D81</f>
        <v>0.2</v>
      </c>
      <c r="AB81" s="362">
        <f t="shared" si="29"/>
        <v>0</v>
      </c>
      <c r="AC81" s="580">
        <f>Weight!E81</f>
        <v>0</v>
      </c>
      <c r="AD81" s="2922"/>
      <c r="AE81" s="689"/>
      <c r="AF81" s="355">
        <f>Weight!M81</f>
        <v>0.2</v>
      </c>
      <c r="AG81" s="119"/>
      <c r="AH81" s="355">
        <f>Weight!N81</f>
        <v>0</v>
      </c>
      <c r="AI81" s="2937"/>
      <c r="AJ81" s="2937"/>
      <c r="AK81" s="3137" t="str">
        <f>Weight!C81</f>
        <v>Seismic Isolation, Seismic &amp; Vibration Control</v>
      </c>
    </row>
    <row r="82" spans="2:37" s="1105" customFormat="1" ht="14.25" customHeight="1" thickBot="1">
      <c r="B82" s="2974"/>
      <c r="C82" s="2951">
        <v>2.2000000000000002</v>
      </c>
      <c r="D82" s="2962" t="s">
        <v>1604</v>
      </c>
      <c r="E82" s="2957"/>
      <c r="F82" s="2957"/>
      <c r="G82" s="2957"/>
      <c r="H82" s="2958"/>
      <c r="I82" s="2934"/>
      <c r="J82" s="2935"/>
      <c r="K82" s="2935"/>
      <c r="L82" s="2935"/>
      <c r="M82" s="2935"/>
      <c r="N82" s="2935"/>
      <c r="O82" s="2935"/>
      <c r="P82" s="2936"/>
      <c r="Q82" s="1210">
        <f t="shared" si="22"/>
        <v>3</v>
      </c>
      <c r="R82" s="1190">
        <f>AA82</f>
        <v>0.3</v>
      </c>
      <c r="S82" s="1220">
        <f t="shared" si="23"/>
        <v>0</v>
      </c>
      <c r="T82" s="1191">
        <f t="shared" si="27"/>
        <v>0</v>
      </c>
      <c r="U82" s="1192"/>
      <c r="V82" s="2889"/>
      <c r="W82" s="367"/>
      <c r="X82" s="691"/>
      <c r="Z82" s="359">
        <f>SUMPRODUCT(Z83:Z88,AA83:AA88)</f>
        <v>3.0000000000000004</v>
      </c>
      <c r="AA82" s="580">
        <f>Weight!D82</f>
        <v>0.3</v>
      </c>
      <c r="AB82" s="359">
        <f>SUMPRODUCT(AB83:AB88,AC83:AC88)</f>
        <v>0</v>
      </c>
      <c r="AC82" s="580">
        <f>Weight!E82</f>
        <v>0</v>
      </c>
      <c r="AD82" s="2922"/>
      <c r="AE82" s="689"/>
      <c r="AF82" s="355">
        <f>Weight!M82</f>
        <v>0.3</v>
      </c>
      <c r="AG82" s="119"/>
      <c r="AH82" s="355">
        <f>Weight!N82</f>
        <v>0</v>
      </c>
      <c r="AI82" s="2937"/>
      <c r="AJ82" s="2937"/>
      <c r="AK82" s="3137" t="str">
        <f>Weight!C82</f>
        <v>Service Life of Components</v>
      </c>
    </row>
    <row r="83" spans="2:37" s="1105" customFormat="1" ht="14.25" customHeight="1">
      <c r="B83" s="2974"/>
      <c r="C83" s="728"/>
      <c r="D83" s="2043">
        <v>1</v>
      </c>
      <c r="E83" s="2591" t="s">
        <v>3381</v>
      </c>
      <c r="F83" s="2941"/>
      <c r="G83" s="2941"/>
      <c r="H83" s="2963"/>
      <c r="I83" s="3881">
        <f>'Q2'!G225</f>
        <v>0</v>
      </c>
      <c r="J83" s="3882"/>
      <c r="K83" s="3882"/>
      <c r="L83" s="3882"/>
      <c r="M83" s="3882"/>
      <c r="N83" s="3882"/>
      <c r="O83" s="3882"/>
      <c r="P83" s="3883"/>
      <c r="Q83" s="858">
        <f t="shared" si="22"/>
        <v>3</v>
      </c>
      <c r="R83" s="1221">
        <f t="shared" si="26"/>
        <v>0.2</v>
      </c>
      <c r="S83" s="1222">
        <f t="shared" si="23"/>
        <v>0</v>
      </c>
      <c r="T83" s="1191">
        <f t="shared" si="27"/>
        <v>0</v>
      </c>
      <c r="U83" s="1192"/>
      <c r="V83" s="2889"/>
      <c r="W83" s="587">
        <f>IF('Q2'!F219="対象外",0,'Q2'!F219)</f>
        <v>3</v>
      </c>
      <c r="X83" s="691"/>
      <c r="Z83" s="362">
        <f t="shared" ref="Z83:Z88" si="30">IF(AA83=0,0,W83)</f>
        <v>3</v>
      </c>
      <c r="AA83" s="580">
        <f>Weight!D83</f>
        <v>0.2</v>
      </c>
      <c r="AB83" s="362">
        <f t="shared" ref="AB83:AB88" si="31">IF(AC83=0,0,X83)</f>
        <v>0</v>
      </c>
      <c r="AC83" s="580">
        <f>Weight!E83</f>
        <v>0</v>
      </c>
      <c r="AD83" s="2922"/>
      <c r="AE83" s="689"/>
      <c r="AF83" s="355">
        <f>Weight!M83</f>
        <v>0.2</v>
      </c>
      <c r="AG83" s="119"/>
      <c r="AH83" s="355">
        <f>Weight!N83</f>
        <v>0</v>
      </c>
      <c r="AI83" s="2937"/>
      <c r="AJ83" s="2937"/>
      <c r="AK83" s="3137" t="str">
        <f>Weight!C83</f>
        <v>Service Life of Structural Materials</v>
      </c>
    </row>
    <row r="84" spans="2:37" s="1105" customFormat="1" ht="19.899999999999999" customHeight="1">
      <c r="B84" s="2974"/>
      <c r="C84" s="728"/>
      <c r="D84" s="2043">
        <v>2</v>
      </c>
      <c r="E84" s="3876" t="s">
        <v>1605</v>
      </c>
      <c r="F84" s="3877"/>
      <c r="G84" s="3877"/>
      <c r="H84" s="3878"/>
      <c r="I84" s="3881">
        <f>'Q2'!L225</f>
        <v>0</v>
      </c>
      <c r="J84" s="3882"/>
      <c r="K84" s="3882"/>
      <c r="L84" s="3882"/>
      <c r="M84" s="3882"/>
      <c r="N84" s="3882"/>
      <c r="O84" s="3882"/>
      <c r="P84" s="3883"/>
      <c r="Q84" s="772">
        <f t="shared" si="22"/>
        <v>3</v>
      </c>
      <c r="R84" s="1221">
        <f t="shared" si="26"/>
        <v>0.2</v>
      </c>
      <c r="S84" s="1222">
        <f t="shared" si="23"/>
        <v>0</v>
      </c>
      <c r="T84" s="1191">
        <f t="shared" si="27"/>
        <v>0</v>
      </c>
      <c r="U84" s="1192"/>
      <c r="V84" s="2889"/>
      <c r="W84" s="365">
        <f>IF('Q2'!K219="対象外",0,'Q2'!K219)</f>
        <v>3</v>
      </c>
      <c r="X84" s="691"/>
      <c r="Z84" s="362">
        <f t="shared" si="30"/>
        <v>3</v>
      </c>
      <c r="AA84" s="580">
        <f>Weight!D84</f>
        <v>0.2</v>
      </c>
      <c r="AB84" s="362">
        <f t="shared" si="31"/>
        <v>0</v>
      </c>
      <c r="AC84" s="580">
        <f>Weight!E84</f>
        <v>0</v>
      </c>
      <c r="AD84" s="2922"/>
      <c r="AE84" s="689"/>
      <c r="AF84" s="355">
        <f>Weight!M84</f>
        <v>0.2</v>
      </c>
      <c r="AG84" s="119"/>
      <c r="AH84" s="355">
        <f>Weight!N84</f>
        <v>0</v>
      </c>
      <c r="AI84" s="2937"/>
      <c r="AJ84" s="2937"/>
      <c r="AK84" s="3137" t="str">
        <f>Weight!C84</f>
        <v>Necessary Refurbishment Interval for Exterior Finishes</v>
      </c>
    </row>
    <row r="85" spans="2:37" s="1105" customFormat="1" ht="19.899999999999999" customHeight="1">
      <c r="B85" s="2974"/>
      <c r="C85" s="728"/>
      <c r="D85" s="2043">
        <v>3</v>
      </c>
      <c r="E85" s="3876" t="s">
        <v>1606</v>
      </c>
      <c r="F85" s="3877"/>
      <c r="G85" s="3877"/>
      <c r="H85" s="3878"/>
      <c r="I85" s="3881">
        <f>'Q2'!G236</f>
        <v>0</v>
      </c>
      <c r="J85" s="3882"/>
      <c r="K85" s="3882"/>
      <c r="L85" s="3882"/>
      <c r="M85" s="3882"/>
      <c r="N85" s="3882"/>
      <c r="O85" s="3882"/>
      <c r="P85" s="3883"/>
      <c r="Q85" s="772">
        <f t="shared" si="22"/>
        <v>3</v>
      </c>
      <c r="R85" s="1221">
        <f t="shared" si="26"/>
        <v>0.1</v>
      </c>
      <c r="S85" s="1222">
        <f t="shared" si="23"/>
        <v>0</v>
      </c>
      <c r="T85" s="1191">
        <f t="shared" si="27"/>
        <v>0</v>
      </c>
      <c r="U85" s="1192"/>
      <c r="V85" s="2889"/>
      <c r="W85" s="365">
        <f>IF('Q2'!F230="対象外",0,'Q2'!F230)</f>
        <v>3</v>
      </c>
      <c r="X85" s="691"/>
      <c r="Z85" s="362">
        <f t="shared" si="30"/>
        <v>3</v>
      </c>
      <c r="AA85" s="580">
        <f>Weight!D85</f>
        <v>0.1</v>
      </c>
      <c r="AB85" s="362">
        <f t="shared" si="31"/>
        <v>0</v>
      </c>
      <c r="AC85" s="580">
        <f>Weight!E85</f>
        <v>0</v>
      </c>
      <c r="AD85" s="2922"/>
      <c r="AE85" s="689"/>
      <c r="AF85" s="355">
        <f>Weight!M85</f>
        <v>0.1</v>
      </c>
      <c r="AG85" s="119"/>
      <c r="AH85" s="355">
        <f>Weight!N85</f>
        <v>0</v>
      </c>
      <c r="AI85" s="2937"/>
      <c r="AJ85" s="2937"/>
      <c r="AK85" s="3137" t="str">
        <f>Weight!C85</f>
        <v>Necessary Renewal Interval for Main Interior Finishes</v>
      </c>
    </row>
    <row r="86" spans="2:37" s="1105" customFormat="1" ht="19.899999999999999" customHeight="1">
      <c r="B86" s="2974"/>
      <c r="C86" s="728"/>
      <c r="D86" s="2043">
        <v>4</v>
      </c>
      <c r="E86" s="3876" t="s">
        <v>3332</v>
      </c>
      <c r="F86" s="3877"/>
      <c r="G86" s="3877"/>
      <c r="H86" s="3878"/>
      <c r="I86" s="3881">
        <f>'Q2'!L236</f>
        <v>0</v>
      </c>
      <c r="J86" s="3882"/>
      <c r="K86" s="3882"/>
      <c r="L86" s="3882"/>
      <c r="M86" s="3882"/>
      <c r="N86" s="3882"/>
      <c r="O86" s="3882"/>
      <c r="P86" s="3883"/>
      <c r="Q86" s="772">
        <f t="shared" si="22"/>
        <v>3</v>
      </c>
      <c r="R86" s="1221">
        <f t="shared" si="26"/>
        <v>0.1</v>
      </c>
      <c r="S86" s="1222">
        <f t="shared" si="23"/>
        <v>0</v>
      </c>
      <c r="T86" s="1191">
        <f t="shared" si="27"/>
        <v>0</v>
      </c>
      <c r="U86" s="1192"/>
      <c r="V86" s="2889"/>
      <c r="W86" s="365">
        <f>IF('Q2'!K230="対象外",0,'Q2'!K230)</f>
        <v>3</v>
      </c>
      <c r="X86" s="691"/>
      <c r="Z86" s="362">
        <f t="shared" si="30"/>
        <v>3</v>
      </c>
      <c r="AA86" s="580">
        <f>Weight!D86</f>
        <v>0.1</v>
      </c>
      <c r="AB86" s="362">
        <f t="shared" si="31"/>
        <v>0</v>
      </c>
      <c r="AC86" s="580">
        <f>Weight!E86</f>
        <v>0</v>
      </c>
      <c r="AD86" s="2922"/>
      <c r="AE86" s="689"/>
      <c r="AF86" s="355">
        <f>Weight!M86</f>
        <v>0.1</v>
      </c>
      <c r="AG86" s="119"/>
      <c r="AH86" s="355">
        <f>Weight!N86</f>
        <v>0</v>
      </c>
      <c r="AI86" s="2937"/>
      <c r="AJ86" s="2937"/>
      <c r="AK86" s="3137" t="str">
        <f>Weight!C86</f>
        <v>Necessary Renewal Interval for Air Conditioning and Ventilation Ducts</v>
      </c>
    </row>
    <row r="87" spans="2:37" s="1105" customFormat="1" ht="19.899999999999999" customHeight="1">
      <c r="B87" s="2974"/>
      <c r="C87" s="728"/>
      <c r="D87" s="2043">
        <v>5</v>
      </c>
      <c r="E87" s="3876" t="s">
        <v>3331</v>
      </c>
      <c r="F87" s="3877"/>
      <c r="G87" s="3877"/>
      <c r="H87" s="3878"/>
      <c r="I87" s="3881">
        <f>'Q2'!G247</f>
        <v>0</v>
      </c>
      <c r="J87" s="3882"/>
      <c r="K87" s="3882"/>
      <c r="L87" s="3882"/>
      <c r="M87" s="3882"/>
      <c r="N87" s="3882"/>
      <c r="O87" s="3882"/>
      <c r="P87" s="3883"/>
      <c r="Q87" s="772">
        <f t="shared" si="22"/>
        <v>3</v>
      </c>
      <c r="R87" s="1221">
        <f t="shared" si="26"/>
        <v>0.2</v>
      </c>
      <c r="S87" s="1222">
        <f t="shared" si="23"/>
        <v>0</v>
      </c>
      <c r="T87" s="1191">
        <f t="shared" si="27"/>
        <v>0</v>
      </c>
      <c r="U87" s="1192"/>
      <c r="V87" s="2889"/>
      <c r="W87" s="365">
        <f>IF('Q2'!F241="対象外",0,'Q2'!F241)</f>
        <v>3</v>
      </c>
      <c r="X87" s="691"/>
      <c r="Z87" s="362">
        <f t="shared" si="30"/>
        <v>3</v>
      </c>
      <c r="AA87" s="580">
        <f>Weight!D87</f>
        <v>0.2</v>
      </c>
      <c r="AB87" s="362">
        <f t="shared" si="31"/>
        <v>0</v>
      </c>
      <c r="AC87" s="580">
        <f>Weight!E87</f>
        <v>0</v>
      </c>
      <c r="AD87" s="2922"/>
      <c r="AE87" s="689"/>
      <c r="AF87" s="355">
        <f>Weight!M87</f>
        <v>0.2</v>
      </c>
      <c r="AG87" s="119"/>
      <c r="AH87" s="355">
        <f>Weight!N87</f>
        <v>0</v>
      </c>
      <c r="AI87" s="2937"/>
      <c r="AJ87" s="2937"/>
      <c r="AK87" s="3137" t="str">
        <f>Weight!C87</f>
        <v>Necessary Renewal Interval for HVAC and Water Supply and Drainage Pipes</v>
      </c>
    </row>
    <row r="88" spans="2:37" s="1105" customFormat="1" ht="19.899999999999999" customHeight="1" thickBot="1">
      <c r="B88" s="2974"/>
      <c r="C88" s="776"/>
      <c r="D88" s="2043">
        <v>6</v>
      </c>
      <c r="E88" s="3876" t="s">
        <v>2916</v>
      </c>
      <c r="F88" s="3877"/>
      <c r="G88" s="3877"/>
      <c r="H88" s="3878"/>
      <c r="I88" s="3881">
        <f>'Q2'!L247</f>
        <v>0</v>
      </c>
      <c r="J88" s="3882"/>
      <c r="K88" s="3882"/>
      <c r="L88" s="3882"/>
      <c r="M88" s="3882"/>
      <c r="N88" s="3882"/>
      <c r="O88" s="3882"/>
      <c r="P88" s="3883"/>
      <c r="Q88" s="852">
        <f t="shared" si="22"/>
        <v>3</v>
      </c>
      <c r="R88" s="1221">
        <f t="shared" si="26"/>
        <v>0.2</v>
      </c>
      <c r="S88" s="1222">
        <f t="shared" si="23"/>
        <v>0</v>
      </c>
      <c r="T88" s="1191">
        <f t="shared" si="27"/>
        <v>0</v>
      </c>
      <c r="U88" s="1192"/>
      <c r="V88" s="2889"/>
      <c r="W88" s="588">
        <f>IF('Q2'!K241="対象外",0,'Q2'!K241)</f>
        <v>3</v>
      </c>
      <c r="X88" s="691"/>
      <c r="Z88" s="362">
        <f t="shared" si="30"/>
        <v>3</v>
      </c>
      <c r="AA88" s="580">
        <f>Weight!D88</f>
        <v>0.2</v>
      </c>
      <c r="AB88" s="362">
        <f t="shared" si="31"/>
        <v>0</v>
      </c>
      <c r="AC88" s="580">
        <f>Weight!E88</f>
        <v>0</v>
      </c>
      <c r="AD88" s="2922"/>
      <c r="AE88" s="689"/>
      <c r="AF88" s="355">
        <f>Weight!M88</f>
        <v>0.2</v>
      </c>
      <c r="AG88" s="119"/>
      <c r="AH88" s="355">
        <f>Weight!N88</f>
        <v>0</v>
      </c>
      <c r="AI88" s="2937"/>
      <c r="AJ88" s="2937"/>
      <c r="AK88" s="3137" t="str">
        <f>Weight!C88</f>
        <v>Necessary Replacement Interval for Major Equipment and Services</v>
      </c>
    </row>
    <row r="89" spans="2:37" s="1105" customFormat="1" ht="14.25" hidden="1" customHeight="1" thickBot="1">
      <c r="B89" s="2974"/>
      <c r="C89" s="2997">
        <v>2.2999999999999998</v>
      </c>
      <c r="D89" s="2998" t="s">
        <v>1607</v>
      </c>
      <c r="E89" s="2999"/>
      <c r="F89" s="2999"/>
      <c r="G89" s="2999"/>
      <c r="H89" s="3000"/>
      <c r="I89" s="2971"/>
      <c r="J89" s="2972"/>
      <c r="K89" s="2972"/>
      <c r="L89" s="2972"/>
      <c r="M89" s="2972"/>
      <c r="N89" s="2972"/>
      <c r="O89" s="2972"/>
      <c r="P89" s="2973"/>
      <c r="Q89" s="1210">
        <f t="shared" si="22"/>
        <v>0</v>
      </c>
      <c r="R89" s="1190">
        <f>AA89</f>
        <v>0</v>
      </c>
      <c r="S89" s="1220">
        <f t="shared" si="23"/>
        <v>0</v>
      </c>
      <c r="T89" s="1191">
        <f t="shared" si="27"/>
        <v>0</v>
      </c>
      <c r="U89" s="1192"/>
      <c r="V89" s="2889"/>
      <c r="W89" s="367"/>
      <c r="X89" s="691"/>
      <c r="Z89" s="359">
        <f>SUMPRODUCT(Z90:Z92,AA90:AA92)</f>
        <v>0</v>
      </c>
      <c r="AA89" s="580">
        <f>Weight!D89</f>
        <v>0</v>
      </c>
      <c r="AB89" s="359">
        <f>SUMPRODUCT(AB90:AB92,AC90:AC92)</f>
        <v>0</v>
      </c>
      <c r="AC89" s="580">
        <f>Weight!E89</f>
        <v>0</v>
      </c>
      <c r="AD89" s="2922"/>
      <c r="AE89" s="689"/>
      <c r="AF89" s="355">
        <f>Weight!M89</f>
        <v>0</v>
      </c>
      <c r="AG89" s="119"/>
      <c r="AH89" s="355">
        <f>Weight!N89</f>
        <v>0</v>
      </c>
      <c r="AI89" s="2937"/>
      <c r="AJ89" s="2937"/>
      <c r="AK89" s="3137" t="str">
        <f>Weight!C89</f>
        <v xml:space="preserve"> Appropriate Renewal</v>
      </c>
    </row>
    <row r="90" spans="2:37" s="1105" customFormat="1" ht="14.25" hidden="1" customHeight="1">
      <c r="B90" s="2974"/>
      <c r="C90" s="930"/>
      <c r="D90" s="2967">
        <v>1</v>
      </c>
      <c r="E90" s="2966"/>
      <c r="F90" s="2966"/>
      <c r="G90" s="2966"/>
      <c r="H90" s="2968"/>
      <c r="I90" s="3881"/>
      <c r="J90" s="3882"/>
      <c r="K90" s="3882"/>
      <c r="L90" s="3882"/>
      <c r="M90" s="3882"/>
      <c r="N90" s="3882"/>
      <c r="O90" s="3882"/>
      <c r="P90" s="3883"/>
      <c r="Q90" s="858">
        <f t="shared" si="22"/>
        <v>3</v>
      </c>
      <c r="R90" s="1221">
        <f t="shared" si="26"/>
        <v>0</v>
      </c>
      <c r="S90" s="1222">
        <f t="shared" si="23"/>
        <v>0</v>
      </c>
      <c r="T90" s="1191">
        <f t="shared" si="27"/>
        <v>0</v>
      </c>
      <c r="U90" s="1192"/>
      <c r="V90" s="2889"/>
      <c r="W90" s="587">
        <f>'Q2'!F253</f>
        <v>3</v>
      </c>
      <c r="X90" s="691"/>
      <c r="Z90" s="362">
        <f>IF($Z$3=4,#REF!,W90)</f>
        <v>3</v>
      </c>
      <c r="AA90" s="580">
        <f>Weight!D90</f>
        <v>0</v>
      </c>
      <c r="AB90" s="362">
        <f>IF($Z$3=4,#REF!,X90)</f>
        <v>0</v>
      </c>
      <c r="AC90" s="580">
        <f>Weight!E90</f>
        <v>0</v>
      </c>
      <c r="AD90" s="2922"/>
      <c r="AE90" s="689"/>
      <c r="AF90" s="355">
        <f>Weight!M90</f>
        <v>0</v>
      </c>
      <c r="AG90" s="119"/>
      <c r="AH90" s="355">
        <f>Weight!N90</f>
        <v>0</v>
      </c>
      <c r="AI90" s="2937"/>
      <c r="AJ90" s="2937"/>
      <c r="AK90" s="3137">
        <f>Weight!C90</f>
        <v>0</v>
      </c>
    </row>
    <row r="91" spans="2:37" s="1105" customFormat="1" ht="14.25" hidden="1" customHeight="1">
      <c r="B91" s="2974"/>
      <c r="C91" s="930"/>
      <c r="D91" s="2967">
        <v>2</v>
      </c>
      <c r="E91" s="2966"/>
      <c r="F91" s="2966"/>
      <c r="G91" s="2966"/>
      <c r="H91" s="2968"/>
      <c r="I91" s="3881"/>
      <c r="J91" s="3882"/>
      <c r="K91" s="3882"/>
      <c r="L91" s="3882"/>
      <c r="M91" s="3882"/>
      <c r="N91" s="3882"/>
      <c r="O91" s="3882"/>
      <c r="P91" s="3883"/>
      <c r="Q91" s="772">
        <f t="shared" si="22"/>
        <v>3</v>
      </c>
      <c r="R91" s="1221">
        <f t="shared" si="26"/>
        <v>0</v>
      </c>
      <c r="S91" s="1222">
        <f t="shared" si="23"/>
        <v>0</v>
      </c>
      <c r="T91" s="1191">
        <f t="shared" si="27"/>
        <v>0</v>
      </c>
      <c r="U91" s="1192"/>
      <c r="V91" s="2889"/>
      <c r="W91" s="365">
        <f>'Q2'!K253</f>
        <v>3</v>
      </c>
      <c r="X91" s="691"/>
      <c r="Z91" s="362">
        <f>IF($Z$3=4,#REF!,W91)</f>
        <v>3</v>
      </c>
      <c r="AA91" s="580">
        <f>Weight!D91</f>
        <v>0</v>
      </c>
      <c r="AB91" s="362">
        <f>IF($Z$3=4,#REF!,X91)</f>
        <v>0</v>
      </c>
      <c r="AC91" s="580">
        <f>Weight!E91</f>
        <v>0</v>
      </c>
      <c r="AD91" s="2922"/>
      <c r="AE91" s="689"/>
      <c r="AF91" s="355">
        <f>Weight!M91</f>
        <v>0</v>
      </c>
      <c r="AG91" s="119"/>
      <c r="AH91" s="355">
        <f>Weight!N91</f>
        <v>0</v>
      </c>
      <c r="AI91" s="2937"/>
      <c r="AJ91" s="2937"/>
      <c r="AK91" s="3137">
        <f>Weight!C91</f>
        <v>0</v>
      </c>
    </row>
    <row r="92" spans="2:37" s="1105" customFormat="1" ht="14.25" hidden="1" customHeight="1" thickBot="1">
      <c r="B92" s="2974"/>
      <c r="C92" s="928"/>
      <c r="D92" s="2967">
        <v>3</v>
      </c>
      <c r="E92" s="2966"/>
      <c r="F92" s="2966"/>
      <c r="G92" s="2966"/>
      <c r="H92" s="2968"/>
      <c r="I92" s="3881"/>
      <c r="J92" s="3882"/>
      <c r="K92" s="3882"/>
      <c r="L92" s="3882"/>
      <c r="M92" s="3882"/>
      <c r="N92" s="3882"/>
      <c r="O92" s="3882"/>
      <c r="P92" s="3883"/>
      <c r="Q92" s="852">
        <f t="shared" si="22"/>
        <v>3</v>
      </c>
      <c r="R92" s="1221">
        <f t="shared" si="26"/>
        <v>0</v>
      </c>
      <c r="S92" s="1222">
        <f t="shared" si="23"/>
        <v>0</v>
      </c>
      <c r="T92" s="1191">
        <f t="shared" si="27"/>
        <v>0</v>
      </c>
      <c r="U92" s="1192"/>
      <c r="V92" s="2889"/>
      <c r="W92" s="588">
        <f>'Q2'!F263</f>
        <v>3</v>
      </c>
      <c r="X92" s="691"/>
      <c r="Z92" s="362">
        <f>IF($Z$3=4,#REF!,W92)</f>
        <v>3</v>
      </c>
      <c r="AA92" s="580">
        <f>Weight!D92</f>
        <v>0</v>
      </c>
      <c r="AB92" s="362">
        <f>IF($Z$3=4,#REF!,X92)</f>
        <v>0</v>
      </c>
      <c r="AC92" s="580">
        <f>Weight!E92</f>
        <v>0</v>
      </c>
      <c r="AD92" s="2922"/>
      <c r="AE92" s="689"/>
      <c r="AF92" s="355">
        <f>Weight!M92</f>
        <v>0</v>
      </c>
      <c r="AG92" s="119"/>
      <c r="AH92" s="355">
        <f>Weight!N92</f>
        <v>0</v>
      </c>
      <c r="AI92" s="2937"/>
      <c r="AJ92" s="2937"/>
      <c r="AK92" s="3137">
        <f>Weight!C92</f>
        <v>0</v>
      </c>
    </row>
    <row r="93" spans="2:37" s="1105" customFormat="1" ht="14.25" customHeight="1" thickBot="1">
      <c r="B93" s="2938"/>
      <c r="C93" s="2939">
        <v>2.4</v>
      </c>
      <c r="D93" s="2962" t="s">
        <v>1608</v>
      </c>
      <c r="E93" s="2957"/>
      <c r="F93" s="2957"/>
      <c r="G93" s="2957"/>
      <c r="H93" s="2958"/>
      <c r="I93" s="2934"/>
      <c r="J93" s="2935"/>
      <c r="K93" s="2935"/>
      <c r="L93" s="2935"/>
      <c r="M93" s="2935"/>
      <c r="N93" s="2935"/>
      <c r="O93" s="2935"/>
      <c r="P93" s="2936"/>
      <c r="Q93" s="1210">
        <f t="shared" si="22"/>
        <v>3</v>
      </c>
      <c r="R93" s="1190">
        <f>AA93</f>
        <v>0.2</v>
      </c>
      <c r="S93" s="1220">
        <f t="shared" si="23"/>
        <v>0</v>
      </c>
      <c r="T93" s="1191">
        <f t="shared" si="27"/>
        <v>0</v>
      </c>
      <c r="U93" s="1192"/>
      <c r="V93" s="2889"/>
      <c r="W93" s="691"/>
      <c r="X93" s="691"/>
      <c r="Z93" s="359">
        <f>SUMPRODUCT(Z94:Z98,AA94:AA98)</f>
        <v>3.0000000000000004</v>
      </c>
      <c r="AA93" s="580">
        <f>Weight!D93</f>
        <v>0.2</v>
      </c>
      <c r="AB93" s="359">
        <f>SUMPRODUCT(AB94:AB98,AC94:AC98)</f>
        <v>0</v>
      </c>
      <c r="AC93" s="580">
        <f>Weight!E93</f>
        <v>0</v>
      </c>
      <c r="AD93" s="2922"/>
      <c r="AE93" s="689"/>
      <c r="AF93" s="355">
        <f>Weight!M93</f>
        <v>0.2</v>
      </c>
      <c r="AG93" s="119"/>
      <c r="AH93" s="355">
        <f>Weight!N93</f>
        <v>0</v>
      </c>
      <c r="AI93" s="2937"/>
      <c r="AJ93" s="2937"/>
      <c r="AK93" s="3137" t="str">
        <f>Weight!C93</f>
        <v>Reliability</v>
      </c>
    </row>
    <row r="94" spans="2:37" s="1105" customFormat="1" ht="14.25" customHeight="1">
      <c r="B94" s="2938"/>
      <c r="C94" s="728"/>
      <c r="D94" s="2043">
        <v>1</v>
      </c>
      <c r="E94" s="2941" t="s">
        <v>1609</v>
      </c>
      <c r="F94" s="2941"/>
      <c r="G94" s="2941"/>
      <c r="H94" s="2963"/>
      <c r="I94" s="3881">
        <f>'Q2'!G280</f>
        <v>0</v>
      </c>
      <c r="J94" s="3882"/>
      <c r="K94" s="3882"/>
      <c r="L94" s="3882"/>
      <c r="M94" s="3882"/>
      <c r="N94" s="3882"/>
      <c r="O94" s="3882"/>
      <c r="P94" s="3883"/>
      <c r="Q94" s="858">
        <f t="shared" si="22"/>
        <v>3</v>
      </c>
      <c r="R94" s="1221">
        <f t="shared" si="26"/>
        <v>0.2</v>
      </c>
      <c r="S94" s="1222">
        <f t="shared" si="23"/>
        <v>0</v>
      </c>
      <c r="T94" s="1191">
        <f t="shared" si="27"/>
        <v>0</v>
      </c>
      <c r="U94" s="1192"/>
      <c r="V94" s="2889"/>
      <c r="W94" s="587">
        <f>IF('Q2'!F274="対象外",0,'Q2'!F274)</f>
        <v>3</v>
      </c>
      <c r="X94" s="691"/>
      <c r="Z94" s="362">
        <f t="shared" ref="Z94:Z98" si="32">IF(AA94=0,0,W94)</f>
        <v>3</v>
      </c>
      <c r="AA94" s="580">
        <f>Weight!D94</f>
        <v>0.2</v>
      </c>
      <c r="AB94" s="362">
        <f t="shared" ref="AB94:AB98" si="33">IF(AC94=0,0,X94)</f>
        <v>0</v>
      </c>
      <c r="AC94" s="580">
        <f>Weight!E94</f>
        <v>0</v>
      </c>
      <c r="AD94" s="2922"/>
      <c r="AE94" s="689"/>
      <c r="AF94" s="355">
        <f>Weight!M94</f>
        <v>0.2</v>
      </c>
      <c r="AG94" s="119"/>
      <c r="AH94" s="355">
        <f>Weight!N94</f>
        <v>0</v>
      </c>
      <c r="AI94" s="2937"/>
      <c r="AJ94" s="2937"/>
      <c r="AK94" s="3137" t="str">
        <f>Weight!C94</f>
        <v>HVAC System</v>
      </c>
    </row>
    <row r="95" spans="2:37" s="1105" customFormat="1" ht="14.25" customHeight="1">
      <c r="B95" s="2938"/>
      <c r="C95" s="728"/>
      <c r="D95" s="2043">
        <v>2</v>
      </c>
      <c r="E95" s="2941" t="s">
        <v>1610</v>
      </c>
      <c r="F95" s="2941"/>
      <c r="G95" s="2941"/>
      <c r="H95" s="2963"/>
      <c r="I95" s="3881">
        <f>'Q2'!G298</f>
        <v>0</v>
      </c>
      <c r="J95" s="3882"/>
      <c r="K95" s="3882"/>
      <c r="L95" s="3882"/>
      <c r="M95" s="3882"/>
      <c r="N95" s="3882"/>
      <c r="O95" s="3882"/>
      <c r="P95" s="3883"/>
      <c r="Q95" s="772">
        <f t="shared" si="22"/>
        <v>3</v>
      </c>
      <c r="R95" s="1221">
        <f t="shared" si="26"/>
        <v>0.2</v>
      </c>
      <c r="S95" s="1222">
        <f t="shared" si="23"/>
        <v>0</v>
      </c>
      <c r="T95" s="1191">
        <f t="shared" si="27"/>
        <v>0</v>
      </c>
      <c r="U95" s="1192"/>
      <c r="V95" s="2889"/>
      <c r="W95" s="365">
        <f>IF('Q2'!F292="対象外",0,'Q2'!F292)</f>
        <v>3</v>
      </c>
      <c r="X95" s="691"/>
      <c r="Z95" s="362">
        <f t="shared" si="32"/>
        <v>3</v>
      </c>
      <c r="AA95" s="580">
        <f>Weight!D95</f>
        <v>0.2</v>
      </c>
      <c r="AB95" s="362">
        <f t="shared" si="33"/>
        <v>0</v>
      </c>
      <c r="AC95" s="580">
        <f>Weight!E95</f>
        <v>0</v>
      </c>
      <c r="AD95" s="2922"/>
      <c r="AE95" s="689"/>
      <c r="AF95" s="355">
        <f>Weight!M95</f>
        <v>0.2</v>
      </c>
      <c r="AG95" s="119"/>
      <c r="AH95" s="355">
        <f>Weight!N95</f>
        <v>0</v>
      </c>
      <c r="AI95" s="2937"/>
      <c r="AJ95" s="2937"/>
      <c r="AK95" s="3137" t="str">
        <f>Weight!C95</f>
        <v>Water Supply &amp; Drainage</v>
      </c>
    </row>
    <row r="96" spans="2:37" s="1105" customFormat="1" ht="14.25" customHeight="1">
      <c r="B96" s="2938"/>
      <c r="C96" s="728"/>
      <c r="D96" s="2043">
        <v>3</v>
      </c>
      <c r="E96" s="2941" t="s">
        <v>1611</v>
      </c>
      <c r="F96" s="2941"/>
      <c r="G96" s="2941"/>
      <c r="H96" s="2963"/>
      <c r="I96" s="3881">
        <f>'Q2'!G318</f>
        <v>0</v>
      </c>
      <c r="J96" s="3882"/>
      <c r="K96" s="3882"/>
      <c r="L96" s="3882"/>
      <c r="M96" s="3882"/>
      <c r="N96" s="3882"/>
      <c r="O96" s="3882"/>
      <c r="P96" s="3883"/>
      <c r="Q96" s="772">
        <f t="shared" si="22"/>
        <v>3</v>
      </c>
      <c r="R96" s="1221">
        <f t="shared" si="26"/>
        <v>0.2</v>
      </c>
      <c r="S96" s="1222">
        <f t="shared" si="23"/>
        <v>0</v>
      </c>
      <c r="T96" s="1191">
        <f t="shared" si="27"/>
        <v>0</v>
      </c>
      <c r="U96" s="1192"/>
      <c r="V96" s="2889"/>
      <c r="W96" s="365">
        <f>IF('Q2'!F312="対象外",0,'Q2'!F312)</f>
        <v>3</v>
      </c>
      <c r="X96" s="368"/>
      <c r="Z96" s="362">
        <f t="shared" si="32"/>
        <v>3</v>
      </c>
      <c r="AA96" s="580">
        <f>Weight!D96</f>
        <v>0.2</v>
      </c>
      <c r="AB96" s="362">
        <f t="shared" si="33"/>
        <v>0</v>
      </c>
      <c r="AC96" s="580">
        <f>Weight!E96</f>
        <v>0</v>
      </c>
      <c r="AD96" s="2922"/>
      <c r="AE96" s="689"/>
      <c r="AF96" s="355">
        <f>Weight!M96</f>
        <v>0.2</v>
      </c>
      <c r="AG96" s="119"/>
      <c r="AH96" s="355">
        <f>Weight!N96</f>
        <v>0</v>
      </c>
      <c r="AI96" s="2937"/>
      <c r="AJ96" s="2937"/>
      <c r="AK96" s="3137" t="str">
        <f>Weight!C96</f>
        <v>Electrical Equipment</v>
      </c>
    </row>
    <row r="97" spans="2:37" s="1105" customFormat="1" ht="14.25" customHeight="1">
      <c r="B97" s="2938"/>
      <c r="C97" s="728"/>
      <c r="D97" s="2043">
        <v>4</v>
      </c>
      <c r="E97" s="3136" t="s">
        <v>1612</v>
      </c>
      <c r="F97" s="2941"/>
      <c r="G97" s="2941"/>
      <c r="H97" s="2963"/>
      <c r="I97" s="3881">
        <f>'Q2'!G337</f>
        <v>0</v>
      </c>
      <c r="J97" s="3882"/>
      <c r="K97" s="3882"/>
      <c r="L97" s="3882"/>
      <c r="M97" s="3882"/>
      <c r="N97" s="3882"/>
      <c r="O97" s="3882"/>
      <c r="P97" s="3883"/>
      <c r="Q97" s="772">
        <f t="shared" si="22"/>
        <v>3</v>
      </c>
      <c r="R97" s="1221">
        <f t="shared" si="26"/>
        <v>0.2</v>
      </c>
      <c r="S97" s="1222">
        <f t="shared" si="23"/>
        <v>0</v>
      </c>
      <c r="T97" s="1191">
        <f t="shared" si="27"/>
        <v>0</v>
      </c>
      <c r="U97" s="1192"/>
      <c r="V97" s="2889"/>
      <c r="W97" s="365">
        <f>IF('Q2'!F331="対象外",0,'Q2'!F331)</f>
        <v>3</v>
      </c>
      <c r="X97" s="368"/>
      <c r="Z97" s="362">
        <f t="shared" si="32"/>
        <v>3</v>
      </c>
      <c r="AA97" s="580">
        <f>Weight!D97</f>
        <v>0.2</v>
      </c>
      <c r="AB97" s="362">
        <f t="shared" si="33"/>
        <v>0</v>
      </c>
      <c r="AC97" s="580">
        <f>Weight!E97</f>
        <v>0</v>
      </c>
      <c r="AD97" s="2922"/>
      <c r="AE97" s="689"/>
      <c r="AF97" s="355">
        <f>Weight!M97</f>
        <v>0.2</v>
      </c>
      <c r="AG97" s="119"/>
      <c r="AH97" s="355">
        <f>Weight!N97</f>
        <v>0</v>
      </c>
      <c r="AI97" s="2937"/>
      <c r="AJ97" s="2937"/>
      <c r="AK97" s="3137" t="str">
        <f>Weight!C97</f>
        <v>Support Method of Machines &amp; Ducts</v>
      </c>
    </row>
    <row r="98" spans="2:37" s="1105" customFormat="1" ht="15.75" thickBot="1">
      <c r="B98" s="3001"/>
      <c r="C98" s="776"/>
      <c r="D98" s="2043">
        <v>5</v>
      </c>
      <c r="E98" s="2941" t="s">
        <v>1613</v>
      </c>
      <c r="F98" s="2941"/>
      <c r="G98" s="2941"/>
      <c r="H98" s="2963"/>
      <c r="I98" s="3890">
        <f>'Q2'!G347</f>
        <v>0</v>
      </c>
      <c r="J98" s="3891"/>
      <c r="K98" s="3891"/>
      <c r="L98" s="3891"/>
      <c r="M98" s="3891"/>
      <c r="N98" s="3891"/>
      <c r="O98" s="3891"/>
      <c r="P98" s="3892"/>
      <c r="Q98" s="852">
        <f t="shared" si="22"/>
        <v>3</v>
      </c>
      <c r="R98" s="1224">
        <f t="shared" si="26"/>
        <v>0.2</v>
      </c>
      <c r="S98" s="1223">
        <f t="shared" si="23"/>
        <v>0</v>
      </c>
      <c r="T98" s="1216">
        <f t="shared" si="27"/>
        <v>0</v>
      </c>
      <c r="U98" s="1217"/>
      <c r="V98" s="2889"/>
      <c r="W98" s="588">
        <f>IF('Q2'!F341="対象外",0,'Q2'!F341)</f>
        <v>3</v>
      </c>
      <c r="X98" s="368"/>
      <c r="Z98" s="362">
        <f t="shared" si="32"/>
        <v>3</v>
      </c>
      <c r="AA98" s="580">
        <f>Weight!D98</f>
        <v>0.2</v>
      </c>
      <c r="AB98" s="362">
        <f t="shared" si="33"/>
        <v>0</v>
      </c>
      <c r="AC98" s="580">
        <f>Weight!E98</f>
        <v>0</v>
      </c>
      <c r="AD98" s="2922"/>
      <c r="AE98" s="689"/>
      <c r="AF98" s="355">
        <f>Weight!M98</f>
        <v>0.2</v>
      </c>
      <c r="AG98" s="119"/>
      <c r="AH98" s="355">
        <f>Weight!N98</f>
        <v>0</v>
      </c>
      <c r="AI98" s="2937"/>
      <c r="AJ98" s="2937"/>
      <c r="AK98" s="3137" t="str">
        <f>Weight!C98</f>
        <v>Communications &amp; IT Equipment</v>
      </c>
    </row>
    <row r="99" spans="2:37" s="1105" customFormat="1" ht="15" hidden="1">
      <c r="B99" s="2938"/>
      <c r="C99" s="922"/>
      <c r="D99" s="3002"/>
      <c r="E99" s="3003"/>
      <c r="F99" s="3003"/>
      <c r="G99" s="3003"/>
      <c r="H99" s="2933"/>
      <c r="I99" s="3884"/>
      <c r="J99" s="3885"/>
      <c r="K99" s="3885"/>
      <c r="L99" s="3885"/>
      <c r="M99" s="3885"/>
      <c r="N99" s="3885"/>
      <c r="O99" s="3885"/>
      <c r="P99" s="3886"/>
      <c r="Q99" s="1225">
        <f t="shared" si="22"/>
        <v>0</v>
      </c>
      <c r="R99" s="1190">
        <f t="shared" si="26"/>
        <v>0</v>
      </c>
      <c r="S99" s="1225">
        <f t="shared" si="23"/>
        <v>0</v>
      </c>
      <c r="T99" s="1191">
        <f t="shared" si="27"/>
        <v>0</v>
      </c>
      <c r="U99" s="1192"/>
      <c r="V99" s="2889"/>
      <c r="W99" s="367"/>
      <c r="X99" s="691"/>
      <c r="Z99" s="363"/>
      <c r="AA99" s="580">
        <f>Weight!D99</f>
        <v>0</v>
      </c>
      <c r="AB99" s="363"/>
      <c r="AC99" s="580">
        <f>Weight!E99</f>
        <v>0</v>
      </c>
      <c r="AD99" s="2922"/>
      <c r="AE99" s="689"/>
      <c r="AF99" s="355">
        <f>Weight!M99</f>
        <v>0</v>
      </c>
      <c r="AG99" s="119"/>
      <c r="AH99" s="355">
        <f>Weight!N99</f>
        <v>0</v>
      </c>
      <c r="AI99" s="2937"/>
      <c r="AJ99" s="2937"/>
      <c r="AK99" s="3137">
        <f>Weight!C99</f>
        <v>0</v>
      </c>
    </row>
    <row r="100" spans="2:37" s="1105" customFormat="1" ht="15">
      <c r="B100" s="2954">
        <v>3</v>
      </c>
      <c r="C100" s="2956" t="s">
        <v>1614</v>
      </c>
      <c r="D100" s="2956"/>
      <c r="E100" s="2956"/>
      <c r="F100" s="2956"/>
      <c r="G100" s="2956"/>
      <c r="H100" s="2958"/>
      <c r="I100" s="2971"/>
      <c r="J100" s="2972"/>
      <c r="K100" s="2972"/>
      <c r="L100" s="2972"/>
      <c r="M100" s="2972"/>
      <c r="N100" s="2972"/>
      <c r="O100" s="2972"/>
      <c r="P100" s="2973"/>
      <c r="Q100" s="1226">
        <f t="shared" si="22"/>
        <v>3</v>
      </c>
      <c r="R100" s="1198">
        <f t="shared" si="26"/>
        <v>0.3</v>
      </c>
      <c r="S100" s="1226">
        <f t="shared" si="23"/>
        <v>0</v>
      </c>
      <c r="T100" s="1200">
        <f t="shared" si="27"/>
        <v>0</v>
      </c>
      <c r="U100" s="1201">
        <f>ROUNDDOWN(AD100,1)</f>
        <v>3</v>
      </c>
      <c r="V100" s="2889"/>
      <c r="W100" s="369"/>
      <c r="X100" s="689"/>
      <c r="Z100" s="685">
        <f>Z101*AA101+Z104*AA104+Z105*AA105</f>
        <v>3</v>
      </c>
      <c r="AA100" s="580">
        <f>Weight!D100</f>
        <v>0.3</v>
      </c>
      <c r="AB100" s="685">
        <f>AB101*AC101+AB104*AC104+AB105*AC105</f>
        <v>0</v>
      </c>
      <c r="AC100" s="360">
        <f>SUM(AC101,AC104,AC105)</f>
        <v>0</v>
      </c>
      <c r="AD100" s="2922">
        <f>IF(AB100=0,Z100,IF(Z100=0,AB100,Z100*AF$6+AB100*AH$6))</f>
        <v>3</v>
      </c>
      <c r="AE100" s="689"/>
      <c r="AF100" s="355">
        <f>Weight!M100</f>
        <v>0.3</v>
      </c>
      <c r="AG100" s="119"/>
      <c r="AH100" s="360">
        <f>SUM(AH101,AH104,AH105)</f>
        <v>0</v>
      </c>
      <c r="AI100" s="2937"/>
      <c r="AJ100" s="2937"/>
      <c r="AK100" s="3137" t="str">
        <f>Weight!C100</f>
        <v>Flexibility &amp; Adaptability</v>
      </c>
    </row>
    <row r="101" spans="2:37" s="1105" customFormat="1" ht="14.25" customHeight="1" thickBot="1">
      <c r="B101" s="2974"/>
      <c r="C101" s="2939">
        <v>3.1</v>
      </c>
      <c r="D101" s="2962" t="s">
        <v>1615</v>
      </c>
      <c r="E101" s="2940"/>
      <c r="F101" s="2940"/>
      <c r="G101" s="2940"/>
      <c r="H101" s="2958"/>
      <c r="I101" s="2971"/>
      <c r="J101" s="2972"/>
      <c r="K101" s="2972"/>
      <c r="L101" s="2972"/>
      <c r="M101" s="2972"/>
      <c r="N101" s="2972"/>
      <c r="O101" s="2972"/>
      <c r="P101" s="2973"/>
      <c r="Q101" s="1210">
        <f t="shared" si="22"/>
        <v>3</v>
      </c>
      <c r="R101" s="1190">
        <f t="shared" si="26"/>
        <v>0.3</v>
      </c>
      <c r="S101" s="1218">
        <f t="shared" si="23"/>
        <v>0</v>
      </c>
      <c r="T101" s="1191">
        <f t="shared" si="27"/>
        <v>0</v>
      </c>
      <c r="U101" s="1192"/>
      <c r="V101" s="2889"/>
      <c r="W101" s="366"/>
      <c r="X101" s="689"/>
      <c r="Z101" s="359">
        <f>SUMPRODUCT(Z102:Z103,AA102:AA103)</f>
        <v>3</v>
      </c>
      <c r="AA101" s="580">
        <f>Weight!D101</f>
        <v>0.3</v>
      </c>
      <c r="AB101" s="359">
        <f>SUMPRODUCT(AB102:AB103,AC102:AC103)</f>
        <v>0</v>
      </c>
      <c r="AC101" s="580">
        <f>Weight!E101</f>
        <v>0</v>
      </c>
      <c r="AD101" s="2922"/>
      <c r="AE101" s="689"/>
      <c r="AF101" s="355">
        <f>Weight!M101</f>
        <v>0.3</v>
      </c>
      <c r="AG101" s="119"/>
      <c r="AH101" s="355">
        <f>Weight!N101</f>
        <v>0</v>
      </c>
      <c r="AI101" s="2937"/>
      <c r="AJ101" s="2937"/>
      <c r="AK101" s="3137" t="str">
        <f>Weight!C101</f>
        <v>Spatial Margin</v>
      </c>
    </row>
    <row r="102" spans="2:37" s="1105" customFormat="1" ht="14.25" customHeight="1">
      <c r="B102" s="2974"/>
      <c r="C102" s="728"/>
      <c r="D102" s="2043">
        <v>1</v>
      </c>
      <c r="E102" s="2941" t="s">
        <v>1616</v>
      </c>
      <c r="F102" s="2941"/>
      <c r="G102" s="2941"/>
      <c r="H102" s="2963"/>
      <c r="I102" s="3881">
        <f>'Q2'!G368</f>
        <v>0</v>
      </c>
      <c r="J102" s="3882"/>
      <c r="K102" s="3882"/>
      <c r="L102" s="3882"/>
      <c r="M102" s="3882"/>
      <c r="N102" s="3882"/>
      <c r="O102" s="3882"/>
      <c r="P102" s="3883"/>
      <c r="Q102" s="858">
        <f t="shared" si="22"/>
        <v>3</v>
      </c>
      <c r="R102" s="1195">
        <f t="shared" si="26"/>
        <v>0.6</v>
      </c>
      <c r="S102" s="858">
        <f t="shared" si="23"/>
        <v>0</v>
      </c>
      <c r="T102" s="1195">
        <f t="shared" si="27"/>
        <v>0</v>
      </c>
      <c r="U102" s="1192"/>
      <c r="V102" s="2889"/>
      <c r="W102" s="368">
        <f>IF('Q2'!F362="対象外",0,'Q2'!F362)</f>
        <v>3</v>
      </c>
      <c r="X102" s="582">
        <f>'Q2'!K362</f>
        <v>3</v>
      </c>
      <c r="Z102" s="362">
        <f t="shared" ref="Z102:Z104" si="34">IF(AA102=0,0,W102)</f>
        <v>3</v>
      </c>
      <c r="AA102" s="580">
        <f>Weight!D102</f>
        <v>0.6</v>
      </c>
      <c r="AB102" s="362">
        <f t="shared" ref="AB102:AB104" si="35">IF(AC102=0,0,X102)</f>
        <v>0</v>
      </c>
      <c r="AC102" s="580">
        <f>Weight!E102</f>
        <v>0</v>
      </c>
      <c r="AD102" s="2922"/>
      <c r="AE102" s="689"/>
      <c r="AF102" s="355">
        <f>Weight!M102</f>
        <v>0.6</v>
      </c>
      <c r="AG102" s="119"/>
      <c r="AH102" s="355">
        <f>Weight!N102</f>
        <v>0</v>
      </c>
      <c r="AI102" s="2937"/>
      <c r="AJ102" s="2937"/>
      <c r="AK102" s="3137" t="str">
        <f>Weight!C102</f>
        <v>Allowance for Floor-to-floor Height</v>
      </c>
    </row>
    <row r="103" spans="2:37" s="1105" customFormat="1" ht="14.25" customHeight="1">
      <c r="B103" s="2974"/>
      <c r="C103" s="728"/>
      <c r="D103" s="2982">
        <v>2</v>
      </c>
      <c r="E103" s="2940" t="s">
        <v>3384</v>
      </c>
      <c r="F103" s="2940"/>
      <c r="G103" s="2940"/>
      <c r="H103" s="2958"/>
      <c r="I103" s="3881">
        <f>'Q2'!G379</f>
        <v>0</v>
      </c>
      <c r="J103" s="3882"/>
      <c r="K103" s="3882"/>
      <c r="L103" s="3882"/>
      <c r="M103" s="3882"/>
      <c r="N103" s="3882"/>
      <c r="O103" s="3882"/>
      <c r="P103" s="3883"/>
      <c r="Q103" s="772">
        <f t="shared" si="22"/>
        <v>3</v>
      </c>
      <c r="R103" s="1195">
        <f t="shared" si="26"/>
        <v>0.4</v>
      </c>
      <c r="S103" s="772">
        <f t="shared" si="23"/>
        <v>0</v>
      </c>
      <c r="T103" s="1195">
        <f t="shared" si="27"/>
        <v>0</v>
      </c>
      <c r="U103" s="1192"/>
      <c r="V103" s="2889"/>
      <c r="W103" s="368">
        <f>IF('Q2'!F373="対象外",0,'Q2'!F373)</f>
        <v>3</v>
      </c>
      <c r="X103" s="586">
        <f>'Q2'!K373</f>
        <v>3</v>
      </c>
      <c r="Z103" s="362">
        <f t="shared" si="34"/>
        <v>3</v>
      </c>
      <c r="AA103" s="580">
        <f>Weight!D103</f>
        <v>0.4</v>
      </c>
      <c r="AB103" s="362">
        <f t="shared" si="35"/>
        <v>0</v>
      </c>
      <c r="AC103" s="580">
        <f>Weight!E103</f>
        <v>0</v>
      </c>
      <c r="AD103" s="2922"/>
      <c r="AE103" s="689"/>
      <c r="AF103" s="355">
        <f>Weight!M103</f>
        <v>0.4</v>
      </c>
      <c r="AG103" s="119"/>
      <c r="AH103" s="355">
        <f>Weight!N103</f>
        <v>0</v>
      </c>
      <c r="AI103" s="2937"/>
      <c r="AJ103" s="2937"/>
      <c r="AK103" s="3137" t="str">
        <f>Weight!C103</f>
        <v>Flexibility in Floor Layout</v>
      </c>
    </row>
    <row r="104" spans="2:37" s="1105" customFormat="1" ht="14.25" customHeight="1" thickBot="1">
      <c r="B104" s="2974"/>
      <c r="C104" s="2953">
        <v>3.2</v>
      </c>
      <c r="D104" s="3004" t="s">
        <v>1617</v>
      </c>
      <c r="E104" s="2941"/>
      <c r="F104" s="2941"/>
      <c r="G104" s="2941"/>
      <c r="H104" s="2963"/>
      <c r="I104" s="3881">
        <f>'Q2'!G391</f>
        <v>0</v>
      </c>
      <c r="J104" s="3882"/>
      <c r="K104" s="3882"/>
      <c r="L104" s="3882"/>
      <c r="M104" s="3882"/>
      <c r="N104" s="3882"/>
      <c r="O104" s="3882"/>
      <c r="P104" s="3883"/>
      <c r="Q104" s="866">
        <f t="shared" si="22"/>
        <v>3</v>
      </c>
      <c r="R104" s="1195">
        <f t="shared" si="26"/>
        <v>0.3</v>
      </c>
      <c r="S104" s="866">
        <f t="shared" si="23"/>
        <v>0</v>
      </c>
      <c r="T104" s="1195">
        <f t="shared" si="27"/>
        <v>0</v>
      </c>
      <c r="U104" s="1192"/>
      <c r="V104" s="2889"/>
      <c r="W104" s="368">
        <f>IF('Q2'!F385="対象外",0,'Q2'!F385)</f>
        <v>3</v>
      </c>
      <c r="X104" s="584">
        <f>'Q2'!M385</f>
        <v>3</v>
      </c>
      <c r="Z104" s="684">
        <f t="shared" si="34"/>
        <v>3</v>
      </c>
      <c r="AA104" s="580">
        <f>Weight!D104</f>
        <v>0.3</v>
      </c>
      <c r="AB104" s="684">
        <f t="shared" si="35"/>
        <v>0</v>
      </c>
      <c r="AC104" s="580">
        <f>Weight!E104</f>
        <v>0</v>
      </c>
      <c r="AD104" s="2922"/>
      <c r="AE104" s="689"/>
      <c r="AF104" s="355">
        <f>Weight!M104</f>
        <v>0.3</v>
      </c>
      <c r="AG104" s="119"/>
      <c r="AH104" s="355">
        <f>Weight!N104</f>
        <v>0</v>
      </c>
      <c r="AI104" s="2937"/>
      <c r="AJ104" s="2937"/>
      <c r="AK104" s="3137" t="str">
        <f>Weight!C104</f>
        <v>Floor Load Margin</v>
      </c>
    </row>
    <row r="105" spans="2:37" s="1105" customFormat="1" ht="14.25" customHeight="1" thickBot="1">
      <c r="B105" s="2974"/>
      <c r="C105" s="2951">
        <v>3.3</v>
      </c>
      <c r="D105" s="2962" t="s">
        <v>3386</v>
      </c>
      <c r="E105" s="2940"/>
      <c r="F105" s="2940"/>
      <c r="G105" s="2940"/>
      <c r="H105" s="2958"/>
      <c r="I105" s="2934"/>
      <c r="J105" s="2935"/>
      <c r="K105" s="2935"/>
      <c r="L105" s="2935"/>
      <c r="M105" s="2935"/>
      <c r="N105" s="2935"/>
      <c r="O105" s="2935"/>
      <c r="P105" s="2936"/>
      <c r="Q105" s="1210">
        <f t="shared" si="22"/>
        <v>3</v>
      </c>
      <c r="R105" s="1190">
        <f>AA105</f>
        <v>0.4</v>
      </c>
      <c r="S105" s="1227">
        <f t="shared" si="23"/>
        <v>0</v>
      </c>
      <c r="T105" s="1191">
        <f t="shared" si="27"/>
        <v>0</v>
      </c>
      <c r="U105" s="1192"/>
      <c r="V105" s="2889"/>
      <c r="W105" s="367"/>
      <c r="X105" s="689"/>
      <c r="Z105" s="359">
        <f>SUMPRODUCT(Z106:Z111,AA106:AA111)</f>
        <v>3.0000000000000004</v>
      </c>
      <c r="AA105" s="580">
        <f>Weight!D105</f>
        <v>0.4</v>
      </c>
      <c r="AB105" s="359">
        <f>SUMPRODUCT(AB106:AB111,AC106:AC111)</f>
        <v>0</v>
      </c>
      <c r="AC105" s="580">
        <f>Weight!E105</f>
        <v>0</v>
      </c>
      <c r="AD105" s="2922"/>
      <c r="AE105" s="689"/>
      <c r="AF105" s="355">
        <f>Weight!M105</f>
        <v>0.4</v>
      </c>
      <c r="AG105" s="119"/>
      <c r="AH105" s="355">
        <f>Weight!N105</f>
        <v>0</v>
      </c>
      <c r="AI105" s="2937"/>
      <c r="AJ105" s="2937"/>
      <c r="AK105" s="3137" t="str">
        <f>Weight!C105</f>
        <v>System Renewability</v>
      </c>
    </row>
    <row r="106" spans="2:37" s="1105" customFormat="1" ht="14.25" customHeight="1">
      <c r="B106" s="2974"/>
      <c r="C106" s="728"/>
      <c r="D106" s="2043">
        <v>1</v>
      </c>
      <c r="E106" s="2591" t="s">
        <v>1618</v>
      </c>
      <c r="F106" s="2941"/>
      <c r="G106" s="2941"/>
      <c r="H106" s="2963"/>
      <c r="I106" s="3881">
        <f>'Q2'!G403</f>
        <v>0</v>
      </c>
      <c r="J106" s="3882"/>
      <c r="K106" s="3882"/>
      <c r="L106" s="3882"/>
      <c r="M106" s="3882"/>
      <c r="N106" s="3882"/>
      <c r="O106" s="3882"/>
      <c r="P106" s="3883"/>
      <c r="Q106" s="858">
        <f t="shared" si="22"/>
        <v>3</v>
      </c>
      <c r="R106" s="1221">
        <f t="shared" si="26"/>
        <v>0.2</v>
      </c>
      <c r="S106" s="1222">
        <f t="shared" si="23"/>
        <v>0</v>
      </c>
      <c r="T106" s="1191">
        <f t="shared" si="27"/>
        <v>0</v>
      </c>
      <c r="U106" s="1192"/>
      <c r="V106" s="2889"/>
      <c r="W106" s="587">
        <f>IF('Q2'!F397="対象外",0,'Q2'!F397)</f>
        <v>3</v>
      </c>
      <c r="X106" s="689"/>
      <c r="Z106" s="362">
        <f t="shared" ref="Z106:Z111" si="36">IF(AA106=0,0,W106)</f>
        <v>3</v>
      </c>
      <c r="AA106" s="580">
        <f>Weight!D106</f>
        <v>0.2</v>
      </c>
      <c r="AB106" s="362">
        <f t="shared" ref="AB106:AB111" si="37">IF(AC106=0,0,X106)</f>
        <v>0</v>
      </c>
      <c r="AC106" s="580">
        <f>Weight!E106</f>
        <v>0</v>
      </c>
      <c r="AD106" s="2922"/>
      <c r="AE106" s="689"/>
      <c r="AF106" s="355">
        <f>Weight!M106</f>
        <v>0.2</v>
      </c>
      <c r="AG106" s="119"/>
      <c r="AH106" s="355">
        <f>Weight!N106</f>
        <v>0</v>
      </c>
      <c r="AI106" s="2937"/>
      <c r="AJ106" s="2937"/>
      <c r="AK106" s="3137" t="str">
        <f>Weight!C106</f>
        <v>Ease of Air Conditioning Duct Renewal</v>
      </c>
    </row>
    <row r="107" spans="2:37" s="1105" customFormat="1" ht="14.25" customHeight="1">
      <c r="B107" s="2974"/>
      <c r="C107" s="728"/>
      <c r="D107" s="2982">
        <v>2</v>
      </c>
      <c r="E107" s="3143" t="s">
        <v>1619</v>
      </c>
      <c r="F107" s="2940"/>
      <c r="G107" s="2940"/>
      <c r="H107" s="2958"/>
      <c r="I107" s="3881">
        <f>'Q2'!L403</f>
        <v>0</v>
      </c>
      <c r="J107" s="3882"/>
      <c r="K107" s="3882"/>
      <c r="L107" s="3882"/>
      <c r="M107" s="3882"/>
      <c r="N107" s="3882"/>
      <c r="O107" s="3882"/>
      <c r="P107" s="3883"/>
      <c r="Q107" s="772">
        <f t="shared" si="22"/>
        <v>3</v>
      </c>
      <c r="R107" s="1221">
        <f t="shared" si="26"/>
        <v>0.2</v>
      </c>
      <c r="S107" s="1222">
        <f t="shared" si="23"/>
        <v>0</v>
      </c>
      <c r="T107" s="1191">
        <f t="shared" si="27"/>
        <v>0</v>
      </c>
      <c r="U107" s="1192"/>
      <c r="V107" s="2889"/>
      <c r="W107" s="365">
        <f>IF('Q2'!K397="対象外",0,'Q2'!K397)</f>
        <v>3</v>
      </c>
      <c r="X107" s="689"/>
      <c r="Z107" s="362">
        <f t="shared" si="36"/>
        <v>3</v>
      </c>
      <c r="AA107" s="580">
        <f>Weight!D107</f>
        <v>0.2</v>
      </c>
      <c r="AB107" s="362">
        <f t="shared" si="37"/>
        <v>0</v>
      </c>
      <c r="AC107" s="580">
        <f>Weight!E107</f>
        <v>0</v>
      </c>
      <c r="AD107" s="2922"/>
      <c r="AE107" s="689"/>
      <c r="AF107" s="355">
        <f>Weight!M107</f>
        <v>0.2</v>
      </c>
      <c r="AG107" s="119"/>
      <c r="AH107" s="355">
        <f>Weight!N107</f>
        <v>0</v>
      </c>
      <c r="AI107" s="2937"/>
      <c r="AJ107" s="2937"/>
      <c r="AK107" s="3137" t="str">
        <f>Weight!C107</f>
        <v>Ease of Water Supply and Drain Pipe Renewal</v>
      </c>
    </row>
    <row r="108" spans="2:37" s="1105" customFormat="1" ht="14.25" customHeight="1">
      <c r="B108" s="2974"/>
      <c r="C108" s="728"/>
      <c r="D108" s="2043">
        <v>3</v>
      </c>
      <c r="E108" s="2941" t="s">
        <v>1620</v>
      </c>
      <c r="F108" s="2941"/>
      <c r="G108" s="2941"/>
      <c r="H108" s="2963"/>
      <c r="I108" s="3881">
        <f>'Q2'!G413</f>
        <v>0</v>
      </c>
      <c r="J108" s="3882"/>
      <c r="K108" s="3882"/>
      <c r="L108" s="3882"/>
      <c r="M108" s="3882"/>
      <c r="N108" s="3882"/>
      <c r="O108" s="3882"/>
      <c r="P108" s="3883"/>
      <c r="Q108" s="772">
        <f t="shared" si="22"/>
        <v>3</v>
      </c>
      <c r="R108" s="1221">
        <f t="shared" si="26"/>
        <v>0.1</v>
      </c>
      <c r="S108" s="1222">
        <f t="shared" si="23"/>
        <v>0</v>
      </c>
      <c r="T108" s="1191">
        <f t="shared" si="27"/>
        <v>0</v>
      </c>
      <c r="U108" s="1192"/>
      <c r="V108" s="2889"/>
      <c r="W108" s="365">
        <f>IF('Q2'!F407="対象外",0,'Q2'!F407)</f>
        <v>3</v>
      </c>
      <c r="X108" s="689"/>
      <c r="Z108" s="362">
        <f t="shared" si="36"/>
        <v>3</v>
      </c>
      <c r="AA108" s="580">
        <f>Weight!D108</f>
        <v>0.1</v>
      </c>
      <c r="AB108" s="362">
        <f t="shared" si="37"/>
        <v>0</v>
      </c>
      <c r="AC108" s="580">
        <f>Weight!E108</f>
        <v>0</v>
      </c>
      <c r="AD108" s="2922"/>
      <c r="AE108" s="689"/>
      <c r="AF108" s="355">
        <f>Weight!M108</f>
        <v>0.1</v>
      </c>
      <c r="AG108" s="119"/>
      <c r="AH108" s="355">
        <f>Weight!N108</f>
        <v>0</v>
      </c>
      <c r="AI108" s="2937"/>
      <c r="AJ108" s="2937"/>
      <c r="AK108" s="3137" t="str">
        <f>Weight!C108</f>
        <v>Ease of Electrical Wiring Renewal</v>
      </c>
    </row>
    <row r="109" spans="2:37" s="1105" customFormat="1" ht="14.25" customHeight="1">
      <c r="B109" s="2974"/>
      <c r="C109" s="728"/>
      <c r="D109" s="2982">
        <v>4</v>
      </c>
      <c r="E109" s="2596" t="s">
        <v>1621</v>
      </c>
      <c r="F109" s="2940"/>
      <c r="G109" s="2940"/>
      <c r="H109" s="2958"/>
      <c r="I109" s="3881">
        <f>'Q2'!L413</f>
        <v>0</v>
      </c>
      <c r="J109" s="3882"/>
      <c r="K109" s="3882"/>
      <c r="L109" s="3882"/>
      <c r="M109" s="3882"/>
      <c r="N109" s="3882"/>
      <c r="O109" s="3882"/>
      <c r="P109" s="3883"/>
      <c r="Q109" s="772">
        <f t="shared" si="22"/>
        <v>3</v>
      </c>
      <c r="R109" s="1221">
        <f t="shared" si="26"/>
        <v>0.1</v>
      </c>
      <c r="S109" s="1222">
        <f t="shared" si="23"/>
        <v>0</v>
      </c>
      <c r="T109" s="1191">
        <f t="shared" si="27"/>
        <v>0</v>
      </c>
      <c r="U109" s="1192"/>
      <c r="V109" s="2889"/>
      <c r="W109" s="365">
        <f>IF('Q2'!K407="対象外",0,'Q2'!K407)</f>
        <v>3</v>
      </c>
      <c r="X109" s="689"/>
      <c r="Z109" s="362">
        <f t="shared" si="36"/>
        <v>3</v>
      </c>
      <c r="AA109" s="580">
        <f>Weight!D109</f>
        <v>0.1</v>
      </c>
      <c r="AB109" s="362">
        <f t="shared" si="37"/>
        <v>0</v>
      </c>
      <c r="AC109" s="580">
        <f>Weight!E109</f>
        <v>0</v>
      </c>
      <c r="AD109" s="2922"/>
      <c r="AE109" s="689"/>
      <c r="AF109" s="355">
        <f>Weight!M109</f>
        <v>0.1</v>
      </c>
      <c r="AG109" s="119"/>
      <c r="AH109" s="355">
        <f>Weight!N109</f>
        <v>0</v>
      </c>
      <c r="AI109" s="2937"/>
      <c r="AJ109" s="2937"/>
      <c r="AK109" s="3137" t="str">
        <f>Weight!C109</f>
        <v>Ease of Communications Cable Renewal</v>
      </c>
    </row>
    <row r="110" spans="2:37" s="1105" customFormat="1" ht="14.25" customHeight="1">
      <c r="B110" s="2974"/>
      <c r="C110" s="728"/>
      <c r="D110" s="2043">
        <v>5</v>
      </c>
      <c r="E110" s="2941" t="s">
        <v>1622</v>
      </c>
      <c r="F110" s="2941"/>
      <c r="G110" s="2941"/>
      <c r="H110" s="2963"/>
      <c r="I110" s="3881">
        <f>'Q2'!G423</f>
        <v>0</v>
      </c>
      <c r="J110" s="3882"/>
      <c r="K110" s="3882"/>
      <c r="L110" s="3882"/>
      <c r="M110" s="3882"/>
      <c r="N110" s="3882"/>
      <c r="O110" s="3882"/>
      <c r="P110" s="3883"/>
      <c r="Q110" s="772">
        <f t="shared" si="22"/>
        <v>3</v>
      </c>
      <c r="R110" s="1221">
        <f t="shared" ref="R110:R149" si="38">AA110</f>
        <v>0.2</v>
      </c>
      <c r="S110" s="1222">
        <f t="shared" si="23"/>
        <v>0</v>
      </c>
      <c r="T110" s="1191">
        <f t="shared" ref="T110:T149" si="39">AC110</f>
        <v>0</v>
      </c>
      <c r="U110" s="1192"/>
      <c r="V110" s="2889"/>
      <c r="W110" s="365">
        <f>IF('Q2'!F417="対象外",0,'Q2'!F417)</f>
        <v>3</v>
      </c>
      <c r="X110" s="689"/>
      <c r="Z110" s="362">
        <f t="shared" si="36"/>
        <v>3</v>
      </c>
      <c r="AA110" s="580">
        <f>Weight!D110</f>
        <v>0.2</v>
      </c>
      <c r="AB110" s="362">
        <f t="shared" si="37"/>
        <v>0</v>
      </c>
      <c r="AC110" s="580">
        <f>Weight!E110</f>
        <v>0</v>
      </c>
      <c r="AD110" s="2922"/>
      <c r="AE110" s="689"/>
      <c r="AF110" s="355">
        <f>Weight!M110</f>
        <v>0.2</v>
      </c>
      <c r="AG110" s="119"/>
      <c r="AH110" s="355">
        <f>Weight!N110</f>
        <v>0</v>
      </c>
      <c r="AI110" s="2937"/>
      <c r="AJ110" s="2937"/>
      <c r="AK110" s="3137" t="str">
        <f>Weight!C110</f>
        <v>Ease of Equipment Renewal</v>
      </c>
    </row>
    <row r="111" spans="2:37" s="1105" customFormat="1" ht="14.25" customHeight="1" thickBot="1">
      <c r="B111" s="3005"/>
      <c r="C111" s="917"/>
      <c r="D111" s="3006">
        <v>6</v>
      </c>
      <c r="E111" s="3007" t="s">
        <v>1623</v>
      </c>
      <c r="F111" s="3007"/>
      <c r="G111" s="3007"/>
      <c r="H111" s="3008"/>
      <c r="I111" s="3881">
        <f>'Q2'!L423</f>
        <v>0</v>
      </c>
      <c r="J111" s="3882"/>
      <c r="K111" s="3882"/>
      <c r="L111" s="3882"/>
      <c r="M111" s="3882"/>
      <c r="N111" s="3882"/>
      <c r="O111" s="3882"/>
      <c r="P111" s="3883"/>
      <c r="Q111" s="852">
        <f t="shared" si="22"/>
        <v>3</v>
      </c>
      <c r="R111" s="1228">
        <f t="shared" si="38"/>
        <v>0.2</v>
      </c>
      <c r="S111" s="1229">
        <f t="shared" si="23"/>
        <v>0</v>
      </c>
      <c r="T111" s="1230">
        <f t="shared" si="39"/>
        <v>0</v>
      </c>
      <c r="U111" s="1231"/>
      <c r="V111" s="2889"/>
      <c r="W111" s="588">
        <f>IF('Q2'!K417="対象外",0,'Q2'!K417)</f>
        <v>3</v>
      </c>
      <c r="X111" s="689"/>
      <c r="Z111" s="362">
        <f t="shared" si="36"/>
        <v>3</v>
      </c>
      <c r="AA111" s="580">
        <f>Weight!D111</f>
        <v>0.2</v>
      </c>
      <c r="AB111" s="362">
        <f t="shared" si="37"/>
        <v>0</v>
      </c>
      <c r="AC111" s="580">
        <f>Weight!E111</f>
        <v>0</v>
      </c>
      <c r="AD111" s="2922"/>
      <c r="AE111" s="689"/>
      <c r="AF111" s="355">
        <f>Weight!M111</f>
        <v>0.2</v>
      </c>
      <c r="AG111" s="119"/>
      <c r="AH111" s="355">
        <f>Weight!N111</f>
        <v>0</v>
      </c>
      <c r="AI111" s="2937"/>
      <c r="AJ111" s="2937"/>
      <c r="AK111" s="3137" t="str">
        <f>Weight!C111</f>
        <v>Provision of Backup Space</v>
      </c>
    </row>
    <row r="112" spans="2:37" s="1105" customFormat="1" ht="14.25" customHeight="1" thickBot="1">
      <c r="B112" s="2983" t="s">
        <v>1624</v>
      </c>
      <c r="C112" s="2984"/>
      <c r="D112" s="2984"/>
      <c r="E112" s="2984"/>
      <c r="F112" s="2984"/>
      <c r="G112" s="2984"/>
      <c r="H112" s="3009"/>
      <c r="I112" s="3010"/>
      <c r="J112" s="3011"/>
      <c r="K112" s="3011"/>
      <c r="L112" s="3011"/>
      <c r="M112" s="3011"/>
      <c r="N112" s="3011"/>
      <c r="O112" s="3011"/>
      <c r="P112" s="3012"/>
      <c r="Q112" s="3013">
        <f t="shared" si="22"/>
        <v>0</v>
      </c>
      <c r="R112" s="1211">
        <f t="shared" si="38"/>
        <v>0.3</v>
      </c>
      <c r="S112" s="1212">
        <f t="shared" si="23"/>
        <v>0</v>
      </c>
      <c r="T112" s="1213">
        <f t="shared" si="39"/>
        <v>0</v>
      </c>
      <c r="U112" s="1214">
        <f>ROUNDDOWN(AD112,1)</f>
        <v>3</v>
      </c>
      <c r="V112" s="2889"/>
      <c r="W112" s="693"/>
      <c r="X112" s="689"/>
      <c r="Z112" s="363"/>
      <c r="AA112" s="357">
        <f>Weight!D112</f>
        <v>0.3</v>
      </c>
      <c r="AB112" s="363"/>
      <c r="AC112" s="357"/>
      <c r="AD112" s="2923">
        <f>AD113*AA113+AA114*AD114+AD116*AA116+AD117*AA117</f>
        <v>3</v>
      </c>
      <c r="AE112" s="689"/>
      <c r="AF112" s="355">
        <f>Weight!M112</f>
        <v>0.3</v>
      </c>
      <c r="AG112" s="119"/>
      <c r="AH112" s="355">
        <f>Weight!N112</f>
        <v>0</v>
      </c>
      <c r="AI112" s="355" t="s">
        <v>797</v>
      </c>
      <c r="AJ112" s="355" t="s">
        <v>1045</v>
      </c>
      <c r="AK112" s="3137" t="str">
        <f>Weight!C112</f>
        <v>Outdoor Environment on Site</v>
      </c>
    </row>
    <row r="113" spans="2:37" s="1105" customFormat="1" ht="15">
      <c r="B113" s="2931">
        <v>1</v>
      </c>
      <c r="C113" s="5" t="s">
        <v>1625</v>
      </c>
      <c r="D113" s="1150"/>
      <c r="E113" s="1150"/>
      <c r="F113" s="1150"/>
      <c r="G113" s="1150"/>
      <c r="H113" s="2933"/>
      <c r="I113" s="3884">
        <f>'Q3'!G19</f>
        <v>0</v>
      </c>
      <c r="J113" s="3885"/>
      <c r="K113" s="3885"/>
      <c r="L113" s="3885"/>
      <c r="M113" s="3885"/>
      <c r="N113" s="3885"/>
      <c r="O113" s="3885"/>
      <c r="P113" s="3886"/>
      <c r="Q113" s="871">
        <f t="shared" si="22"/>
        <v>3</v>
      </c>
      <c r="R113" s="1221">
        <f t="shared" si="38"/>
        <v>0.3</v>
      </c>
      <c r="S113" s="1232">
        <f t="shared" si="23"/>
        <v>0</v>
      </c>
      <c r="T113" s="1191">
        <f t="shared" si="39"/>
        <v>0</v>
      </c>
      <c r="U113" s="1192">
        <f>ROUNDDOWN(AD113,1)</f>
        <v>3</v>
      </c>
      <c r="V113" s="2889"/>
      <c r="W113" s="587">
        <f>IF('Q3'!F13="対象外",0,'Q3'!F13)</f>
        <v>3</v>
      </c>
      <c r="X113" s="689"/>
      <c r="Z113" s="686">
        <f t="shared" ref="Z113:Z116" si="40">IF(AA113=0,0,W113)</f>
        <v>3</v>
      </c>
      <c r="AA113" s="580">
        <f>Weight!D113</f>
        <v>0.3</v>
      </c>
      <c r="AB113" s="686">
        <f t="shared" ref="AB113:AB116" si="41">IF(AC113=0,0,X113)</f>
        <v>0</v>
      </c>
      <c r="AC113" s="580">
        <f>Weight!E113</f>
        <v>0</v>
      </c>
      <c r="AD113" s="2922">
        <f>IF(AB113=0,Z113,IF(Z113=0,AB113,Z113*AF$6+AB113*AH$6))</f>
        <v>3</v>
      </c>
      <c r="AE113" s="689"/>
      <c r="AF113" s="355">
        <f>Weight!M113</f>
        <v>0.3</v>
      </c>
      <c r="AG113" s="119"/>
      <c r="AH113" s="355">
        <f>Weight!N113</f>
        <v>0</v>
      </c>
      <c r="AI113" s="2937"/>
      <c r="AJ113" s="2937"/>
      <c r="AK113" s="3137" t="str">
        <f>Weight!C113</f>
        <v>Preservation &amp; Creation of Biotope</v>
      </c>
    </row>
    <row r="114" spans="2:37" s="1105" customFormat="1" ht="15.75" hidden="1" thickBot="1">
      <c r="B114" s="3014"/>
      <c r="C114" s="3015"/>
      <c r="D114" s="2992"/>
      <c r="E114" s="2941"/>
      <c r="F114" s="2941"/>
      <c r="G114" s="2941"/>
      <c r="H114" s="2963"/>
      <c r="I114" s="2959"/>
      <c r="J114" s="2960"/>
      <c r="K114" s="2960"/>
      <c r="L114" s="2960"/>
      <c r="M114" s="2960"/>
      <c r="N114" s="2960"/>
      <c r="O114" s="2960"/>
      <c r="P114" s="2961"/>
      <c r="Q114" s="1233">
        <f t="shared" si="22"/>
        <v>0</v>
      </c>
      <c r="R114" s="1203">
        <f>AA114</f>
        <v>0</v>
      </c>
      <c r="S114" s="1202">
        <f t="shared" si="23"/>
        <v>0</v>
      </c>
      <c r="T114" s="1205">
        <f t="shared" si="39"/>
        <v>0</v>
      </c>
      <c r="U114" s="1201">
        <f>ROUNDDOWN(AD114,1)</f>
        <v>0</v>
      </c>
      <c r="V114" s="2889"/>
      <c r="W114" s="705">
        <v>100</v>
      </c>
      <c r="X114" s="689"/>
      <c r="Z114" s="685">
        <f t="shared" si="40"/>
        <v>0</v>
      </c>
      <c r="AA114" s="580">
        <f>Weight!D114</f>
        <v>0</v>
      </c>
      <c r="AB114" s="685">
        <f t="shared" si="41"/>
        <v>0</v>
      </c>
      <c r="AC114" s="360">
        <f>SUM(AC115)</f>
        <v>0</v>
      </c>
      <c r="AD114" s="2922">
        <f>IF(AB114=0,Z114,IF(Z114=0,AB114,Z114*AF$6+AB114*AH$6))</f>
        <v>0</v>
      </c>
      <c r="AE114" s="689"/>
      <c r="AF114" s="355">
        <f>Weight!M114</f>
        <v>0</v>
      </c>
      <c r="AG114" s="119"/>
      <c r="AH114" s="360">
        <f>SUM(AH115)</f>
        <v>0</v>
      </c>
      <c r="AI114" s="2937"/>
      <c r="AJ114" s="2937"/>
      <c r="AK114" s="3137">
        <f>Weight!C114</f>
        <v>0</v>
      </c>
    </row>
    <row r="115" spans="2:37" s="1105" customFormat="1" ht="15" hidden="1">
      <c r="B115" s="3016"/>
      <c r="C115" s="3017"/>
      <c r="D115" s="3018"/>
      <c r="E115" s="3019"/>
      <c r="F115" s="3019"/>
      <c r="G115" s="3019"/>
      <c r="H115" s="2981"/>
      <c r="I115" s="3887"/>
      <c r="J115" s="3888"/>
      <c r="K115" s="3888"/>
      <c r="L115" s="3888"/>
      <c r="M115" s="3888"/>
      <c r="N115" s="3888"/>
      <c r="O115" s="3888"/>
      <c r="P115" s="3889"/>
      <c r="Q115" s="871">
        <f t="shared" si="22"/>
        <v>0</v>
      </c>
      <c r="R115" s="1234">
        <f>AA115</f>
        <v>0</v>
      </c>
      <c r="S115" s="1235">
        <f t="shared" si="23"/>
        <v>0</v>
      </c>
      <c r="T115" s="1200">
        <f t="shared" si="39"/>
        <v>0</v>
      </c>
      <c r="U115" s="1201"/>
      <c r="V115" s="2889"/>
      <c r="W115" s="705">
        <v>100</v>
      </c>
      <c r="X115" s="689"/>
      <c r="Z115" s="684">
        <f t="shared" si="40"/>
        <v>0</v>
      </c>
      <c r="AA115" s="580">
        <f>Weight!D115</f>
        <v>0</v>
      </c>
      <c r="AB115" s="684">
        <f t="shared" si="41"/>
        <v>0</v>
      </c>
      <c r="AC115" s="580">
        <f>Weight!E115</f>
        <v>0</v>
      </c>
      <c r="AD115" s="2922"/>
      <c r="AE115" s="689"/>
      <c r="AF115" s="355">
        <f>Weight!M115</f>
        <v>0</v>
      </c>
      <c r="AG115" s="119"/>
      <c r="AH115" s="355">
        <f>Weight!N115</f>
        <v>0</v>
      </c>
      <c r="AI115" s="2937"/>
      <c r="AJ115" s="2937"/>
      <c r="AK115" s="3137">
        <f>Weight!C115</f>
        <v>0</v>
      </c>
    </row>
    <row r="116" spans="2:37" s="1105" customFormat="1" ht="15.75" thickBot="1">
      <c r="B116" s="3020">
        <v>2</v>
      </c>
      <c r="C116" s="2955" t="s">
        <v>1626</v>
      </c>
      <c r="D116" s="2941"/>
      <c r="E116" s="2941"/>
      <c r="F116" s="2941"/>
      <c r="G116" s="2941"/>
      <c r="H116" s="2963"/>
      <c r="I116" s="3887">
        <f>'Q3'!G51</f>
        <v>0</v>
      </c>
      <c r="J116" s="3888"/>
      <c r="K116" s="3888"/>
      <c r="L116" s="3888"/>
      <c r="M116" s="3888"/>
      <c r="N116" s="3888"/>
      <c r="O116" s="3888"/>
      <c r="P116" s="3889"/>
      <c r="Q116" s="866">
        <f t="shared" si="22"/>
        <v>3</v>
      </c>
      <c r="R116" s="1234">
        <f t="shared" si="38"/>
        <v>0.4</v>
      </c>
      <c r="S116" s="1235">
        <f t="shared" si="23"/>
        <v>0</v>
      </c>
      <c r="T116" s="1200">
        <f t="shared" si="39"/>
        <v>0</v>
      </c>
      <c r="U116" s="1201">
        <f>ROUNDDOWN(AD116,1)</f>
        <v>3</v>
      </c>
      <c r="V116" s="2889"/>
      <c r="W116" s="588">
        <f>IF('Q3'!F45="対象外",0,'Q3'!F45)</f>
        <v>3</v>
      </c>
      <c r="X116" s="689"/>
      <c r="Z116" s="686">
        <f t="shared" si="40"/>
        <v>3</v>
      </c>
      <c r="AA116" s="580">
        <f>Weight!D116</f>
        <v>0.4</v>
      </c>
      <c r="AB116" s="686">
        <f t="shared" si="41"/>
        <v>0</v>
      </c>
      <c r="AC116" s="580">
        <f>Weight!E116</f>
        <v>0</v>
      </c>
      <c r="AD116" s="2922">
        <f>IF(AB116=0,Z116,IF(Z116=0,AB116,Z116*AF$6+AB116*AH$6))</f>
        <v>3</v>
      </c>
      <c r="AE116" s="689"/>
      <c r="AF116" s="355">
        <f>Weight!M116</f>
        <v>0.4</v>
      </c>
      <c r="AG116" s="119"/>
      <c r="AH116" s="355">
        <f>Weight!N116</f>
        <v>0</v>
      </c>
      <c r="AI116" s="2937"/>
      <c r="AJ116" s="2937"/>
      <c r="AK116" s="3137" t="str">
        <f>Weight!C116</f>
        <v>Townscape &amp; Landscape</v>
      </c>
    </row>
    <row r="117" spans="2:37" s="1105" customFormat="1" ht="15.75" thickBot="1">
      <c r="B117" s="2954">
        <v>3</v>
      </c>
      <c r="C117" s="3021" t="s">
        <v>1627</v>
      </c>
      <c r="D117" s="3019"/>
      <c r="E117" s="3019"/>
      <c r="F117" s="3019"/>
      <c r="G117" s="3019"/>
      <c r="H117" s="2981"/>
      <c r="I117" s="2959"/>
      <c r="J117" s="2960"/>
      <c r="K117" s="2960"/>
      <c r="L117" s="2960"/>
      <c r="M117" s="2960"/>
      <c r="N117" s="2960"/>
      <c r="O117" s="2960"/>
      <c r="P117" s="2961"/>
      <c r="Q117" s="1210">
        <f t="shared" si="22"/>
        <v>3</v>
      </c>
      <c r="R117" s="1236">
        <f>AA117</f>
        <v>0.3</v>
      </c>
      <c r="S117" s="1237">
        <f t="shared" si="23"/>
        <v>0</v>
      </c>
      <c r="T117" s="1200">
        <f t="shared" si="39"/>
        <v>0</v>
      </c>
      <c r="U117" s="1201">
        <f>ROUNDDOWN(AD117,1)</f>
        <v>3</v>
      </c>
      <c r="V117" s="2889"/>
      <c r="W117" s="367"/>
      <c r="X117" s="689"/>
      <c r="Z117" s="685">
        <f>Z118*AA118+Z119*AA119</f>
        <v>3</v>
      </c>
      <c r="AA117" s="580">
        <f>Weight!D117</f>
        <v>0.3</v>
      </c>
      <c r="AB117" s="685">
        <f>AB118*AC118+AB119*AC119</f>
        <v>0</v>
      </c>
      <c r="AC117" s="360">
        <f>SUM(AC118,AC119)</f>
        <v>0</v>
      </c>
      <c r="AD117" s="2922">
        <f>IF(AB117=0,Z117,IF(Z117=0,AB117,Z117*AF$6+AB117*AH$6))</f>
        <v>3</v>
      </c>
      <c r="AE117" s="689"/>
      <c r="AF117" s="355">
        <f>Weight!M117</f>
        <v>0.3</v>
      </c>
      <c r="AG117" s="119"/>
      <c r="AH117" s="360">
        <f>SUM(AH118,AH119)</f>
        <v>0</v>
      </c>
      <c r="AI117" s="2937"/>
      <c r="AJ117" s="2937"/>
      <c r="AK117" s="3137" t="str">
        <f>Weight!C117</f>
        <v>Local Characteristics &amp; Outdoor Amenity</v>
      </c>
    </row>
    <row r="118" spans="2:37" s="1105" customFormat="1" ht="21.6" customHeight="1">
      <c r="B118" s="2931"/>
      <c r="C118" s="2951">
        <v>3.1</v>
      </c>
      <c r="D118" s="3879" t="s">
        <v>3408</v>
      </c>
      <c r="E118" s="3879"/>
      <c r="F118" s="3879"/>
      <c r="G118" s="3879"/>
      <c r="H118" s="3880"/>
      <c r="I118" s="3884">
        <f>'Q3'!G72</f>
        <v>0</v>
      </c>
      <c r="J118" s="3885"/>
      <c r="K118" s="3885"/>
      <c r="L118" s="3885"/>
      <c r="M118" s="3885"/>
      <c r="N118" s="3885"/>
      <c r="O118" s="3885"/>
      <c r="P118" s="3886"/>
      <c r="Q118" s="871">
        <f t="shared" si="22"/>
        <v>3</v>
      </c>
      <c r="R118" s="1221">
        <f t="shared" si="38"/>
        <v>0.5</v>
      </c>
      <c r="S118" s="1220">
        <f t="shared" si="23"/>
        <v>0</v>
      </c>
      <c r="T118" s="1191">
        <f t="shared" si="39"/>
        <v>0</v>
      </c>
      <c r="U118" s="1192"/>
      <c r="V118" s="2889"/>
      <c r="W118" s="587">
        <f>IF('Q3'!F66="対象外",0,'Q3'!F66)</f>
        <v>3</v>
      </c>
      <c r="X118" s="689"/>
      <c r="Z118" s="684">
        <f t="shared" ref="Z118:Z119" si="42">IF(AA118=0,0,W118)</f>
        <v>3</v>
      </c>
      <c r="AA118" s="580">
        <f>Weight!D118</f>
        <v>0.5</v>
      </c>
      <c r="AB118" s="684">
        <f t="shared" ref="AB118:AB119" si="43">IF(AC118=0,0,X118)</f>
        <v>0</v>
      </c>
      <c r="AC118" s="580">
        <f>Weight!E118</f>
        <v>0</v>
      </c>
      <c r="AD118" s="2922"/>
      <c r="AE118" s="689"/>
      <c r="AF118" s="355">
        <f>Weight!M118</f>
        <v>0.5</v>
      </c>
      <c r="AG118" s="119"/>
      <c r="AH118" s="355">
        <f>Weight!N118</f>
        <v>0</v>
      </c>
      <c r="AI118" s="2937"/>
      <c r="AJ118" s="2937"/>
      <c r="AK118" s="3137" t="str">
        <f>Weight!C118</f>
        <v>Attention to Local Character &amp; Improvement of Comfort</v>
      </c>
    </row>
    <row r="119" spans="2:37" s="1105" customFormat="1" ht="21.6" customHeight="1" thickBot="1">
      <c r="B119" s="2931"/>
      <c r="C119" s="2953">
        <v>3.2</v>
      </c>
      <c r="D119" s="3879" t="s">
        <v>1628</v>
      </c>
      <c r="E119" s="3879"/>
      <c r="F119" s="3879"/>
      <c r="G119" s="3879"/>
      <c r="H119" s="3880"/>
      <c r="I119" s="3881">
        <f>'Q3'!G106</f>
        <v>0</v>
      </c>
      <c r="J119" s="3882"/>
      <c r="K119" s="3882"/>
      <c r="L119" s="3882"/>
      <c r="M119" s="3882"/>
      <c r="N119" s="3882"/>
      <c r="O119" s="3882"/>
      <c r="P119" s="3883"/>
      <c r="Q119" s="866">
        <f t="shared" si="22"/>
        <v>3</v>
      </c>
      <c r="R119" s="1221">
        <f t="shared" si="38"/>
        <v>0.5</v>
      </c>
      <c r="S119" s="1220">
        <f t="shared" si="23"/>
        <v>0</v>
      </c>
      <c r="T119" s="1238">
        <f t="shared" si="39"/>
        <v>0</v>
      </c>
      <c r="U119" s="1192"/>
      <c r="V119" s="2889"/>
      <c r="W119" s="588">
        <f>IF('Q3'!F100="対象外",0,'Q3'!F100)</f>
        <v>3</v>
      </c>
      <c r="X119" s="689"/>
      <c r="Z119" s="684">
        <f t="shared" si="42"/>
        <v>3</v>
      </c>
      <c r="AA119" s="580">
        <f>Weight!D119</f>
        <v>0.5</v>
      </c>
      <c r="AB119" s="684">
        <f t="shared" si="43"/>
        <v>0</v>
      </c>
      <c r="AC119" s="580">
        <f>Weight!E119</f>
        <v>0</v>
      </c>
      <c r="AD119" s="2922"/>
      <c r="AE119" s="689"/>
      <c r="AF119" s="355">
        <f>Weight!M119</f>
        <v>0.5</v>
      </c>
      <c r="AG119" s="119"/>
      <c r="AH119" s="355">
        <f>Weight!N119</f>
        <v>0</v>
      </c>
      <c r="AI119" s="2937"/>
      <c r="AJ119" s="2937"/>
      <c r="AK119" s="3137" t="str">
        <f>Weight!C119</f>
        <v>Improvement of the Thermal Environment on Site</v>
      </c>
    </row>
    <row r="120" spans="2:37" s="1105" customFormat="1" ht="15.75" hidden="1" thickBot="1">
      <c r="B120" s="3023"/>
      <c r="C120" s="3024"/>
      <c r="D120" s="3025"/>
      <c r="E120" s="3026"/>
      <c r="F120" s="3026"/>
      <c r="G120" s="3026"/>
      <c r="H120" s="3027"/>
      <c r="I120" s="3881"/>
      <c r="J120" s="3882"/>
      <c r="K120" s="3882"/>
      <c r="L120" s="3882"/>
      <c r="M120" s="3882"/>
      <c r="N120" s="3882"/>
      <c r="O120" s="3882"/>
      <c r="P120" s="3883"/>
      <c r="Q120" s="1225">
        <f t="shared" si="22"/>
        <v>0</v>
      </c>
      <c r="R120" s="1239">
        <f t="shared" si="38"/>
        <v>0</v>
      </c>
      <c r="S120" s="1240">
        <f t="shared" si="23"/>
        <v>0</v>
      </c>
      <c r="T120" s="1241">
        <f t="shared" si="39"/>
        <v>0</v>
      </c>
      <c r="U120" s="1192"/>
      <c r="V120" s="2889"/>
      <c r="W120" s="691"/>
      <c r="X120" s="689"/>
      <c r="Z120" s="363"/>
      <c r="AA120" s="357">
        <f>Weight!D120</f>
        <v>0</v>
      </c>
      <c r="AB120" s="363"/>
      <c r="AC120" s="357">
        <f>Weight!E120</f>
        <v>0</v>
      </c>
      <c r="AD120" s="2922"/>
      <c r="AE120" s="689"/>
      <c r="AF120" s="355">
        <f>Weight!M120</f>
        <v>0</v>
      </c>
      <c r="AG120" s="119"/>
      <c r="AH120" s="355">
        <f>Weight!N120</f>
        <v>0</v>
      </c>
      <c r="AI120" s="2937"/>
      <c r="AJ120" s="2937"/>
      <c r="AK120" s="3137">
        <f>Weight!C120</f>
        <v>0</v>
      </c>
    </row>
    <row r="121" spans="2:37" s="1105" customFormat="1" ht="16.5" thickBot="1">
      <c r="B121" s="3028" t="s">
        <v>1536</v>
      </c>
      <c r="C121" s="3029"/>
      <c r="D121" s="3029"/>
      <c r="E121" s="3029"/>
      <c r="F121" s="3029"/>
      <c r="G121" s="3029"/>
      <c r="H121" s="3030"/>
      <c r="I121" s="3031"/>
      <c r="J121" s="3032"/>
      <c r="K121" s="3032"/>
      <c r="L121" s="3032"/>
      <c r="M121" s="3032"/>
      <c r="N121" s="3032"/>
      <c r="O121" s="3032"/>
      <c r="P121" s="3033"/>
      <c r="Q121" s="3034"/>
      <c r="R121" s="1242">
        <f t="shared" si="38"/>
        <v>0</v>
      </c>
      <c r="S121" s="1243"/>
      <c r="T121" s="1244">
        <f t="shared" si="39"/>
        <v>0</v>
      </c>
      <c r="U121" s="1245" t="e">
        <f>ROUNDDOWN(AD121,1)</f>
        <v>#VALUE!</v>
      </c>
      <c r="V121" s="2889"/>
      <c r="W121" s="369"/>
      <c r="X121" s="689"/>
      <c r="Z121" s="363"/>
      <c r="AA121" s="580">
        <f>Weight!D121</f>
        <v>0</v>
      </c>
      <c r="AB121" s="363"/>
      <c r="AC121" s="580"/>
      <c r="AD121" s="2923" t="e">
        <f>AA122*AD122+AA147*AD147+AA174*AD174</f>
        <v>#VALUE!</v>
      </c>
      <c r="AE121" s="689"/>
      <c r="AF121" s="355">
        <f>Weight!M121</f>
        <v>0</v>
      </c>
      <c r="AG121" s="119"/>
      <c r="AH121" s="355">
        <f>Weight!N121</f>
        <v>0</v>
      </c>
      <c r="AI121" s="2937"/>
      <c r="AJ121" s="2937"/>
      <c r="AK121" s="3137" t="str">
        <f>Weight!C121</f>
        <v>Environmental Load Reduction of Building</v>
      </c>
    </row>
    <row r="122" spans="2:37" s="1105" customFormat="1" ht="15.75" thickBot="1">
      <c r="B122" s="3035" t="s">
        <v>1502</v>
      </c>
      <c r="C122" s="2925" t="s">
        <v>1629</v>
      </c>
      <c r="D122" s="2925"/>
      <c r="E122" s="2925"/>
      <c r="F122" s="2925"/>
      <c r="G122" s="2925"/>
      <c r="H122" s="3036"/>
      <c r="I122" s="2927"/>
      <c r="J122" s="2928"/>
      <c r="K122" s="2928"/>
      <c r="L122" s="2928"/>
      <c r="M122" s="2928"/>
      <c r="N122" s="2928"/>
      <c r="O122" s="2928"/>
      <c r="P122" s="2929"/>
      <c r="Q122" s="3037">
        <f t="shared" si="22"/>
        <v>0</v>
      </c>
      <c r="R122" s="1186" t="e">
        <f t="shared" si="38"/>
        <v>#VALUE!</v>
      </c>
      <c r="S122" s="1187">
        <f t="shared" si="23"/>
        <v>0</v>
      </c>
      <c r="T122" s="1246">
        <f t="shared" si="39"/>
        <v>0</v>
      </c>
      <c r="U122" s="1188">
        <f>ROUNDDOWN(AD122,1)</f>
        <v>4</v>
      </c>
      <c r="V122" s="2889"/>
      <c r="W122" s="369"/>
      <c r="X122" s="689"/>
      <c r="Z122" s="363"/>
      <c r="AA122" s="357" t="e">
        <f>Weight!D122</f>
        <v>#VALUE!</v>
      </c>
      <c r="AB122" s="363"/>
      <c r="AC122" s="357"/>
      <c r="AD122" s="2923">
        <f>AD123*AA123+AD124*AA124+AD129*AA129+AD138*AA138</f>
        <v>4</v>
      </c>
      <c r="AE122" s="689"/>
      <c r="AF122" s="355">
        <f>Weight!M122</f>
        <v>0.4</v>
      </c>
      <c r="AG122" s="119"/>
      <c r="AH122" s="355">
        <f>Weight!N122</f>
        <v>0</v>
      </c>
      <c r="AI122" s="355" t="s">
        <v>797</v>
      </c>
      <c r="AJ122" s="355" t="s">
        <v>1045</v>
      </c>
      <c r="AK122" s="3137" t="str">
        <f>Weight!C122</f>
        <v>Energy</v>
      </c>
    </row>
    <row r="123" spans="2:37" s="1105" customFormat="1" ht="14.25" customHeight="1" thickBot="1">
      <c r="B123" s="2931">
        <v>1</v>
      </c>
      <c r="C123" s="5" t="s">
        <v>2405</v>
      </c>
      <c r="D123" s="5"/>
      <c r="E123" s="5"/>
      <c r="F123" s="5"/>
      <c r="G123" s="5"/>
      <c r="H123" s="3038"/>
      <c r="I123" s="3884">
        <f>'LR1'!G28</f>
        <v>0</v>
      </c>
      <c r="J123" s="3885"/>
      <c r="K123" s="3885"/>
      <c r="L123" s="3885"/>
      <c r="M123" s="3885"/>
      <c r="N123" s="3885"/>
      <c r="O123" s="3885"/>
      <c r="P123" s="3886"/>
      <c r="Q123" s="1247">
        <f t="shared" si="22"/>
        <v>3</v>
      </c>
      <c r="R123" s="1221">
        <f t="shared" si="38"/>
        <v>0.2</v>
      </c>
      <c r="S123" s="1248">
        <f t="shared" si="23"/>
        <v>0</v>
      </c>
      <c r="T123" s="1191">
        <f t="shared" si="39"/>
        <v>0</v>
      </c>
      <c r="U123" s="1192">
        <f>ROUNDDOWN(AD123,1)</f>
        <v>3</v>
      </c>
      <c r="V123" s="2889"/>
      <c r="W123" s="587">
        <f>'LR1'!F21</f>
        <v>3</v>
      </c>
      <c r="X123" s="689"/>
      <c r="Z123" s="686">
        <f t="shared" ref="Z123:Z131" si="44">IF(AA123=0,0,W123)</f>
        <v>3</v>
      </c>
      <c r="AA123" s="580">
        <f>Weight!D123</f>
        <v>0.2</v>
      </c>
      <c r="AB123" s="686">
        <f t="shared" ref="AB123:AB131" si="45">IF(AC123=0,0,X123)</f>
        <v>0</v>
      </c>
      <c r="AC123" s="580">
        <f>Weight!E123</f>
        <v>0</v>
      </c>
      <c r="AD123" s="2922">
        <f>IF(AB123=0,Z123,Z123*AF$6+AB123*AH$6)</f>
        <v>3</v>
      </c>
      <c r="AE123" s="689"/>
      <c r="AF123" s="355">
        <f>Weight!M123</f>
        <v>0.2</v>
      </c>
      <c r="AG123" s="119"/>
      <c r="AH123" s="355">
        <f>Weight!N123</f>
        <v>0</v>
      </c>
      <c r="AI123" s="2937"/>
      <c r="AJ123" s="2937"/>
      <c r="AK123" s="3137" t="str">
        <f>Weight!C123</f>
        <v>Control of Heat Load on Building Envelopes</v>
      </c>
    </row>
    <row r="124" spans="2:37" s="1105" customFormat="1" ht="15.75" thickBot="1">
      <c r="B124" s="3039">
        <v>2</v>
      </c>
      <c r="C124" s="2955" t="s">
        <v>3349</v>
      </c>
      <c r="D124" s="2955"/>
      <c r="E124" s="2955"/>
      <c r="F124" s="2955"/>
      <c r="G124" s="2955"/>
      <c r="H124" s="3040"/>
      <c r="I124" s="3884">
        <f>'LR1'!G39</f>
        <v>0</v>
      </c>
      <c r="J124" s="3885"/>
      <c r="K124" s="3885"/>
      <c r="L124" s="3885"/>
      <c r="M124" s="3885"/>
      <c r="N124" s="3885"/>
      <c r="O124" s="3885"/>
      <c r="P124" s="3886"/>
      <c r="Q124" s="1247">
        <f t="shared" si="22"/>
        <v>3</v>
      </c>
      <c r="R124" s="1236">
        <f t="shared" si="38"/>
        <v>0.1</v>
      </c>
      <c r="S124" s="1237">
        <f t="shared" si="23"/>
        <v>0</v>
      </c>
      <c r="T124" s="1200">
        <f t="shared" si="39"/>
        <v>0</v>
      </c>
      <c r="U124" s="1201">
        <f>ROUNDDOWN(AD124,1)</f>
        <v>3</v>
      </c>
      <c r="V124" s="2889"/>
      <c r="W124" s="548">
        <f>'LR1'!F33</f>
        <v>3</v>
      </c>
      <c r="X124" s="689"/>
      <c r="Z124" s="686">
        <f t="shared" si="44"/>
        <v>3</v>
      </c>
      <c r="AA124" s="580">
        <f>Weight!D124</f>
        <v>0.1</v>
      </c>
      <c r="AB124" s="686">
        <f t="shared" si="45"/>
        <v>0</v>
      </c>
      <c r="AC124" s="580">
        <f>Weight!E124</f>
        <v>0</v>
      </c>
      <c r="AD124" s="2922">
        <f>IF(AB124=0,Z124,Z124*AF$6+AB124*AH$6)</f>
        <v>3</v>
      </c>
      <c r="AE124" s="689"/>
      <c r="AF124" s="355">
        <f>Weight!M124</f>
        <v>0.1</v>
      </c>
      <c r="AG124" s="119"/>
      <c r="AH124" s="355">
        <f>Weight!N124</f>
        <v>0</v>
      </c>
      <c r="AI124" s="2937"/>
      <c r="AJ124" s="2937"/>
      <c r="AK124" s="3137" t="str">
        <f>Weight!C124</f>
        <v>Natural Energy Utilization (Direct Use)</v>
      </c>
    </row>
    <row r="125" spans="2:37" s="1105" customFormat="1" ht="15.75" hidden="1" thickBot="1">
      <c r="B125" s="2891"/>
      <c r="C125" s="2953"/>
      <c r="D125" s="2955"/>
      <c r="E125" s="2955"/>
      <c r="F125" s="2955"/>
      <c r="G125" s="2955"/>
      <c r="H125" s="3040"/>
      <c r="I125" s="3884"/>
      <c r="J125" s="3885"/>
      <c r="K125" s="3885"/>
      <c r="L125" s="3885"/>
      <c r="M125" s="3885"/>
      <c r="N125" s="3885"/>
      <c r="O125" s="3885"/>
      <c r="P125" s="3886"/>
      <c r="Q125" s="858">
        <f t="shared" si="22"/>
        <v>0</v>
      </c>
      <c r="R125" s="1195">
        <f t="shared" ref="R125:R131" si="46">AA125</f>
        <v>0</v>
      </c>
      <c r="S125" s="1222">
        <f t="shared" si="23"/>
        <v>0</v>
      </c>
      <c r="T125" s="1191">
        <f t="shared" ref="T125:T131" si="47">AC125</f>
        <v>0</v>
      </c>
      <c r="U125" s="1194"/>
      <c r="V125" s="2889"/>
      <c r="W125" s="702"/>
      <c r="X125" s="689"/>
      <c r="Z125" s="2014">
        <f t="shared" si="44"/>
        <v>0</v>
      </c>
      <c r="AA125" s="580">
        <f>Weight!D125</f>
        <v>0</v>
      </c>
      <c r="AB125" s="2014">
        <f t="shared" si="45"/>
        <v>0</v>
      </c>
      <c r="AC125" s="580">
        <f>Weight!E125</f>
        <v>0</v>
      </c>
      <c r="AD125" s="2922"/>
      <c r="AE125" s="689"/>
      <c r="AF125" s="355">
        <f>Weight!M125</f>
        <v>0</v>
      </c>
      <c r="AG125" s="119"/>
      <c r="AH125" s="355">
        <f>Weight!N125</f>
        <v>0</v>
      </c>
      <c r="AI125" s="2937"/>
      <c r="AJ125" s="2937"/>
      <c r="AK125" s="3137">
        <f>Weight!C125</f>
        <v>0</v>
      </c>
    </row>
    <row r="126" spans="2:37" s="1105" customFormat="1" ht="15.75" hidden="1" thickBot="1">
      <c r="B126" s="2891"/>
      <c r="C126" s="2953"/>
      <c r="D126" s="3004" t="s">
        <v>1630</v>
      </c>
      <c r="E126" s="2955"/>
      <c r="F126" s="2955"/>
      <c r="G126" s="2955"/>
      <c r="H126" s="3040"/>
      <c r="I126" s="3881"/>
      <c r="J126" s="3882"/>
      <c r="K126" s="3882"/>
      <c r="L126" s="3882"/>
      <c r="M126" s="3882"/>
      <c r="N126" s="3882"/>
      <c r="O126" s="3882"/>
      <c r="P126" s="3883"/>
      <c r="Q126" s="866">
        <f t="shared" si="22"/>
        <v>0</v>
      </c>
      <c r="R126" s="1195">
        <f t="shared" si="46"/>
        <v>0</v>
      </c>
      <c r="S126" s="1222">
        <f t="shared" si="23"/>
        <v>0</v>
      </c>
      <c r="T126" s="1191">
        <f>AC126</f>
        <v>0</v>
      </c>
      <c r="U126" s="1192"/>
      <c r="V126" s="2889"/>
      <c r="W126" s="702"/>
      <c r="X126" s="689"/>
      <c r="Z126" s="2014">
        <f t="shared" si="44"/>
        <v>0</v>
      </c>
      <c r="AA126" s="580">
        <f>Weight!D126</f>
        <v>0</v>
      </c>
      <c r="AB126" s="2014">
        <f t="shared" si="45"/>
        <v>0</v>
      </c>
      <c r="AC126" s="580">
        <f>Weight!E126</f>
        <v>0</v>
      </c>
      <c r="AD126" s="2922"/>
      <c r="AE126" s="689"/>
      <c r="AF126" s="355">
        <f>Weight!M126</f>
        <v>0</v>
      </c>
      <c r="AG126" s="119"/>
      <c r="AH126" s="355">
        <f>Weight!N126</f>
        <v>0</v>
      </c>
      <c r="AI126" s="2937"/>
      <c r="AJ126" s="2937"/>
      <c r="AK126" s="3137">
        <f>Weight!C126</f>
        <v>0</v>
      </c>
    </row>
    <row r="127" spans="2:37" s="1105" customFormat="1" ht="15.75" hidden="1" thickBot="1">
      <c r="B127" s="2891"/>
      <c r="C127" s="3041"/>
      <c r="D127" s="3004"/>
      <c r="E127" s="2955"/>
      <c r="F127" s="2955"/>
      <c r="G127" s="2955"/>
      <c r="H127" s="3040"/>
      <c r="I127" s="3881"/>
      <c r="J127" s="3882"/>
      <c r="K127" s="3882"/>
      <c r="L127" s="3882"/>
      <c r="M127" s="3882"/>
      <c r="N127" s="3882"/>
      <c r="O127" s="3882"/>
      <c r="P127" s="3883"/>
      <c r="Q127" s="871">
        <f t="shared" si="22"/>
        <v>0</v>
      </c>
      <c r="R127" s="1195">
        <f t="shared" si="46"/>
        <v>0</v>
      </c>
      <c r="S127" s="1222">
        <f t="shared" si="23"/>
        <v>0</v>
      </c>
      <c r="T127" s="1191">
        <f>AC127</f>
        <v>0</v>
      </c>
      <c r="U127" s="1192"/>
      <c r="V127" s="2889"/>
      <c r="W127" s="702"/>
      <c r="X127" s="689"/>
      <c r="Z127" s="2014">
        <f t="shared" si="44"/>
        <v>0</v>
      </c>
      <c r="AA127" s="580">
        <f>Weight!D127</f>
        <v>0</v>
      </c>
      <c r="AB127" s="2014">
        <f t="shared" si="45"/>
        <v>0</v>
      </c>
      <c r="AC127" s="580">
        <f>Weight!E127</f>
        <v>0</v>
      </c>
      <c r="AD127" s="2922"/>
      <c r="AE127" s="689"/>
      <c r="AF127" s="355">
        <f>Weight!M127</f>
        <v>0</v>
      </c>
      <c r="AG127" s="119"/>
      <c r="AH127" s="355">
        <f>Weight!N127</f>
        <v>0</v>
      </c>
      <c r="AI127" s="2937"/>
      <c r="AJ127" s="2937"/>
      <c r="AK127" s="3137">
        <f>Weight!C127</f>
        <v>0</v>
      </c>
    </row>
    <row r="128" spans="2:37" s="1105" customFormat="1" ht="15.75" hidden="1" thickBot="1">
      <c r="B128" s="3042"/>
      <c r="C128" s="3041"/>
      <c r="D128" s="3004"/>
      <c r="E128" s="2955"/>
      <c r="F128" s="2955"/>
      <c r="G128" s="2955"/>
      <c r="H128" s="3040"/>
      <c r="I128" s="3890"/>
      <c r="J128" s="3891"/>
      <c r="K128" s="3891"/>
      <c r="L128" s="3891"/>
      <c r="M128" s="3891"/>
      <c r="N128" s="3891"/>
      <c r="O128" s="3891"/>
      <c r="P128" s="3892"/>
      <c r="Q128" s="866">
        <f t="shared" si="22"/>
        <v>0</v>
      </c>
      <c r="R128" s="1195">
        <f t="shared" si="46"/>
        <v>0</v>
      </c>
      <c r="S128" s="1222">
        <f t="shared" si="23"/>
        <v>0</v>
      </c>
      <c r="T128" s="1191">
        <f>AC128</f>
        <v>0</v>
      </c>
      <c r="U128" s="1217"/>
      <c r="V128" s="2889"/>
      <c r="W128" s="702"/>
      <c r="X128" s="689"/>
      <c r="Z128" s="2014">
        <f t="shared" si="44"/>
        <v>0</v>
      </c>
      <c r="AA128" s="580">
        <f>Weight!D128</f>
        <v>0</v>
      </c>
      <c r="AB128" s="2014">
        <f t="shared" si="45"/>
        <v>0</v>
      </c>
      <c r="AC128" s="580">
        <f>Weight!E128</f>
        <v>0</v>
      </c>
      <c r="AD128" s="2922"/>
      <c r="AE128" s="689"/>
      <c r="AF128" s="355">
        <f>Weight!M128</f>
        <v>0</v>
      </c>
      <c r="AG128" s="119"/>
      <c r="AH128" s="355">
        <f>Weight!N128</f>
        <v>0</v>
      </c>
      <c r="AI128" s="2937"/>
      <c r="AJ128" s="2937"/>
      <c r="AK128" s="3137">
        <f>Weight!C128</f>
        <v>0</v>
      </c>
    </row>
    <row r="129" spans="2:37" s="1105" customFormat="1" ht="15.75" thickBot="1">
      <c r="B129" s="3039">
        <v>3</v>
      </c>
      <c r="C129" s="2955" t="s">
        <v>1631</v>
      </c>
      <c r="D129" s="2955"/>
      <c r="E129" s="2955"/>
      <c r="F129" s="2955"/>
      <c r="G129" s="2955"/>
      <c r="H129" s="3040"/>
      <c r="I129" s="3884">
        <f>'LR1'!G84</f>
        <v>0</v>
      </c>
      <c r="J129" s="3885"/>
      <c r="K129" s="3885"/>
      <c r="L129" s="3885"/>
      <c r="M129" s="3885"/>
      <c r="N129" s="3885"/>
      <c r="O129" s="3885"/>
      <c r="P129" s="3886"/>
      <c r="Q129" s="1247">
        <f t="shared" si="22"/>
        <v>5</v>
      </c>
      <c r="R129" s="1236">
        <f t="shared" si="46"/>
        <v>0.5</v>
      </c>
      <c r="S129" s="1235">
        <f t="shared" si="23"/>
        <v>0</v>
      </c>
      <c r="T129" s="1200">
        <f t="shared" si="47"/>
        <v>0</v>
      </c>
      <c r="U129" s="1201">
        <f>ROUNDDOWN(AD129,1)</f>
        <v>5</v>
      </c>
      <c r="V129" s="2889"/>
      <c r="W129" s="587">
        <f>'LR1'!F63</f>
        <v>5</v>
      </c>
      <c r="X129" s="689"/>
      <c r="Z129" s="686">
        <f t="shared" si="44"/>
        <v>5</v>
      </c>
      <c r="AA129" s="580">
        <f>Weight!D129</f>
        <v>0.5</v>
      </c>
      <c r="AB129" s="686">
        <f t="shared" si="45"/>
        <v>0</v>
      </c>
      <c r="AC129" s="580">
        <f>Weight!E129</f>
        <v>0</v>
      </c>
      <c r="AD129" s="2922">
        <f>IF(AB129=0,Z129,Z129*AF$6+AB129*AH$6)</f>
        <v>5</v>
      </c>
      <c r="AE129" s="689"/>
      <c r="AF129" s="355">
        <f>Weight!M129</f>
        <v>0.5</v>
      </c>
      <c r="AG129" s="119"/>
      <c r="AH129" s="355">
        <f>Weight!N129</f>
        <v>0</v>
      </c>
      <c r="AI129" s="2937"/>
      <c r="AJ129" s="2937"/>
      <c r="AK129" s="3137" t="str">
        <f>Weight!C129</f>
        <v>Efficiency in Building Service System</v>
      </c>
    </row>
    <row r="130" spans="2:37" s="1105" customFormat="1" ht="15">
      <c r="B130" s="2974"/>
      <c r="C130" s="2953"/>
      <c r="D130" s="2962" t="s">
        <v>1636</v>
      </c>
      <c r="E130" s="2940"/>
      <c r="F130" s="2940"/>
      <c r="G130" s="2940"/>
      <c r="H130" s="2958"/>
      <c r="I130" s="3884"/>
      <c r="J130" s="3885"/>
      <c r="K130" s="3885"/>
      <c r="L130" s="3885"/>
      <c r="M130" s="3885"/>
      <c r="N130" s="3885"/>
      <c r="O130" s="3885"/>
      <c r="P130" s="3886"/>
      <c r="Q130" s="858">
        <f>'LR1'!G63</f>
        <v>5</v>
      </c>
      <c r="R130" s="1221">
        <f t="shared" si="46"/>
        <v>0</v>
      </c>
      <c r="S130" s="1253">
        <f t="shared" si="23"/>
        <v>0</v>
      </c>
      <c r="T130" s="1191">
        <f t="shared" si="47"/>
        <v>0</v>
      </c>
      <c r="U130" s="1192"/>
      <c r="V130" s="2889"/>
      <c r="W130" s="587"/>
      <c r="X130" s="689"/>
      <c r="Z130" s="2014">
        <f t="shared" si="44"/>
        <v>0</v>
      </c>
      <c r="AA130" s="580">
        <f>Weight!D130</f>
        <v>0</v>
      </c>
      <c r="AB130" s="2014">
        <f t="shared" si="45"/>
        <v>0</v>
      </c>
      <c r="AC130" s="580">
        <f>Weight!F130</f>
        <v>0</v>
      </c>
      <c r="AD130" s="2922"/>
      <c r="AE130" s="689"/>
      <c r="AF130" s="355">
        <f>Weight!M130</f>
        <v>1</v>
      </c>
      <c r="AG130" s="119"/>
      <c r="AH130" s="355">
        <f>Weight!N130</f>
        <v>0</v>
      </c>
      <c r="AI130" s="2937"/>
      <c r="AJ130" s="2937"/>
      <c r="AK130" s="3137" t="str">
        <f>Weight!C130</f>
        <v xml:space="preserve">Other than apartment </v>
      </c>
    </row>
    <row r="131" spans="2:37" s="1105" customFormat="1" ht="15.75" thickBot="1">
      <c r="B131" s="2974"/>
      <c r="C131" s="2951"/>
      <c r="D131" s="3004" t="s">
        <v>1637</v>
      </c>
      <c r="E131" s="2941"/>
      <c r="F131" s="2941"/>
      <c r="G131" s="2941"/>
      <c r="H131" s="2963"/>
      <c r="I131" s="3881"/>
      <c r="J131" s="3882"/>
      <c r="K131" s="3882"/>
      <c r="L131" s="3882"/>
      <c r="M131" s="3882"/>
      <c r="N131" s="3882"/>
      <c r="O131" s="3882"/>
      <c r="P131" s="3883"/>
      <c r="Q131" s="852">
        <f>'LR1'!G77</f>
        <v>0</v>
      </c>
      <c r="R131" s="1221">
        <f t="shared" si="46"/>
        <v>0</v>
      </c>
      <c r="S131" s="1253">
        <f t="shared" si="23"/>
        <v>0</v>
      </c>
      <c r="T131" s="1191">
        <f t="shared" si="47"/>
        <v>0</v>
      </c>
      <c r="U131" s="1192"/>
      <c r="V131" s="2889"/>
      <c r="W131" s="588"/>
      <c r="X131" s="689"/>
      <c r="Z131" s="2014">
        <f t="shared" si="44"/>
        <v>0</v>
      </c>
      <c r="AA131" s="580">
        <f>Weight!D131</f>
        <v>0</v>
      </c>
      <c r="AB131" s="2014">
        <f t="shared" si="45"/>
        <v>0</v>
      </c>
      <c r="AC131" s="580">
        <f>Weight!F131</f>
        <v>0</v>
      </c>
      <c r="AD131" s="2922"/>
      <c r="AE131" s="689"/>
      <c r="AF131" s="355">
        <f>Weight!M131</f>
        <v>0</v>
      </c>
      <c r="AG131" s="119"/>
      <c r="AH131" s="355">
        <f>Weight!N131</f>
        <v>0</v>
      </c>
      <c r="AI131" s="2937"/>
      <c r="AJ131" s="2937"/>
      <c r="AK131" s="3137" t="str">
        <f>Weight!C131</f>
        <v>Apartment</v>
      </c>
    </row>
    <row r="132" spans="2:37" s="1105" customFormat="1" ht="15" hidden="1">
      <c r="B132" s="3043"/>
      <c r="C132" s="3044">
        <v>3.1</v>
      </c>
      <c r="D132" s="3045" t="s">
        <v>3315</v>
      </c>
      <c r="E132" s="1863"/>
      <c r="F132" s="1863"/>
      <c r="G132" s="1863"/>
      <c r="H132" s="2950"/>
      <c r="I132" s="3881"/>
      <c r="J132" s="3882"/>
      <c r="K132" s="3882"/>
      <c r="L132" s="3882"/>
      <c r="M132" s="3882"/>
      <c r="N132" s="3882"/>
      <c r="O132" s="3882"/>
      <c r="P132" s="3883"/>
      <c r="Q132" s="858">
        <f t="shared" si="22"/>
        <v>0</v>
      </c>
      <c r="R132" s="1206">
        <f t="shared" si="38"/>
        <v>0</v>
      </c>
      <c r="S132" s="1222">
        <f t="shared" si="23"/>
        <v>0</v>
      </c>
      <c r="T132" s="1249">
        <f t="shared" si="39"/>
        <v>0</v>
      </c>
      <c r="U132" s="1207"/>
      <c r="V132" s="2889"/>
      <c r="W132" s="587">
        <f>'LR1'!F103</f>
        <v>0</v>
      </c>
      <c r="X132" s="689"/>
      <c r="Z132" s="2014"/>
      <c r="AA132" s="580">
        <f>Weight!D132</f>
        <v>0</v>
      </c>
      <c r="AB132" s="2014"/>
      <c r="AC132" s="580">
        <f>Weight!E132</f>
        <v>0</v>
      </c>
      <c r="AD132" s="2922"/>
      <c r="AE132" s="689"/>
      <c r="AF132" s="355">
        <f>Weight!M132</f>
        <v>0</v>
      </c>
      <c r="AG132" s="119"/>
      <c r="AH132" s="355">
        <f>Weight!N132</f>
        <v>0</v>
      </c>
      <c r="AI132" s="2937"/>
      <c r="AJ132" s="2937"/>
      <c r="AK132" s="3137">
        <f>Weight!C132</f>
        <v>0</v>
      </c>
    </row>
    <row r="133" spans="2:37" s="1105" customFormat="1" ht="15" hidden="1">
      <c r="B133" s="3043"/>
      <c r="C133" s="3044">
        <v>3.2</v>
      </c>
      <c r="D133" s="3045" t="s">
        <v>3316</v>
      </c>
      <c r="E133" s="1863"/>
      <c r="F133" s="1863"/>
      <c r="G133" s="1863"/>
      <c r="H133" s="2950"/>
      <c r="I133" s="3881"/>
      <c r="J133" s="3882"/>
      <c r="K133" s="3882"/>
      <c r="L133" s="3882"/>
      <c r="M133" s="3882"/>
      <c r="N133" s="3882"/>
      <c r="O133" s="3882"/>
      <c r="P133" s="3883"/>
      <c r="Q133" s="772">
        <f t="shared" si="22"/>
        <v>0</v>
      </c>
      <c r="R133" s="1206">
        <f t="shared" si="38"/>
        <v>0</v>
      </c>
      <c r="S133" s="1222">
        <f t="shared" si="23"/>
        <v>0</v>
      </c>
      <c r="T133" s="1249">
        <f t="shared" si="39"/>
        <v>0</v>
      </c>
      <c r="U133" s="1207"/>
      <c r="V133" s="2889"/>
      <c r="W133" s="697"/>
      <c r="X133" s="697"/>
      <c r="Z133" s="2014"/>
      <c r="AA133" s="580">
        <f>Weight!D133</f>
        <v>0</v>
      </c>
      <c r="AB133" s="2014"/>
      <c r="AC133" s="580">
        <f>Weight!E133</f>
        <v>0</v>
      </c>
      <c r="AD133" s="2922"/>
      <c r="AE133" s="689"/>
      <c r="AF133" s="355">
        <f>Weight!M133</f>
        <v>0</v>
      </c>
      <c r="AG133" s="119"/>
      <c r="AH133" s="355">
        <f>Weight!N133</f>
        <v>0</v>
      </c>
      <c r="AI133" s="2937"/>
      <c r="AJ133" s="2937"/>
      <c r="AK133" s="3137">
        <f>Weight!C133</f>
        <v>0</v>
      </c>
    </row>
    <row r="134" spans="2:37" s="1105" customFormat="1" ht="15.75" hidden="1" thickBot="1">
      <c r="B134" s="3043"/>
      <c r="C134" s="3044">
        <v>3.3</v>
      </c>
      <c r="D134" s="3045" t="s">
        <v>3317</v>
      </c>
      <c r="E134" s="1863"/>
      <c r="F134" s="1863"/>
      <c r="G134" s="1863"/>
      <c r="H134" s="2950"/>
      <c r="I134" s="3881"/>
      <c r="J134" s="3882"/>
      <c r="K134" s="3882"/>
      <c r="L134" s="3882"/>
      <c r="M134" s="3882"/>
      <c r="N134" s="3882"/>
      <c r="O134" s="3882"/>
      <c r="P134" s="3883"/>
      <c r="Q134" s="772">
        <f t="shared" si="22"/>
        <v>0</v>
      </c>
      <c r="R134" s="1206">
        <f t="shared" si="38"/>
        <v>0</v>
      </c>
      <c r="S134" s="1222">
        <f t="shared" si="23"/>
        <v>0</v>
      </c>
      <c r="T134" s="1249">
        <f t="shared" si="39"/>
        <v>0</v>
      </c>
      <c r="U134" s="1207"/>
      <c r="V134" s="2889"/>
      <c r="W134" s="588">
        <f>'LR1'!F114</f>
        <v>0</v>
      </c>
      <c r="X134" s="697"/>
      <c r="Z134" s="2014"/>
      <c r="AA134" s="580">
        <f>Weight!D134</f>
        <v>0</v>
      </c>
      <c r="AB134" s="2014"/>
      <c r="AC134" s="580">
        <f>Weight!E134</f>
        <v>0</v>
      </c>
      <c r="AD134" s="2922"/>
      <c r="AE134" s="689"/>
      <c r="AF134" s="355">
        <f>Weight!M134</f>
        <v>0</v>
      </c>
      <c r="AG134" s="119"/>
      <c r="AH134" s="355">
        <f>Weight!N134</f>
        <v>0</v>
      </c>
      <c r="AI134" s="2937"/>
      <c r="AJ134" s="2937"/>
      <c r="AK134" s="3137">
        <f>Weight!C134</f>
        <v>0</v>
      </c>
    </row>
    <row r="135" spans="2:37" s="1105" customFormat="1" ht="15" hidden="1">
      <c r="B135" s="3043"/>
      <c r="C135" s="3044">
        <v>3.4</v>
      </c>
      <c r="D135" s="3045" t="s">
        <v>3318</v>
      </c>
      <c r="E135" s="1863"/>
      <c r="F135" s="1863"/>
      <c r="G135" s="1863"/>
      <c r="H135" s="2950"/>
      <c r="I135" s="3881"/>
      <c r="J135" s="3882"/>
      <c r="K135" s="3882"/>
      <c r="L135" s="3882"/>
      <c r="M135" s="3882"/>
      <c r="N135" s="3882"/>
      <c r="O135" s="3882"/>
      <c r="P135" s="3883"/>
      <c r="Q135" s="772">
        <f t="shared" si="22"/>
        <v>0</v>
      </c>
      <c r="R135" s="1206">
        <f t="shared" si="38"/>
        <v>0</v>
      </c>
      <c r="S135" s="1222">
        <f t="shared" si="23"/>
        <v>0</v>
      </c>
      <c r="T135" s="1249">
        <f t="shared" si="39"/>
        <v>0</v>
      </c>
      <c r="U135" s="1207"/>
      <c r="V135" s="2889"/>
      <c r="W135" s="693"/>
      <c r="X135" s="689"/>
      <c r="Z135" s="2014"/>
      <c r="AA135" s="580">
        <f>Weight!D135</f>
        <v>0</v>
      </c>
      <c r="AB135" s="2014"/>
      <c r="AC135" s="580">
        <f>Weight!E135</f>
        <v>0</v>
      </c>
      <c r="AD135" s="2922"/>
      <c r="AE135" s="689"/>
      <c r="AF135" s="355">
        <f>Weight!M135</f>
        <v>0</v>
      </c>
      <c r="AG135" s="119"/>
      <c r="AH135" s="355">
        <f>Weight!N135</f>
        <v>0</v>
      </c>
      <c r="AI135" s="2937"/>
      <c r="AJ135" s="2937"/>
      <c r="AK135" s="3137">
        <f>Weight!C135</f>
        <v>0</v>
      </c>
    </row>
    <row r="136" spans="2:37" s="1105" customFormat="1" ht="15.75" hidden="1" thickBot="1">
      <c r="B136" s="3043"/>
      <c r="C136" s="3044">
        <v>3.5</v>
      </c>
      <c r="D136" s="3045" t="s">
        <v>3319</v>
      </c>
      <c r="E136" s="1863"/>
      <c r="F136" s="1863"/>
      <c r="G136" s="1863"/>
      <c r="H136" s="2950"/>
      <c r="I136" s="3881"/>
      <c r="J136" s="3882"/>
      <c r="K136" s="3882"/>
      <c r="L136" s="3882"/>
      <c r="M136" s="3882"/>
      <c r="N136" s="3882"/>
      <c r="O136" s="3882"/>
      <c r="P136" s="3883"/>
      <c r="Q136" s="772">
        <f t="shared" si="22"/>
        <v>0</v>
      </c>
      <c r="R136" s="1250">
        <f t="shared" si="38"/>
        <v>0</v>
      </c>
      <c r="S136" s="1222">
        <f t="shared" si="23"/>
        <v>0</v>
      </c>
      <c r="T136" s="1249">
        <f t="shared" si="39"/>
        <v>0</v>
      </c>
      <c r="U136" s="1207"/>
      <c r="V136" s="2889"/>
      <c r="W136" s="694"/>
      <c r="X136" s="689"/>
      <c r="Z136" s="2014"/>
      <c r="AA136" s="580">
        <f>Weight!D136</f>
        <v>0</v>
      </c>
      <c r="AB136" s="2014"/>
      <c r="AC136" s="580">
        <f>Weight!E136</f>
        <v>0</v>
      </c>
      <c r="AD136" s="2922"/>
      <c r="AE136" s="689"/>
      <c r="AF136" s="355">
        <f>Weight!M136</f>
        <v>0</v>
      </c>
      <c r="AG136" s="119"/>
      <c r="AH136" s="355">
        <f>Weight!N136</f>
        <v>0</v>
      </c>
      <c r="AI136" s="2937"/>
      <c r="AJ136" s="2937"/>
      <c r="AK136" s="3137">
        <f>Weight!C136</f>
        <v>0</v>
      </c>
    </row>
    <row r="137" spans="2:37" s="1105" customFormat="1" ht="15.75" hidden="1" thickBot="1">
      <c r="B137" s="3046"/>
      <c r="C137" s="3044">
        <v>3.6</v>
      </c>
      <c r="D137" s="3045" t="s">
        <v>3320</v>
      </c>
      <c r="E137" s="1863"/>
      <c r="F137" s="1863"/>
      <c r="G137" s="1863"/>
      <c r="H137" s="2950"/>
      <c r="I137" s="3890"/>
      <c r="J137" s="3891"/>
      <c r="K137" s="3891"/>
      <c r="L137" s="3891"/>
      <c r="M137" s="3891"/>
      <c r="N137" s="3891"/>
      <c r="O137" s="3891"/>
      <c r="P137" s="3892"/>
      <c r="Q137" s="852">
        <f t="shared" si="22"/>
        <v>0</v>
      </c>
      <c r="R137" s="1251">
        <f t="shared" si="38"/>
        <v>0</v>
      </c>
      <c r="S137" s="1252">
        <f t="shared" si="23"/>
        <v>0</v>
      </c>
      <c r="T137" s="1249">
        <f t="shared" si="39"/>
        <v>0</v>
      </c>
      <c r="U137" s="1207"/>
      <c r="V137" s="2889"/>
      <c r="W137" s="589"/>
      <c r="X137" s="697"/>
      <c r="Z137" s="2014"/>
      <c r="AA137" s="580">
        <f>Weight!D137</f>
        <v>0</v>
      </c>
      <c r="AB137" s="2014"/>
      <c r="AC137" s="580">
        <f>Weight!E137</f>
        <v>0</v>
      </c>
      <c r="AD137" s="2922"/>
      <c r="AE137" s="689"/>
      <c r="AF137" s="355">
        <f>Weight!M137</f>
        <v>0</v>
      </c>
      <c r="AG137" s="119"/>
      <c r="AH137" s="355">
        <f>Weight!N137</f>
        <v>0</v>
      </c>
      <c r="AI137" s="2937"/>
      <c r="AJ137" s="2937"/>
      <c r="AK137" s="3137">
        <f>Weight!C137</f>
        <v>0</v>
      </c>
    </row>
    <row r="138" spans="2:37" s="1105" customFormat="1" ht="15">
      <c r="B138" s="3039">
        <v>4</v>
      </c>
      <c r="C138" s="2955" t="s">
        <v>2516</v>
      </c>
      <c r="D138" s="5"/>
      <c r="E138" s="5"/>
      <c r="F138" s="5"/>
      <c r="G138" s="5"/>
      <c r="H138" s="2933"/>
      <c r="I138" s="2934"/>
      <c r="J138" s="2935"/>
      <c r="K138" s="2935"/>
      <c r="L138" s="2935"/>
      <c r="M138" s="2935"/>
      <c r="N138" s="2935"/>
      <c r="O138" s="2935"/>
      <c r="P138" s="2936"/>
      <c r="Q138" s="1209">
        <f>ROUNDDOWN(Z138,1)</f>
        <v>3</v>
      </c>
      <c r="R138" s="1198">
        <f t="shared" si="38"/>
        <v>0.2</v>
      </c>
      <c r="S138" s="1235">
        <f t="shared" si="23"/>
        <v>0</v>
      </c>
      <c r="T138" s="1200">
        <f>AC138</f>
        <v>0</v>
      </c>
      <c r="U138" s="1201">
        <f>ROUNDDOWN(AD138,1)</f>
        <v>3</v>
      </c>
      <c r="V138" s="2889"/>
      <c r="W138" s="369"/>
      <c r="X138" s="689"/>
      <c r="Z138" s="685">
        <f>Z139*AA139+Z144*AA144</f>
        <v>3</v>
      </c>
      <c r="AA138" s="580">
        <f>Weight!D138</f>
        <v>0.2</v>
      </c>
      <c r="AB138" s="685">
        <f>AB139*AC139+AB144*AC144</f>
        <v>0</v>
      </c>
      <c r="AC138" s="360">
        <f>SUM(AC139,AC144)</f>
        <v>0</v>
      </c>
      <c r="AD138" s="2922">
        <f>IF(AB138=0,Z138,Z138*AF$6+AB138*AH$6)</f>
        <v>3</v>
      </c>
      <c r="AE138" s="689"/>
      <c r="AF138" s="355">
        <f>Weight!M138</f>
        <v>0.2</v>
      </c>
      <c r="AG138" s="119"/>
      <c r="AH138" s="360">
        <f>SUM(AH139,AH144)</f>
        <v>0</v>
      </c>
      <c r="AI138" s="2937"/>
      <c r="AJ138" s="2937"/>
      <c r="AK138" s="3137" t="str">
        <f>Weight!C138</f>
        <v>Initiatives for Efficient Operation</v>
      </c>
    </row>
    <row r="139" spans="2:37" s="1105" customFormat="1" ht="14.25" customHeight="1" thickBot="1">
      <c r="B139" s="2974"/>
      <c r="C139" s="2951"/>
      <c r="D139" s="2962" t="s">
        <v>1632</v>
      </c>
      <c r="E139" s="2940"/>
      <c r="F139" s="2940"/>
      <c r="G139" s="2940"/>
      <c r="H139" s="2958"/>
      <c r="I139" s="2971"/>
      <c r="J139" s="2972"/>
      <c r="K139" s="2972"/>
      <c r="L139" s="2972"/>
      <c r="M139" s="2972"/>
      <c r="N139" s="2972"/>
      <c r="O139" s="2972"/>
      <c r="P139" s="2973"/>
      <c r="Q139" s="1210">
        <f t="shared" ref="Q139:Q195" si="48">ROUNDDOWN(Z139,1)</f>
        <v>3</v>
      </c>
      <c r="R139" s="1190">
        <f t="shared" si="38"/>
        <v>1</v>
      </c>
      <c r="S139" s="1252">
        <f t="shared" ref="S139:S196" si="49">ROUNDDOWN(AB139,1)</f>
        <v>0</v>
      </c>
      <c r="T139" s="1191">
        <f>AC139</f>
        <v>0</v>
      </c>
      <c r="U139" s="1192"/>
      <c r="V139" s="2889"/>
      <c r="W139" s="369"/>
      <c r="X139" s="689"/>
      <c r="Z139" s="359">
        <f>SUMPRODUCT(Z140:Z143,AA140:AA143)</f>
        <v>3</v>
      </c>
      <c r="AA139" s="580">
        <f>Weight!D139</f>
        <v>1</v>
      </c>
      <c r="AB139" s="359">
        <f>SUMPRODUCT(AB140:AB143,AC140:AC143)</f>
        <v>0</v>
      </c>
      <c r="AC139" s="580">
        <f>Weight!E139</f>
        <v>0</v>
      </c>
      <c r="AD139" s="2922"/>
      <c r="AE139" s="689"/>
      <c r="AF139" s="355">
        <f>Weight!M139</f>
        <v>1</v>
      </c>
      <c r="AG139" s="119"/>
      <c r="AH139" s="355">
        <f>Weight!N139</f>
        <v>0</v>
      </c>
      <c r="AI139" s="2937"/>
      <c r="AJ139" s="2937"/>
      <c r="AK139" s="3137" t="str">
        <f>Weight!C139</f>
        <v>Other than apartments</v>
      </c>
    </row>
    <row r="140" spans="2:37" s="1105" customFormat="1" ht="14.25" customHeight="1">
      <c r="B140" s="2974"/>
      <c r="C140" s="836"/>
      <c r="D140" s="2043">
        <v>4.0999999999999996</v>
      </c>
      <c r="E140" s="2941" t="s">
        <v>1633</v>
      </c>
      <c r="F140" s="2941"/>
      <c r="G140" s="2941"/>
      <c r="H140" s="2963"/>
      <c r="I140" s="3881">
        <f>'LR1'!G134</f>
        <v>0</v>
      </c>
      <c r="J140" s="3882"/>
      <c r="K140" s="3882"/>
      <c r="L140" s="3882"/>
      <c r="M140" s="3882"/>
      <c r="N140" s="3882"/>
      <c r="O140" s="3882"/>
      <c r="P140" s="3882"/>
      <c r="Q140" s="858">
        <f t="shared" si="48"/>
        <v>3</v>
      </c>
      <c r="R140" s="1221">
        <f t="shared" si="38"/>
        <v>0.4</v>
      </c>
      <c r="S140" s="1253">
        <f t="shared" si="49"/>
        <v>0</v>
      </c>
      <c r="T140" s="1191">
        <f t="shared" si="39"/>
        <v>0</v>
      </c>
      <c r="U140" s="1192"/>
      <c r="V140" s="2889"/>
      <c r="W140" s="587">
        <f>'LR1'!F128</f>
        <v>3</v>
      </c>
      <c r="X140" s="689"/>
      <c r="Z140" s="362">
        <f t="shared" ref="Z140:Z143" si="50">IF(AA140=0,0,W140)</f>
        <v>3</v>
      </c>
      <c r="AA140" s="580">
        <f>Weight!D140</f>
        <v>0.4</v>
      </c>
      <c r="AB140" s="362">
        <f t="shared" ref="AB140:AB143" si="51">IF(AC140=0,0,X140)</f>
        <v>0</v>
      </c>
      <c r="AC140" s="580">
        <f>Weight!E140</f>
        <v>0</v>
      </c>
      <c r="AD140" s="2922"/>
      <c r="AE140" s="689"/>
      <c r="AF140" s="355">
        <f>Weight!M140</f>
        <v>0.4</v>
      </c>
      <c r="AG140" s="119"/>
      <c r="AH140" s="355"/>
      <c r="AI140" s="2937"/>
      <c r="AJ140" s="2937"/>
      <c r="AK140" s="3137" t="str">
        <f>Weight!C140</f>
        <v>Monitoring</v>
      </c>
    </row>
    <row r="141" spans="2:37" s="1105" customFormat="1" ht="14.25" customHeight="1">
      <c r="B141" s="2974"/>
      <c r="C141" s="836"/>
      <c r="D141" s="2043">
        <v>4.2</v>
      </c>
      <c r="E141" s="2941" t="s">
        <v>1634</v>
      </c>
      <c r="F141" s="2941"/>
      <c r="G141" s="2941"/>
      <c r="H141" s="2963"/>
      <c r="I141" s="3881">
        <f>'LR1'!G167</f>
        <v>0</v>
      </c>
      <c r="J141" s="3882"/>
      <c r="K141" s="3882"/>
      <c r="L141" s="3882"/>
      <c r="M141" s="3882"/>
      <c r="N141" s="3882"/>
      <c r="O141" s="3882"/>
      <c r="P141" s="3882"/>
      <c r="Q141" s="772">
        <f t="shared" si="48"/>
        <v>3</v>
      </c>
      <c r="R141" s="1221">
        <f t="shared" si="38"/>
        <v>0.4</v>
      </c>
      <c r="S141" s="1253">
        <f t="shared" si="49"/>
        <v>0</v>
      </c>
      <c r="T141" s="1191">
        <f t="shared" si="39"/>
        <v>0</v>
      </c>
      <c r="U141" s="1192"/>
      <c r="V141" s="2889"/>
      <c r="W141" s="365">
        <f>'LR1'!F161</f>
        <v>3</v>
      </c>
      <c r="X141" s="689"/>
      <c r="Z141" s="362">
        <f t="shared" si="50"/>
        <v>3</v>
      </c>
      <c r="AA141" s="580">
        <f>Weight!D141</f>
        <v>0.4</v>
      </c>
      <c r="AB141" s="362">
        <f t="shared" si="51"/>
        <v>0</v>
      </c>
      <c r="AC141" s="580">
        <f>Weight!E141</f>
        <v>0</v>
      </c>
      <c r="AD141" s="2922"/>
      <c r="AE141" s="689"/>
      <c r="AF141" s="355">
        <f>Weight!M141</f>
        <v>0.4</v>
      </c>
      <c r="AG141" s="119"/>
      <c r="AH141" s="355"/>
      <c r="AI141" s="2937"/>
      <c r="AJ141" s="2937"/>
      <c r="AK141" s="3137" t="str">
        <f>Weight!C141</f>
        <v>Operation &amp; Management System</v>
      </c>
    </row>
    <row r="142" spans="2:37" s="1105" customFormat="1" ht="14.25" customHeight="1">
      <c r="B142" s="2974"/>
      <c r="C142" s="836"/>
      <c r="D142" s="2043">
        <v>4.3</v>
      </c>
      <c r="E142" s="2591" t="s">
        <v>2837</v>
      </c>
      <c r="F142" s="2941"/>
      <c r="G142" s="2941"/>
      <c r="H142" s="2963"/>
      <c r="I142" s="3881">
        <f>'LR1'!G177</f>
        <v>0</v>
      </c>
      <c r="J142" s="3882"/>
      <c r="K142" s="3882"/>
      <c r="L142" s="3882"/>
      <c r="M142" s="3882"/>
      <c r="N142" s="3882"/>
      <c r="O142" s="3882"/>
      <c r="P142" s="3882"/>
      <c r="Q142" s="772">
        <f t="shared" ref="Q142:Q143" si="52">ROUNDDOWN(Z142,1)</f>
        <v>3</v>
      </c>
      <c r="R142" s="1221">
        <f t="shared" ref="R142:R143" si="53">AA142</f>
        <v>0.1</v>
      </c>
      <c r="S142" s="1253">
        <f t="shared" ref="S142:S143" si="54">ROUNDDOWN(AB142,1)</f>
        <v>0</v>
      </c>
      <c r="T142" s="1191">
        <f t="shared" ref="T142:T143" si="55">AC142</f>
        <v>0</v>
      </c>
      <c r="U142" s="1192"/>
      <c r="V142" s="2889"/>
      <c r="W142" s="365">
        <f>'LR1'!F171</f>
        <v>3</v>
      </c>
      <c r="X142" s="689"/>
      <c r="Z142" s="362">
        <f t="shared" si="50"/>
        <v>3</v>
      </c>
      <c r="AA142" s="580">
        <f>Weight!D142</f>
        <v>0.1</v>
      </c>
      <c r="AB142" s="362">
        <f t="shared" si="51"/>
        <v>0</v>
      </c>
      <c r="AC142" s="580">
        <f>Weight!E142</f>
        <v>0</v>
      </c>
      <c r="AD142" s="2922"/>
      <c r="AE142" s="689"/>
      <c r="AF142" s="355">
        <f>Weight!M142</f>
        <v>0.1</v>
      </c>
      <c r="AG142" s="119"/>
      <c r="AH142" s="355"/>
      <c r="AI142" s="2937"/>
      <c r="AJ142" s="2937"/>
      <c r="AK142" s="3137" t="str">
        <f>Weight!C142</f>
        <v>Expanding adoption of non-fossil energy</v>
      </c>
    </row>
    <row r="143" spans="2:37" s="1105" customFormat="1" ht="14.25" customHeight="1" thickBot="1">
      <c r="B143" s="2974"/>
      <c r="C143" s="1479"/>
      <c r="D143" s="2043">
        <v>4.4000000000000004</v>
      </c>
      <c r="E143" s="2940" t="s">
        <v>2836</v>
      </c>
      <c r="F143" s="2940"/>
      <c r="G143" s="2940"/>
      <c r="H143" s="2958"/>
      <c r="I143" s="3881">
        <f>'LR1'!G193</f>
        <v>0</v>
      </c>
      <c r="J143" s="3882"/>
      <c r="K143" s="3882"/>
      <c r="L143" s="3882"/>
      <c r="M143" s="3882"/>
      <c r="N143" s="3882"/>
      <c r="O143" s="3882"/>
      <c r="P143" s="3882"/>
      <c r="Q143" s="852">
        <f t="shared" si="52"/>
        <v>3</v>
      </c>
      <c r="R143" s="1221">
        <f t="shared" si="53"/>
        <v>0.1</v>
      </c>
      <c r="S143" s="1253">
        <f t="shared" si="54"/>
        <v>0</v>
      </c>
      <c r="T143" s="1191">
        <f t="shared" si="55"/>
        <v>0</v>
      </c>
      <c r="U143" s="1192"/>
      <c r="V143" s="2889"/>
      <c r="W143" s="588">
        <f>'LR1'!F187</f>
        <v>3</v>
      </c>
      <c r="X143" s="689"/>
      <c r="Z143" s="362">
        <f t="shared" si="50"/>
        <v>3</v>
      </c>
      <c r="AA143" s="580">
        <f>Weight!D143</f>
        <v>0.1</v>
      </c>
      <c r="AB143" s="362">
        <f t="shared" si="51"/>
        <v>0</v>
      </c>
      <c r="AC143" s="580">
        <f>Weight!E143</f>
        <v>0</v>
      </c>
      <c r="AD143" s="2922"/>
      <c r="AE143" s="689"/>
      <c r="AF143" s="355">
        <f>Weight!M143</f>
        <v>0.1</v>
      </c>
      <c r="AG143" s="119"/>
      <c r="AH143" s="355"/>
      <c r="AI143" s="2937"/>
      <c r="AJ143" s="2937"/>
      <c r="AK143" s="3137" t="str">
        <f>Weight!C143</f>
        <v>Promoting Commissioning</v>
      </c>
    </row>
    <row r="144" spans="2:37" s="1105" customFormat="1" ht="14.25" customHeight="1" thickBot="1">
      <c r="B144" s="2974"/>
      <c r="C144" s="836"/>
      <c r="D144" s="2962" t="s">
        <v>1635</v>
      </c>
      <c r="E144" s="2940"/>
      <c r="F144" s="2940"/>
      <c r="G144" s="2940"/>
      <c r="H144" s="2958"/>
      <c r="I144" s="2934"/>
      <c r="J144" s="2935"/>
      <c r="K144" s="2935"/>
      <c r="L144" s="2935"/>
      <c r="M144" s="2935"/>
      <c r="N144" s="2935"/>
      <c r="O144" s="2935"/>
      <c r="P144" s="2936"/>
      <c r="Q144" s="1210">
        <f t="shared" si="48"/>
        <v>0</v>
      </c>
      <c r="R144" s="1190">
        <f>AA144</f>
        <v>0</v>
      </c>
      <c r="S144" s="1252">
        <f t="shared" si="49"/>
        <v>0</v>
      </c>
      <c r="T144" s="1191">
        <f>AC144</f>
        <v>0</v>
      </c>
      <c r="U144" s="1192"/>
      <c r="V144" s="2889"/>
      <c r="W144" s="369"/>
      <c r="X144" s="689"/>
      <c r="Z144" s="359">
        <f>SUMPRODUCT(Z145:Z146,AA145:AA146)</f>
        <v>0</v>
      </c>
      <c r="AA144" s="580">
        <f>Weight!D144</f>
        <v>0</v>
      </c>
      <c r="AB144" s="359">
        <f>SUMPRODUCT(AB145:AB146,AC145:AC146)</f>
        <v>0</v>
      </c>
      <c r="AC144" s="580">
        <f>Weight!E144</f>
        <v>0</v>
      </c>
      <c r="AD144" s="2922"/>
      <c r="AE144" s="689"/>
      <c r="AF144" s="355">
        <f>Weight!M144</f>
        <v>0</v>
      </c>
      <c r="AG144" s="119"/>
      <c r="AH144" s="355">
        <f>Weight!N144</f>
        <v>0</v>
      </c>
      <c r="AI144" s="2937"/>
      <c r="AJ144" s="2937"/>
      <c r="AK144" s="3137" t="str">
        <f>Weight!C144</f>
        <v>Apartments</v>
      </c>
    </row>
    <row r="145" spans="2:37" s="1105" customFormat="1" ht="14.25" customHeight="1">
      <c r="B145" s="2974"/>
      <c r="C145" s="836"/>
      <c r="D145" s="2043">
        <v>4.0999999999999996</v>
      </c>
      <c r="E145" s="2941" t="s">
        <v>1633</v>
      </c>
      <c r="F145" s="2941"/>
      <c r="G145" s="2941"/>
      <c r="H145" s="2963"/>
      <c r="I145" s="3881">
        <f>'LR1'!L134</f>
        <v>0</v>
      </c>
      <c r="J145" s="3882"/>
      <c r="K145" s="3882"/>
      <c r="L145" s="3882"/>
      <c r="M145" s="3882"/>
      <c r="N145" s="3882"/>
      <c r="O145" s="3882"/>
      <c r="P145" s="3883"/>
      <c r="Q145" s="858">
        <f t="shared" si="48"/>
        <v>0</v>
      </c>
      <c r="R145" s="1221">
        <f t="shared" si="38"/>
        <v>0</v>
      </c>
      <c r="S145" s="1253">
        <f t="shared" si="49"/>
        <v>0</v>
      </c>
      <c r="T145" s="1191">
        <f t="shared" si="39"/>
        <v>0</v>
      </c>
      <c r="U145" s="1192"/>
      <c r="V145" s="2889"/>
      <c r="W145" s="587">
        <f>'LR1'!K128</f>
        <v>3</v>
      </c>
      <c r="X145" s="689"/>
      <c r="Z145" s="362">
        <f t="shared" ref="Z145:Z146" si="56">IF(AA145=0,0,W145)</f>
        <v>0</v>
      </c>
      <c r="AA145" s="580">
        <f>Weight!D145</f>
        <v>0</v>
      </c>
      <c r="AB145" s="362">
        <f t="shared" ref="AB145:AB146" si="57">IF(AC145=0,0,X145)</f>
        <v>0</v>
      </c>
      <c r="AC145" s="580">
        <f>Weight!E145</f>
        <v>0</v>
      </c>
      <c r="AD145" s="2922"/>
      <c r="AE145" s="689"/>
      <c r="AF145" s="355">
        <f>Weight!M145</f>
        <v>0</v>
      </c>
      <c r="AG145" s="119"/>
      <c r="AH145" s="355"/>
      <c r="AI145" s="2937"/>
      <c r="AJ145" s="2937"/>
      <c r="AK145" s="3137" t="str">
        <f>Weight!C145</f>
        <v>Monitoring</v>
      </c>
    </row>
    <row r="146" spans="2:37" s="1105" customFormat="1" ht="14.25" customHeight="1" thickBot="1">
      <c r="B146" s="3047"/>
      <c r="C146" s="834"/>
      <c r="D146" s="2043">
        <v>4.2</v>
      </c>
      <c r="E146" s="2941" t="s">
        <v>1634</v>
      </c>
      <c r="F146" s="2941"/>
      <c r="G146" s="2941"/>
      <c r="H146" s="2963"/>
      <c r="I146" s="3881">
        <f>'LR1'!L167</f>
        <v>0</v>
      </c>
      <c r="J146" s="3882"/>
      <c r="K146" s="3882"/>
      <c r="L146" s="3882"/>
      <c r="M146" s="3882"/>
      <c r="N146" s="3882"/>
      <c r="O146" s="3882"/>
      <c r="P146" s="3883"/>
      <c r="Q146" s="852">
        <f t="shared" si="48"/>
        <v>0</v>
      </c>
      <c r="R146" s="1221">
        <f t="shared" si="38"/>
        <v>0</v>
      </c>
      <c r="S146" s="1253">
        <f t="shared" si="49"/>
        <v>0</v>
      </c>
      <c r="T146" s="1191">
        <f t="shared" si="39"/>
        <v>0</v>
      </c>
      <c r="U146" s="1192"/>
      <c r="V146" s="2889"/>
      <c r="W146" s="588">
        <f>'LR1'!K161</f>
        <v>3</v>
      </c>
      <c r="X146" s="689"/>
      <c r="Z146" s="362">
        <f t="shared" si="56"/>
        <v>0</v>
      </c>
      <c r="AA146" s="580">
        <f>Weight!D146</f>
        <v>0</v>
      </c>
      <c r="AB146" s="362">
        <f t="shared" si="57"/>
        <v>0</v>
      </c>
      <c r="AC146" s="580">
        <f>Weight!E146</f>
        <v>0</v>
      </c>
      <c r="AD146" s="2922"/>
      <c r="AE146" s="689"/>
      <c r="AF146" s="355">
        <f>Weight!M146</f>
        <v>0</v>
      </c>
      <c r="AG146" s="119"/>
      <c r="AH146" s="355"/>
      <c r="AI146" s="2937"/>
      <c r="AJ146" s="2937"/>
      <c r="AK146" s="3137" t="str">
        <f>Weight!C146</f>
        <v>Operation &amp; Management System</v>
      </c>
    </row>
    <row r="147" spans="2:37" s="1105" customFormat="1" ht="14.25" customHeight="1" thickBot="1">
      <c r="B147" s="2983" t="s">
        <v>1501</v>
      </c>
      <c r="C147" s="2984"/>
      <c r="D147" s="2984"/>
      <c r="E147" s="2984"/>
      <c r="F147" s="2984"/>
      <c r="G147" s="2984"/>
      <c r="H147" s="3009"/>
      <c r="I147" s="3010"/>
      <c r="J147" s="3011"/>
      <c r="K147" s="3011"/>
      <c r="L147" s="3011"/>
      <c r="M147" s="3011"/>
      <c r="N147" s="3011"/>
      <c r="O147" s="3011"/>
      <c r="P147" s="3012"/>
      <c r="Q147" s="2988">
        <f t="shared" si="48"/>
        <v>0</v>
      </c>
      <c r="R147" s="1211" t="e">
        <f t="shared" si="38"/>
        <v>#VALUE!</v>
      </c>
      <c r="S147" s="1254">
        <f t="shared" si="49"/>
        <v>0</v>
      </c>
      <c r="T147" s="1213">
        <f t="shared" si="39"/>
        <v>0</v>
      </c>
      <c r="U147" s="1214">
        <f>ROUNDDOWN(AD147,1)</f>
        <v>3</v>
      </c>
      <c r="V147" s="2889"/>
      <c r="W147" s="691"/>
      <c r="X147" s="689"/>
      <c r="Z147" s="363"/>
      <c r="AA147" s="357" t="e">
        <f>Weight!D147</f>
        <v>#VALUE!</v>
      </c>
      <c r="AB147" s="363"/>
      <c r="AC147" s="357"/>
      <c r="AD147" s="2923">
        <f>AD148*AA148+AD153*AA153+AA168*AD168</f>
        <v>3.0000000000000004</v>
      </c>
      <c r="AE147" s="689"/>
      <c r="AF147" s="355">
        <f>Weight!M147</f>
        <v>0.3</v>
      </c>
      <c r="AG147" s="119"/>
      <c r="AH147" s="355">
        <f>Weight!N147</f>
        <v>0</v>
      </c>
      <c r="AI147" s="355" t="s">
        <v>797</v>
      </c>
      <c r="AJ147" s="355" t="s">
        <v>1045</v>
      </c>
      <c r="AK147" s="3137" t="str">
        <f>Weight!C147</f>
        <v>Resources &amp; Materials</v>
      </c>
    </row>
    <row r="148" spans="2:37" s="1105" customFormat="1" ht="14.25" customHeight="1" thickBot="1">
      <c r="B148" s="3048">
        <v>1</v>
      </c>
      <c r="C148" s="5" t="s">
        <v>1638</v>
      </c>
      <c r="D148" s="5"/>
      <c r="E148" s="5"/>
      <c r="F148" s="5"/>
      <c r="G148" s="5"/>
      <c r="H148" s="2933"/>
      <c r="I148" s="2934"/>
      <c r="J148" s="2935"/>
      <c r="K148" s="2935"/>
      <c r="L148" s="2935"/>
      <c r="M148" s="2935"/>
      <c r="N148" s="2935"/>
      <c r="O148" s="2935"/>
      <c r="P148" s="2936"/>
      <c r="Q148" s="1210">
        <f t="shared" si="48"/>
        <v>3</v>
      </c>
      <c r="R148" s="1190">
        <f>AA148</f>
        <v>0.2</v>
      </c>
      <c r="S148" s="1252">
        <f t="shared" si="49"/>
        <v>0</v>
      </c>
      <c r="T148" s="1191">
        <f>AC148</f>
        <v>0</v>
      </c>
      <c r="U148" s="1192">
        <f>ROUNDDOWN(AD148,1)</f>
        <v>3</v>
      </c>
      <c r="V148" s="2889"/>
      <c r="W148" s="694"/>
      <c r="X148" s="689"/>
      <c r="Z148" s="685">
        <f>Z149*AA149+Z150*AA150</f>
        <v>3</v>
      </c>
      <c r="AA148" s="580">
        <f>Weight!D148</f>
        <v>0.2</v>
      </c>
      <c r="AB148" s="685">
        <f>AB149*AC149+AB150*AC150</f>
        <v>0</v>
      </c>
      <c r="AC148" s="360">
        <f>SUM(AC149,AC150)</f>
        <v>0</v>
      </c>
      <c r="AD148" s="2922">
        <f>IF(AB148=0,Z148,IF(Z148=0,AB148,Z148*AF$6+AB148*AH$6))</f>
        <v>3</v>
      </c>
      <c r="AE148" s="689"/>
      <c r="AF148" s="355">
        <f>Weight!M148</f>
        <v>0.2</v>
      </c>
      <c r="AG148" s="119"/>
      <c r="AH148" s="360">
        <f>SUM(AH149,AH150)</f>
        <v>0</v>
      </c>
      <c r="AI148" s="2937"/>
      <c r="AJ148" s="2937"/>
      <c r="AK148" s="3137" t="str">
        <f>Weight!C148</f>
        <v xml:space="preserve">Water Resources </v>
      </c>
    </row>
    <row r="149" spans="2:37" s="1105" customFormat="1" ht="14.25" customHeight="1" thickBot="1">
      <c r="B149" s="2974"/>
      <c r="C149" s="2953">
        <v>1.1000000000000001</v>
      </c>
      <c r="D149" s="2941" t="s">
        <v>1639</v>
      </c>
      <c r="E149" s="2941"/>
      <c r="F149" s="2941"/>
      <c r="G149" s="2941"/>
      <c r="H149" s="2963"/>
      <c r="I149" s="3884">
        <f>'LR2'!G20</f>
        <v>0</v>
      </c>
      <c r="J149" s="3885"/>
      <c r="K149" s="3885"/>
      <c r="L149" s="3885"/>
      <c r="M149" s="3885"/>
      <c r="N149" s="3885"/>
      <c r="O149" s="3885"/>
      <c r="P149" s="3886"/>
      <c r="Q149" s="1247">
        <f t="shared" si="48"/>
        <v>3</v>
      </c>
      <c r="R149" s="1255">
        <f t="shared" si="38"/>
        <v>0.4</v>
      </c>
      <c r="S149" s="1256">
        <f t="shared" si="49"/>
        <v>0</v>
      </c>
      <c r="T149" s="1205">
        <f t="shared" si="39"/>
        <v>0</v>
      </c>
      <c r="U149" s="1194"/>
      <c r="V149" s="2889"/>
      <c r="W149" s="587">
        <f>'LR2'!F14</f>
        <v>3</v>
      </c>
      <c r="X149" s="697"/>
      <c r="Z149" s="684">
        <f>IF(AA149=0,0,W149)</f>
        <v>3</v>
      </c>
      <c r="AA149" s="580">
        <f>Weight!D149</f>
        <v>0.4</v>
      </c>
      <c r="AB149" s="684">
        <f>IF(AC149=0,0,X149)</f>
        <v>0</v>
      </c>
      <c r="AC149" s="580">
        <f>Weight!E149</f>
        <v>0</v>
      </c>
      <c r="AD149" s="2922"/>
      <c r="AE149" s="689"/>
      <c r="AF149" s="355">
        <f>Weight!M149</f>
        <v>0.4</v>
      </c>
      <c r="AG149" s="119"/>
      <c r="AH149" s="355">
        <f>Weight!N149</f>
        <v>0</v>
      </c>
      <c r="AI149" s="2937"/>
      <c r="AJ149" s="2937"/>
      <c r="AK149" s="3137" t="str">
        <f>Weight!C149</f>
        <v>Water Saving</v>
      </c>
    </row>
    <row r="150" spans="2:37" s="1105" customFormat="1" ht="14.25" customHeight="1" thickBot="1">
      <c r="B150" s="2974"/>
      <c r="C150" s="3049">
        <v>1.2</v>
      </c>
      <c r="D150" s="2962" t="s">
        <v>4052</v>
      </c>
      <c r="E150" s="2940"/>
      <c r="F150" s="2940"/>
      <c r="G150" s="2940"/>
      <c r="H150" s="2958"/>
      <c r="I150" s="2934"/>
      <c r="J150" s="2935"/>
      <c r="K150" s="2935"/>
      <c r="L150" s="2935"/>
      <c r="M150" s="2935"/>
      <c r="N150" s="2935"/>
      <c r="O150" s="2935"/>
      <c r="P150" s="2936"/>
      <c r="Q150" s="1210">
        <f t="shared" si="48"/>
        <v>3</v>
      </c>
      <c r="R150" s="1190">
        <f>AA150</f>
        <v>0.6</v>
      </c>
      <c r="S150" s="1252">
        <f t="shared" si="49"/>
        <v>0</v>
      </c>
      <c r="T150" s="1191">
        <f>AC150</f>
        <v>0</v>
      </c>
      <c r="U150" s="1192"/>
      <c r="V150" s="2889"/>
      <c r="W150" s="370"/>
      <c r="X150" s="689"/>
      <c r="Z150" s="359">
        <f>SUMPRODUCT(Z151:Z152,AA151:AA152)</f>
        <v>2.9999999999999996</v>
      </c>
      <c r="AA150" s="580">
        <f>Weight!D150</f>
        <v>0.6</v>
      </c>
      <c r="AB150" s="359">
        <f>SUMPRODUCT(AB151:AB152,AC151:AC152)</f>
        <v>0</v>
      </c>
      <c r="AC150" s="580">
        <f>Weight!E150</f>
        <v>0</v>
      </c>
      <c r="AD150" s="2922"/>
      <c r="AE150" s="689"/>
      <c r="AF150" s="355">
        <f>Weight!M150</f>
        <v>0.6</v>
      </c>
      <c r="AG150" s="119"/>
      <c r="AH150" s="355">
        <f>Weight!N150</f>
        <v>0</v>
      </c>
      <c r="AI150" s="2937"/>
      <c r="AJ150" s="2937"/>
      <c r="AK150" s="3137" t="str">
        <f>Weight!C150</f>
        <v>Rain Water &amp; Waste Water Use</v>
      </c>
    </row>
    <row r="151" spans="2:37" s="1105" customFormat="1" ht="14.25" customHeight="1">
      <c r="B151" s="2974"/>
      <c r="C151" s="836"/>
      <c r="D151" s="2043">
        <v>1</v>
      </c>
      <c r="E151" s="2941" t="s">
        <v>1640</v>
      </c>
      <c r="F151" s="2941"/>
      <c r="G151" s="2941"/>
      <c r="H151" s="2963"/>
      <c r="I151" s="3881">
        <f>'LR2'!G31</f>
        <v>0</v>
      </c>
      <c r="J151" s="3882"/>
      <c r="K151" s="3882"/>
      <c r="L151" s="3882"/>
      <c r="M151" s="3882"/>
      <c r="N151" s="3882"/>
      <c r="O151" s="3882"/>
      <c r="P151" s="3883"/>
      <c r="Q151" s="858">
        <f t="shared" si="48"/>
        <v>3</v>
      </c>
      <c r="R151" s="1221">
        <f t="shared" ref="R151:R189" si="58">AA151</f>
        <v>0.7</v>
      </c>
      <c r="S151" s="1253">
        <f t="shared" si="49"/>
        <v>0</v>
      </c>
      <c r="T151" s="1191">
        <f t="shared" ref="T151:T191" si="59">AC151</f>
        <v>0</v>
      </c>
      <c r="U151" s="1192"/>
      <c r="V151" s="2889"/>
      <c r="W151" s="365">
        <f>'LR2'!F25</f>
        <v>3</v>
      </c>
      <c r="X151" s="697"/>
      <c r="Z151" s="362">
        <f t="shared" ref="Z151:Z152" si="60">IF(AA151=0,0,W151)</f>
        <v>3</v>
      </c>
      <c r="AA151" s="580">
        <f>Weight!D151</f>
        <v>0.7</v>
      </c>
      <c r="AB151" s="362">
        <f t="shared" ref="AB151:AB152" si="61">IF(AC151=0,0,X151)</f>
        <v>0</v>
      </c>
      <c r="AC151" s="580">
        <f>Weight!E151</f>
        <v>0</v>
      </c>
      <c r="AD151" s="2922"/>
      <c r="AE151" s="689"/>
      <c r="AF151" s="355">
        <f>Weight!M151</f>
        <v>0.7</v>
      </c>
      <c r="AG151" s="119"/>
      <c r="AH151" s="355">
        <f>Weight!N151</f>
        <v>0</v>
      </c>
      <c r="AI151" s="2937"/>
      <c r="AJ151" s="2937"/>
      <c r="AK151" s="3137" t="str">
        <f>Weight!C151</f>
        <v>Rainwater Use System</v>
      </c>
    </row>
    <row r="152" spans="2:37" s="1105" customFormat="1" ht="14.25" customHeight="1" thickBot="1">
      <c r="B152" s="3047"/>
      <c r="C152" s="834"/>
      <c r="D152" s="2043">
        <v>2</v>
      </c>
      <c r="E152" s="2941" t="s">
        <v>3810</v>
      </c>
      <c r="F152" s="2941"/>
      <c r="G152" s="2941"/>
      <c r="H152" s="2963"/>
      <c r="I152" s="3881">
        <f>'LR2'!L31</f>
        <v>0</v>
      </c>
      <c r="J152" s="3882"/>
      <c r="K152" s="3882"/>
      <c r="L152" s="3882"/>
      <c r="M152" s="3882"/>
      <c r="N152" s="3882"/>
      <c r="O152" s="3882"/>
      <c r="P152" s="3883"/>
      <c r="Q152" s="852">
        <f t="shared" si="48"/>
        <v>3</v>
      </c>
      <c r="R152" s="1221">
        <f t="shared" si="58"/>
        <v>0.3</v>
      </c>
      <c r="S152" s="1253">
        <f t="shared" si="49"/>
        <v>0</v>
      </c>
      <c r="T152" s="1191">
        <f t="shared" si="59"/>
        <v>0</v>
      </c>
      <c r="U152" s="1192"/>
      <c r="V152" s="2889"/>
      <c r="W152" s="365">
        <f>'LR2'!K25</f>
        <v>3</v>
      </c>
      <c r="X152" s="697"/>
      <c r="Z152" s="362">
        <f t="shared" si="60"/>
        <v>3</v>
      </c>
      <c r="AA152" s="580">
        <f>Weight!D152</f>
        <v>0.3</v>
      </c>
      <c r="AB152" s="362">
        <f t="shared" si="61"/>
        <v>0</v>
      </c>
      <c r="AC152" s="580">
        <f>Weight!E152</f>
        <v>0</v>
      </c>
      <c r="AD152" s="2922"/>
      <c r="AE152" s="689"/>
      <c r="AF152" s="355">
        <f>Weight!M152</f>
        <v>0.3</v>
      </c>
      <c r="AG152" s="119"/>
      <c r="AH152" s="355">
        <f>Weight!N152</f>
        <v>0</v>
      </c>
      <c r="AI152" s="2937"/>
      <c r="AJ152" s="2937"/>
      <c r="AK152" s="3137" t="str">
        <f>Weight!C152</f>
        <v>Waste Water Reuse System</v>
      </c>
    </row>
    <row r="153" spans="2:37" s="1105" customFormat="1" ht="14.25" customHeight="1" thickBot="1">
      <c r="B153" s="3039">
        <v>2</v>
      </c>
      <c r="C153" s="2956" t="s">
        <v>3350</v>
      </c>
      <c r="D153" s="2956"/>
      <c r="E153" s="2956"/>
      <c r="F153" s="2956"/>
      <c r="G153" s="2956"/>
      <c r="H153" s="2958"/>
      <c r="I153" s="2959"/>
      <c r="J153" s="2960"/>
      <c r="K153" s="2960"/>
      <c r="L153" s="2960"/>
      <c r="M153" s="2960"/>
      <c r="N153" s="2960"/>
      <c r="O153" s="2960"/>
      <c r="P153" s="2961"/>
      <c r="Q153" s="1210">
        <f t="shared" si="48"/>
        <v>3</v>
      </c>
      <c r="R153" s="1198">
        <f>AA153</f>
        <v>0.6</v>
      </c>
      <c r="S153" s="1257">
        <f t="shared" si="49"/>
        <v>0</v>
      </c>
      <c r="T153" s="1200">
        <f t="shared" si="59"/>
        <v>0</v>
      </c>
      <c r="U153" s="1201">
        <f>ROUNDDOWN(AD153,1)</f>
        <v>3</v>
      </c>
      <c r="V153" s="2889"/>
      <c r="W153" s="370"/>
      <c r="X153" s="689"/>
      <c r="Z153" s="685">
        <f>SUMPRODUCT(Z154:Z160,AA154:AA160)+Z167*AA167</f>
        <v>3.0000000000000004</v>
      </c>
      <c r="AA153" s="580">
        <f>Weight!D153</f>
        <v>0.6</v>
      </c>
      <c r="AB153" s="685">
        <f>SUMPRODUCT(AB154:AB160,AC154:AC160)+AB167*AC167</f>
        <v>0</v>
      </c>
      <c r="AC153" s="360">
        <f>SUM(AC154:AC160)+AC167</f>
        <v>0</v>
      </c>
      <c r="AD153" s="2922">
        <f>IF(AB153=0,Z153,IF(Z153=0,AB153,Z153*AF$6+AB153*AH$6))</f>
        <v>3.0000000000000004</v>
      </c>
      <c r="AE153" s="689"/>
      <c r="AF153" s="355">
        <f>Weight!M153</f>
        <v>0.6</v>
      </c>
      <c r="AG153" s="119"/>
      <c r="AH153" s="360">
        <f>SUM(AH154:AH160)+AH167</f>
        <v>0</v>
      </c>
      <c r="AI153" s="2937"/>
      <c r="AJ153" s="2937"/>
      <c r="AK153" s="3137" t="str">
        <f>Weight!C153</f>
        <v>Reducing Use of Non-renewable Resources</v>
      </c>
    </row>
    <row r="154" spans="2:37" s="1105" customFormat="1" ht="14.25" customHeight="1">
      <c r="B154" s="2891"/>
      <c r="C154" s="2953">
        <v>2.1</v>
      </c>
      <c r="D154" s="3004" t="s">
        <v>3355</v>
      </c>
      <c r="E154" s="2941"/>
      <c r="F154" s="2941"/>
      <c r="G154" s="2941"/>
      <c r="H154" s="2963"/>
      <c r="I154" s="3884">
        <f>'LR2'!G50</f>
        <v>0</v>
      </c>
      <c r="J154" s="3885"/>
      <c r="K154" s="3885"/>
      <c r="L154" s="3885"/>
      <c r="M154" s="3885"/>
      <c r="N154" s="3885"/>
      <c r="O154" s="3885"/>
      <c r="P154" s="3886"/>
      <c r="Q154" s="858">
        <f t="shared" si="48"/>
        <v>3</v>
      </c>
      <c r="R154" s="1221">
        <f t="shared" si="58"/>
        <v>0.1</v>
      </c>
      <c r="S154" s="1253">
        <f t="shared" si="49"/>
        <v>0</v>
      </c>
      <c r="T154" s="1191">
        <f t="shared" si="59"/>
        <v>0</v>
      </c>
      <c r="U154" s="1192"/>
      <c r="V154" s="2889"/>
      <c r="W154" s="635">
        <f>'LR2'!F44</f>
        <v>3</v>
      </c>
      <c r="X154" s="697"/>
      <c r="Z154" s="684">
        <f t="shared" ref="Z154:Z159" si="62">IF(AA154=0,0,W154)</f>
        <v>3</v>
      </c>
      <c r="AA154" s="580">
        <f>Weight!D154</f>
        <v>0.1</v>
      </c>
      <c r="AB154" s="684">
        <f t="shared" ref="AB154:AB159" si="63">IF(AC154=0,0,X154)</f>
        <v>0</v>
      </c>
      <c r="AC154" s="580">
        <f>Weight!E154</f>
        <v>0</v>
      </c>
      <c r="AD154" s="2922"/>
      <c r="AE154" s="689"/>
      <c r="AF154" s="355">
        <f>Weight!M154</f>
        <v>0.1</v>
      </c>
      <c r="AG154" s="119"/>
      <c r="AH154" s="355">
        <f>Weight!N154</f>
        <v>0</v>
      </c>
      <c r="AI154" s="2937"/>
      <c r="AJ154" s="2937"/>
      <c r="AK154" s="3137" t="str">
        <f>Weight!C154</f>
        <v>Reducing Use of Materials</v>
      </c>
    </row>
    <row r="155" spans="2:37" s="1105" customFormat="1" ht="14.25" customHeight="1">
      <c r="B155" s="2976"/>
      <c r="C155" s="2953">
        <v>2.2000000000000002</v>
      </c>
      <c r="D155" s="3141" t="s">
        <v>3356</v>
      </c>
      <c r="E155" s="2941"/>
      <c r="F155" s="2941"/>
      <c r="G155" s="2941"/>
      <c r="H155" s="2963"/>
      <c r="I155" s="3881">
        <f>'LR2'!G67</f>
        <v>0</v>
      </c>
      <c r="J155" s="3882"/>
      <c r="K155" s="3882"/>
      <c r="L155" s="3882"/>
      <c r="M155" s="3882"/>
      <c r="N155" s="3882"/>
      <c r="O155" s="3882"/>
      <c r="P155" s="3883"/>
      <c r="Q155" s="772">
        <f t="shared" si="48"/>
        <v>3</v>
      </c>
      <c r="R155" s="1221">
        <f t="shared" si="58"/>
        <v>0.2</v>
      </c>
      <c r="S155" s="1253">
        <f t="shared" si="49"/>
        <v>0</v>
      </c>
      <c r="T155" s="1191">
        <f t="shared" si="59"/>
        <v>0</v>
      </c>
      <c r="U155" s="1192"/>
      <c r="V155" s="2889"/>
      <c r="W155" s="372">
        <f>'LR2'!F61</f>
        <v>3</v>
      </c>
      <c r="X155" s="689"/>
      <c r="Z155" s="684">
        <f t="shared" si="62"/>
        <v>3</v>
      </c>
      <c r="AA155" s="580">
        <f>Weight!D155</f>
        <v>0.2</v>
      </c>
      <c r="AB155" s="684">
        <f t="shared" si="63"/>
        <v>0</v>
      </c>
      <c r="AC155" s="580">
        <f>Weight!E155</f>
        <v>0</v>
      </c>
      <c r="AD155" s="2922"/>
      <c r="AE155" s="689"/>
      <c r="AF155" s="355">
        <f>Weight!M155</f>
        <v>0.2</v>
      </c>
      <c r="AG155" s="119"/>
      <c r="AH155" s="355">
        <f>Weight!N155</f>
        <v>0</v>
      </c>
      <c r="AI155" s="2937"/>
      <c r="AJ155" s="2937"/>
      <c r="AK155" s="3137" t="str">
        <f>Weight!C155</f>
        <v>Continuing Use of Existing Structural Frame, etc.</v>
      </c>
    </row>
    <row r="156" spans="2:37" s="1105" customFormat="1" ht="14.25" customHeight="1">
      <c r="B156" s="2974"/>
      <c r="C156" s="2953">
        <v>2.2999999999999998</v>
      </c>
      <c r="D156" s="3138" t="s">
        <v>3358</v>
      </c>
      <c r="E156" s="3138"/>
      <c r="F156" s="3138"/>
      <c r="G156" s="3138"/>
      <c r="H156" s="3139"/>
      <c r="I156" s="3881">
        <f>'LR2'!G77</f>
        <v>0</v>
      </c>
      <c r="J156" s="3882"/>
      <c r="K156" s="3882"/>
      <c r="L156" s="3882"/>
      <c r="M156" s="3882"/>
      <c r="N156" s="3882"/>
      <c r="O156" s="3882"/>
      <c r="P156" s="3883"/>
      <c r="Q156" s="772">
        <f t="shared" si="48"/>
        <v>3</v>
      </c>
      <c r="R156" s="1221">
        <f t="shared" si="58"/>
        <v>0.2</v>
      </c>
      <c r="S156" s="1253">
        <f t="shared" si="49"/>
        <v>0</v>
      </c>
      <c r="T156" s="1191">
        <f t="shared" si="59"/>
        <v>0</v>
      </c>
      <c r="U156" s="1192"/>
      <c r="V156" s="2889"/>
      <c r="W156" s="371">
        <f>'LR2'!F71</f>
        <v>3</v>
      </c>
      <c r="X156" s="697"/>
      <c r="Z156" s="684">
        <f t="shared" si="62"/>
        <v>3</v>
      </c>
      <c r="AA156" s="580">
        <f>Weight!D156</f>
        <v>0.2</v>
      </c>
      <c r="AB156" s="684">
        <f t="shared" si="63"/>
        <v>0</v>
      </c>
      <c r="AC156" s="580">
        <f>Weight!E156</f>
        <v>0</v>
      </c>
      <c r="AD156" s="2922"/>
      <c r="AE156" s="689"/>
      <c r="AF156" s="355">
        <f>Weight!M156</f>
        <v>0.2</v>
      </c>
      <c r="AG156" s="119"/>
      <c r="AH156" s="355">
        <f>Weight!N156</f>
        <v>0</v>
      </c>
      <c r="AI156" s="2937"/>
      <c r="AJ156" s="2937"/>
      <c r="AK156" s="3137" t="str">
        <f>Weight!C156</f>
        <v>Use of Recycled Materials as Structural Materials</v>
      </c>
    </row>
    <row r="157" spans="2:37" s="1105" customFormat="1" ht="14.25" customHeight="1">
      <c r="B157" s="2974"/>
      <c r="C157" s="2953">
        <v>2.4</v>
      </c>
      <c r="D157" s="3138" t="s">
        <v>1641</v>
      </c>
      <c r="E157" s="2941"/>
      <c r="F157" s="2941"/>
      <c r="G157" s="2941"/>
      <c r="H157" s="2963"/>
      <c r="I157" s="3881">
        <f>'LR2'!G93</f>
        <v>0</v>
      </c>
      <c r="J157" s="3882"/>
      <c r="K157" s="3882"/>
      <c r="L157" s="3882"/>
      <c r="M157" s="3882"/>
      <c r="N157" s="3882"/>
      <c r="O157" s="3882"/>
      <c r="P157" s="3883"/>
      <c r="Q157" s="772">
        <f t="shared" si="48"/>
        <v>3</v>
      </c>
      <c r="R157" s="1221">
        <f t="shared" si="58"/>
        <v>0.2</v>
      </c>
      <c r="S157" s="1253">
        <f t="shared" si="49"/>
        <v>0</v>
      </c>
      <c r="T157" s="1191">
        <f t="shared" si="59"/>
        <v>0</v>
      </c>
      <c r="U157" s="1192"/>
      <c r="V157" s="2889"/>
      <c r="W157" s="371">
        <f>'LR2'!F87</f>
        <v>3</v>
      </c>
      <c r="X157" s="697"/>
      <c r="Z157" s="684">
        <f t="shared" si="62"/>
        <v>3</v>
      </c>
      <c r="AA157" s="580">
        <f>Weight!D157</f>
        <v>0.2</v>
      </c>
      <c r="AB157" s="684">
        <f t="shared" si="63"/>
        <v>0</v>
      </c>
      <c r="AC157" s="580">
        <f>Weight!E157</f>
        <v>0</v>
      </c>
      <c r="AD157" s="2922"/>
      <c r="AE157" s="689"/>
      <c r="AF157" s="355">
        <f>Weight!M157</f>
        <v>0.2</v>
      </c>
      <c r="AG157" s="119"/>
      <c r="AH157" s="355">
        <f>Weight!N157</f>
        <v>0</v>
      </c>
      <c r="AI157" s="2937"/>
      <c r="AJ157" s="2937"/>
      <c r="AK157" s="3137" t="str">
        <f>Weight!C157</f>
        <v>Use of Recycled Materials as Non-structural Materials</v>
      </c>
    </row>
    <row r="158" spans="2:37" s="1105" customFormat="1" ht="14.25" customHeight="1">
      <c r="B158" s="2974"/>
      <c r="C158" s="2953">
        <v>2.5</v>
      </c>
      <c r="D158" s="3004" t="s">
        <v>1642</v>
      </c>
      <c r="E158" s="2941"/>
      <c r="F158" s="2941"/>
      <c r="G158" s="2941"/>
      <c r="H158" s="2963"/>
      <c r="I158" s="3881">
        <f>'LR2'!G107</f>
        <v>0</v>
      </c>
      <c r="J158" s="3882"/>
      <c r="K158" s="3882"/>
      <c r="L158" s="3882"/>
      <c r="M158" s="3882"/>
      <c r="N158" s="3882"/>
      <c r="O158" s="3882"/>
      <c r="P158" s="3883"/>
      <c r="Q158" s="772">
        <f t="shared" si="48"/>
        <v>3</v>
      </c>
      <c r="R158" s="1221">
        <f t="shared" si="58"/>
        <v>0.1</v>
      </c>
      <c r="S158" s="1253">
        <f t="shared" si="49"/>
        <v>0</v>
      </c>
      <c r="T158" s="1191">
        <f t="shared" si="59"/>
        <v>0</v>
      </c>
      <c r="U158" s="1192"/>
      <c r="V158" s="2889"/>
      <c r="W158" s="371">
        <f>'LR2'!F101</f>
        <v>3</v>
      </c>
      <c r="X158" s="697"/>
      <c r="Z158" s="684">
        <f t="shared" si="62"/>
        <v>3</v>
      </c>
      <c r="AA158" s="580">
        <f>Weight!D158</f>
        <v>0.1</v>
      </c>
      <c r="AB158" s="684">
        <f t="shared" si="63"/>
        <v>0</v>
      </c>
      <c r="AC158" s="580">
        <f>Weight!E158</f>
        <v>0</v>
      </c>
      <c r="AD158" s="2922"/>
      <c r="AE158" s="689"/>
      <c r="AF158" s="355">
        <f>Weight!M158</f>
        <v>0.1</v>
      </c>
      <c r="AG158" s="119"/>
      <c r="AH158" s="355">
        <f>Weight!N158</f>
        <v>0</v>
      </c>
      <c r="AI158" s="2937"/>
      <c r="AJ158" s="2937"/>
      <c r="AK158" s="3137" t="str">
        <f>Weight!C158</f>
        <v>Timber from Sustainable Forestry</v>
      </c>
    </row>
    <row r="159" spans="2:37" s="1105" customFormat="1" ht="15.75" thickBot="1">
      <c r="B159" s="2974"/>
      <c r="C159" s="2939">
        <v>2.6</v>
      </c>
      <c r="D159" s="3004" t="s">
        <v>1643</v>
      </c>
      <c r="E159" s="2941"/>
      <c r="F159" s="2941"/>
      <c r="G159" s="2941"/>
      <c r="H159" s="2963"/>
      <c r="I159" s="3881">
        <f>'LR2'!G119</f>
        <v>0</v>
      </c>
      <c r="J159" s="3882"/>
      <c r="K159" s="3882"/>
      <c r="L159" s="3882"/>
      <c r="M159" s="3882"/>
      <c r="N159" s="3882"/>
      <c r="O159" s="3882"/>
      <c r="P159" s="3883"/>
      <c r="Q159" s="852">
        <f t="shared" si="48"/>
        <v>3</v>
      </c>
      <c r="R159" s="1221">
        <f t="shared" ref="R159:R167" si="64">AA159</f>
        <v>0.2</v>
      </c>
      <c r="S159" s="1253">
        <f t="shared" si="49"/>
        <v>0</v>
      </c>
      <c r="T159" s="1191">
        <f t="shared" ref="T159:T168" si="65">AC159</f>
        <v>0</v>
      </c>
      <c r="U159" s="1192"/>
      <c r="V159" s="2889"/>
      <c r="W159" s="636">
        <f>'LR2'!F113</f>
        <v>3</v>
      </c>
      <c r="X159" s="689"/>
      <c r="Z159" s="684">
        <f t="shared" si="62"/>
        <v>3</v>
      </c>
      <c r="AA159" s="580">
        <f>Weight!D159</f>
        <v>0.2</v>
      </c>
      <c r="AB159" s="684">
        <f t="shared" si="63"/>
        <v>0</v>
      </c>
      <c r="AC159" s="580">
        <f>Weight!E159</f>
        <v>0</v>
      </c>
      <c r="AD159" s="2922"/>
      <c r="AE159" s="689"/>
      <c r="AF159" s="355">
        <f>Weight!M159</f>
        <v>0.2</v>
      </c>
      <c r="AG159" s="119"/>
      <c r="AH159" s="355">
        <f>Weight!N159</f>
        <v>0</v>
      </c>
      <c r="AI159" s="2937"/>
      <c r="AJ159" s="2937"/>
      <c r="AK159" s="3137" t="str">
        <f>Weight!C159</f>
        <v>Reusability of Components and Materials</v>
      </c>
    </row>
    <row r="160" spans="2:37" s="1105" customFormat="1" ht="15.75" hidden="1" thickBot="1">
      <c r="B160" s="2974"/>
      <c r="C160" s="3050">
        <v>2.6</v>
      </c>
      <c r="D160" s="3051" t="s">
        <v>3321</v>
      </c>
      <c r="E160" s="3052"/>
      <c r="F160" s="3052"/>
      <c r="G160" s="3052"/>
      <c r="H160" s="3053"/>
      <c r="I160" s="2934"/>
      <c r="J160" s="2935"/>
      <c r="K160" s="2935"/>
      <c r="L160" s="2935"/>
      <c r="M160" s="2935"/>
      <c r="N160" s="2935"/>
      <c r="O160" s="2935"/>
      <c r="P160" s="2936"/>
      <c r="Q160" s="1196">
        <f t="shared" si="48"/>
        <v>0</v>
      </c>
      <c r="R160" s="1190">
        <f>AA160</f>
        <v>0</v>
      </c>
      <c r="S160" s="1252">
        <f t="shared" si="49"/>
        <v>0</v>
      </c>
      <c r="T160" s="1238">
        <f t="shared" si="65"/>
        <v>0</v>
      </c>
      <c r="U160" s="1192"/>
      <c r="V160" s="2889"/>
      <c r="W160" s="376"/>
      <c r="X160" s="689"/>
      <c r="Z160" s="687">
        <f>SUMPRODUCT(Z161:Z166,AA161:AA166)</f>
        <v>0</v>
      </c>
      <c r="AA160" s="580">
        <f>Weight!D160</f>
        <v>0</v>
      </c>
      <c r="AB160" s="359">
        <f>SUMPRODUCT(AB161:AB166,AC161:AC166)</f>
        <v>0</v>
      </c>
      <c r="AC160" s="580">
        <f>Weight!E160</f>
        <v>0</v>
      </c>
      <c r="AD160" s="2922"/>
      <c r="AE160" s="689"/>
      <c r="AF160" s="355">
        <f>Weight!M160</f>
        <v>0</v>
      </c>
      <c r="AG160" s="119"/>
      <c r="AH160" s="355">
        <f>Weight!N161</f>
        <v>0</v>
      </c>
      <c r="AI160" s="2937"/>
      <c r="AJ160" s="2937"/>
      <c r="AK160" s="3137">
        <f>Weight!C160</f>
        <v>0</v>
      </c>
    </row>
    <row r="161" spans="2:37" s="1105" customFormat="1" ht="15" hidden="1">
      <c r="B161" s="2974"/>
      <c r="C161" s="831"/>
      <c r="D161" s="3054">
        <v>1</v>
      </c>
      <c r="E161" s="3052" t="s">
        <v>3322</v>
      </c>
      <c r="F161" s="3052"/>
      <c r="G161" s="3052"/>
      <c r="H161" s="3053"/>
      <c r="I161" s="3881"/>
      <c r="J161" s="3882"/>
      <c r="K161" s="3882"/>
      <c r="L161" s="3882"/>
      <c r="M161" s="3882"/>
      <c r="N161" s="3882"/>
      <c r="O161" s="3882"/>
      <c r="P161" s="3883"/>
      <c r="Q161" s="858">
        <f t="shared" si="48"/>
        <v>5</v>
      </c>
      <c r="R161" s="1221">
        <f t="shared" si="64"/>
        <v>0</v>
      </c>
      <c r="S161" s="1253">
        <f t="shared" si="49"/>
        <v>0</v>
      </c>
      <c r="T161" s="1191">
        <f t="shared" si="65"/>
        <v>0</v>
      </c>
      <c r="U161" s="1192"/>
      <c r="V161" s="2889"/>
      <c r="W161" s="371">
        <f>'LR2'!F129</f>
        <v>5</v>
      </c>
      <c r="X161" s="697"/>
      <c r="Z161" s="362">
        <f>IF($Z$3=4,#REF!,W161)</f>
        <v>5</v>
      </c>
      <c r="AA161" s="580">
        <f>Weight!D161</f>
        <v>0</v>
      </c>
      <c r="AB161" s="362">
        <f>IF($Z$3=4,#REF!,X161)</f>
        <v>0</v>
      </c>
      <c r="AC161" s="580">
        <f>Weight!E161</f>
        <v>0</v>
      </c>
      <c r="AD161" s="2922"/>
      <c r="AE161" s="689"/>
      <c r="AF161" s="355">
        <f>Weight!M161</f>
        <v>0</v>
      </c>
      <c r="AG161" s="119"/>
      <c r="AH161" s="355">
        <f>Weight!N161</f>
        <v>0</v>
      </c>
      <c r="AI161" s="2937"/>
      <c r="AJ161" s="2937"/>
      <c r="AK161" s="3137">
        <f>Weight!C161</f>
        <v>0</v>
      </c>
    </row>
    <row r="162" spans="2:37" s="1105" customFormat="1" ht="15" hidden="1">
      <c r="B162" s="2974"/>
      <c r="C162" s="831"/>
      <c r="D162" s="3054">
        <v>2</v>
      </c>
      <c r="E162" s="3052" t="s">
        <v>3323</v>
      </c>
      <c r="F162" s="3052"/>
      <c r="G162" s="3052"/>
      <c r="H162" s="3053"/>
      <c r="I162" s="3881"/>
      <c r="J162" s="3882"/>
      <c r="K162" s="3882"/>
      <c r="L162" s="3882"/>
      <c r="M162" s="3882"/>
      <c r="N162" s="3882"/>
      <c r="O162" s="3882"/>
      <c r="P162" s="3883"/>
      <c r="Q162" s="772">
        <f t="shared" si="48"/>
        <v>4</v>
      </c>
      <c r="R162" s="1221">
        <f t="shared" si="64"/>
        <v>0</v>
      </c>
      <c r="S162" s="1253">
        <f t="shared" si="49"/>
        <v>0</v>
      </c>
      <c r="T162" s="1191">
        <f t="shared" si="65"/>
        <v>0</v>
      </c>
      <c r="U162" s="1192"/>
      <c r="V162" s="2889"/>
      <c r="W162" s="371">
        <f>'LR2'!K129</f>
        <v>4</v>
      </c>
      <c r="X162" s="697"/>
      <c r="Z162" s="362">
        <f>IF($Z$3=4,#REF!,W162)</f>
        <v>4</v>
      </c>
      <c r="AA162" s="580">
        <f>Weight!D162</f>
        <v>0</v>
      </c>
      <c r="AB162" s="362">
        <f>IF($Z$3=4,#REF!,X162)</f>
        <v>0</v>
      </c>
      <c r="AC162" s="580">
        <f>Weight!E162</f>
        <v>0</v>
      </c>
      <c r="AD162" s="2922"/>
      <c r="AE162" s="689"/>
      <c r="AF162" s="355">
        <f>Weight!M162</f>
        <v>0</v>
      </c>
      <c r="AG162" s="119"/>
      <c r="AH162" s="355">
        <f>Weight!N162</f>
        <v>0</v>
      </c>
      <c r="AI162" s="2937"/>
      <c r="AJ162" s="2937"/>
      <c r="AK162" s="3137">
        <f>Weight!C162</f>
        <v>0</v>
      </c>
    </row>
    <row r="163" spans="2:37" s="1105" customFormat="1" ht="15" hidden="1">
      <c r="B163" s="2976"/>
      <c r="C163" s="831"/>
      <c r="D163" s="3054">
        <v>3</v>
      </c>
      <c r="E163" s="3052" t="s">
        <v>3324</v>
      </c>
      <c r="F163" s="3052"/>
      <c r="G163" s="3052"/>
      <c r="H163" s="3053"/>
      <c r="I163" s="3881"/>
      <c r="J163" s="3882"/>
      <c r="K163" s="3882"/>
      <c r="L163" s="3882"/>
      <c r="M163" s="3882"/>
      <c r="N163" s="3882"/>
      <c r="O163" s="3882"/>
      <c r="P163" s="3883"/>
      <c r="Q163" s="772">
        <f t="shared" si="48"/>
        <v>4</v>
      </c>
      <c r="R163" s="1221">
        <f t="shared" si="64"/>
        <v>0</v>
      </c>
      <c r="S163" s="1253">
        <f t="shared" si="49"/>
        <v>0</v>
      </c>
      <c r="T163" s="1191">
        <f t="shared" si="65"/>
        <v>0</v>
      </c>
      <c r="U163" s="1192"/>
      <c r="V163" s="2889"/>
      <c r="W163" s="371">
        <f>'LR2'!F138</f>
        <v>4</v>
      </c>
      <c r="X163" s="697"/>
      <c r="Z163" s="362">
        <f>IF($Z$3=4,#REF!,W163)</f>
        <v>4</v>
      </c>
      <c r="AA163" s="580">
        <f>Weight!D163</f>
        <v>0</v>
      </c>
      <c r="AB163" s="362">
        <f>IF($Z$3=4,#REF!,X163)</f>
        <v>0</v>
      </c>
      <c r="AC163" s="580">
        <f>Weight!E163</f>
        <v>0</v>
      </c>
      <c r="AD163" s="2922"/>
      <c r="AE163" s="689"/>
      <c r="AF163" s="355">
        <f>Weight!M163</f>
        <v>0</v>
      </c>
      <c r="AG163" s="119"/>
      <c r="AH163" s="355">
        <f>Weight!N163</f>
        <v>0</v>
      </c>
      <c r="AI163" s="2937"/>
      <c r="AJ163" s="2937"/>
      <c r="AK163" s="3137">
        <f>Weight!C163</f>
        <v>0</v>
      </c>
    </row>
    <row r="164" spans="2:37" s="1105" customFormat="1" ht="15" hidden="1">
      <c r="B164" s="2976"/>
      <c r="C164" s="831"/>
      <c r="D164" s="3054">
        <v>4</v>
      </c>
      <c r="E164" s="3052" t="s">
        <v>3325</v>
      </c>
      <c r="F164" s="3052"/>
      <c r="G164" s="3052"/>
      <c r="H164" s="3053"/>
      <c r="I164" s="3881"/>
      <c r="J164" s="3882"/>
      <c r="K164" s="3882"/>
      <c r="L164" s="3882"/>
      <c r="M164" s="3882"/>
      <c r="N164" s="3882"/>
      <c r="O164" s="3882"/>
      <c r="P164" s="3883"/>
      <c r="Q164" s="772">
        <f t="shared" si="48"/>
        <v>4</v>
      </c>
      <c r="R164" s="1221">
        <f t="shared" si="64"/>
        <v>0</v>
      </c>
      <c r="S164" s="1253">
        <f t="shared" si="49"/>
        <v>0</v>
      </c>
      <c r="T164" s="1191">
        <f t="shared" si="65"/>
        <v>0</v>
      </c>
      <c r="U164" s="1192"/>
      <c r="V164" s="2889"/>
      <c r="W164" s="371">
        <f>'LR2'!K138</f>
        <v>4</v>
      </c>
      <c r="X164" s="697"/>
      <c r="Z164" s="362">
        <f>IF($Z$3=4,#REF!,W164)</f>
        <v>4</v>
      </c>
      <c r="AA164" s="580">
        <f>Weight!D164</f>
        <v>0</v>
      </c>
      <c r="AB164" s="362">
        <f>IF($Z$3=4,#REF!,X164)</f>
        <v>0</v>
      </c>
      <c r="AC164" s="580">
        <f>Weight!E164</f>
        <v>0</v>
      </c>
      <c r="AD164" s="2922"/>
      <c r="AE164" s="689"/>
      <c r="AF164" s="355">
        <f>Weight!M164</f>
        <v>0</v>
      </c>
      <c r="AG164" s="119"/>
      <c r="AH164" s="355">
        <f>Weight!N164</f>
        <v>0</v>
      </c>
      <c r="AI164" s="2937"/>
      <c r="AJ164" s="2937"/>
      <c r="AK164" s="3137">
        <f>Weight!C164</f>
        <v>0</v>
      </c>
    </row>
    <row r="165" spans="2:37" s="1105" customFormat="1" ht="15" hidden="1">
      <c r="B165" s="2976"/>
      <c r="C165" s="831"/>
      <c r="D165" s="3054">
        <v>5</v>
      </c>
      <c r="E165" s="3052" t="s">
        <v>3326</v>
      </c>
      <c r="F165" s="3052"/>
      <c r="G165" s="3052"/>
      <c r="H165" s="3053"/>
      <c r="I165" s="3881"/>
      <c r="J165" s="3882"/>
      <c r="K165" s="3882"/>
      <c r="L165" s="3882"/>
      <c r="M165" s="3882"/>
      <c r="N165" s="3882"/>
      <c r="O165" s="3882"/>
      <c r="P165" s="3883"/>
      <c r="Q165" s="772">
        <f t="shared" si="48"/>
        <v>1</v>
      </c>
      <c r="R165" s="1221">
        <f t="shared" si="64"/>
        <v>0</v>
      </c>
      <c r="S165" s="1253">
        <f t="shared" si="49"/>
        <v>0</v>
      </c>
      <c r="T165" s="1191">
        <f t="shared" si="65"/>
        <v>0</v>
      </c>
      <c r="U165" s="1192"/>
      <c r="V165" s="2889"/>
      <c r="W165" s="371">
        <f>'LR2'!F147</f>
        <v>1</v>
      </c>
      <c r="X165" s="697"/>
      <c r="Z165" s="362">
        <f>IF($Z$3=4,#REF!,W165)</f>
        <v>1</v>
      </c>
      <c r="AA165" s="580">
        <f>Weight!D165</f>
        <v>0</v>
      </c>
      <c r="AB165" s="362">
        <f>IF($Z$3=4,#REF!,X165)</f>
        <v>0</v>
      </c>
      <c r="AC165" s="580">
        <f>Weight!E165</f>
        <v>0</v>
      </c>
      <c r="AD165" s="2922"/>
      <c r="AE165" s="689"/>
      <c r="AF165" s="355">
        <f>Weight!M165</f>
        <v>0</v>
      </c>
      <c r="AG165" s="119"/>
      <c r="AH165" s="355">
        <f>Weight!N165</f>
        <v>0</v>
      </c>
      <c r="AI165" s="2937"/>
      <c r="AJ165" s="2937"/>
      <c r="AK165" s="3137">
        <f>Weight!C165</f>
        <v>0</v>
      </c>
    </row>
    <row r="166" spans="2:37" s="1105" customFormat="1" ht="15" hidden="1">
      <c r="B166" s="2976"/>
      <c r="C166" s="831"/>
      <c r="D166" s="3054">
        <v>6</v>
      </c>
      <c r="E166" s="3052" t="s">
        <v>3327</v>
      </c>
      <c r="F166" s="3052"/>
      <c r="G166" s="3052"/>
      <c r="H166" s="3053"/>
      <c r="I166" s="3881"/>
      <c r="J166" s="3882"/>
      <c r="K166" s="3882"/>
      <c r="L166" s="3882"/>
      <c r="M166" s="3882"/>
      <c r="N166" s="3882"/>
      <c r="O166" s="3882"/>
      <c r="P166" s="3883"/>
      <c r="Q166" s="772">
        <f t="shared" si="48"/>
        <v>1</v>
      </c>
      <c r="R166" s="1221">
        <f t="shared" si="64"/>
        <v>0</v>
      </c>
      <c r="S166" s="1253">
        <f t="shared" si="49"/>
        <v>0</v>
      </c>
      <c r="T166" s="1191">
        <f t="shared" si="65"/>
        <v>0</v>
      </c>
      <c r="U166" s="1192"/>
      <c r="V166" s="2889"/>
      <c r="W166" s="371">
        <f>'LR2'!K147</f>
        <v>1</v>
      </c>
      <c r="X166" s="697"/>
      <c r="Z166" s="362">
        <f>IF($Z$3=4,#REF!,W166)</f>
        <v>1</v>
      </c>
      <c r="AA166" s="580">
        <f>Weight!D166</f>
        <v>0</v>
      </c>
      <c r="AB166" s="362">
        <f>IF($Z$3=4,#REF!,X166)</f>
        <v>0</v>
      </c>
      <c r="AC166" s="580">
        <f>Weight!E166</f>
        <v>0</v>
      </c>
      <c r="AD166" s="2922"/>
      <c r="AE166" s="689"/>
      <c r="AF166" s="355">
        <f>Weight!M166</f>
        <v>0</v>
      </c>
      <c r="AG166" s="119"/>
      <c r="AH166" s="355">
        <f>Weight!N166</f>
        <v>0</v>
      </c>
      <c r="AI166" s="2937"/>
      <c r="AJ166" s="2937"/>
      <c r="AK166" s="3137">
        <f>Weight!C166</f>
        <v>0</v>
      </c>
    </row>
    <row r="167" spans="2:37" s="1105" customFormat="1" ht="15.75" hidden="1" thickBot="1">
      <c r="B167" s="2976"/>
      <c r="C167" s="3055">
        <v>2.7</v>
      </c>
      <c r="D167" s="3051" t="s">
        <v>3328</v>
      </c>
      <c r="E167" s="3052"/>
      <c r="F167" s="3052"/>
      <c r="G167" s="3052"/>
      <c r="H167" s="3053"/>
      <c r="I167" s="3881"/>
      <c r="J167" s="3882"/>
      <c r="K167" s="3882"/>
      <c r="L167" s="3882"/>
      <c r="M167" s="3882"/>
      <c r="N167" s="3882"/>
      <c r="O167" s="3882"/>
      <c r="P167" s="3883"/>
      <c r="Q167" s="852">
        <f t="shared" si="48"/>
        <v>2</v>
      </c>
      <c r="R167" s="1221">
        <f t="shared" si="64"/>
        <v>0</v>
      </c>
      <c r="S167" s="1253">
        <f t="shared" si="49"/>
        <v>0</v>
      </c>
      <c r="T167" s="1191">
        <f t="shared" si="65"/>
        <v>0</v>
      </c>
      <c r="U167" s="1192"/>
      <c r="V167" s="2889"/>
      <c r="W167" s="636">
        <f>'LR2'!F169</f>
        <v>2</v>
      </c>
      <c r="X167" s="689"/>
      <c r="Z167" s="684">
        <f>IF($Z$3=4,#REF!,W167)</f>
        <v>2</v>
      </c>
      <c r="AA167" s="580">
        <f>Weight!D167</f>
        <v>0</v>
      </c>
      <c r="AB167" s="684">
        <f>IF($Z$3=4,#REF!,X167)</f>
        <v>0</v>
      </c>
      <c r="AC167" s="580">
        <f>Weight!E167</f>
        <v>0</v>
      </c>
      <c r="AD167" s="2922"/>
      <c r="AE167" s="689"/>
      <c r="AF167" s="355">
        <f>Weight!M167</f>
        <v>0</v>
      </c>
      <c r="AG167" s="119"/>
      <c r="AH167" s="355">
        <f>Weight!N167</f>
        <v>0</v>
      </c>
      <c r="AI167" s="2937"/>
      <c r="AJ167" s="2937"/>
      <c r="AK167" s="3137">
        <f>Weight!C167</f>
        <v>0</v>
      </c>
    </row>
    <row r="168" spans="2:37" s="1105" customFormat="1" ht="15.75" thickBot="1">
      <c r="B168" s="3039">
        <v>3</v>
      </c>
      <c r="C168" s="2956" t="s">
        <v>1644</v>
      </c>
      <c r="D168" s="3004"/>
      <c r="E168" s="2941"/>
      <c r="F168" s="2941"/>
      <c r="G168" s="2941"/>
      <c r="H168" s="2963"/>
      <c r="I168" s="2959"/>
      <c r="J168" s="2960"/>
      <c r="K168" s="2960"/>
      <c r="L168" s="2960"/>
      <c r="M168" s="2960"/>
      <c r="N168" s="2960"/>
      <c r="O168" s="2960"/>
      <c r="P168" s="2961"/>
      <c r="Q168" s="1210">
        <f t="shared" si="48"/>
        <v>3</v>
      </c>
      <c r="R168" s="1198">
        <f>AA168</f>
        <v>0.2</v>
      </c>
      <c r="S168" s="1257">
        <f t="shared" si="49"/>
        <v>0</v>
      </c>
      <c r="T168" s="1200">
        <f t="shared" si="65"/>
        <v>0</v>
      </c>
      <c r="U168" s="1201">
        <f>ROUNDDOWN(AD168,1)</f>
        <v>3</v>
      </c>
      <c r="V168" s="2889"/>
      <c r="W168" s="374"/>
      <c r="X168" s="689"/>
      <c r="Z168" s="685">
        <f>Z169*AA169+Z170*AA170</f>
        <v>2.9999999999999996</v>
      </c>
      <c r="AA168" s="580">
        <f>Weight!D168</f>
        <v>0.2</v>
      </c>
      <c r="AB168" s="685">
        <f>AB169*AC169+AB170*AC170</f>
        <v>0</v>
      </c>
      <c r="AC168" s="360">
        <f>SUM(AC169,AC170)</f>
        <v>0</v>
      </c>
      <c r="AD168" s="3056">
        <f>IF(AB168=0,Z168,IF(Z168=0,AB168,Z168*AF$6+AB168*AH$6))</f>
        <v>2.9999999999999996</v>
      </c>
      <c r="AE168" s="689"/>
      <c r="AF168" s="355">
        <f>Weight!M168</f>
        <v>0.2</v>
      </c>
      <c r="AG168" s="119"/>
      <c r="AH168" s="360">
        <f>SUM(AH169,AH170)</f>
        <v>0</v>
      </c>
      <c r="AI168" s="2937"/>
      <c r="AJ168" s="2937"/>
      <c r="AK168" s="3137" t="str">
        <f>Weight!C168</f>
        <v>Avoiding the Use of Materials with Pollutant Content</v>
      </c>
    </row>
    <row r="169" spans="2:37" s="1105" customFormat="1" ht="14.25" customHeight="1" thickBot="1">
      <c r="B169" s="2976"/>
      <c r="C169" s="2953">
        <v>3.1</v>
      </c>
      <c r="D169" s="3140" t="s">
        <v>1645</v>
      </c>
      <c r="E169" s="2941"/>
      <c r="F169" s="2941"/>
      <c r="G169" s="2941"/>
      <c r="H169" s="2963"/>
      <c r="I169" s="3884">
        <f>'LR2'!G195</f>
        <v>0</v>
      </c>
      <c r="J169" s="3885"/>
      <c r="K169" s="3885"/>
      <c r="L169" s="3885"/>
      <c r="M169" s="3885"/>
      <c r="N169" s="3885"/>
      <c r="O169" s="3885"/>
      <c r="P169" s="3886"/>
      <c r="Q169" s="1247">
        <f t="shared" si="48"/>
        <v>3</v>
      </c>
      <c r="R169" s="1221">
        <f t="shared" si="58"/>
        <v>0.3</v>
      </c>
      <c r="S169" s="1253">
        <f t="shared" si="49"/>
        <v>0</v>
      </c>
      <c r="T169" s="1191">
        <f t="shared" si="59"/>
        <v>0</v>
      </c>
      <c r="U169" s="1192"/>
      <c r="V169" s="2889"/>
      <c r="W169" s="375">
        <f>'LR2'!F189</f>
        <v>3</v>
      </c>
      <c r="X169" s="689"/>
      <c r="Z169" s="684">
        <f>IF(AA169=0,0,W169)</f>
        <v>3</v>
      </c>
      <c r="AA169" s="580">
        <f>Weight!D169</f>
        <v>0.3</v>
      </c>
      <c r="AB169" s="684">
        <f>IF(AC169=0,0,X169)</f>
        <v>0</v>
      </c>
      <c r="AC169" s="580">
        <f>Weight!E169</f>
        <v>0</v>
      </c>
      <c r="AD169" s="2922"/>
      <c r="AE169" s="689"/>
      <c r="AF169" s="355">
        <f>Weight!M169</f>
        <v>0.3</v>
      </c>
      <c r="AG169" s="119"/>
      <c r="AH169" s="355">
        <f>Weight!N169</f>
        <v>0</v>
      </c>
      <c r="AI169" s="2937"/>
      <c r="AJ169" s="2937"/>
      <c r="AK169" s="3137" t="str">
        <f>Weight!C169</f>
        <v>Use of Materials without Harmful Substances</v>
      </c>
    </row>
    <row r="170" spans="2:37" s="1105" customFormat="1" ht="14.25" customHeight="1" thickBot="1">
      <c r="B170" s="2976"/>
      <c r="C170" s="2939">
        <v>3.2</v>
      </c>
      <c r="D170" s="3004" t="s">
        <v>3364</v>
      </c>
      <c r="E170" s="2940"/>
      <c r="F170" s="2940"/>
      <c r="G170" s="2940"/>
      <c r="H170" s="2958"/>
      <c r="I170" s="2934"/>
      <c r="J170" s="2935"/>
      <c r="K170" s="2935"/>
      <c r="L170" s="2935"/>
      <c r="M170" s="2935"/>
      <c r="N170" s="2935"/>
      <c r="O170" s="2935"/>
      <c r="P170" s="2936"/>
      <c r="Q170" s="1210">
        <f t="shared" si="48"/>
        <v>3</v>
      </c>
      <c r="R170" s="1190">
        <f>AA170</f>
        <v>0.7</v>
      </c>
      <c r="S170" s="1252">
        <f t="shared" si="49"/>
        <v>0</v>
      </c>
      <c r="T170" s="1238">
        <f t="shared" si="59"/>
        <v>0</v>
      </c>
      <c r="U170" s="1192"/>
      <c r="V170" s="2889"/>
      <c r="W170" s="376"/>
      <c r="X170" s="689"/>
      <c r="Z170" s="359">
        <f>SUMPRODUCT(Z171:Z173,AA171:AA173)</f>
        <v>3</v>
      </c>
      <c r="AA170" s="580">
        <f>Weight!D170</f>
        <v>0.7</v>
      </c>
      <c r="AB170" s="359">
        <f>SUMPRODUCT(AB171:AB173,AC171:AC173)</f>
        <v>0</v>
      </c>
      <c r="AC170" s="580">
        <f>Weight!E170</f>
        <v>0</v>
      </c>
      <c r="AD170" s="2922"/>
      <c r="AE170" s="689"/>
      <c r="AF170" s="355">
        <f>Weight!M170</f>
        <v>0.7</v>
      </c>
      <c r="AG170" s="119"/>
      <c r="AH170" s="355">
        <f>Weight!N170</f>
        <v>0</v>
      </c>
      <c r="AI170" s="2937"/>
      <c r="AJ170" s="2937"/>
      <c r="AK170" s="3137" t="str">
        <f>Weight!C170</f>
        <v>Avoidance of CFCs and Halons</v>
      </c>
    </row>
    <row r="171" spans="2:37" s="1105" customFormat="1" ht="14.25" customHeight="1">
      <c r="B171" s="2976"/>
      <c r="C171" s="810"/>
      <c r="D171" s="2043">
        <v>1</v>
      </c>
      <c r="E171" s="2941" t="s">
        <v>1646</v>
      </c>
      <c r="F171" s="2941"/>
      <c r="G171" s="2941"/>
      <c r="H171" s="2963"/>
      <c r="I171" s="3881">
        <f>'LR2'!G218</f>
        <v>0</v>
      </c>
      <c r="J171" s="3882"/>
      <c r="K171" s="3882"/>
      <c r="L171" s="3882"/>
      <c r="M171" s="3882"/>
      <c r="N171" s="3882"/>
      <c r="O171" s="3882"/>
      <c r="P171" s="3883"/>
      <c r="Q171" s="858">
        <f t="shared" si="48"/>
        <v>2</v>
      </c>
      <c r="R171" s="1221">
        <f t="shared" si="58"/>
        <v>0.33333333333333331</v>
      </c>
      <c r="S171" s="1253">
        <f t="shared" si="49"/>
        <v>0</v>
      </c>
      <c r="T171" s="1191">
        <f t="shared" si="59"/>
        <v>0</v>
      </c>
      <c r="U171" s="1192"/>
      <c r="V171" s="2889"/>
      <c r="W171" s="371">
        <f>'LR2'!F212</f>
        <v>2</v>
      </c>
      <c r="X171" s="697"/>
      <c r="Z171" s="362">
        <f t="shared" ref="Z171:Z173" si="66">IF(AA171=0,0,W171)</f>
        <v>2</v>
      </c>
      <c r="AA171" s="580">
        <f>Weight!D171</f>
        <v>0.33333333333333331</v>
      </c>
      <c r="AB171" s="362">
        <f t="shared" ref="AB171:AB173" si="67">IF(AC171=0,0,X171)</f>
        <v>0</v>
      </c>
      <c r="AC171" s="580">
        <f>Weight!E171</f>
        <v>0</v>
      </c>
      <c r="AD171" s="2922"/>
      <c r="AE171" s="689"/>
      <c r="AF171" s="355">
        <f>Weight!M171</f>
        <v>0.33333333333333331</v>
      </c>
      <c r="AG171" s="119"/>
      <c r="AH171" s="355">
        <f>Weight!N171</f>
        <v>0</v>
      </c>
      <c r="AI171" s="2937"/>
      <c r="AJ171" s="2937"/>
      <c r="AK171" s="3137" t="str">
        <f>Weight!C171</f>
        <v>Fire Retardant</v>
      </c>
    </row>
    <row r="172" spans="2:37" s="1105" customFormat="1" ht="14.25" customHeight="1">
      <c r="B172" s="2976"/>
      <c r="C172" s="810"/>
      <c r="D172" s="2043">
        <v>2</v>
      </c>
      <c r="E172" s="3136" t="s">
        <v>3363</v>
      </c>
      <c r="F172" s="2941"/>
      <c r="G172" s="2941"/>
      <c r="H172" s="2963"/>
      <c r="I172" s="3881">
        <f>'LR2'!G229</f>
        <v>0</v>
      </c>
      <c r="J172" s="3882"/>
      <c r="K172" s="3882"/>
      <c r="L172" s="3882"/>
      <c r="M172" s="3882"/>
      <c r="N172" s="3882"/>
      <c r="O172" s="3882"/>
      <c r="P172" s="3883"/>
      <c r="Q172" s="772">
        <f t="shared" si="48"/>
        <v>3</v>
      </c>
      <c r="R172" s="1221">
        <f t="shared" si="58"/>
        <v>0.33333333333333331</v>
      </c>
      <c r="S172" s="1253">
        <f t="shared" si="49"/>
        <v>0</v>
      </c>
      <c r="T172" s="1191">
        <f t="shared" si="59"/>
        <v>0</v>
      </c>
      <c r="U172" s="1192"/>
      <c r="V172" s="2889"/>
      <c r="W172" s="371">
        <f>'LR2'!F223</f>
        <v>3</v>
      </c>
      <c r="X172" s="697"/>
      <c r="Z172" s="362">
        <f t="shared" si="66"/>
        <v>3</v>
      </c>
      <c r="AA172" s="580">
        <f>Weight!D172</f>
        <v>0.33333333333333331</v>
      </c>
      <c r="AB172" s="362">
        <f t="shared" si="67"/>
        <v>0</v>
      </c>
      <c r="AC172" s="580">
        <f>Weight!E172</f>
        <v>0</v>
      </c>
      <c r="AD172" s="2922"/>
      <c r="AE172" s="689"/>
      <c r="AF172" s="355">
        <f>Weight!M172</f>
        <v>0.33333333333333331</v>
      </c>
      <c r="AG172" s="119"/>
      <c r="AH172" s="355">
        <f>Weight!N172</f>
        <v>0</v>
      </c>
      <c r="AI172" s="2937"/>
      <c r="AJ172" s="2937"/>
      <c r="AK172" s="3137" t="str">
        <f>Weight!C172</f>
        <v>Foaming Agents (Insulation Materials, etc.)</v>
      </c>
    </row>
    <row r="173" spans="2:37" s="1105" customFormat="1" ht="14.25" customHeight="1" thickBot="1">
      <c r="B173" s="3057"/>
      <c r="C173" s="807"/>
      <c r="D173" s="3006">
        <v>3</v>
      </c>
      <c r="E173" s="3007" t="s">
        <v>1647</v>
      </c>
      <c r="F173" s="3007"/>
      <c r="G173" s="3007"/>
      <c r="H173" s="3008"/>
      <c r="I173" s="3881">
        <f>'LR2'!G295</f>
        <v>0</v>
      </c>
      <c r="J173" s="3882"/>
      <c r="K173" s="3882"/>
      <c r="L173" s="3882"/>
      <c r="M173" s="3882"/>
      <c r="N173" s="3882"/>
      <c r="O173" s="3882"/>
      <c r="P173" s="3883"/>
      <c r="Q173" s="852">
        <f t="shared" si="48"/>
        <v>4</v>
      </c>
      <c r="R173" s="1228">
        <f t="shared" si="58"/>
        <v>0.33333333333333331</v>
      </c>
      <c r="S173" s="1258">
        <f t="shared" si="49"/>
        <v>0</v>
      </c>
      <c r="T173" s="1230">
        <f t="shared" si="59"/>
        <v>0</v>
      </c>
      <c r="U173" s="1231"/>
      <c r="V173" s="2889"/>
      <c r="W173" s="373">
        <f>'LR2'!F289</f>
        <v>4</v>
      </c>
      <c r="X173" s="689"/>
      <c r="Z173" s="362">
        <f t="shared" si="66"/>
        <v>4</v>
      </c>
      <c r="AA173" s="580">
        <f>Weight!D173</f>
        <v>0.33333333333333331</v>
      </c>
      <c r="AB173" s="362">
        <f t="shared" si="67"/>
        <v>0</v>
      </c>
      <c r="AC173" s="580">
        <f>Weight!E173</f>
        <v>0</v>
      </c>
      <c r="AD173" s="2922"/>
      <c r="AE173" s="689"/>
      <c r="AF173" s="355">
        <f>Weight!M173</f>
        <v>0.33333333333333331</v>
      </c>
      <c r="AG173" s="119"/>
      <c r="AH173" s="355">
        <f>Weight!N173</f>
        <v>0</v>
      </c>
      <c r="AI173" s="2937"/>
      <c r="AJ173" s="2937"/>
      <c r="AK173" s="3137" t="str">
        <f>Weight!C173</f>
        <v>Refrigerants</v>
      </c>
    </row>
    <row r="174" spans="2:37" s="1105" customFormat="1" ht="14.25" customHeight="1" thickBot="1">
      <c r="B174" s="2983" t="s">
        <v>1648</v>
      </c>
      <c r="C174" s="2984"/>
      <c r="D174" s="2984"/>
      <c r="E174" s="2984"/>
      <c r="F174" s="2984"/>
      <c r="G174" s="2984"/>
      <c r="H174" s="3009"/>
      <c r="I174" s="3010"/>
      <c r="J174" s="3011"/>
      <c r="K174" s="3011"/>
      <c r="L174" s="3011"/>
      <c r="M174" s="3011"/>
      <c r="N174" s="3011"/>
      <c r="O174" s="3011"/>
      <c r="P174" s="3012"/>
      <c r="Q174" s="3058">
        <f t="shared" si="48"/>
        <v>0</v>
      </c>
      <c r="R174" s="1211" t="e">
        <f t="shared" si="58"/>
        <v>#VALUE!</v>
      </c>
      <c r="S174" s="1254">
        <f t="shared" si="49"/>
        <v>0</v>
      </c>
      <c r="T174" s="1213">
        <f t="shared" si="59"/>
        <v>0</v>
      </c>
      <c r="U174" s="1214" t="e">
        <f>ROUNDDOWN(AD174,1)</f>
        <v>#VALUE!</v>
      </c>
      <c r="V174" s="2889"/>
      <c r="W174" s="376"/>
      <c r="X174" s="689"/>
      <c r="Z174" s="363"/>
      <c r="AA174" s="357" t="e">
        <f>Weight!D174</f>
        <v>#VALUE!</v>
      </c>
      <c r="AB174" s="363"/>
      <c r="AC174" s="357"/>
      <c r="AD174" s="2922" t="e">
        <f>AA175*AD175+AA176*AD176+AA185*AD185</f>
        <v>#VALUE!</v>
      </c>
      <c r="AE174" s="689"/>
      <c r="AF174" s="355">
        <f>Weight!M174</f>
        <v>0.3</v>
      </c>
      <c r="AG174" s="119"/>
      <c r="AH174" s="355">
        <f>Weight!N174</f>
        <v>0</v>
      </c>
      <c r="AI174" s="355" t="s">
        <v>797</v>
      </c>
      <c r="AJ174" s="355" t="s">
        <v>1045</v>
      </c>
      <c r="AK174" s="3137" t="str">
        <f>Weight!C174</f>
        <v>Off-site Environment</v>
      </c>
    </row>
    <row r="175" spans="2:37" s="1105" customFormat="1" ht="14.25" customHeight="1" thickBot="1">
      <c r="B175" s="2931">
        <v>1</v>
      </c>
      <c r="C175" s="5" t="s">
        <v>1649</v>
      </c>
      <c r="D175" s="3021"/>
      <c r="E175" s="3021"/>
      <c r="F175" s="3021"/>
      <c r="G175" s="3021"/>
      <c r="H175" s="2981"/>
      <c r="I175" s="3884">
        <f>'LR3'!G19</f>
        <v>0</v>
      </c>
      <c r="J175" s="3885"/>
      <c r="K175" s="3885"/>
      <c r="L175" s="3885"/>
      <c r="M175" s="3885"/>
      <c r="N175" s="3885"/>
      <c r="O175" s="3885"/>
      <c r="P175" s="3886"/>
      <c r="Q175" s="1247" t="e">
        <f t="shared" si="48"/>
        <v>#VALUE!</v>
      </c>
      <c r="R175" s="1221" t="e">
        <f>AA175</f>
        <v>#VALUE!</v>
      </c>
      <c r="S175" s="1252">
        <f t="shared" si="49"/>
        <v>0</v>
      </c>
      <c r="T175" s="1191">
        <f t="shared" si="59"/>
        <v>0</v>
      </c>
      <c r="U175" s="1192" t="e">
        <f>ROUNDDOWN(AD175,1)</f>
        <v>#VALUE!</v>
      </c>
      <c r="V175" s="2889"/>
      <c r="W175" s="371" t="e">
        <f>'LR3'!F13</f>
        <v>#VALUE!</v>
      </c>
      <c r="X175" s="697"/>
      <c r="Z175" s="686" t="e">
        <f>IF(AA175=0,0,W175)</f>
        <v>#VALUE!</v>
      </c>
      <c r="AA175" s="580" t="e">
        <f>Weight!D175</f>
        <v>#VALUE!</v>
      </c>
      <c r="AB175" s="686">
        <f>IF(AC175=0,0,X175)</f>
        <v>0</v>
      </c>
      <c r="AC175" s="580">
        <f>Weight!E175</f>
        <v>0</v>
      </c>
      <c r="AD175" s="2922" t="e">
        <f>IF(AB175=0,Z175,IF(Z175=0,AB175,Z175*AF$6+AB175*AH$6))</f>
        <v>#VALUE!</v>
      </c>
      <c r="AE175" s="689"/>
      <c r="AF175" s="355">
        <f>Weight!M175</f>
        <v>0.33333333333333331</v>
      </c>
      <c r="AG175" s="119"/>
      <c r="AH175" s="355">
        <f>Weight!N175</f>
        <v>0</v>
      </c>
      <c r="AI175" s="2937"/>
      <c r="AJ175" s="2937"/>
      <c r="AK175" s="3137" t="str">
        <f>Weight!C175</f>
        <v>Consideration of Global Warming</v>
      </c>
    </row>
    <row r="176" spans="2:37" s="1105" customFormat="1" ht="14.25" customHeight="1" thickBot="1">
      <c r="B176" s="2954">
        <v>2</v>
      </c>
      <c r="C176" s="2955" t="s">
        <v>1650</v>
      </c>
      <c r="D176" s="2955"/>
      <c r="E176" s="2955"/>
      <c r="F176" s="2955"/>
      <c r="G176" s="2955"/>
      <c r="H176" s="2963"/>
      <c r="I176" s="2959"/>
      <c r="J176" s="2960"/>
      <c r="K176" s="2960"/>
      <c r="L176" s="2960"/>
      <c r="M176" s="2960"/>
      <c r="N176" s="2960"/>
      <c r="O176" s="2960"/>
      <c r="P176" s="2961"/>
      <c r="Q176" s="1210">
        <f t="shared" si="48"/>
        <v>3</v>
      </c>
      <c r="R176" s="1198" t="e">
        <f>AA176</f>
        <v>#VALUE!</v>
      </c>
      <c r="S176" s="1235">
        <f t="shared" si="49"/>
        <v>0</v>
      </c>
      <c r="T176" s="1259">
        <f t="shared" si="59"/>
        <v>0</v>
      </c>
      <c r="U176" s="1201">
        <f>ROUNDDOWN(AD176,1)</f>
        <v>3</v>
      </c>
      <c r="V176" s="2889"/>
      <c r="W176" s="377"/>
      <c r="X176" s="689"/>
      <c r="Z176" s="685">
        <f>SUMPRODUCT(Z177:Z179,AA177:AA179)+Z184*AA184</f>
        <v>3</v>
      </c>
      <c r="AA176" s="580" t="e">
        <f>Weight!D176</f>
        <v>#VALUE!</v>
      </c>
      <c r="AB176" s="685">
        <f>SUMPRODUCT(AB177:AB179,AC177:AC179)+AB184*AC184</f>
        <v>0</v>
      </c>
      <c r="AC176" s="360">
        <f>SUM(AC177,AC178:AC179)+AC184</f>
        <v>0</v>
      </c>
      <c r="AD176" s="2922">
        <f>IF(AB176=0,Z176,IF(Z176=0,AB176,Z176*AF$6+AB176*AH$6))</f>
        <v>3</v>
      </c>
      <c r="AE176" s="689"/>
      <c r="AF176" s="355">
        <f>Weight!M176</f>
        <v>0.33333333333333331</v>
      </c>
      <c r="AG176" s="119"/>
      <c r="AH176" s="360">
        <f>SUM(AH177,AH178:AH179)+AH184</f>
        <v>0</v>
      </c>
      <c r="AI176" s="2937"/>
      <c r="AJ176" s="2937"/>
      <c r="AK176" s="3137" t="str">
        <f>Weight!C176</f>
        <v>Consideration of Local Environment</v>
      </c>
    </row>
    <row r="177" spans="2:37" s="1105" customFormat="1" ht="14.25" customHeight="1">
      <c r="B177" s="2931"/>
      <c r="C177" s="2953">
        <v>2.1</v>
      </c>
      <c r="D177" s="3022" t="s">
        <v>1651</v>
      </c>
      <c r="E177" s="3021"/>
      <c r="F177" s="3021"/>
      <c r="G177" s="3021"/>
      <c r="H177" s="2981"/>
      <c r="I177" s="3884">
        <f>'LR3'!G37</f>
        <v>0</v>
      </c>
      <c r="J177" s="3885"/>
      <c r="K177" s="3885"/>
      <c r="L177" s="3885"/>
      <c r="M177" s="3885"/>
      <c r="N177" s="3885"/>
      <c r="O177" s="3885"/>
      <c r="P177" s="3886"/>
      <c r="Q177" s="871">
        <f t="shared" si="48"/>
        <v>3</v>
      </c>
      <c r="R177" s="1221">
        <f t="shared" si="58"/>
        <v>0.25</v>
      </c>
      <c r="S177" s="1252">
        <f t="shared" si="49"/>
        <v>0</v>
      </c>
      <c r="T177" s="1191">
        <f t="shared" si="59"/>
        <v>0</v>
      </c>
      <c r="U177" s="1192"/>
      <c r="V177" s="2889"/>
      <c r="W177" s="371">
        <f>'LR3'!F31</f>
        <v>3</v>
      </c>
      <c r="X177" s="697"/>
      <c r="Z177" s="684">
        <f t="shared" ref="Z177:Z178" si="68">IF(AA177=0,0,W177)</f>
        <v>3</v>
      </c>
      <c r="AA177" s="580">
        <f>Weight!D177</f>
        <v>0.25</v>
      </c>
      <c r="AB177" s="684">
        <f t="shared" ref="AB177:AB178" si="69">IF(AC177=0,0,X177)</f>
        <v>0</v>
      </c>
      <c r="AC177" s="580">
        <f>Weight!E177</f>
        <v>0</v>
      </c>
      <c r="AD177" s="2922"/>
      <c r="AE177" s="689"/>
      <c r="AF177" s="355">
        <f>Weight!M177</f>
        <v>0.25</v>
      </c>
      <c r="AG177" s="119"/>
      <c r="AH177" s="355">
        <f>Weight!N177</f>
        <v>0</v>
      </c>
      <c r="AI177" s="2937"/>
      <c r="AJ177" s="2937"/>
      <c r="AK177" s="3137" t="str">
        <f>Weight!C177</f>
        <v>Air Pollution</v>
      </c>
    </row>
    <row r="178" spans="2:37" s="1105" customFormat="1" ht="14.25" customHeight="1" thickBot="1">
      <c r="B178" s="2931"/>
      <c r="C178" s="2953">
        <v>2.2000000000000002</v>
      </c>
      <c r="D178" s="3022" t="s">
        <v>3391</v>
      </c>
      <c r="E178" s="2955"/>
      <c r="F178" s="2955"/>
      <c r="G178" s="2955"/>
      <c r="H178" s="2963"/>
      <c r="I178" s="3881">
        <f>'LR3'!G47</f>
        <v>0</v>
      </c>
      <c r="J178" s="3882"/>
      <c r="K178" s="3882"/>
      <c r="L178" s="3882"/>
      <c r="M178" s="3882"/>
      <c r="N178" s="3882"/>
      <c r="O178" s="3882"/>
      <c r="P178" s="3883"/>
      <c r="Q178" s="866">
        <f t="shared" si="48"/>
        <v>3</v>
      </c>
      <c r="R178" s="1221">
        <f t="shared" si="58"/>
        <v>0.5</v>
      </c>
      <c r="S178" s="1252">
        <f t="shared" si="49"/>
        <v>0</v>
      </c>
      <c r="T178" s="1238">
        <f t="shared" si="59"/>
        <v>0</v>
      </c>
      <c r="U178" s="1192"/>
      <c r="V178" s="2889"/>
      <c r="W178" s="373">
        <f>'LR3'!F41</f>
        <v>3</v>
      </c>
      <c r="X178" s="689"/>
      <c r="Z178" s="684">
        <f t="shared" si="68"/>
        <v>3</v>
      </c>
      <c r="AA178" s="580">
        <f>Weight!D178</f>
        <v>0.5</v>
      </c>
      <c r="AB178" s="684">
        <f t="shared" si="69"/>
        <v>0</v>
      </c>
      <c r="AC178" s="580">
        <f>Weight!E178</f>
        <v>0</v>
      </c>
      <c r="AD178" s="2922"/>
      <c r="AE178" s="689"/>
      <c r="AF178" s="355">
        <f>Weight!M178</f>
        <v>0.5</v>
      </c>
      <c r="AG178" s="119"/>
      <c r="AH178" s="355">
        <f>Weight!N178</f>
        <v>0</v>
      </c>
      <c r="AI178" s="2937"/>
      <c r="AJ178" s="2937"/>
      <c r="AK178" s="3137" t="str">
        <f>Weight!C178</f>
        <v>Heat Island Effect</v>
      </c>
    </row>
    <row r="179" spans="2:37" s="1105" customFormat="1" ht="14.25" customHeight="1" thickBot="1">
      <c r="B179" s="2931"/>
      <c r="C179" s="2951">
        <v>2.2999999999999998</v>
      </c>
      <c r="D179" s="2262" t="s">
        <v>1652</v>
      </c>
      <c r="E179" s="5"/>
      <c r="F179" s="5"/>
      <c r="G179" s="5"/>
      <c r="H179" s="2933"/>
      <c r="I179" s="2934"/>
      <c r="J179" s="2935"/>
      <c r="K179" s="2935"/>
      <c r="L179" s="2935"/>
      <c r="M179" s="2935"/>
      <c r="N179" s="2935"/>
      <c r="O179" s="2935"/>
      <c r="P179" s="2936"/>
      <c r="Q179" s="1210">
        <f t="shared" si="48"/>
        <v>3</v>
      </c>
      <c r="R179" s="1260">
        <f>AA179</f>
        <v>0.25</v>
      </c>
      <c r="S179" s="1222">
        <f t="shared" si="49"/>
        <v>0</v>
      </c>
      <c r="T179" s="1191">
        <f t="shared" si="59"/>
        <v>0</v>
      </c>
      <c r="U179" s="1192"/>
      <c r="V179" s="2889"/>
      <c r="W179" s="377"/>
      <c r="X179" s="689"/>
      <c r="Z179" s="359">
        <f>SUMPRODUCT(Z180:Z183,AA180:AA183)</f>
        <v>3</v>
      </c>
      <c r="AA179" s="580">
        <f>Weight!D179</f>
        <v>0.25</v>
      </c>
      <c r="AB179" s="359">
        <f>SUMPRODUCT(AB180:AB183,AC180:AC183)</f>
        <v>0</v>
      </c>
      <c r="AC179" s="580">
        <f>Weight!E179</f>
        <v>0</v>
      </c>
      <c r="AD179" s="2922"/>
      <c r="AE179" s="689"/>
      <c r="AF179" s="355">
        <f>Weight!M179</f>
        <v>0.25</v>
      </c>
      <c r="AG179" s="119"/>
      <c r="AH179" s="355">
        <f>Weight!N179</f>
        <v>0</v>
      </c>
      <c r="AI179" s="2937"/>
      <c r="AJ179" s="2937"/>
      <c r="AK179" s="3137" t="str">
        <f>Weight!C179</f>
        <v>Load on Local Infrastructure</v>
      </c>
    </row>
    <row r="180" spans="2:37" s="1105" customFormat="1" ht="14.25" customHeight="1">
      <c r="B180" s="2931"/>
      <c r="C180" s="728"/>
      <c r="D180" s="2043">
        <v>1</v>
      </c>
      <c r="E180" s="3141" t="s">
        <v>1653</v>
      </c>
      <c r="F180" s="3004"/>
      <c r="G180" s="3004"/>
      <c r="H180" s="2963"/>
      <c r="I180" s="3881">
        <f>'LR3'!G93</f>
        <v>0</v>
      </c>
      <c r="J180" s="3882"/>
      <c r="K180" s="3882"/>
      <c r="L180" s="3882"/>
      <c r="M180" s="3882"/>
      <c r="N180" s="3882"/>
      <c r="O180" s="3882"/>
      <c r="P180" s="3883"/>
      <c r="Q180" s="858">
        <f t="shared" si="48"/>
        <v>3</v>
      </c>
      <c r="R180" s="1195">
        <f t="shared" si="58"/>
        <v>0.25</v>
      </c>
      <c r="S180" s="1222">
        <f t="shared" si="49"/>
        <v>0</v>
      </c>
      <c r="T180" s="1195">
        <f t="shared" si="59"/>
        <v>0</v>
      </c>
      <c r="U180" s="1192"/>
      <c r="V180" s="2889"/>
      <c r="W180" s="371">
        <f>'LR3'!F87</f>
        <v>3</v>
      </c>
      <c r="X180" s="697"/>
      <c r="Z180" s="362">
        <f t="shared" ref="Z180:Z183" si="70">IF(AA180=0,0,W180)</f>
        <v>3</v>
      </c>
      <c r="AA180" s="580">
        <f>Weight!D180</f>
        <v>0.25</v>
      </c>
      <c r="AB180" s="362">
        <f t="shared" ref="AB180:AB183" si="71">IF(AC180=0,0,X180)</f>
        <v>0</v>
      </c>
      <c r="AC180" s="580">
        <f>Weight!E180</f>
        <v>0</v>
      </c>
      <c r="AD180" s="2922"/>
      <c r="AE180" s="689"/>
      <c r="AF180" s="355">
        <f>Weight!M180</f>
        <v>0.25</v>
      </c>
      <c r="AG180" s="119"/>
      <c r="AH180" s="355">
        <f>Weight!N183</f>
        <v>0</v>
      </c>
      <c r="AI180" s="2937"/>
      <c r="AJ180" s="2937"/>
      <c r="AK180" s="3137" t="str">
        <f>Weight!C180</f>
        <v>Reduction of Rainwater Discharge Loads</v>
      </c>
    </row>
    <row r="181" spans="2:37" s="1105" customFormat="1" ht="14.25" customHeight="1">
      <c r="B181" s="2931"/>
      <c r="C181" s="728"/>
      <c r="D181" s="2982">
        <v>2</v>
      </c>
      <c r="E181" s="3004" t="s">
        <v>1654</v>
      </c>
      <c r="F181" s="3004"/>
      <c r="G181" s="3004"/>
      <c r="H181" s="2963"/>
      <c r="I181" s="3881">
        <f>'LR3'!G103</f>
        <v>0</v>
      </c>
      <c r="J181" s="3882"/>
      <c r="K181" s="3882"/>
      <c r="L181" s="3882"/>
      <c r="M181" s="3882"/>
      <c r="N181" s="3882"/>
      <c r="O181" s="3882"/>
      <c r="P181" s="3883"/>
      <c r="Q181" s="772">
        <f t="shared" si="48"/>
        <v>3</v>
      </c>
      <c r="R181" s="1195">
        <f t="shared" si="58"/>
        <v>0.25</v>
      </c>
      <c r="S181" s="1220">
        <f t="shared" si="49"/>
        <v>0</v>
      </c>
      <c r="T181" s="1195">
        <f t="shared" si="59"/>
        <v>0</v>
      </c>
      <c r="U181" s="1192"/>
      <c r="V181" s="2889"/>
      <c r="W181" s="371">
        <f>'LR3'!F97</f>
        <v>3</v>
      </c>
      <c r="X181" s="697"/>
      <c r="Z181" s="362">
        <f t="shared" si="70"/>
        <v>3</v>
      </c>
      <c r="AA181" s="580">
        <f>Weight!D181</f>
        <v>0.25</v>
      </c>
      <c r="AB181" s="362">
        <f t="shared" si="71"/>
        <v>0</v>
      </c>
      <c r="AC181" s="580">
        <f>Weight!E181</f>
        <v>0</v>
      </c>
      <c r="AD181" s="2922"/>
      <c r="AE181" s="689"/>
      <c r="AF181" s="355">
        <f>Weight!M181</f>
        <v>0.25</v>
      </c>
      <c r="AG181" s="119"/>
      <c r="AH181" s="355">
        <f>Weight!N195</f>
        <v>0</v>
      </c>
      <c r="AI181" s="2937"/>
      <c r="AJ181" s="2937"/>
      <c r="AK181" s="3137" t="str">
        <f>Weight!C181</f>
        <v>Sewage Load Suppression</v>
      </c>
    </row>
    <row r="182" spans="2:37" s="1105" customFormat="1" ht="14.25" customHeight="1">
      <c r="B182" s="2931"/>
      <c r="C182" s="728"/>
      <c r="D182" s="2043">
        <v>3</v>
      </c>
      <c r="E182" s="3004" t="s">
        <v>1655</v>
      </c>
      <c r="F182" s="3004"/>
      <c r="G182" s="3004"/>
      <c r="H182" s="2963"/>
      <c r="I182" s="3881">
        <f>'LR3'!G113</f>
        <v>0</v>
      </c>
      <c r="J182" s="3882"/>
      <c r="K182" s="3882"/>
      <c r="L182" s="3882"/>
      <c r="M182" s="3882"/>
      <c r="N182" s="3882"/>
      <c r="O182" s="3882"/>
      <c r="P182" s="3883"/>
      <c r="Q182" s="772">
        <f t="shared" si="48"/>
        <v>3</v>
      </c>
      <c r="R182" s="1195">
        <f t="shared" si="58"/>
        <v>0.25</v>
      </c>
      <c r="S182" s="1220">
        <f t="shared" si="49"/>
        <v>0</v>
      </c>
      <c r="T182" s="1195">
        <f t="shared" si="59"/>
        <v>0</v>
      </c>
      <c r="U182" s="1192"/>
      <c r="V182" s="2889"/>
      <c r="W182" s="371">
        <f>'LR3'!F107</f>
        <v>3</v>
      </c>
      <c r="X182" s="689"/>
      <c r="Z182" s="362">
        <f t="shared" si="70"/>
        <v>3</v>
      </c>
      <c r="AA182" s="580">
        <f>Weight!D182</f>
        <v>0.25</v>
      </c>
      <c r="AB182" s="362">
        <f t="shared" si="71"/>
        <v>0</v>
      </c>
      <c r="AC182" s="580">
        <f>Weight!E182</f>
        <v>0</v>
      </c>
      <c r="AD182" s="2922"/>
      <c r="AE182" s="689"/>
      <c r="AF182" s="355">
        <f>Weight!M182</f>
        <v>0.25</v>
      </c>
      <c r="AG182" s="119"/>
      <c r="AH182" s="355">
        <f>Weight!N196</f>
        <v>0</v>
      </c>
      <c r="AI182" s="2937"/>
      <c r="AJ182" s="2937"/>
      <c r="AK182" s="3137" t="str">
        <f>Weight!C182</f>
        <v>Traffic Load Control</v>
      </c>
    </row>
    <row r="183" spans="2:37" s="1105" customFormat="1" ht="15.75" thickBot="1">
      <c r="B183" s="2931"/>
      <c r="C183" s="776"/>
      <c r="D183" s="2043">
        <v>4</v>
      </c>
      <c r="E183" s="3004" t="s">
        <v>3390</v>
      </c>
      <c r="F183" s="3004"/>
      <c r="G183" s="3004"/>
      <c r="H183" s="2963"/>
      <c r="I183" s="3881">
        <f>'LR3'!G132</f>
        <v>0</v>
      </c>
      <c r="J183" s="3882"/>
      <c r="K183" s="3882"/>
      <c r="L183" s="3882"/>
      <c r="M183" s="3882"/>
      <c r="N183" s="3882"/>
      <c r="O183" s="3882"/>
      <c r="P183" s="3883"/>
      <c r="Q183" s="772">
        <f t="shared" si="48"/>
        <v>3</v>
      </c>
      <c r="R183" s="1261">
        <f t="shared" si="58"/>
        <v>0.25</v>
      </c>
      <c r="S183" s="1237">
        <f t="shared" si="49"/>
        <v>0</v>
      </c>
      <c r="T183" s="1261">
        <f t="shared" si="59"/>
        <v>0</v>
      </c>
      <c r="U183" s="1217"/>
      <c r="V183" s="2889"/>
      <c r="W183" s="698">
        <f>'LR3'!F126</f>
        <v>3</v>
      </c>
      <c r="X183" s="689"/>
      <c r="Z183" s="362">
        <f t="shared" si="70"/>
        <v>3</v>
      </c>
      <c r="AA183" s="580">
        <f>Weight!D183</f>
        <v>0.25</v>
      </c>
      <c r="AB183" s="362">
        <f t="shared" si="71"/>
        <v>0</v>
      </c>
      <c r="AC183" s="580">
        <f>Weight!E183</f>
        <v>0</v>
      </c>
      <c r="AD183" s="2922"/>
      <c r="AE183" s="689"/>
      <c r="AF183" s="355">
        <f>Weight!M183</f>
        <v>0.25</v>
      </c>
      <c r="AG183" s="119"/>
      <c r="AH183" s="355">
        <f>Weight!N197</f>
        <v>0</v>
      </c>
      <c r="AI183" s="2937"/>
      <c r="AJ183" s="2937"/>
      <c r="AK183" s="3137" t="str">
        <f>Weight!C183</f>
        <v>Reduction of Waste Treatment Loads</v>
      </c>
    </row>
    <row r="184" spans="2:37" s="1105" customFormat="1" ht="15.75" hidden="1" thickBot="1">
      <c r="B184" s="2931"/>
      <c r="C184" s="3059">
        <v>2.1</v>
      </c>
      <c r="D184" s="3018" t="s">
        <v>1920</v>
      </c>
      <c r="E184" s="3004"/>
      <c r="F184" s="3004"/>
      <c r="G184" s="3004"/>
      <c r="H184" s="2963"/>
      <c r="I184" s="3884"/>
      <c r="J184" s="3885"/>
      <c r="K184" s="3885"/>
      <c r="L184" s="3885"/>
      <c r="M184" s="3885"/>
      <c r="N184" s="3885"/>
      <c r="O184" s="3885"/>
      <c r="P184" s="3886"/>
      <c r="Q184" s="866">
        <f t="shared" si="48"/>
        <v>100</v>
      </c>
      <c r="R184" s="1221">
        <f>AA184</f>
        <v>0</v>
      </c>
      <c r="S184" s="1252">
        <f t="shared" si="49"/>
        <v>0</v>
      </c>
      <c r="T184" s="1191">
        <f>AC184</f>
        <v>0</v>
      </c>
      <c r="U184" s="1192"/>
      <c r="V184" s="2889"/>
      <c r="W184" s="706">
        <v>100</v>
      </c>
      <c r="X184" s="689"/>
      <c r="Z184" s="684">
        <f>IF($Z$3=4,#REF!,W184)</f>
        <v>100</v>
      </c>
      <c r="AA184" s="580">
        <f>Weight!D184</f>
        <v>0</v>
      </c>
      <c r="AB184" s="684">
        <f>IF($Z$3=4,#REF!,X184)</f>
        <v>0</v>
      </c>
      <c r="AC184" s="580">
        <f>Weight!E184</f>
        <v>0</v>
      </c>
      <c r="AD184" s="2922"/>
      <c r="AE184" s="689"/>
      <c r="AF184" s="355">
        <f>Weight!M184</f>
        <v>0</v>
      </c>
      <c r="AG184" s="119"/>
      <c r="AH184" s="355"/>
      <c r="AI184" s="2937"/>
      <c r="AJ184" s="2937"/>
      <c r="AK184" s="3137">
        <f>Weight!C184</f>
        <v>0</v>
      </c>
    </row>
    <row r="185" spans="2:37" s="1105" customFormat="1" ht="15">
      <c r="B185" s="3039">
        <v>3</v>
      </c>
      <c r="C185" s="2955" t="s">
        <v>1656</v>
      </c>
      <c r="D185" s="3004"/>
      <c r="E185" s="2955"/>
      <c r="F185" s="2955"/>
      <c r="G185" s="2955"/>
      <c r="H185" s="2963"/>
      <c r="I185" s="2971"/>
      <c r="J185" s="2972"/>
      <c r="K185" s="2972"/>
      <c r="L185" s="2972"/>
      <c r="M185" s="2972"/>
      <c r="N185" s="2972"/>
      <c r="O185" s="2972"/>
      <c r="P185" s="2973"/>
      <c r="Q185" s="1209">
        <f t="shared" si="48"/>
        <v>3</v>
      </c>
      <c r="R185" s="1198" t="e">
        <f>AA185</f>
        <v>#VALUE!</v>
      </c>
      <c r="S185" s="1257">
        <f t="shared" si="49"/>
        <v>0</v>
      </c>
      <c r="T185" s="1200">
        <f>AC185</f>
        <v>0</v>
      </c>
      <c r="U185" s="1201">
        <f>ROUNDDOWN(AD185,1)</f>
        <v>3</v>
      </c>
      <c r="V185" s="2889"/>
      <c r="W185" s="689"/>
      <c r="X185" s="689"/>
      <c r="Z185" s="685">
        <f>Z186*AA186+Z190*AA190+Z194*AA194</f>
        <v>3.0000000000000004</v>
      </c>
      <c r="AA185" s="580" t="e">
        <f>Weight!D185</f>
        <v>#VALUE!</v>
      </c>
      <c r="AB185" s="685">
        <f>AB186*AC186+AB190*AC190+AB194*AC194</f>
        <v>0</v>
      </c>
      <c r="AC185" s="360">
        <f>SUM(AC186,AC190,AC194)</f>
        <v>0</v>
      </c>
      <c r="AD185" s="2922">
        <f>IF(AB185=0,Z185,IF(Z185=0,AB185,Z185*AF$6+AB185*AH$6))</f>
        <v>3.0000000000000004</v>
      </c>
      <c r="AE185" s="689"/>
      <c r="AF185" s="355">
        <f>Weight!M185</f>
        <v>0.33333333333333331</v>
      </c>
      <c r="AG185" s="119"/>
      <c r="AH185" s="360">
        <f>SUM(AH186,AH190,AH194)</f>
        <v>0</v>
      </c>
      <c r="AI185" s="2937"/>
      <c r="AJ185" s="2937"/>
      <c r="AK185" s="3137" t="str">
        <f>Weight!C185</f>
        <v>Consideration of Surrounding Environment</v>
      </c>
    </row>
    <row r="186" spans="2:37" s="1105" customFormat="1" ht="14.25" customHeight="1" thickBot="1">
      <c r="B186" s="2891"/>
      <c r="C186" s="2939">
        <v>3.1</v>
      </c>
      <c r="D186" s="3022" t="s">
        <v>1657</v>
      </c>
      <c r="E186" s="5"/>
      <c r="F186" s="5"/>
      <c r="G186" s="5"/>
      <c r="H186" s="2933"/>
      <c r="I186" s="2971"/>
      <c r="J186" s="2972"/>
      <c r="K186" s="2972"/>
      <c r="L186" s="2972"/>
      <c r="M186" s="2972"/>
      <c r="N186" s="2972"/>
      <c r="O186" s="2972"/>
      <c r="P186" s="2973"/>
      <c r="Q186" s="1218">
        <f>ROUNDDOWN(Z186,1)</f>
        <v>3</v>
      </c>
      <c r="R186" s="1190">
        <f>AA186</f>
        <v>0.4</v>
      </c>
      <c r="S186" s="1252">
        <f t="shared" si="49"/>
        <v>0</v>
      </c>
      <c r="T186" s="1191">
        <f>AC186</f>
        <v>0</v>
      </c>
      <c r="U186" s="1192"/>
      <c r="V186" s="2889"/>
      <c r="W186" s="689"/>
      <c r="X186" s="689"/>
      <c r="Z186" s="359">
        <f>SUMPRODUCT(Z187:Z189,AA187:AA189)</f>
        <v>3</v>
      </c>
      <c r="AA186" s="580">
        <f>Weight!D186</f>
        <v>0.4</v>
      </c>
      <c r="AB186" s="359">
        <f>SUMPRODUCT(AB187:AB189,AC187:AC189)</f>
        <v>0</v>
      </c>
      <c r="AC186" s="580">
        <f>Weight!E186</f>
        <v>0</v>
      </c>
      <c r="AD186" s="2922"/>
      <c r="AE186" s="689"/>
      <c r="AF186" s="355">
        <f>Weight!M186</f>
        <v>0.4</v>
      </c>
      <c r="AG186" s="119"/>
      <c r="AH186" s="355">
        <f>Weight!N186</f>
        <v>0</v>
      </c>
      <c r="AI186" s="2937"/>
      <c r="AJ186" s="2937"/>
      <c r="AK186" s="3137" t="str">
        <f>Weight!C186</f>
        <v>Noise, Vibration &amp; Odor</v>
      </c>
    </row>
    <row r="187" spans="2:37" s="1105" customFormat="1" ht="14.25" customHeight="1">
      <c r="B187" s="3060"/>
      <c r="C187" s="728"/>
      <c r="D187" s="2043">
        <v>1</v>
      </c>
      <c r="E187" s="3004" t="s">
        <v>1544</v>
      </c>
      <c r="F187" s="3004"/>
      <c r="G187" s="3004"/>
      <c r="H187" s="2963"/>
      <c r="I187" s="3881">
        <f>'LR3'!G154</f>
        <v>0</v>
      </c>
      <c r="J187" s="3882"/>
      <c r="K187" s="3882"/>
      <c r="L187" s="3882"/>
      <c r="M187" s="3882"/>
      <c r="N187" s="3882"/>
      <c r="O187" s="3882"/>
      <c r="P187" s="3883"/>
      <c r="Q187" s="1262">
        <f t="shared" si="48"/>
        <v>3</v>
      </c>
      <c r="R187" s="1221">
        <f t="shared" si="58"/>
        <v>0.33333333333333331</v>
      </c>
      <c r="S187" s="1252">
        <f t="shared" si="49"/>
        <v>0</v>
      </c>
      <c r="T187" s="1191">
        <f t="shared" si="59"/>
        <v>0</v>
      </c>
      <c r="U187" s="1192"/>
      <c r="V187" s="2889"/>
      <c r="W187" s="700">
        <f>'LR3'!F148</f>
        <v>3</v>
      </c>
      <c r="X187" s="689"/>
      <c r="Z187" s="362">
        <f t="shared" ref="Z187:Z189" si="72">IF(AA187=0,0,W187)</f>
        <v>3</v>
      </c>
      <c r="AA187" s="580">
        <f>Weight!D187</f>
        <v>0.33333333333333331</v>
      </c>
      <c r="AB187" s="362">
        <f t="shared" ref="AB187:AB189" si="73">IF(AC187=0,0,X187)</f>
        <v>0</v>
      </c>
      <c r="AC187" s="580">
        <f>Weight!E187</f>
        <v>0</v>
      </c>
      <c r="AD187" s="2922"/>
      <c r="AE187" s="689"/>
      <c r="AF187" s="355">
        <f>Weight!M187</f>
        <v>0.33333333333333331</v>
      </c>
      <c r="AG187" s="119"/>
      <c r="AH187" s="355">
        <f>Weight!N187</f>
        <v>0</v>
      </c>
      <c r="AI187" s="2937"/>
      <c r="AJ187" s="2937"/>
      <c r="AK187" s="3137" t="str">
        <f>Weight!C187</f>
        <v>Noise</v>
      </c>
    </row>
    <row r="188" spans="2:37" s="1105" customFormat="1" ht="14.25" customHeight="1">
      <c r="B188" s="3060"/>
      <c r="C188" s="728"/>
      <c r="D188" s="2982">
        <v>2</v>
      </c>
      <c r="E188" s="3004" t="s">
        <v>1658</v>
      </c>
      <c r="F188" s="3004"/>
      <c r="G188" s="3004"/>
      <c r="H188" s="2963"/>
      <c r="I188" s="3881">
        <f>'LR3'!G182</f>
        <v>0</v>
      </c>
      <c r="J188" s="3882"/>
      <c r="K188" s="3882"/>
      <c r="L188" s="3882"/>
      <c r="M188" s="3882"/>
      <c r="N188" s="3882"/>
      <c r="O188" s="3882"/>
      <c r="P188" s="3883"/>
      <c r="Q188" s="1263">
        <f t="shared" si="48"/>
        <v>3</v>
      </c>
      <c r="R188" s="1221">
        <f t="shared" si="58"/>
        <v>0.33333333333333331</v>
      </c>
      <c r="S188" s="1252">
        <f t="shared" si="49"/>
        <v>0</v>
      </c>
      <c r="T188" s="1191">
        <f t="shared" si="59"/>
        <v>0</v>
      </c>
      <c r="U188" s="1192"/>
      <c r="V188" s="2889"/>
      <c r="W188" s="698">
        <f>'LR3'!F176</f>
        <v>3</v>
      </c>
      <c r="X188" s="689"/>
      <c r="Z188" s="362">
        <f t="shared" si="72"/>
        <v>3</v>
      </c>
      <c r="AA188" s="580">
        <f>Weight!D188</f>
        <v>0.33333333333333331</v>
      </c>
      <c r="AB188" s="362">
        <f t="shared" si="73"/>
        <v>0</v>
      </c>
      <c r="AC188" s="580">
        <f>Weight!E188</f>
        <v>0</v>
      </c>
      <c r="AD188" s="2922"/>
      <c r="AE188" s="689"/>
      <c r="AF188" s="355">
        <f>Weight!M188</f>
        <v>0.33333333333333331</v>
      </c>
      <c r="AG188" s="119"/>
      <c r="AH188" s="355">
        <f>Weight!N188</f>
        <v>0</v>
      </c>
      <c r="AI188" s="2937"/>
      <c r="AJ188" s="2937"/>
      <c r="AK188" s="3137" t="str">
        <f>Weight!C188</f>
        <v>Vibration</v>
      </c>
    </row>
    <row r="189" spans="2:37" s="1105" customFormat="1" ht="14.25" customHeight="1" thickBot="1">
      <c r="B189" s="3060"/>
      <c r="C189" s="728"/>
      <c r="D189" s="2043">
        <v>3</v>
      </c>
      <c r="E189" s="3004" t="s">
        <v>1659</v>
      </c>
      <c r="F189" s="3004"/>
      <c r="G189" s="3004"/>
      <c r="H189" s="2963"/>
      <c r="I189" s="3881">
        <f>'LR3'!G203</f>
        <v>0</v>
      </c>
      <c r="J189" s="3882"/>
      <c r="K189" s="3882"/>
      <c r="L189" s="3882"/>
      <c r="M189" s="3882"/>
      <c r="N189" s="3882"/>
      <c r="O189" s="3882"/>
      <c r="P189" s="3883"/>
      <c r="Q189" s="1264">
        <f t="shared" si="48"/>
        <v>3</v>
      </c>
      <c r="R189" s="1221">
        <f t="shared" si="58"/>
        <v>0.33333333333333331</v>
      </c>
      <c r="S189" s="1252">
        <f t="shared" si="49"/>
        <v>0</v>
      </c>
      <c r="T189" s="1191">
        <f t="shared" si="59"/>
        <v>0</v>
      </c>
      <c r="U189" s="1192"/>
      <c r="V189" s="2889"/>
      <c r="W189" s="699">
        <f>'LR3'!F197</f>
        <v>3</v>
      </c>
      <c r="X189" s="689"/>
      <c r="Z189" s="362">
        <f t="shared" si="72"/>
        <v>3</v>
      </c>
      <c r="AA189" s="580">
        <f>Weight!D189</f>
        <v>0.33333333333333331</v>
      </c>
      <c r="AB189" s="362">
        <f t="shared" si="73"/>
        <v>0</v>
      </c>
      <c r="AC189" s="580">
        <f>Weight!E189</f>
        <v>0</v>
      </c>
      <c r="AD189" s="2922"/>
      <c r="AE189" s="689"/>
      <c r="AF189" s="355">
        <f>Weight!M189</f>
        <v>0.33333333333333331</v>
      </c>
      <c r="AG189" s="119"/>
      <c r="AH189" s="355">
        <f>Weight!N189</f>
        <v>0</v>
      </c>
      <c r="AI189" s="2937"/>
      <c r="AJ189" s="2937"/>
      <c r="AK189" s="3137" t="str">
        <f>Weight!C189</f>
        <v>Odor</v>
      </c>
    </row>
    <row r="190" spans="2:37" s="1105" customFormat="1" ht="14.25" customHeight="1" thickBot="1">
      <c r="B190" s="3060"/>
      <c r="C190" s="2939">
        <v>3.2</v>
      </c>
      <c r="D190" s="3004" t="s">
        <v>3366</v>
      </c>
      <c r="E190" s="3021"/>
      <c r="F190" s="3021"/>
      <c r="G190" s="3021"/>
      <c r="H190" s="2981"/>
      <c r="I190" s="2934"/>
      <c r="J190" s="2935"/>
      <c r="K190" s="2935"/>
      <c r="L190" s="2935"/>
      <c r="M190" s="2935"/>
      <c r="N190" s="2935"/>
      <c r="O190" s="2935"/>
      <c r="P190" s="2936"/>
      <c r="Q190" s="1218">
        <f t="shared" si="48"/>
        <v>3</v>
      </c>
      <c r="R190" s="1221">
        <f>AA190</f>
        <v>0.4</v>
      </c>
      <c r="S190" s="1252">
        <f t="shared" si="49"/>
        <v>0</v>
      </c>
      <c r="T190" s="1191">
        <f t="shared" si="59"/>
        <v>0</v>
      </c>
      <c r="U190" s="1192"/>
      <c r="V190" s="2889"/>
      <c r="W190" s="701"/>
      <c r="X190" s="689"/>
      <c r="Z190" s="359">
        <f>SUMPRODUCT(Z191:Z193,AA191:AA193)</f>
        <v>2.9999999999999996</v>
      </c>
      <c r="AA190" s="580">
        <f>Weight!D190</f>
        <v>0.4</v>
      </c>
      <c r="AB190" s="359">
        <f>SUMPRODUCT(AB191:AB193,AC191:AC193)</f>
        <v>0</v>
      </c>
      <c r="AC190" s="580">
        <f>Weight!E190</f>
        <v>0</v>
      </c>
      <c r="AD190" s="2922"/>
      <c r="AE190" s="689"/>
      <c r="AF190" s="355">
        <f>Weight!M190</f>
        <v>0.4</v>
      </c>
      <c r="AG190" s="119"/>
      <c r="AH190" s="355">
        <f>Weight!N190</f>
        <v>0</v>
      </c>
      <c r="AI190" s="2937"/>
      <c r="AJ190" s="2937"/>
      <c r="AK190" s="3137" t="str">
        <f>Weight!C190</f>
        <v>Wind/Sand Damage &amp; Sunlight Obstruction</v>
      </c>
    </row>
    <row r="191" spans="2:37" s="1105" customFormat="1" ht="14.25" customHeight="1">
      <c r="B191" s="3060"/>
      <c r="C191" s="728"/>
      <c r="D191" s="2043">
        <v>1</v>
      </c>
      <c r="E191" s="3004" t="s">
        <v>1660</v>
      </c>
      <c r="F191" s="3004"/>
      <c r="G191" s="3004"/>
      <c r="H191" s="2963"/>
      <c r="I191" s="3881">
        <f>'LR3'!G214</f>
        <v>0</v>
      </c>
      <c r="J191" s="3882"/>
      <c r="K191" s="3882"/>
      <c r="L191" s="3882"/>
      <c r="M191" s="3882"/>
      <c r="N191" s="3882"/>
      <c r="O191" s="3882"/>
      <c r="P191" s="3883"/>
      <c r="Q191" s="858">
        <f t="shared" si="48"/>
        <v>3</v>
      </c>
      <c r="R191" s="1221">
        <f t="shared" ref="R191:R196" si="74">AA191</f>
        <v>0.7</v>
      </c>
      <c r="S191" s="1252">
        <f t="shared" si="49"/>
        <v>0</v>
      </c>
      <c r="T191" s="1191">
        <f t="shared" si="59"/>
        <v>0</v>
      </c>
      <c r="U191" s="1192"/>
      <c r="V191" s="2889"/>
      <c r="W191" s="700">
        <f>'LR3'!F208</f>
        <v>3</v>
      </c>
      <c r="X191" s="689"/>
      <c r="Z191" s="362">
        <f t="shared" ref="Z191:Z193" si="75">IF(AA191=0,0,W191)</f>
        <v>3</v>
      </c>
      <c r="AA191" s="580">
        <f>Weight!D191</f>
        <v>0.7</v>
      </c>
      <c r="AB191" s="362">
        <f t="shared" ref="AB191:AB193" si="76">IF(AC191=0,0,X191)</f>
        <v>0</v>
      </c>
      <c r="AC191" s="580">
        <f>Weight!E191</f>
        <v>0</v>
      </c>
      <c r="AD191" s="2922"/>
      <c r="AE191" s="689"/>
      <c r="AF191" s="355">
        <f>Weight!M191</f>
        <v>0.7</v>
      </c>
      <c r="AG191" s="119"/>
      <c r="AH191" s="355">
        <f>Weight!N191</f>
        <v>0</v>
      </c>
      <c r="AI191" s="2937"/>
      <c r="AJ191" s="2937"/>
      <c r="AK191" s="3137" t="str">
        <f>Weight!C191</f>
        <v>Restriction of Wind Damage</v>
      </c>
    </row>
    <row r="192" spans="2:37" s="1105" customFormat="1" ht="14.25" customHeight="1" thickBot="1">
      <c r="B192" s="3060"/>
      <c r="C192" s="728"/>
      <c r="D192" s="2043">
        <v>2</v>
      </c>
      <c r="E192" s="3004" t="s">
        <v>4024</v>
      </c>
      <c r="F192" s="3004"/>
      <c r="G192" s="3004"/>
      <c r="H192" s="2963"/>
      <c r="I192" s="3881">
        <f>'LR3'!G224</f>
        <v>0</v>
      </c>
      <c r="J192" s="3882"/>
      <c r="K192" s="3882"/>
      <c r="L192" s="3882"/>
      <c r="M192" s="3882"/>
      <c r="N192" s="3882"/>
      <c r="O192" s="3882"/>
      <c r="P192" s="3883"/>
      <c r="Q192" s="772">
        <f t="shared" si="48"/>
        <v>0</v>
      </c>
      <c r="R192" s="1265">
        <f t="shared" si="74"/>
        <v>0</v>
      </c>
      <c r="S192" s="1252">
        <f t="shared" si="49"/>
        <v>0</v>
      </c>
      <c r="T192" s="1191"/>
      <c r="U192" s="1192"/>
      <c r="V192" s="2889"/>
      <c r="W192" s="699">
        <f>'LR3'!F218</f>
        <v>3</v>
      </c>
      <c r="X192" s="689"/>
      <c r="Z192" s="362">
        <f t="shared" si="75"/>
        <v>0</v>
      </c>
      <c r="AA192" s="580">
        <f>Weight!D192</f>
        <v>0</v>
      </c>
      <c r="AB192" s="362">
        <f t="shared" si="76"/>
        <v>0</v>
      </c>
      <c r="AC192" s="580">
        <f>Weight!E192</f>
        <v>0</v>
      </c>
      <c r="AD192" s="2922"/>
      <c r="AE192" s="689"/>
      <c r="AF192" s="355">
        <f>Weight!M192</f>
        <v>0</v>
      </c>
      <c r="AG192" s="119"/>
      <c r="AH192" s="355">
        <f>Weight!N192</f>
        <v>0</v>
      </c>
      <c r="AI192" s="2937"/>
      <c r="AJ192" s="2937"/>
      <c r="AK192" s="3137" t="str">
        <f>Weight!C192</f>
        <v>Control of Sand and Dust</v>
      </c>
    </row>
    <row r="193" spans="2:37" s="1105" customFormat="1" ht="14.25" customHeight="1" thickBot="1">
      <c r="B193" s="3060"/>
      <c r="C193" s="728"/>
      <c r="D193" s="2982">
        <v>3</v>
      </c>
      <c r="E193" s="3004" t="s">
        <v>1661</v>
      </c>
      <c r="F193" s="3004"/>
      <c r="G193" s="3004"/>
      <c r="H193" s="2963"/>
      <c r="I193" s="3881">
        <f>'LR3'!G242</f>
        <v>0</v>
      </c>
      <c r="J193" s="3882"/>
      <c r="K193" s="3882"/>
      <c r="L193" s="3882"/>
      <c r="M193" s="3882"/>
      <c r="N193" s="3882"/>
      <c r="O193" s="3882"/>
      <c r="P193" s="3883"/>
      <c r="Q193" s="852">
        <f t="shared" si="48"/>
        <v>3</v>
      </c>
      <c r="R193" s="1265">
        <f t="shared" si="74"/>
        <v>0.3</v>
      </c>
      <c r="S193" s="1252">
        <f t="shared" si="49"/>
        <v>0</v>
      </c>
      <c r="T193" s="1191">
        <f>AC193</f>
        <v>0</v>
      </c>
      <c r="U193" s="1192"/>
      <c r="V193" s="2889"/>
      <c r="W193" s="699">
        <f>'LR3'!F236</f>
        <v>3</v>
      </c>
      <c r="X193" s="689"/>
      <c r="Z193" s="362">
        <f t="shared" si="75"/>
        <v>3</v>
      </c>
      <c r="AA193" s="580">
        <f>Weight!D193</f>
        <v>0.3</v>
      </c>
      <c r="AB193" s="362">
        <f t="shared" si="76"/>
        <v>0</v>
      </c>
      <c r="AC193" s="580">
        <f>Weight!E193</f>
        <v>0</v>
      </c>
      <c r="AD193" s="2922"/>
      <c r="AE193" s="689"/>
      <c r="AF193" s="355">
        <f>Weight!M193</f>
        <v>0.3</v>
      </c>
      <c r="AG193" s="119"/>
      <c r="AH193" s="355">
        <f>Weight!N193</f>
        <v>0</v>
      </c>
      <c r="AI193" s="2937"/>
      <c r="AJ193" s="2937"/>
      <c r="AK193" s="3137" t="str">
        <f>Weight!C193</f>
        <v>Restriction of Sunlight Obstruction</v>
      </c>
    </row>
    <row r="194" spans="2:37" s="1105" customFormat="1" ht="14.25" customHeight="1" thickBot="1">
      <c r="B194" s="3060"/>
      <c r="C194" s="2939">
        <v>3.3</v>
      </c>
      <c r="D194" s="3004" t="s">
        <v>1662</v>
      </c>
      <c r="E194" s="3021"/>
      <c r="F194" s="3021"/>
      <c r="G194" s="3021"/>
      <c r="H194" s="2981"/>
      <c r="I194" s="2934"/>
      <c r="J194" s="2935"/>
      <c r="K194" s="2935"/>
      <c r="L194" s="2935"/>
      <c r="M194" s="2935"/>
      <c r="N194" s="2935"/>
      <c r="O194" s="2935"/>
      <c r="P194" s="2936"/>
      <c r="Q194" s="1218">
        <f t="shared" si="48"/>
        <v>3</v>
      </c>
      <c r="R194" s="1221">
        <f>AA194</f>
        <v>0.2</v>
      </c>
      <c r="S194" s="1252">
        <f t="shared" si="49"/>
        <v>0</v>
      </c>
      <c r="T194" s="1191">
        <f>AC194</f>
        <v>0</v>
      </c>
      <c r="U194" s="1192"/>
      <c r="V194" s="2889"/>
      <c r="W194" s="701"/>
      <c r="X194" s="689"/>
      <c r="Z194" s="359">
        <f>SUMPRODUCT(Z195:Z196,AA195:AA196)</f>
        <v>2.9999999999999996</v>
      </c>
      <c r="AA194" s="580">
        <f>Weight!D194</f>
        <v>0.2</v>
      </c>
      <c r="AB194" s="359">
        <f>SUMPRODUCT(AB195:AB196,AC195:AC196)</f>
        <v>0</v>
      </c>
      <c r="AC194" s="580">
        <f>Weight!E194</f>
        <v>0</v>
      </c>
      <c r="AD194" s="2922"/>
      <c r="AE194" s="689"/>
      <c r="AF194" s="355">
        <f>Weight!M194</f>
        <v>0.2</v>
      </c>
      <c r="AG194" s="119"/>
      <c r="AH194" s="355">
        <f>Weight!N194</f>
        <v>0</v>
      </c>
      <c r="AI194" s="2937"/>
      <c r="AJ194" s="2937"/>
      <c r="AK194" s="3137" t="str">
        <f>Weight!C194</f>
        <v>Light Pollution</v>
      </c>
    </row>
    <row r="195" spans="2:37" s="1105" customFormat="1" ht="19.899999999999999" customHeight="1">
      <c r="B195" s="3060"/>
      <c r="C195" s="728"/>
      <c r="D195" s="2043">
        <v>1</v>
      </c>
      <c r="E195" s="3876" t="s">
        <v>1663</v>
      </c>
      <c r="F195" s="3877"/>
      <c r="G195" s="3877"/>
      <c r="H195" s="3878"/>
      <c r="I195" s="3881">
        <f>'LR3'!G254</f>
        <v>0</v>
      </c>
      <c r="J195" s="3882"/>
      <c r="K195" s="3882"/>
      <c r="L195" s="3882"/>
      <c r="M195" s="3882"/>
      <c r="N195" s="3882"/>
      <c r="O195" s="3882"/>
      <c r="P195" s="3883"/>
      <c r="Q195" s="858">
        <f t="shared" si="48"/>
        <v>3</v>
      </c>
      <c r="R195" s="1221">
        <f t="shared" si="74"/>
        <v>0.7</v>
      </c>
      <c r="S195" s="1252">
        <f t="shared" si="49"/>
        <v>0</v>
      </c>
      <c r="T195" s="1191">
        <f>AC195</f>
        <v>0</v>
      </c>
      <c r="U195" s="1192"/>
      <c r="V195" s="2889"/>
      <c r="W195" s="700">
        <f>'LR3'!F248</f>
        <v>3</v>
      </c>
      <c r="X195" s="689"/>
      <c r="Z195" s="362">
        <f t="shared" ref="Z195:Z196" si="77">IF(AA195=0,0,W195)</f>
        <v>3</v>
      </c>
      <c r="AA195" s="580">
        <f>Weight!D195</f>
        <v>0.7</v>
      </c>
      <c r="AB195" s="362">
        <f t="shared" ref="AB195:AB196" si="78">IF(AC195=0,0,X195)</f>
        <v>0</v>
      </c>
      <c r="AC195" s="580">
        <f>Weight!E195</f>
        <v>0</v>
      </c>
      <c r="AD195" s="2922"/>
      <c r="AE195" s="689"/>
      <c r="AF195" s="355">
        <f>Weight!M195</f>
        <v>0.7</v>
      </c>
      <c r="AG195" s="119"/>
      <c r="AH195" s="355">
        <f>Weight!N195</f>
        <v>0</v>
      </c>
      <c r="AI195" s="2937"/>
      <c r="AJ195" s="2937"/>
      <c r="AK195" s="3137" t="str">
        <f>Weight!C195</f>
        <v>Outdoor Illumination and Light that Spills from Interiors</v>
      </c>
    </row>
    <row r="196" spans="2:37" s="1105" customFormat="1" ht="19.899999999999999" customHeight="1" thickBot="1">
      <c r="B196" s="3060"/>
      <c r="C196" s="728"/>
      <c r="D196" s="2982">
        <v>2</v>
      </c>
      <c r="E196" s="3876" t="s">
        <v>1664</v>
      </c>
      <c r="F196" s="3877"/>
      <c r="G196" s="3877"/>
      <c r="H196" s="3878"/>
      <c r="I196" s="3881">
        <f>'LR3'!G273</f>
        <v>0</v>
      </c>
      <c r="J196" s="3882"/>
      <c r="K196" s="3882"/>
      <c r="L196" s="3882"/>
      <c r="M196" s="3882"/>
      <c r="N196" s="3882"/>
      <c r="O196" s="3882"/>
      <c r="P196" s="3883"/>
      <c r="Q196" s="772">
        <f>ROUNDDOWN(Z196,1)</f>
        <v>3</v>
      </c>
      <c r="R196" s="1265">
        <f t="shared" si="74"/>
        <v>0.3</v>
      </c>
      <c r="S196" s="1266">
        <f t="shared" si="49"/>
        <v>0</v>
      </c>
      <c r="T196" s="1191">
        <f>AC196</f>
        <v>0</v>
      </c>
      <c r="U196" s="1192"/>
      <c r="V196" s="2889"/>
      <c r="W196" s="698">
        <f>'LR3'!F267</f>
        <v>3</v>
      </c>
      <c r="X196" s="689"/>
      <c r="Z196" s="362">
        <f t="shared" si="77"/>
        <v>3</v>
      </c>
      <c r="AA196" s="580">
        <f>Weight!D196</f>
        <v>0.3</v>
      </c>
      <c r="AB196" s="362">
        <f t="shared" si="78"/>
        <v>0</v>
      </c>
      <c r="AC196" s="580">
        <f>Weight!E196</f>
        <v>0</v>
      </c>
      <c r="AD196" s="2922"/>
      <c r="AE196" s="689"/>
      <c r="AF196" s="358">
        <f>Weight!M196</f>
        <v>0.3</v>
      </c>
      <c r="AG196" s="119"/>
      <c r="AH196" s="358">
        <f>Weight!N196</f>
        <v>0</v>
      </c>
      <c r="AI196" s="2937"/>
      <c r="AJ196" s="2937"/>
      <c r="AK196" s="3137" t="str">
        <f>Weight!C196</f>
        <v>Measures for Reflected Solar Glare from Building Walls</v>
      </c>
    </row>
    <row r="197" spans="2:37" s="1105" customFormat="1">
      <c r="B197" s="3061"/>
      <c r="C197" s="3062"/>
      <c r="D197" s="3062"/>
      <c r="E197" s="3062"/>
      <c r="F197" s="3062"/>
      <c r="G197" s="3062"/>
      <c r="H197" s="3062"/>
      <c r="I197" s="3062"/>
      <c r="J197" s="3062"/>
      <c r="K197" s="3062"/>
      <c r="L197" s="3062"/>
      <c r="M197" s="3062"/>
      <c r="N197" s="3062"/>
      <c r="O197" s="3062"/>
      <c r="P197" s="3062"/>
      <c r="Q197" s="3062"/>
      <c r="R197" s="3062"/>
      <c r="S197" s="3062"/>
      <c r="T197" s="3062"/>
      <c r="U197" s="3062"/>
      <c r="V197" s="2889"/>
      <c r="W197" s="704"/>
      <c r="X197" s="704"/>
      <c r="Y197" s="3062"/>
      <c r="Z197" s="3062"/>
      <c r="AA197" s="3062"/>
      <c r="AB197" s="3062"/>
      <c r="AC197" s="3062"/>
      <c r="AD197" s="3062"/>
      <c r="AE197" s="3062"/>
      <c r="AF197" s="3062"/>
      <c r="AG197" s="3062"/>
      <c r="AH197" s="3062"/>
    </row>
    <row r="198" spans="2:37" s="1105" customFormat="1" ht="15" thickBot="1">
      <c r="B198" s="3063" t="str">
        <f>B2</f>
        <v>CASBEE for Building Design (New Construction) 2024 Edition</v>
      </c>
      <c r="U198" s="2321" t="str">
        <f>B3</f>
        <v>XXX Building</v>
      </c>
      <c r="W198" s="702"/>
      <c r="X198" s="702"/>
    </row>
    <row r="199" spans="2:37" s="1105" customFormat="1" ht="15">
      <c r="B199" s="3064" t="s">
        <v>3286</v>
      </c>
      <c r="C199" s="3065"/>
      <c r="D199" s="3065"/>
      <c r="E199" s="3065"/>
      <c r="F199" s="3066"/>
      <c r="G199" s="3067" t="s">
        <v>1468</v>
      </c>
      <c r="H199" s="3067" t="s">
        <v>1959</v>
      </c>
      <c r="I199" s="1267" t="s">
        <v>784</v>
      </c>
      <c r="J199" s="1267" t="s">
        <v>785</v>
      </c>
      <c r="K199" s="1267" t="s">
        <v>786</v>
      </c>
      <c r="L199" s="1267" t="s">
        <v>787</v>
      </c>
      <c r="M199" s="1267" t="s">
        <v>788</v>
      </c>
      <c r="N199" s="1267" t="s">
        <v>789</v>
      </c>
      <c r="O199" s="1267" t="s">
        <v>790</v>
      </c>
      <c r="P199" s="1267" t="s">
        <v>791</v>
      </c>
      <c r="Q199" s="1267" t="s">
        <v>792</v>
      </c>
      <c r="R199" s="1267" t="s">
        <v>793</v>
      </c>
      <c r="S199" s="1267" t="s">
        <v>794</v>
      </c>
      <c r="T199" s="1267" t="s">
        <v>795</v>
      </c>
      <c r="U199" s="1268" t="s">
        <v>796</v>
      </c>
      <c r="W199" s="702"/>
      <c r="X199" s="702"/>
    </row>
    <row r="200" spans="2:37" s="1105" customFormat="1" hidden="1">
      <c r="B200" s="3068" t="str">
        <f>Weight!B9</f>
        <v>Q1</v>
      </c>
      <c r="C200" s="2297" t="str">
        <f>Weight!C9</f>
        <v>Indoor Environment</v>
      </c>
      <c r="D200" s="2297"/>
      <c r="E200" s="2297"/>
      <c r="F200" s="2297"/>
      <c r="G200" s="1269" t="s">
        <v>3329</v>
      </c>
      <c r="H200" s="3069"/>
      <c r="I200" s="1269" t="s">
        <v>784</v>
      </c>
      <c r="J200" s="1269" t="s">
        <v>785</v>
      </c>
      <c r="K200" s="1269" t="s">
        <v>786</v>
      </c>
      <c r="L200" s="1269" t="s">
        <v>787</v>
      </c>
      <c r="M200" s="1269" t="s">
        <v>788</v>
      </c>
      <c r="N200" s="1269" t="s">
        <v>789</v>
      </c>
      <c r="O200" s="1269" t="s">
        <v>790</v>
      </c>
      <c r="P200" s="1269" t="s">
        <v>791</v>
      </c>
      <c r="Q200" s="1269" t="s">
        <v>792</v>
      </c>
      <c r="R200" s="1269" t="s">
        <v>793</v>
      </c>
      <c r="S200" s="1269" t="s">
        <v>794</v>
      </c>
      <c r="T200" s="1269" t="s">
        <v>795</v>
      </c>
      <c r="U200" s="1270" t="s">
        <v>796</v>
      </c>
      <c r="W200" s="702"/>
      <c r="X200" s="702"/>
    </row>
    <row r="201" spans="2:37" s="1105" customFormat="1" ht="15" hidden="1">
      <c r="B201" s="3068">
        <f>Weight!B10</f>
        <v>1</v>
      </c>
      <c r="C201" s="2297" t="str">
        <f>Weight!C10</f>
        <v>Sound Environment</v>
      </c>
      <c r="D201" s="2297"/>
      <c r="E201" s="2297"/>
      <c r="F201" s="2297"/>
      <c r="G201" s="3070"/>
      <c r="H201" s="3069"/>
      <c r="I201" s="3070"/>
      <c r="J201" s="3070"/>
      <c r="K201" s="3070"/>
      <c r="L201" s="3070"/>
      <c r="M201" s="3070"/>
      <c r="N201" s="3070"/>
      <c r="O201" s="3070"/>
      <c r="P201" s="3070"/>
      <c r="Q201" s="3070"/>
      <c r="R201" s="3070"/>
      <c r="S201" s="3070"/>
      <c r="T201" s="3070"/>
      <c r="U201" s="3071"/>
      <c r="W201" s="702"/>
      <c r="X201" s="702"/>
    </row>
    <row r="202" spans="2:37" s="1105" customFormat="1" ht="15" hidden="1">
      <c r="B202" s="3068">
        <f>Weight!B11</f>
        <v>1.1000000000000001</v>
      </c>
      <c r="C202" s="2297" t="str">
        <f>Weight!C11</f>
        <v>Indoor Noise Level</v>
      </c>
      <c r="D202" s="2297"/>
      <c r="E202" s="2297"/>
      <c r="F202" s="2297"/>
      <c r="G202" s="3070"/>
      <c r="H202" s="3069"/>
      <c r="I202" s="3070"/>
      <c r="J202" s="3070"/>
      <c r="K202" s="3070"/>
      <c r="L202" s="3070"/>
      <c r="M202" s="3070"/>
      <c r="N202" s="3070"/>
      <c r="O202" s="3070"/>
      <c r="P202" s="3070"/>
      <c r="Q202" s="3070"/>
      <c r="R202" s="3070"/>
      <c r="S202" s="3070"/>
      <c r="T202" s="3070"/>
      <c r="U202" s="3071"/>
      <c r="W202" s="702"/>
      <c r="X202" s="702"/>
    </row>
    <row r="203" spans="2:37" s="1105" customFormat="1" ht="15" hidden="1">
      <c r="B203" s="3068" t="str">
        <f>Weight!B12</f>
        <v>1.1.1</v>
      </c>
      <c r="C203" s="2297" t="str">
        <f>Weight!C12</f>
        <v>Background noise level</v>
      </c>
      <c r="D203" s="2297"/>
      <c r="E203" s="2297"/>
      <c r="F203" s="2297"/>
      <c r="G203" s="3070"/>
      <c r="H203" s="3069"/>
      <c r="I203" s="3070"/>
      <c r="J203" s="3070"/>
      <c r="K203" s="3070"/>
      <c r="L203" s="3070"/>
      <c r="M203" s="3070"/>
      <c r="N203" s="3070"/>
      <c r="O203" s="3070"/>
      <c r="P203" s="3070"/>
      <c r="Q203" s="3070"/>
      <c r="R203" s="3070"/>
      <c r="S203" s="3070"/>
      <c r="T203" s="3070"/>
      <c r="U203" s="3071"/>
      <c r="W203" s="702"/>
      <c r="X203" s="702"/>
    </row>
    <row r="204" spans="2:37" s="1105" customFormat="1" ht="15" hidden="1">
      <c r="B204" s="3068" t="str">
        <f>Weight!B13</f>
        <v>1.1.2</v>
      </c>
      <c r="C204" s="2297" t="str">
        <f>Weight!C13</f>
        <v>Equipment noise</v>
      </c>
      <c r="D204" s="2297"/>
      <c r="E204" s="2297"/>
      <c r="F204" s="2297"/>
      <c r="G204" s="3070"/>
      <c r="H204" s="3069"/>
      <c r="I204" s="3070"/>
      <c r="J204" s="3070"/>
      <c r="K204" s="3070"/>
      <c r="L204" s="3070"/>
      <c r="M204" s="3070"/>
      <c r="N204" s="3070"/>
      <c r="O204" s="3070"/>
      <c r="P204" s="3070"/>
      <c r="Q204" s="3070"/>
      <c r="R204" s="3070"/>
      <c r="S204" s="3070"/>
      <c r="T204" s="3070"/>
      <c r="U204" s="3071"/>
      <c r="W204" s="702"/>
      <c r="X204" s="702"/>
    </row>
    <row r="205" spans="2:37" s="1105" customFormat="1" hidden="1">
      <c r="B205" s="3068">
        <f>Weight!B14</f>
        <v>1.2</v>
      </c>
      <c r="C205" s="2297" t="str">
        <f>Weight!C14</f>
        <v>Sound Insulation</v>
      </c>
      <c r="D205" s="2297"/>
      <c r="E205" s="2297"/>
      <c r="F205" s="2297"/>
      <c r="G205" s="3069"/>
      <c r="H205" s="3069"/>
      <c r="I205" s="3069"/>
      <c r="J205" s="3069"/>
      <c r="K205" s="3069"/>
      <c r="L205" s="3069"/>
      <c r="M205" s="3069"/>
      <c r="N205" s="3069"/>
      <c r="O205" s="3069"/>
      <c r="P205" s="3069"/>
      <c r="Q205" s="3069"/>
      <c r="R205" s="3069"/>
      <c r="S205" s="3069"/>
      <c r="T205" s="3069"/>
      <c r="U205" s="3072"/>
      <c r="W205" s="702"/>
      <c r="X205" s="702"/>
    </row>
    <row r="206" spans="2:37" s="1105" customFormat="1" ht="15" hidden="1">
      <c r="B206" s="3068" t="str">
        <f>Weight!B15</f>
        <v>1.2.1</v>
      </c>
      <c r="C206" s="2297" t="str">
        <f>Weight!C15</f>
        <v>Sound Insulation of Openings</v>
      </c>
      <c r="D206" s="2297"/>
      <c r="E206" s="2297"/>
      <c r="F206" s="2297"/>
      <c r="G206" s="3070"/>
      <c r="H206" s="3070"/>
      <c r="I206" s="3070"/>
      <c r="J206" s="3070"/>
      <c r="K206" s="3070"/>
      <c r="L206" s="3070"/>
      <c r="M206" s="3070"/>
      <c r="N206" s="3070"/>
      <c r="O206" s="3070"/>
      <c r="P206" s="3070"/>
      <c r="Q206" s="3070"/>
      <c r="R206" s="3070"/>
      <c r="S206" s="3070"/>
      <c r="T206" s="3070"/>
      <c r="U206" s="3071"/>
      <c r="W206" s="702"/>
      <c r="X206" s="702"/>
    </row>
    <row r="207" spans="2:37" s="1105" customFormat="1" ht="15" hidden="1">
      <c r="B207" s="3068" t="str">
        <f>Weight!B16</f>
        <v>1.2.2</v>
      </c>
      <c r="C207" s="2297" t="str">
        <f>Weight!C16</f>
        <v>Sound Insulation of Partition Walls</v>
      </c>
      <c r="D207" s="2297"/>
      <c r="E207" s="2297"/>
      <c r="F207" s="2297"/>
      <c r="G207" s="3070"/>
      <c r="H207" s="3070"/>
      <c r="I207" s="3070"/>
      <c r="J207" s="3070"/>
      <c r="K207" s="3070"/>
      <c r="L207" s="3070"/>
      <c r="M207" s="3070"/>
      <c r="N207" s="3070"/>
      <c r="O207" s="3070"/>
      <c r="P207" s="3070"/>
      <c r="Q207" s="3070"/>
      <c r="R207" s="3070"/>
      <c r="S207" s="3070"/>
      <c r="T207" s="3070"/>
      <c r="U207" s="3071"/>
      <c r="W207" s="702"/>
      <c r="X207" s="702"/>
    </row>
    <row r="208" spans="2:37" s="1105" customFormat="1" ht="15" hidden="1">
      <c r="B208" s="3068" t="str">
        <f>Weight!B17</f>
        <v>1.2.3</v>
      </c>
      <c r="C208" s="2297" t="str">
        <f>Weight!C17</f>
        <v>Sound Insulation Performance of Floor Slabs (light-weight impact source)</v>
      </c>
      <c r="D208" s="2297"/>
      <c r="E208" s="2297"/>
      <c r="F208" s="2297"/>
      <c r="G208" s="3070"/>
      <c r="H208" s="3070"/>
      <c r="I208" s="3070"/>
      <c r="J208" s="3070"/>
      <c r="K208" s="3070"/>
      <c r="L208" s="3070"/>
      <c r="M208" s="3070"/>
      <c r="N208" s="3070"/>
      <c r="O208" s="3070"/>
      <c r="P208" s="3070"/>
      <c r="Q208" s="3070"/>
      <c r="R208" s="3070"/>
      <c r="S208" s="3070"/>
      <c r="T208" s="3070"/>
      <c r="U208" s="3071"/>
      <c r="W208" s="702"/>
      <c r="X208" s="702"/>
    </row>
    <row r="209" spans="2:24" s="1105" customFormat="1" ht="15" hidden="1">
      <c r="B209" s="3068" t="str">
        <f>Weight!B18</f>
        <v>1.2.4</v>
      </c>
      <c r="C209" s="2297" t="str">
        <f>Weight!C18</f>
        <v>Sound Insulation Performance of Floor Slabs (heavy-weight impact source)</v>
      </c>
      <c r="D209" s="2297"/>
      <c r="E209" s="2297"/>
      <c r="F209" s="2297"/>
      <c r="G209" s="3070"/>
      <c r="H209" s="3070"/>
      <c r="I209" s="3070"/>
      <c r="J209" s="3070"/>
      <c r="K209" s="3070"/>
      <c r="L209" s="3070"/>
      <c r="M209" s="3070"/>
      <c r="N209" s="3070"/>
      <c r="O209" s="3070"/>
      <c r="P209" s="3070"/>
      <c r="Q209" s="3070"/>
      <c r="R209" s="3070"/>
      <c r="S209" s="3070"/>
      <c r="T209" s="3070"/>
      <c r="U209" s="3071"/>
      <c r="W209" s="702"/>
      <c r="X209" s="702"/>
    </row>
    <row r="210" spans="2:24" s="1105" customFormat="1" hidden="1">
      <c r="B210" s="3068">
        <f>Weight!B19</f>
        <v>1.3</v>
      </c>
      <c r="C210" s="2297" t="str">
        <f>Weight!C19</f>
        <v>Sound Absorption</v>
      </c>
      <c r="D210" s="2297"/>
      <c r="E210" s="2297"/>
      <c r="F210" s="2297"/>
      <c r="G210" s="3069"/>
      <c r="H210" s="3069"/>
      <c r="I210" s="3069"/>
      <c r="J210" s="3069"/>
      <c r="K210" s="3069"/>
      <c r="L210" s="3069"/>
      <c r="M210" s="3069"/>
      <c r="N210" s="3069"/>
      <c r="O210" s="3069"/>
      <c r="P210" s="3069"/>
      <c r="Q210" s="3069"/>
      <c r="R210" s="3069"/>
      <c r="S210" s="3069"/>
      <c r="T210" s="3069"/>
      <c r="U210" s="3072"/>
      <c r="W210" s="702"/>
      <c r="X210" s="702"/>
    </row>
    <row r="211" spans="2:24" s="1105" customFormat="1" ht="15" hidden="1">
      <c r="B211" s="3068">
        <f>Weight!B20</f>
        <v>2</v>
      </c>
      <c r="C211" s="2297" t="str">
        <f>Weight!C20</f>
        <v>Thermal Comfort</v>
      </c>
      <c r="D211" s="2297"/>
      <c r="E211" s="2297"/>
      <c r="F211" s="2297"/>
      <c r="G211" s="3070"/>
      <c r="H211" s="3070"/>
      <c r="I211" s="3070"/>
      <c r="J211" s="3070"/>
      <c r="K211" s="3070"/>
      <c r="L211" s="3070"/>
      <c r="M211" s="3070"/>
      <c r="N211" s="3070"/>
      <c r="O211" s="3070"/>
      <c r="P211" s="3070"/>
      <c r="Q211" s="3070"/>
      <c r="R211" s="3070"/>
      <c r="S211" s="3070"/>
      <c r="T211" s="3070"/>
      <c r="U211" s="3071"/>
      <c r="W211" s="702"/>
      <c r="X211" s="702"/>
    </row>
    <row r="212" spans="2:24" s="1105" customFormat="1" ht="15" hidden="1">
      <c r="B212" s="3068">
        <f>Weight!B21</f>
        <v>2.1</v>
      </c>
      <c r="C212" s="2297" t="str">
        <f>Weight!C21</f>
        <v>Room Temperature Control</v>
      </c>
      <c r="D212" s="2297"/>
      <c r="E212" s="2297"/>
      <c r="F212" s="2297"/>
      <c r="G212" s="3070"/>
      <c r="H212" s="3070"/>
      <c r="I212" s="3070"/>
      <c r="J212" s="3070"/>
      <c r="K212" s="3070"/>
      <c r="L212" s="3070"/>
      <c r="M212" s="3070"/>
      <c r="N212" s="3070"/>
      <c r="O212" s="3070"/>
      <c r="P212" s="3070"/>
      <c r="Q212" s="3070"/>
      <c r="R212" s="3070"/>
      <c r="S212" s="3070"/>
      <c r="T212" s="3070"/>
      <c r="U212" s="3071"/>
      <c r="W212" s="702"/>
      <c r="X212" s="702"/>
    </row>
    <row r="213" spans="2:24" s="1105" customFormat="1" ht="15" hidden="1">
      <c r="B213" s="3068" t="str">
        <f>Weight!B22</f>
        <v>2.1.1</v>
      </c>
      <c r="C213" s="2297" t="str">
        <f>Weight!C22</f>
        <v>Room Temperature</v>
      </c>
      <c r="D213" s="2297"/>
      <c r="E213" s="2297"/>
      <c r="F213" s="2297"/>
      <c r="G213" s="3070"/>
      <c r="H213" s="3070"/>
      <c r="I213" s="3070"/>
      <c r="J213" s="3070"/>
      <c r="K213" s="3070"/>
      <c r="L213" s="3070"/>
      <c r="M213" s="3070"/>
      <c r="N213" s="3070"/>
      <c r="O213" s="3070"/>
      <c r="P213" s="3070"/>
      <c r="Q213" s="3070"/>
      <c r="R213" s="3070"/>
      <c r="S213" s="3070"/>
      <c r="T213" s="3070"/>
      <c r="U213" s="3071"/>
      <c r="W213" s="702"/>
      <c r="X213" s="702"/>
    </row>
    <row r="214" spans="2:24" s="1105" customFormat="1" ht="15" hidden="1">
      <c r="B214" s="3068" t="str">
        <f>Weight!B23</f>
        <v>2.1.2</v>
      </c>
      <c r="C214" s="2297" t="str">
        <f>Weight!C23</f>
        <v>Variable Loads and Following-up Control</v>
      </c>
      <c r="D214" s="2297"/>
      <c r="E214" s="2297"/>
      <c r="F214" s="2297"/>
      <c r="G214" s="3070"/>
      <c r="H214" s="3070"/>
      <c r="I214" s="3070"/>
      <c r="J214" s="3070"/>
      <c r="K214" s="3070"/>
      <c r="L214" s="3070"/>
      <c r="M214" s="3070"/>
      <c r="N214" s="3070"/>
      <c r="O214" s="3070"/>
      <c r="P214" s="3070"/>
      <c r="Q214" s="3070"/>
      <c r="R214" s="3070"/>
      <c r="S214" s="3070"/>
      <c r="T214" s="3070"/>
      <c r="U214" s="3071"/>
      <c r="W214" s="702"/>
      <c r="X214" s="702"/>
    </row>
    <row r="215" spans="2:24" s="1105" customFormat="1" ht="15" hidden="1">
      <c r="B215" s="3068" t="str">
        <f>Weight!B24</f>
        <v>2.1.2</v>
      </c>
      <c r="C215" s="2297" t="str">
        <f>Weight!C24</f>
        <v>Perimeter Performance</v>
      </c>
      <c r="D215" s="2297"/>
      <c r="E215" s="2297"/>
      <c r="F215" s="2297"/>
      <c r="G215" s="3070"/>
      <c r="H215" s="3070"/>
      <c r="I215" s="3070"/>
      <c r="J215" s="3070"/>
      <c r="K215" s="3070"/>
      <c r="L215" s="3070"/>
      <c r="M215" s="3070"/>
      <c r="N215" s="3070"/>
      <c r="O215" s="3070"/>
      <c r="P215" s="3070"/>
      <c r="Q215" s="3070"/>
      <c r="R215" s="3070"/>
      <c r="S215" s="3070"/>
      <c r="T215" s="3070"/>
      <c r="U215" s="3071"/>
      <c r="W215" s="702"/>
      <c r="X215" s="702"/>
    </row>
    <row r="216" spans="2:24" s="1105" customFormat="1" ht="15" hidden="1">
      <c r="B216" s="3068" t="str">
        <f>Weight!B25</f>
        <v>2.1.3</v>
      </c>
      <c r="C216" s="2297" t="str">
        <f>Weight!C25</f>
        <v>Zoned Control</v>
      </c>
      <c r="D216" s="2297"/>
      <c r="E216" s="2297"/>
      <c r="F216" s="2297"/>
      <c r="G216" s="3070"/>
      <c r="H216" s="3070"/>
      <c r="I216" s="3070"/>
      <c r="J216" s="3070"/>
      <c r="K216" s="3070"/>
      <c r="L216" s="3070"/>
      <c r="M216" s="3070"/>
      <c r="N216" s="3070"/>
      <c r="O216" s="3070"/>
      <c r="P216" s="3070"/>
      <c r="Q216" s="3070"/>
      <c r="R216" s="3070"/>
      <c r="S216" s="3070"/>
      <c r="T216" s="3070"/>
      <c r="U216" s="3071"/>
      <c r="W216" s="702"/>
      <c r="X216" s="702"/>
    </row>
    <row r="217" spans="2:24" s="1105" customFormat="1" ht="15" hidden="1">
      <c r="B217" s="3068" t="str">
        <f>Weight!B26</f>
        <v>2.1.5</v>
      </c>
      <c r="C217" s="2297" t="str">
        <f>Weight!C26</f>
        <v>Temperature and Humidity Control</v>
      </c>
      <c r="D217" s="2297"/>
      <c r="E217" s="2297"/>
      <c r="F217" s="2297"/>
      <c r="G217" s="3070"/>
      <c r="H217" s="3070"/>
      <c r="I217" s="3070"/>
      <c r="J217" s="3070"/>
      <c r="K217" s="3070"/>
      <c r="L217" s="3070"/>
      <c r="M217" s="3070"/>
      <c r="N217" s="3070"/>
      <c r="O217" s="3070"/>
      <c r="P217" s="3070"/>
      <c r="Q217" s="3070"/>
      <c r="R217" s="3070"/>
      <c r="S217" s="3070"/>
      <c r="T217" s="3070"/>
      <c r="U217" s="3071"/>
      <c r="W217" s="702"/>
      <c r="X217" s="702"/>
    </row>
    <row r="218" spans="2:24" s="1105" customFormat="1" ht="15" hidden="1">
      <c r="B218" s="3068" t="str">
        <f>Weight!B27</f>
        <v>2.1.6</v>
      </c>
      <c r="C218" s="2297" t="str">
        <f>Weight!C27</f>
        <v>Individual Control</v>
      </c>
      <c r="D218" s="2297"/>
      <c r="E218" s="2297"/>
      <c r="F218" s="2297"/>
      <c r="G218" s="3070"/>
      <c r="H218" s="3070"/>
      <c r="I218" s="3070"/>
      <c r="J218" s="3070"/>
      <c r="K218" s="3070"/>
      <c r="L218" s="3070"/>
      <c r="M218" s="3070"/>
      <c r="N218" s="3070"/>
      <c r="O218" s="3070"/>
      <c r="P218" s="3070"/>
      <c r="Q218" s="3070"/>
      <c r="R218" s="3070"/>
      <c r="S218" s="3070"/>
      <c r="T218" s="3070"/>
      <c r="U218" s="3071"/>
      <c r="W218" s="702"/>
      <c r="X218" s="702"/>
    </row>
    <row r="219" spans="2:24" s="1105" customFormat="1" ht="15" hidden="1">
      <c r="B219" s="3068" t="str">
        <f>Weight!B28</f>
        <v>2.1.7</v>
      </c>
      <c r="C219" s="2297" t="str">
        <f>Weight!C28</f>
        <v>Allowance for After-hours Air Conditioning</v>
      </c>
      <c r="D219" s="2297"/>
      <c r="E219" s="2297"/>
      <c r="F219" s="2297"/>
      <c r="G219" s="3070"/>
      <c r="H219" s="3070"/>
      <c r="I219" s="3070"/>
      <c r="J219" s="3070"/>
      <c r="K219" s="3070"/>
      <c r="L219" s="3070"/>
      <c r="M219" s="3070"/>
      <c r="N219" s="3070"/>
      <c r="O219" s="3070"/>
      <c r="P219" s="3070"/>
      <c r="Q219" s="3070"/>
      <c r="R219" s="3070"/>
      <c r="S219" s="3070"/>
      <c r="T219" s="3070"/>
      <c r="U219" s="3071"/>
      <c r="W219" s="702"/>
      <c r="X219" s="702"/>
    </row>
    <row r="220" spans="2:24" s="1105" customFormat="1" ht="15" hidden="1">
      <c r="B220" s="3068" t="str">
        <f>Weight!B29</f>
        <v>2.1.8</v>
      </c>
      <c r="C220" s="2297" t="str">
        <f>Weight!C29</f>
        <v>Monitoring Systems</v>
      </c>
      <c r="D220" s="2297"/>
      <c r="E220" s="2297"/>
      <c r="F220" s="2297"/>
      <c r="G220" s="3070"/>
      <c r="H220" s="3070"/>
      <c r="I220" s="3070"/>
      <c r="J220" s="3070"/>
      <c r="K220" s="3070"/>
      <c r="L220" s="3070"/>
      <c r="M220" s="3070"/>
      <c r="N220" s="3070"/>
      <c r="O220" s="3070"/>
      <c r="P220" s="3070"/>
      <c r="Q220" s="3070"/>
      <c r="R220" s="3070"/>
      <c r="S220" s="3070"/>
      <c r="T220" s="3070"/>
      <c r="U220" s="3071"/>
      <c r="W220" s="702"/>
      <c r="X220" s="702"/>
    </row>
    <row r="221" spans="2:24" s="1105" customFormat="1" ht="15" hidden="1">
      <c r="B221" s="3068">
        <f>Weight!B30</f>
        <v>2.2000000000000002</v>
      </c>
      <c r="C221" s="2297" t="str">
        <f>Weight!C30</f>
        <v>Humidity Control</v>
      </c>
      <c r="D221" s="2297"/>
      <c r="E221" s="2297"/>
      <c r="F221" s="2297"/>
      <c r="G221" s="3070"/>
      <c r="H221" s="3070"/>
      <c r="I221" s="3070"/>
      <c r="J221" s="3070"/>
      <c r="K221" s="3070"/>
      <c r="L221" s="3070"/>
      <c r="M221" s="3070"/>
      <c r="N221" s="3070"/>
      <c r="O221" s="3070"/>
      <c r="P221" s="3070"/>
      <c r="Q221" s="3070"/>
      <c r="R221" s="3070"/>
      <c r="S221" s="3070"/>
      <c r="T221" s="3070"/>
      <c r="U221" s="3071"/>
      <c r="W221" s="702"/>
      <c r="X221" s="702"/>
    </row>
    <row r="222" spans="2:24" s="1105" customFormat="1" ht="15" hidden="1">
      <c r="B222" s="3068">
        <f>Weight!B31</f>
        <v>2.2999999999999998</v>
      </c>
      <c r="C222" s="2297" t="str">
        <f>Weight!C31</f>
        <v>Type of Air Conditioning System</v>
      </c>
      <c r="D222" s="2297"/>
      <c r="E222" s="2297"/>
      <c r="F222" s="2297"/>
      <c r="G222" s="3070"/>
      <c r="H222" s="3070"/>
      <c r="I222" s="3070"/>
      <c r="J222" s="3070"/>
      <c r="K222" s="3070"/>
      <c r="L222" s="3070"/>
      <c r="M222" s="3070"/>
      <c r="N222" s="3070"/>
      <c r="O222" s="3070"/>
      <c r="P222" s="3070"/>
      <c r="Q222" s="3070"/>
      <c r="R222" s="3070"/>
      <c r="S222" s="3070"/>
      <c r="T222" s="3070"/>
      <c r="U222" s="3071"/>
      <c r="W222" s="702"/>
      <c r="X222" s="702"/>
    </row>
    <row r="223" spans="2:24" s="1105" customFormat="1" ht="15" hidden="1">
      <c r="B223" s="3068">
        <f>Weight!B32</f>
        <v>2.2999999999999998</v>
      </c>
      <c r="C223" s="2297">
        <f>Weight!C32</f>
        <v>0</v>
      </c>
      <c r="D223" s="2297"/>
      <c r="E223" s="2297"/>
      <c r="F223" s="2297"/>
      <c r="G223" s="3070"/>
      <c r="H223" s="3070"/>
      <c r="I223" s="3070"/>
      <c r="J223" s="3070"/>
      <c r="K223" s="3070"/>
      <c r="L223" s="3070"/>
      <c r="M223" s="3070"/>
      <c r="N223" s="3070"/>
      <c r="O223" s="3070"/>
      <c r="P223" s="3070"/>
      <c r="Q223" s="3070"/>
      <c r="R223" s="3070"/>
      <c r="S223" s="3070"/>
      <c r="T223" s="3070"/>
      <c r="U223" s="3071"/>
      <c r="W223" s="702"/>
      <c r="X223" s="702"/>
    </row>
    <row r="224" spans="2:24" s="1105" customFormat="1" ht="15" hidden="1">
      <c r="B224" s="3068" t="str">
        <f>Weight!B33</f>
        <v>2.3.1</v>
      </c>
      <c r="C224" s="2297">
        <f>Weight!C33</f>
        <v>0</v>
      </c>
      <c r="D224" s="2297"/>
      <c r="E224" s="2297"/>
      <c r="F224" s="2297"/>
      <c r="G224" s="3070"/>
      <c r="H224" s="3070"/>
      <c r="I224" s="3070"/>
      <c r="J224" s="3070"/>
      <c r="K224" s="3070"/>
      <c r="L224" s="3070"/>
      <c r="M224" s="3070"/>
      <c r="N224" s="3070"/>
      <c r="O224" s="3070"/>
      <c r="P224" s="3070"/>
      <c r="Q224" s="3070"/>
      <c r="R224" s="3070"/>
      <c r="S224" s="3070"/>
      <c r="T224" s="3070"/>
      <c r="U224" s="3071"/>
      <c r="W224" s="702"/>
      <c r="X224" s="702"/>
    </row>
    <row r="225" spans="2:24" s="1105" customFormat="1" ht="15" hidden="1">
      <c r="B225" s="3068" t="str">
        <f>Weight!B34</f>
        <v>2.3.2</v>
      </c>
      <c r="C225" s="2297">
        <f>Weight!C34</f>
        <v>0</v>
      </c>
      <c r="D225" s="2297"/>
      <c r="E225" s="2297"/>
      <c r="F225" s="2297"/>
      <c r="G225" s="3070"/>
      <c r="H225" s="3070"/>
      <c r="I225" s="3070"/>
      <c r="J225" s="3070"/>
      <c r="K225" s="3070"/>
      <c r="L225" s="3070"/>
      <c r="M225" s="3070"/>
      <c r="N225" s="3070"/>
      <c r="O225" s="3070"/>
      <c r="P225" s="3070"/>
      <c r="Q225" s="3070"/>
      <c r="R225" s="3070"/>
      <c r="S225" s="3070"/>
      <c r="T225" s="3070"/>
      <c r="U225" s="3071"/>
      <c r="W225" s="702"/>
      <c r="X225" s="702"/>
    </row>
    <row r="226" spans="2:24" s="1105" customFormat="1" ht="15" hidden="1">
      <c r="B226" s="3068">
        <f>Weight!B35</f>
        <v>3</v>
      </c>
      <c r="C226" s="2297" t="str">
        <f>Weight!C35</f>
        <v>Lighting &amp; Illumination</v>
      </c>
      <c r="D226" s="2297"/>
      <c r="E226" s="2297"/>
      <c r="F226" s="2297"/>
      <c r="G226" s="3070"/>
      <c r="H226" s="3070"/>
      <c r="I226" s="3070"/>
      <c r="J226" s="3070"/>
      <c r="K226" s="3070"/>
      <c r="L226" s="3070"/>
      <c r="M226" s="3070"/>
      <c r="N226" s="3070"/>
      <c r="O226" s="3070"/>
      <c r="P226" s="3070"/>
      <c r="Q226" s="3070"/>
      <c r="R226" s="3070"/>
      <c r="S226" s="3070"/>
      <c r="T226" s="3070"/>
      <c r="U226" s="3071"/>
      <c r="W226" s="702"/>
      <c r="X226" s="702"/>
    </row>
    <row r="227" spans="2:24" s="1105" customFormat="1" ht="15" hidden="1">
      <c r="B227" s="3068">
        <f>Weight!B36</f>
        <v>3.1</v>
      </c>
      <c r="C227" s="2297" t="str">
        <f>Weight!C36</f>
        <v>Daylighting</v>
      </c>
      <c r="D227" s="2297"/>
      <c r="E227" s="2297"/>
      <c r="F227" s="2297"/>
      <c r="G227" s="3070"/>
      <c r="H227" s="3070"/>
      <c r="I227" s="3070"/>
      <c r="J227" s="3070"/>
      <c r="K227" s="3070"/>
      <c r="L227" s="3070"/>
      <c r="M227" s="3070"/>
      <c r="N227" s="3070"/>
      <c r="O227" s="3070"/>
      <c r="P227" s="3070"/>
      <c r="Q227" s="3070"/>
      <c r="R227" s="3070"/>
      <c r="S227" s="3070"/>
      <c r="T227" s="3070"/>
      <c r="U227" s="3071"/>
      <c r="W227" s="702"/>
      <c r="X227" s="702"/>
    </row>
    <row r="228" spans="2:24" s="1105" customFormat="1" ht="15" hidden="1">
      <c r="B228" s="3068" t="str">
        <f>Weight!B37</f>
        <v>3.1.1</v>
      </c>
      <c r="C228" s="2297" t="str">
        <f>Weight!C37</f>
        <v>Daylight Factor</v>
      </c>
      <c r="D228" s="2297"/>
      <c r="E228" s="2297"/>
      <c r="F228" s="2297"/>
      <c r="G228" s="3070"/>
      <c r="H228" s="3070"/>
      <c r="I228" s="3070"/>
      <c r="J228" s="3070"/>
      <c r="K228" s="3070"/>
      <c r="L228" s="3070"/>
      <c r="M228" s="3070"/>
      <c r="N228" s="3070"/>
      <c r="O228" s="3070"/>
      <c r="P228" s="3070"/>
      <c r="Q228" s="3070"/>
      <c r="R228" s="3070"/>
      <c r="S228" s="3070"/>
      <c r="T228" s="3070"/>
      <c r="U228" s="3071"/>
      <c r="W228" s="702"/>
      <c r="X228" s="702"/>
    </row>
    <row r="229" spans="2:24" s="1105" customFormat="1" ht="15" hidden="1">
      <c r="B229" s="3068" t="str">
        <f>Weight!B38</f>
        <v>3.1.2</v>
      </c>
      <c r="C229" s="2297" t="str">
        <f>Weight!C38</f>
        <v>Openings by Orientation</v>
      </c>
      <c r="D229" s="2297"/>
      <c r="E229" s="2297"/>
      <c r="F229" s="2297"/>
      <c r="G229" s="3070"/>
      <c r="H229" s="3070"/>
      <c r="I229" s="3070"/>
      <c r="J229" s="3070"/>
      <c r="K229" s="3070"/>
      <c r="L229" s="3070"/>
      <c r="M229" s="3070"/>
      <c r="N229" s="3070"/>
      <c r="O229" s="3070"/>
      <c r="P229" s="3070"/>
      <c r="Q229" s="3070"/>
      <c r="R229" s="3070"/>
      <c r="S229" s="3070"/>
      <c r="T229" s="3070"/>
      <c r="U229" s="3071"/>
      <c r="W229" s="702"/>
      <c r="X229" s="702"/>
    </row>
    <row r="230" spans="2:24" s="1105" customFormat="1" hidden="1">
      <c r="B230" s="3068" t="str">
        <f>Weight!B39</f>
        <v>3.1.3</v>
      </c>
      <c r="C230" s="2297" t="str">
        <f>Weight!C39</f>
        <v>Daylight Devices</v>
      </c>
      <c r="D230" s="2297"/>
      <c r="E230" s="2297"/>
      <c r="F230" s="2297"/>
      <c r="G230" s="3069"/>
      <c r="H230" s="3069"/>
      <c r="I230" s="3069"/>
      <c r="J230" s="3069"/>
      <c r="K230" s="3069"/>
      <c r="L230" s="3069"/>
      <c r="M230" s="3069"/>
      <c r="N230" s="3069"/>
      <c r="O230" s="3069"/>
      <c r="P230" s="3069"/>
      <c r="Q230" s="3069"/>
      <c r="R230" s="3069"/>
      <c r="S230" s="3069"/>
      <c r="T230" s="3069"/>
      <c r="U230" s="3072"/>
      <c r="W230" s="702"/>
      <c r="X230" s="702"/>
    </row>
    <row r="231" spans="2:24" s="1105" customFormat="1" ht="15" hidden="1">
      <c r="B231" s="3068">
        <f>Weight!B40</f>
        <v>3.2</v>
      </c>
      <c r="C231" s="2297" t="str">
        <f>Weight!C40</f>
        <v>Anti-glare Measures</v>
      </c>
      <c r="D231" s="2297"/>
      <c r="E231" s="2297"/>
      <c r="F231" s="2297"/>
      <c r="G231" s="3070"/>
      <c r="H231" s="3070"/>
      <c r="I231" s="3070"/>
      <c r="J231" s="3070"/>
      <c r="K231" s="3070"/>
      <c r="L231" s="3070"/>
      <c r="M231" s="3070"/>
      <c r="N231" s="3070"/>
      <c r="O231" s="3070"/>
      <c r="P231" s="3070"/>
      <c r="Q231" s="3070"/>
      <c r="R231" s="3070"/>
      <c r="S231" s="3070"/>
      <c r="T231" s="3070"/>
      <c r="U231" s="3071"/>
      <c r="W231" s="702"/>
      <c r="X231" s="702"/>
    </row>
    <row r="232" spans="2:24" s="1105" customFormat="1" ht="15" hidden="1">
      <c r="B232" s="3068" t="str">
        <f>Weight!B41</f>
        <v>3.2.1</v>
      </c>
      <c r="C232" s="2297" t="str">
        <f>Weight!C41</f>
        <v>Glare from Light Fixtures</v>
      </c>
      <c r="D232" s="2297"/>
      <c r="E232" s="2297"/>
      <c r="F232" s="2297"/>
      <c r="G232" s="3070"/>
      <c r="H232" s="3070"/>
      <c r="I232" s="3070"/>
      <c r="J232" s="3070"/>
      <c r="K232" s="3070"/>
      <c r="L232" s="3070"/>
      <c r="M232" s="3070"/>
      <c r="N232" s="3070"/>
      <c r="O232" s="3070"/>
      <c r="P232" s="3070"/>
      <c r="Q232" s="3070"/>
      <c r="R232" s="3070"/>
      <c r="S232" s="3070"/>
      <c r="T232" s="3070"/>
      <c r="U232" s="3071"/>
      <c r="W232" s="702"/>
      <c r="X232" s="702"/>
    </row>
    <row r="233" spans="2:24" s="1105" customFormat="1" ht="15" hidden="1">
      <c r="B233" s="3068" t="str">
        <f>Weight!B42</f>
        <v>3.2.1</v>
      </c>
      <c r="C233" s="2297" t="str">
        <f>Weight!C42</f>
        <v>Daylight Control</v>
      </c>
      <c r="D233" s="2297"/>
      <c r="E233" s="2297"/>
      <c r="F233" s="2297"/>
      <c r="G233" s="3070"/>
      <c r="H233" s="3070"/>
      <c r="I233" s="3070"/>
      <c r="J233" s="3070"/>
      <c r="K233" s="3070"/>
      <c r="L233" s="3070"/>
      <c r="M233" s="3070"/>
      <c r="N233" s="3070"/>
      <c r="O233" s="3070"/>
      <c r="P233" s="3070"/>
      <c r="Q233" s="3070"/>
      <c r="R233" s="3070"/>
      <c r="S233" s="3070"/>
      <c r="T233" s="3070"/>
      <c r="U233" s="3071"/>
      <c r="W233" s="702"/>
      <c r="X233" s="702"/>
    </row>
    <row r="234" spans="2:24" s="1105" customFormat="1" ht="15" hidden="1">
      <c r="B234" s="3068" t="str">
        <f>Weight!B43</f>
        <v>3.2.3</v>
      </c>
      <c r="C234" s="2297" t="str">
        <f>Weight!C43</f>
        <v>Reflection Control</v>
      </c>
      <c r="D234" s="2297"/>
      <c r="E234" s="2297"/>
      <c r="F234" s="2297"/>
      <c r="G234" s="3070"/>
      <c r="H234" s="3070"/>
      <c r="I234" s="3070"/>
      <c r="J234" s="3070"/>
      <c r="K234" s="3070"/>
      <c r="L234" s="3070"/>
      <c r="M234" s="3070"/>
      <c r="N234" s="3070"/>
      <c r="O234" s="3070"/>
      <c r="P234" s="3070"/>
      <c r="Q234" s="3070"/>
      <c r="R234" s="3070"/>
      <c r="S234" s="3070"/>
      <c r="T234" s="3070"/>
      <c r="U234" s="3071"/>
      <c r="W234" s="702"/>
      <c r="X234" s="702"/>
    </row>
    <row r="235" spans="2:24" s="1105" customFormat="1" ht="15" hidden="1">
      <c r="B235" s="3068">
        <f>Weight!B44</f>
        <v>3.3</v>
      </c>
      <c r="C235" s="2297" t="str">
        <f>Weight!C44</f>
        <v>Illuminance Level</v>
      </c>
      <c r="D235" s="2297"/>
      <c r="E235" s="2297"/>
      <c r="F235" s="2297"/>
      <c r="G235" s="3070"/>
      <c r="H235" s="3070"/>
      <c r="I235" s="3070"/>
      <c r="J235" s="3070"/>
      <c r="K235" s="3070"/>
      <c r="L235" s="3070"/>
      <c r="M235" s="3070"/>
      <c r="N235" s="3070"/>
      <c r="O235" s="3070"/>
      <c r="P235" s="3070"/>
      <c r="Q235" s="3070"/>
      <c r="R235" s="3070"/>
      <c r="S235" s="3070"/>
      <c r="T235" s="3070"/>
      <c r="U235" s="3071"/>
      <c r="W235" s="702"/>
      <c r="X235" s="702"/>
    </row>
    <row r="236" spans="2:24" s="1105" customFormat="1" ht="15" hidden="1">
      <c r="B236" s="3068" t="str">
        <f>Weight!B45</f>
        <v>3.3.1</v>
      </c>
      <c r="C236" s="2297" t="str">
        <f>Weight!C45</f>
        <v>照度</v>
      </c>
      <c r="D236" s="2297"/>
      <c r="E236" s="2297"/>
      <c r="F236" s="2297"/>
      <c r="G236" s="3070"/>
      <c r="H236" s="3070"/>
      <c r="I236" s="3070"/>
      <c r="J236" s="3070"/>
      <c r="K236" s="3070"/>
      <c r="L236" s="3070"/>
      <c r="M236" s="3070"/>
      <c r="N236" s="3070"/>
      <c r="O236" s="3070"/>
      <c r="P236" s="3070"/>
      <c r="Q236" s="3070"/>
      <c r="R236" s="3070"/>
      <c r="S236" s="3070"/>
      <c r="T236" s="3070"/>
      <c r="U236" s="3071"/>
      <c r="W236" s="702"/>
      <c r="X236" s="702"/>
    </row>
    <row r="237" spans="2:24" s="1105" customFormat="1" ht="15" hidden="1">
      <c r="B237" s="3068" t="str">
        <f>Weight!B46</f>
        <v>3.3.2</v>
      </c>
      <c r="C237" s="2297" t="str">
        <f>Weight!C46</f>
        <v>照度均斉度</v>
      </c>
      <c r="D237" s="2297"/>
      <c r="E237" s="2297"/>
      <c r="F237" s="2297"/>
      <c r="G237" s="3070"/>
      <c r="H237" s="3070"/>
      <c r="I237" s="3070"/>
      <c r="J237" s="3070"/>
      <c r="K237" s="3070"/>
      <c r="L237" s="3070"/>
      <c r="M237" s="3070"/>
      <c r="N237" s="3070"/>
      <c r="O237" s="3070"/>
      <c r="P237" s="3070"/>
      <c r="Q237" s="3070"/>
      <c r="R237" s="3070"/>
      <c r="S237" s="3070"/>
      <c r="T237" s="3070"/>
      <c r="U237" s="3071"/>
      <c r="W237" s="702"/>
      <c r="X237" s="702"/>
    </row>
    <row r="238" spans="2:24" s="1105" customFormat="1" ht="15" hidden="1">
      <c r="B238" s="3068">
        <f>Weight!B47</f>
        <v>3.4</v>
      </c>
      <c r="C238" s="2297" t="str">
        <f>Weight!C47</f>
        <v>Lighting Controllability</v>
      </c>
      <c r="D238" s="2297"/>
      <c r="E238" s="2297"/>
      <c r="F238" s="2297"/>
      <c r="G238" s="3070"/>
      <c r="H238" s="3070"/>
      <c r="I238" s="3070"/>
      <c r="J238" s="3070"/>
      <c r="K238" s="3070"/>
      <c r="L238" s="3070"/>
      <c r="M238" s="3070"/>
      <c r="N238" s="3070"/>
      <c r="O238" s="3070"/>
      <c r="P238" s="3070"/>
      <c r="Q238" s="3070"/>
      <c r="R238" s="3070"/>
      <c r="S238" s="3070"/>
      <c r="T238" s="3070"/>
      <c r="U238" s="3071"/>
      <c r="W238" s="702"/>
      <c r="X238" s="702"/>
    </row>
    <row r="239" spans="2:24" s="1105" customFormat="1" ht="15" hidden="1">
      <c r="B239" s="3068">
        <f>Weight!B48</f>
        <v>4</v>
      </c>
      <c r="C239" s="2297" t="str">
        <f>Weight!C48</f>
        <v>Air Quality</v>
      </c>
      <c r="D239" s="2297"/>
      <c r="E239" s="2297"/>
      <c r="F239" s="2297"/>
      <c r="G239" s="3070"/>
      <c r="H239" s="3070"/>
      <c r="I239" s="3070"/>
      <c r="J239" s="3070"/>
      <c r="K239" s="3070"/>
      <c r="L239" s="3070"/>
      <c r="M239" s="3070"/>
      <c r="N239" s="3070"/>
      <c r="O239" s="3070"/>
      <c r="P239" s="3070"/>
      <c r="Q239" s="3070"/>
      <c r="R239" s="3070"/>
      <c r="S239" s="3070"/>
      <c r="T239" s="3070"/>
      <c r="U239" s="3071"/>
      <c r="W239" s="702"/>
      <c r="X239" s="702"/>
    </row>
    <row r="240" spans="2:24" s="1105" customFormat="1" ht="15" hidden="1">
      <c r="B240" s="3068">
        <f>Weight!B49</f>
        <v>4.0999999999999996</v>
      </c>
      <c r="C240" s="2297" t="str">
        <f>Weight!C49</f>
        <v>Source Control</v>
      </c>
      <c r="D240" s="2297"/>
      <c r="E240" s="2297"/>
      <c r="F240" s="2297"/>
      <c r="G240" s="3070"/>
      <c r="H240" s="3070"/>
      <c r="I240" s="3070"/>
      <c r="J240" s="3070"/>
      <c r="K240" s="3070"/>
      <c r="L240" s="3070"/>
      <c r="M240" s="3070"/>
      <c r="N240" s="3070"/>
      <c r="O240" s="3070"/>
      <c r="P240" s="3070"/>
      <c r="Q240" s="3070"/>
      <c r="R240" s="3070"/>
      <c r="S240" s="3070"/>
      <c r="T240" s="3070"/>
      <c r="U240" s="3071"/>
      <c r="W240" s="702"/>
      <c r="X240" s="702"/>
    </row>
    <row r="241" spans="2:24" s="1105" customFormat="1" ht="15" hidden="1">
      <c r="B241" s="3068" t="str">
        <f>Weight!B50</f>
        <v>4.1.1</v>
      </c>
      <c r="C241" s="2297" t="str">
        <f>Weight!C50</f>
        <v>Chemical Pollutants</v>
      </c>
      <c r="D241" s="2297"/>
      <c r="E241" s="2297"/>
      <c r="F241" s="2297"/>
      <c r="G241" s="3070"/>
      <c r="H241" s="3070"/>
      <c r="I241" s="3070"/>
      <c r="J241" s="3070"/>
      <c r="K241" s="3070"/>
      <c r="L241" s="3070"/>
      <c r="M241" s="3070"/>
      <c r="N241" s="3070"/>
      <c r="O241" s="3070"/>
      <c r="P241" s="3070"/>
      <c r="Q241" s="3070"/>
      <c r="R241" s="3070"/>
      <c r="S241" s="3070"/>
      <c r="T241" s="3070"/>
      <c r="U241" s="3071"/>
      <c r="W241" s="702"/>
      <c r="X241" s="702"/>
    </row>
    <row r="242" spans="2:24" s="1105" customFormat="1" ht="15" hidden="1">
      <c r="B242" s="3068" t="str">
        <f>Weight!B51</f>
        <v>4.1.2</v>
      </c>
      <c r="C242" s="2297" t="str">
        <f>Weight!C51</f>
        <v>Asbestos</v>
      </c>
      <c r="D242" s="2297"/>
      <c r="E242" s="2297"/>
      <c r="F242" s="2297"/>
      <c r="G242" s="3070"/>
      <c r="H242" s="3070"/>
      <c r="I242" s="3070"/>
      <c r="J242" s="3070"/>
      <c r="K242" s="3070"/>
      <c r="L242" s="3070"/>
      <c r="M242" s="3070"/>
      <c r="N242" s="3070"/>
      <c r="O242" s="3070"/>
      <c r="P242" s="3070"/>
      <c r="Q242" s="3070"/>
      <c r="R242" s="3070"/>
      <c r="S242" s="3070"/>
      <c r="T242" s="3070"/>
      <c r="U242" s="3071"/>
      <c r="W242" s="702"/>
      <c r="X242" s="702"/>
    </row>
    <row r="243" spans="2:24" s="1105" customFormat="1" ht="15" hidden="1">
      <c r="B243" s="3068" t="str">
        <f>Weight!B52</f>
        <v>4.1.3</v>
      </c>
      <c r="C243" s="2297" t="str">
        <f>Weight!C52</f>
        <v>Mites, Mold etc.</v>
      </c>
      <c r="D243" s="2297"/>
      <c r="E243" s="2297"/>
      <c r="F243" s="2297"/>
      <c r="G243" s="3070"/>
      <c r="H243" s="3070"/>
      <c r="I243" s="3070"/>
      <c r="J243" s="3070"/>
      <c r="K243" s="3070"/>
      <c r="L243" s="3070"/>
      <c r="M243" s="3070"/>
      <c r="N243" s="3070"/>
      <c r="O243" s="3070"/>
      <c r="P243" s="3070"/>
      <c r="Q243" s="3070"/>
      <c r="R243" s="3070"/>
      <c r="S243" s="3070"/>
      <c r="T243" s="3070"/>
      <c r="U243" s="3071"/>
      <c r="W243" s="702"/>
      <c r="X243" s="702"/>
    </row>
    <row r="244" spans="2:24" s="1105" customFormat="1" ht="15" hidden="1">
      <c r="B244" s="3068" t="str">
        <f>Weight!B53</f>
        <v>4.1.4</v>
      </c>
      <c r="C244" s="2297" t="str">
        <f>Weight!C53</f>
        <v>Legionella</v>
      </c>
      <c r="D244" s="2297"/>
      <c r="E244" s="2297"/>
      <c r="F244" s="2297"/>
      <c r="G244" s="3070"/>
      <c r="H244" s="3070"/>
      <c r="I244" s="3070"/>
      <c r="J244" s="3070"/>
      <c r="K244" s="3070"/>
      <c r="L244" s="3070"/>
      <c r="M244" s="3070"/>
      <c r="N244" s="3070"/>
      <c r="O244" s="3070"/>
      <c r="P244" s="3070"/>
      <c r="Q244" s="3070"/>
      <c r="R244" s="3070"/>
      <c r="S244" s="3070"/>
      <c r="T244" s="3070"/>
      <c r="U244" s="3071"/>
      <c r="W244" s="702"/>
      <c r="X244" s="702"/>
    </row>
    <row r="245" spans="2:24" s="1105" customFormat="1" ht="15" hidden="1">
      <c r="B245" s="3068">
        <f>Weight!B54</f>
        <v>4.2</v>
      </c>
      <c r="C245" s="2297" t="str">
        <f>Weight!C54</f>
        <v>Ventilation</v>
      </c>
      <c r="D245" s="2297"/>
      <c r="E245" s="2297"/>
      <c r="F245" s="2297"/>
      <c r="G245" s="3070"/>
      <c r="H245" s="3070"/>
      <c r="I245" s="3070"/>
      <c r="J245" s="3070"/>
      <c r="K245" s="3070"/>
      <c r="L245" s="3070"/>
      <c r="M245" s="3070"/>
      <c r="N245" s="3070"/>
      <c r="O245" s="3070"/>
      <c r="P245" s="3070"/>
      <c r="Q245" s="3070"/>
      <c r="R245" s="3070"/>
      <c r="S245" s="3070"/>
      <c r="T245" s="3070"/>
      <c r="U245" s="3071"/>
      <c r="W245" s="702"/>
      <c r="X245" s="702"/>
    </row>
    <row r="246" spans="2:24" s="1105" customFormat="1" hidden="1">
      <c r="B246" s="3068" t="str">
        <f>Weight!B55</f>
        <v>4.2.1</v>
      </c>
      <c r="C246" s="2297" t="str">
        <f>Weight!C55</f>
        <v>Ventilation Rate</v>
      </c>
      <c r="D246" s="2297"/>
      <c r="E246" s="2297"/>
      <c r="F246" s="2297"/>
      <c r="G246" s="3069"/>
      <c r="H246" s="3069"/>
      <c r="I246" s="3069"/>
      <c r="J246" s="3069"/>
      <c r="K246" s="3069"/>
      <c r="L246" s="3069"/>
      <c r="M246" s="3069"/>
      <c r="N246" s="3069"/>
      <c r="O246" s="3069"/>
      <c r="P246" s="3069"/>
      <c r="Q246" s="3069"/>
      <c r="R246" s="3069"/>
      <c r="S246" s="3069"/>
      <c r="T246" s="3069"/>
      <c r="U246" s="3072"/>
      <c r="W246" s="702"/>
      <c r="X246" s="702"/>
    </row>
    <row r="247" spans="2:24" s="1105" customFormat="1" ht="15" hidden="1">
      <c r="B247" s="3068" t="str">
        <f>Weight!B56</f>
        <v>4.2.2</v>
      </c>
      <c r="C247" s="2297" t="str">
        <f>Weight!C56</f>
        <v>Natural Ventilation Performance</v>
      </c>
      <c r="D247" s="2297"/>
      <c r="E247" s="2297"/>
      <c r="F247" s="2297"/>
      <c r="G247" s="3070"/>
      <c r="H247" s="3070"/>
      <c r="I247" s="3070"/>
      <c r="J247" s="3070"/>
      <c r="K247" s="3070"/>
      <c r="L247" s="3070"/>
      <c r="M247" s="3070"/>
      <c r="N247" s="3070"/>
      <c r="O247" s="3070"/>
      <c r="P247" s="3070"/>
      <c r="Q247" s="3070"/>
      <c r="R247" s="3070"/>
      <c r="S247" s="3070"/>
      <c r="T247" s="3070"/>
      <c r="U247" s="3071"/>
      <c r="W247" s="702"/>
      <c r="X247" s="702"/>
    </row>
    <row r="248" spans="2:24" s="1105" customFormat="1" ht="15" hidden="1">
      <c r="B248" s="3068" t="str">
        <f>Weight!B57</f>
        <v>4.2.3</v>
      </c>
      <c r="C248" s="2297" t="str">
        <f>Weight!C57</f>
        <v>Consideration for Outside Air Intake</v>
      </c>
      <c r="D248" s="2297"/>
      <c r="E248" s="2297"/>
      <c r="F248" s="2297"/>
      <c r="G248" s="3070"/>
      <c r="H248" s="3070"/>
      <c r="I248" s="3070"/>
      <c r="J248" s="3070"/>
      <c r="K248" s="3070"/>
      <c r="L248" s="3070"/>
      <c r="M248" s="3070"/>
      <c r="N248" s="3070"/>
      <c r="O248" s="3070"/>
      <c r="P248" s="3070"/>
      <c r="Q248" s="3070"/>
      <c r="R248" s="3070"/>
      <c r="S248" s="3070"/>
      <c r="T248" s="3070"/>
      <c r="U248" s="3071"/>
      <c r="W248" s="702"/>
      <c r="X248" s="702"/>
    </row>
    <row r="249" spans="2:24" s="1105" customFormat="1" ht="15" hidden="1">
      <c r="B249" s="3068" t="str">
        <f>Weight!B58</f>
        <v>4.2.4</v>
      </c>
      <c r="C249" s="2297" t="str">
        <f>Weight!C58</f>
        <v>Air Supply Planning</v>
      </c>
      <c r="D249" s="2297"/>
      <c r="E249" s="2297"/>
      <c r="F249" s="2297"/>
      <c r="G249" s="3070"/>
      <c r="H249" s="3070"/>
      <c r="I249" s="3070"/>
      <c r="J249" s="3070"/>
      <c r="K249" s="3070"/>
      <c r="L249" s="3070"/>
      <c r="M249" s="3070"/>
      <c r="N249" s="3070"/>
      <c r="O249" s="3070"/>
      <c r="P249" s="3070"/>
      <c r="Q249" s="3070"/>
      <c r="R249" s="3070"/>
      <c r="S249" s="3070"/>
      <c r="T249" s="3070"/>
      <c r="U249" s="3071"/>
      <c r="W249" s="702"/>
      <c r="X249" s="702"/>
    </row>
    <row r="250" spans="2:24" s="1105" customFormat="1" ht="15" hidden="1">
      <c r="B250" s="3068">
        <f>Weight!B59</f>
        <v>4.3</v>
      </c>
      <c r="C250" s="2297" t="str">
        <f>Weight!C59</f>
        <v>Operation Plan</v>
      </c>
      <c r="D250" s="2297"/>
      <c r="E250" s="2297"/>
      <c r="F250" s="2297"/>
      <c r="G250" s="3070"/>
      <c r="H250" s="3070"/>
      <c r="I250" s="3070"/>
      <c r="J250" s="3070"/>
      <c r="K250" s="3070"/>
      <c r="L250" s="3070"/>
      <c r="M250" s="3070"/>
      <c r="N250" s="3070"/>
      <c r="O250" s="3070"/>
      <c r="P250" s="3070"/>
      <c r="Q250" s="3070"/>
      <c r="R250" s="3070"/>
      <c r="S250" s="3070"/>
      <c r="T250" s="3070"/>
      <c r="U250" s="3071"/>
      <c r="W250" s="702"/>
      <c r="X250" s="702"/>
    </row>
    <row r="251" spans="2:24" s="1105" customFormat="1" ht="15" hidden="1">
      <c r="B251" s="3068" t="str">
        <f>Weight!B60</f>
        <v>4.3.1</v>
      </c>
      <c r="C251" s="2297" t="str">
        <f>Weight!C60</f>
        <v>CO2 Monitoring</v>
      </c>
      <c r="D251" s="2297"/>
      <c r="E251" s="2297"/>
      <c r="F251" s="2297"/>
      <c r="G251" s="3070"/>
      <c r="H251" s="3070"/>
      <c r="I251" s="3070"/>
      <c r="J251" s="3070"/>
      <c r="K251" s="3070"/>
      <c r="L251" s="3070"/>
      <c r="M251" s="3070"/>
      <c r="N251" s="3070"/>
      <c r="O251" s="3070"/>
      <c r="P251" s="3070"/>
      <c r="Q251" s="3070"/>
      <c r="R251" s="3070"/>
      <c r="S251" s="3070"/>
      <c r="T251" s="3070"/>
      <c r="U251" s="3071"/>
      <c r="W251" s="702"/>
      <c r="X251" s="702"/>
    </row>
    <row r="252" spans="2:24" s="1105" customFormat="1" ht="15" hidden="1">
      <c r="B252" s="3068" t="str">
        <f>Weight!B61</f>
        <v>4.3.2</v>
      </c>
      <c r="C252" s="2297" t="str">
        <f>Weight!C61</f>
        <v>Control of Smoking</v>
      </c>
      <c r="D252" s="2297"/>
      <c r="E252" s="2297"/>
      <c r="F252" s="2297"/>
      <c r="G252" s="3073"/>
      <c r="H252" s="3073"/>
      <c r="I252" s="3073"/>
      <c r="J252" s="3073"/>
      <c r="K252" s="3073"/>
      <c r="L252" s="3073"/>
      <c r="M252" s="3073"/>
      <c r="N252" s="3073"/>
      <c r="O252" s="3073"/>
      <c r="P252" s="3073"/>
      <c r="Q252" s="3073"/>
      <c r="R252" s="3073"/>
      <c r="S252" s="3073"/>
      <c r="T252" s="3073"/>
      <c r="U252" s="3074"/>
      <c r="W252" s="702"/>
      <c r="X252" s="702"/>
    </row>
    <row r="253" spans="2:24" s="1105" customFormat="1" ht="15">
      <c r="B253" s="3144" t="str">
        <f>Weight!B62</f>
        <v>Q2</v>
      </c>
      <c r="C253" s="3075" t="str">
        <f>Weight!C62</f>
        <v>Quality of Service</v>
      </c>
      <c r="D253" s="3075"/>
      <c r="E253" s="3075"/>
      <c r="F253" s="3075"/>
      <c r="G253" s="3075"/>
      <c r="H253" s="3076"/>
      <c r="I253" s="3077"/>
      <c r="J253" s="3077"/>
      <c r="K253" s="3077"/>
      <c r="L253" s="3077"/>
      <c r="M253" s="3077"/>
      <c r="N253" s="3077"/>
      <c r="O253" s="3077"/>
      <c r="P253" s="3078"/>
      <c r="Q253" s="3078"/>
      <c r="R253" s="1271"/>
      <c r="S253" s="1272"/>
      <c r="T253" s="1271"/>
      <c r="U253" s="1273"/>
    </row>
    <row r="254" spans="2:24" s="1105" customFormat="1" ht="15" hidden="1">
      <c r="B254" s="3145">
        <f>Weight!B63</f>
        <v>1</v>
      </c>
      <c r="C254" s="2296" t="str">
        <f>Weight!C63</f>
        <v>Service Ability</v>
      </c>
      <c r="D254" s="2296"/>
      <c r="E254" s="2296"/>
      <c r="F254" s="2296"/>
      <c r="G254" s="3079"/>
      <c r="H254" s="3079"/>
      <c r="I254" s="3079"/>
      <c r="J254" s="3079"/>
      <c r="K254" s="3079"/>
      <c r="L254" s="3079"/>
      <c r="M254" s="3079"/>
      <c r="N254" s="3079"/>
      <c r="O254" s="3079"/>
      <c r="P254" s="3079"/>
      <c r="Q254" s="2297"/>
      <c r="R254" s="2297"/>
      <c r="S254" s="2297"/>
      <c r="T254" s="2297"/>
      <c r="U254" s="3080"/>
    </row>
    <row r="255" spans="2:24" s="1105" customFormat="1" hidden="1">
      <c r="B255" s="3145">
        <f>Weight!B64</f>
        <v>1.1000000000000001</v>
      </c>
      <c r="C255" s="2296" t="str">
        <f>Weight!C64</f>
        <v xml:space="preserve"> Functionality &amp; Usability</v>
      </c>
      <c r="D255" s="2296"/>
      <c r="E255" s="2296"/>
      <c r="F255" s="2296"/>
      <c r="G255" s="3069"/>
      <c r="H255" s="3069"/>
      <c r="I255" s="3069"/>
      <c r="J255" s="3069"/>
      <c r="K255" s="3069"/>
      <c r="L255" s="3069"/>
      <c r="M255" s="3069"/>
      <c r="N255" s="3069"/>
      <c r="O255" s="3069"/>
      <c r="P255" s="3069"/>
      <c r="Q255" s="2297"/>
      <c r="R255" s="2297"/>
      <c r="S255" s="2297"/>
      <c r="T255" s="2297"/>
      <c r="U255" s="3080"/>
    </row>
    <row r="256" spans="2:24" s="1105" customFormat="1" ht="15" hidden="1">
      <c r="B256" s="3145" t="str">
        <f>Weight!B65</f>
        <v>1.1.1</v>
      </c>
      <c r="C256" s="2296" t="str">
        <f>Weight!C65</f>
        <v>Provision of Space &amp; Storage</v>
      </c>
      <c r="D256" s="2296"/>
      <c r="E256" s="2296"/>
      <c r="F256" s="2296"/>
      <c r="G256" s="3070"/>
      <c r="H256" s="3070"/>
      <c r="I256" s="3070"/>
      <c r="J256" s="3070"/>
      <c r="K256" s="3070"/>
      <c r="L256" s="3070"/>
      <c r="M256" s="3070"/>
      <c r="N256" s="3070"/>
      <c r="O256" s="3070"/>
      <c r="P256" s="3070"/>
      <c r="Q256" s="2297"/>
      <c r="R256" s="2297"/>
      <c r="S256" s="2297"/>
      <c r="T256" s="2297"/>
      <c r="U256" s="3080"/>
    </row>
    <row r="257" spans="2:24" s="1105" customFormat="1" ht="15" hidden="1">
      <c r="B257" s="3145" t="str">
        <f>Weight!B66</f>
        <v>1.1.2</v>
      </c>
      <c r="C257" s="2296" t="str">
        <f>Weight!C66</f>
        <v>Use of Advanced Information System</v>
      </c>
      <c r="D257" s="2296"/>
      <c r="E257" s="2296"/>
      <c r="F257" s="2296"/>
      <c r="G257" s="3070"/>
      <c r="H257" s="3070"/>
      <c r="I257" s="3070"/>
      <c r="J257" s="3070"/>
      <c r="K257" s="3070"/>
      <c r="L257" s="3070"/>
      <c r="M257" s="3070"/>
      <c r="N257" s="3070"/>
      <c r="O257" s="3070"/>
      <c r="P257" s="3070"/>
      <c r="Q257" s="2297"/>
      <c r="R257" s="2297"/>
      <c r="S257" s="2297"/>
      <c r="T257" s="2297"/>
      <c r="U257" s="3080"/>
    </row>
    <row r="258" spans="2:24" s="1105" customFormat="1" hidden="1">
      <c r="B258" s="3145" t="str">
        <f>Weight!B67</f>
        <v>1.1.3</v>
      </c>
      <c r="C258" s="2296" t="str">
        <f>Weight!C67</f>
        <v>Barrier-free Planning</v>
      </c>
      <c r="D258" s="2296"/>
      <c r="E258" s="2296"/>
      <c r="F258" s="2296"/>
      <c r="G258" s="3069"/>
      <c r="H258" s="3069"/>
      <c r="I258" s="3069"/>
      <c r="J258" s="3069"/>
      <c r="K258" s="3069"/>
      <c r="L258" s="3069"/>
      <c r="M258" s="3069"/>
      <c r="N258" s="3069"/>
      <c r="O258" s="3069"/>
      <c r="P258" s="3069"/>
      <c r="Q258" s="2297"/>
      <c r="R258" s="2297"/>
      <c r="S258" s="2297"/>
      <c r="T258" s="2297"/>
      <c r="U258" s="3080"/>
    </row>
    <row r="259" spans="2:24" s="1105" customFormat="1" ht="15" hidden="1">
      <c r="B259" s="3145">
        <f>Weight!B68</f>
        <v>1.2</v>
      </c>
      <c r="C259" s="2296" t="str">
        <f>Weight!C68</f>
        <v>Amenity</v>
      </c>
      <c r="D259" s="2296"/>
      <c r="E259" s="2296"/>
      <c r="F259" s="2296"/>
      <c r="G259" s="3070"/>
      <c r="H259" s="3070"/>
      <c r="I259" s="3070"/>
      <c r="J259" s="3070"/>
      <c r="K259" s="3070"/>
      <c r="L259" s="3070"/>
      <c r="M259" s="3070"/>
      <c r="N259" s="3070"/>
      <c r="O259" s="3070"/>
      <c r="P259" s="3070"/>
      <c r="Q259" s="2297"/>
      <c r="R259" s="2297"/>
      <c r="S259" s="2297"/>
      <c r="T259" s="2297"/>
      <c r="U259" s="3080"/>
    </row>
    <row r="260" spans="2:24" s="1105" customFormat="1" ht="15" hidden="1">
      <c r="B260" s="3145" t="str">
        <f>Weight!B69</f>
        <v>1.2.1</v>
      </c>
      <c r="C260" s="2296" t="str">
        <f>Weight!C69</f>
        <v>Perceived Spaciousness &amp; Access to View</v>
      </c>
      <c r="D260" s="2296"/>
      <c r="E260" s="2296"/>
      <c r="F260" s="2296"/>
      <c r="G260" s="3070"/>
      <c r="H260" s="3070"/>
      <c r="I260" s="3070"/>
      <c r="J260" s="3070"/>
      <c r="K260" s="3070"/>
      <c r="L260" s="3070"/>
      <c r="M260" s="3070"/>
      <c r="N260" s="3070"/>
      <c r="O260" s="3070"/>
      <c r="P260" s="3070"/>
      <c r="Q260" s="2297"/>
      <c r="R260" s="2297"/>
      <c r="S260" s="2297"/>
      <c r="T260" s="2297"/>
      <c r="U260" s="3080"/>
    </row>
    <row r="261" spans="2:24" s="1105" customFormat="1" ht="15" hidden="1">
      <c r="B261" s="3145">
        <f>Weight!B70</f>
        <v>0</v>
      </c>
      <c r="C261" s="2296">
        <f>Weight!C70</f>
        <v>0</v>
      </c>
      <c r="D261" s="2296"/>
      <c r="E261" s="2296"/>
      <c r="F261" s="2296"/>
      <c r="G261" s="3070"/>
      <c r="H261" s="3070"/>
      <c r="I261" s="3070"/>
      <c r="J261" s="3070"/>
      <c r="K261" s="3070"/>
      <c r="L261" s="3070"/>
      <c r="M261" s="3070"/>
      <c r="N261" s="3070"/>
      <c r="O261" s="3070"/>
      <c r="P261" s="3070"/>
      <c r="Q261" s="2297"/>
      <c r="R261" s="2297"/>
      <c r="S261" s="2297"/>
      <c r="T261" s="2297"/>
      <c r="U261" s="3080"/>
    </row>
    <row r="262" spans="2:24" s="1105" customFormat="1" ht="15" hidden="1">
      <c r="B262" s="3145" t="str">
        <f>Weight!B71</f>
        <v>1.2.2</v>
      </c>
      <c r="C262" s="2296" t="str">
        <f>Weight!C71</f>
        <v>Space for Refreshment</v>
      </c>
      <c r="D262" s="2296"/>
      <c r="E262" s="2296"/>
      <c r="F262" s="2296"/>
      <c r="G262" s="3073"/>
      <c r="H262" s="3073"/>
      <c r="I262" s="3073"/>
      <c r="J262" s="3073"/>
      <c r="K262" s="3073"/>
      <c r="L262" s="3073"/>
      <c r="M262" s="3073"/>
      <c r="N262" s="3073"/>
      <c r="O262" s="3073"/>
      <c r="P262" s="3073"/>
      <c r="Q262" s="2297"/>
      <c r="R262" s="2297"/>
      <c r="S262" s="2297"/>
      <c r="T262" s="2297"/>
      <c r="U262" s="3080"/>
    </row>
    <row r="263" spans="2:24" s="1105" customFormat="1" ht="15">
      <c r="B263" s="3145" t="str">
        <f>Weight!B72</f>
        <v>1.2.3</v>
      </c>
      <c r="C263" s="2296" t="str">
        <f>Weight!C72</f>
        <v>Décor Planning</v>
      </c>
      <c r="D263" s="2296"/>
      <c r="E263" s="2296"/>
      <c r="F263" s="2296"/>
      <c r="G263" s="3070">
        <f>'Q2'!G81</f>
        <v>2</v>
      </c>
      <c r="H263" s="3070">
        <f>'Q2'!L81</f>
        <v>0</v>
      </c>
      <c r="I263" s="3070" t="str">
        <f>'Q2'!G77</f>
        <v>Yes</v>
      </c>
      <c r="J263" s="3070" t="str">
        <f>'Q2'!G78</f>
        <v>　</v>
      </c>
      <c r="K263" s="3070" t="str">
        <f>'Q2'!G79</f>
        <v>Yes</v>
      </c>
      <c r="L263" s="3070">
        <f>'Q2'!G80</f>
        <v>0</v>
      </c>
      <c r="M263" s="3070">
        <f>'Q2'!L77</f>
        <v>0</v>
      </c>
      <c r="N263" s="3070">
        <f>'Q2'!L78</f>
        <v>0</v>
      </c>
      <c r="O263" s="3070">
        <f>'Q2'!L79</f>
        <v>0</v>
      </c>
      <c r="P263" s="3070">
        <f>'Q2'!L80</f>
        <v>0</v>
      </c>
      <c r="Q263" s="3081"/>
      <c r="R263" s="3081"/>
      <c r="S263" s="3081"/>
      <c r="T263" s="3081"/>
      <c r="U263" s="3082"/>
    </row>
    <row r="264" spans="2:24" s="1105" customFormat="1" ht="15" hidden="1">
      <c r="B264" s="3145">
        <f>Weight!B73</f>
        <v>0</v>
      </c>
      <c r="C264" s="2296">
        <f>Weight!C73</f>
        <v>0</v>
      </c>
      <c r="D264" s="2296"/>
      <c r="E264" s="2296"/>
      <c r="F264" s="2296"/>
      <c r="G264" s="3070"/>
      <c r="H264" s="3070"/>
      <c r="I264" s="3070"/>
      <c r="J264" s="3070"/>
      <c r="K264" s="3070"/>
      <c r="L264" s="3070"/>
      <c r="M264" s="3070"/>
      <c r="N264" s="3070"/>
      <c r="O264" s="3070"/>
      <c r="P264" s="3070"/>
      <c r="Q264" s="3070"/>
      <c r="R264" s="3070"/>
      <c r="S264" s="3070"/>
      <c r="T264" s="3070"/>
      <c r="U264" s="3072"/>
      <c r="W264" s="702"/>
      <c r="X264" s="702"/>
    </row>
    <row r="265" spans="2:24" s="1105" customFormat="1" ht="15" hidden="1">
      <c r="B265" s="3145">
        <f>Weight!B74</f>
        <v>1.3</v>
      </c>
      <c r="C265" s="2296" t="str">
        <f>Weight!C74</f>
        <v>Maintenance Management</v>
      </c>
      <c r="D265" s="2296"/>
      <c r="E265" s="2296"/>
      <c r="F265" s="2296"/>
      <c r="G265" s="3070"/>
      <c r="H265" s="3070"/>
      <c r="I265" s="3070"/>
      <c r="J265" s="3070"/>
      <c r="K265" s="3070"/>
      <c r="L265" s="3070"/>
      <c r="M265" s="3070"/>
      <c r="N265" s="3070"/>
      <c r="O265" s="3070"/>
      <c r="P265" s="3070"/>
      <c r="Q265" s="3070"/>
      <c r="R265" s="3070"/>
      <c r="S265" s="3070"/>
      <c r="T265" s="3070"/>
      <c r="U265" s="3072"/>
      <c r="W265" s="702"/>
      <c r="X265" s="702"/>
    </row>
    <row r="266" spans="2:24" s="1105" customFormat="1" ht="15">
      <c r="B266" s="3145" t="str">
        <f>Weight!B75</f>
        <v>1.3.1</v>
      </c>
      <c r="C266" s="3147" t="str">
        <f>Weight!C75</f>
        <v>Design that Considers Maintenance Management</v>
      </c>
      <c r="D266" s="2296"/>
      <c r="E266" s="2296"/>
      <c r="F266" s="2296"/>
      <c r="G266" s="3070">
        <f>'Q2'!G108</f>
        <v>4</v>
      </c>
      <c r="H266" s="3081"/>
      <c r="I266" s="3070" t="str">
        <f>'Q2'!G95</f>
        <v>Yes</v>
      </c>
      <c r="J266" s="3070">
        <f>'Q2'!G96</f>
        <v>0</v>
      </c>
      <c r="K266" s="3070">
        <f>'Q2'!G97</f>
        <v>0</v>
      </c>
      <c r="L266" s="3070">
        <f>'Q2'!G98</f>
        <v>0</v>
      </c>
      <c r="M266" s="3070">
        <f>'Q2'!G99</f>
        <v>0</v>
      </c>
      <c r="N266" s="3070">
        <f>'Q2'!G100</f>
        <v>0</v>
      </c>
      <c r="O266" s="3070" t="str">
        <f>'Q2'!G101</f>
        <v>Yes</v>
      </c>
      <c r="P266" s="3070" t="str">
        <f>'Q2'!G102</f>
        <v>Yes</v>
      </c>
      <c r="Q266" s="3070">
        <f>'Q2'!G103</f>
        <v>0</v>
      </c>
      <c r="R266" s="3070" t="str">
        <f>'Q2'!G104</f>
        <v>Yes</v>
      </c>
      <c r="S266" s="3070">
        <f>'Q2'!G105</f>
        <v>0</v>
      </c>
      <c r="T266" s="3083">
        <f>'Q2'!G106</f>
        <v>0</v>
      </c>
      <c r="U266" s="3084">
        <f>'Q2'!G107</f>
        <v>0</v>
      </c>
      <c r="W266" s="702"/>
      <c r="X266" s="702"/>
    </row>
    <row r="267" spans="2:24" s="1105" customFormat="1" ht="15">
      <c r="B267" s="3145" t="str">
        <f>Weight!B76</f>
        <v>1.3.2</v>
      </c>
      <c r="C267" s="3147" t="str">
        <f>Weight!C76</f>
        <v>Securing Maintenance Management Functions</v>
      </c>
      <c r="D267" s="2296"/>
      <c r="E267" s="2296"/>
      <c r="F267" s="2296"/>
      <c r="G267" s="3070">
        <f>'Q2'!G154</f>
        <v>6</v>
      </c>
      <c r="H267" s="3081"/>
      <c r="I267" s="3070">
        <f>'Q2'!G141</f>
        <v>0</v>
      </c>
      <c r="J267" s="3070" t="str">
        <f>'Q2'!G142</f>
        <v>Yes</v>
      </c>
      <c r="K267" s="3070" t="str">
        <f>'Q2'!G143</f>
        <v>Yes</v>
      </c>
      <c r="L267" s="3070" t="str">
        <f>'Q2'!G144</f>
        <v>Yes</v>
      </c>
      <c r="M267" s="3070" t="str">
        <f>'Q2'!G145</f>
        <v>Yes</v>
      </c>
      <c r="N267" s="3070">
        <f>'Q2'!G146</f>
        <v>0</v>
      </c>
      <c r="O267" s="3070">
        <f>'Q2'!G147</f>
        <v>0</v>
      </c>
      <c r="P267" s="3070" t="str">
        <f>'Q2'!G148</f>
        <v>Yes</v>
      </c>
      <c r="Q267" s="3070" t="str">
        <f>'Q2'!G149</f>
        <v>Yes</v>
      </c>
      <c r="R267" s="3070">
        <f>'Q2'!G150</f>
        <v>0</v>
      </c>
      <c r="S267" s="3070">
        <f>'Q2'!G151</f>
        <v>0</v>
      </c>
      <c r="T267" s="3070">
        <f>'Q2'!G152</f>
        <v>0</v>
      </c>
      <c r="U267" s="3071">
        <f>'Q2'!G153</f>
        <v>0</v>
      </c>
      <c r="W267" s="702"/>
      <c r="X267" s="702"/>
    </row>
    <row r="268" spans="2:24" s="1105" customFormat="1" ht="15" hidden="1">
      <c r="B268" s="3145" t="str">
        <f>Weight!B77</f>
        <v>1.3.3</v>
      </c>
      <c r="C268" s="2296" t="str">
        <f>Weight!C77</f>
        <v>Sanitation management operations</v>
      </c>
      <c r="D268" s="2296"/>
      <c r="E268" s="2296"/>
      <c r="F268" s="2296"/>
      <c r="G268" s="3070">
        <f>'Q2'!G202</f>
        <v>0</v>
      </c>
      <c r="H268" s="3081"/>
      <c r="I268" s="3070">
        <f>'Q2'!G193</f>
        <v>0</v>
      </c>
      <c r="J268" s="3070">
        <f>'Q2'!G194</f>
        <v>0</v>
      </c>
      <c r="K268" s="3070">
        <f>'Q2'!G195</f>
        <v>0</v>
      </c>
      <c r="L268" s="3070">
        <f>'Q2'!G196</f>
        <v>0</v>
      </c>
      <c r="M268" s="3070">
        <f>'Q2'!G197</f>
        <v>0</v>
      </c>
      <c r="N268" s="3070">
        <f>'Q2'!G198</f>
        <v>0</v>
      </c>
      <c r="O268" s="3070">
        <f>'Q2'!G199</f>
        <v>0</v>
      </c>
      <c r="P268" s="3070">
        <f>'Q2'!G200</f>
        <v>0</v>
      </c>
      <c r="Q268" s="3070">
        <f>'Q2'!G201</f>
        <v>0</v>
      </c>
      <c r="R268" s="3070"/>
      <c r="S268" s="3070"/>
      <c r="T268" s="3070"/>
      <c r="U268" s="3071"/>
      <c r="W268" s="702"/>
      <c r="X268" s="702"/>
    </row>
    <row r="269" spans="2:24" s="1105" customFormat="1" ht="15" hidden="1">
      <c r="B269" s="3145">
        <f>Weight!B78</f>
        <v>2</v>
      </c>
      <c r="C269" s="2296" t="str">
        <f>Weight!C78</f>
        <v>Durability &amp; Reliability</v>
      </c>
      <c r="D269" s="2296"/>
      <c r="E269" s="2296"/>
      <c r="F269" s="2296"/>
      <c r="G269" s="3070"/>
      <c r="H269" s="3081"/>
      <c r="I269" s="3069"/>
      <c r="J269" s="3070"/>
      <c r="K269" s="3070"/>
      <c r="L269" s="3069"/>
      <c r="M269" s="3070"/>
      <c r="N269" s="3070"/>
      <c r="O269" s="3070"/>
      <c r="P269" s="3069"/>
      <c r="Q269" s="3069"/>
      <c r="R269" s="3070"/>
      <c r="S269" s="3070"/>
      <c r="T269" s="3070"/>
      <c r="U269" s="3071"/>
      <c r="W269" s="702"/>
      <c r="X269" s="702"/>
    </row>
    <row r="270" spans="2:24" s="1105" customFormat="1" ht="15" hidden="1">
      <c r="B270" s="3145">
        <f>Weight!B79</f>
        <v>2.1</v>
      </c>
      <c r="C270" s="2296" t="str">
        <f>Weight!C79</f>
        <v>Earthquake Resistance, Seismic Isolation, Seismic Control, &amp; Vibration Control</v>
      </c>
      <c r="D270" s="2296"/>
      <c r="E270" s="2296"/>
      <c r="F270" s="2296"/>
      <c r="G270" s="3070"/>
      <c r="H270" s="3081"/>
      <c r="I270" s="3069"/>
      <c r="J270" s="3070"/>
      <c r="K270" s="3070"/>
      <c r="L270" s="3070"/>
      <c r="M270" s="3070"/>
      <c r="N270" s="3070"/>
      <c r="O270" s="3070"/>
      <c r="P270" s="3070"/>
      <c r="Q270" s="3069"/>
      <c r="R270" s="3070"/>
      <c r="S270" s="3070"/>
      <c r="T270" s="3070"/>
      <c r="U270" s="3071"/>
      <c r="W270" s="702"/>
      <c r="X270" s="702"/>
    </row>
    <row r="271" spans="2:24" s="1105" customFormat="1" ht="15" hidden="1">
      <c r="B271" s="3145" t="str">
        <f>Weight!B80</f>
        <v>2.1.1</v>
      </c>
      <c r="C271" s="2296" t="str">
        <f>Weight!C80</f>
        <v>Earthquake-resistance</v>
      </c>
      <c r="D271" s="2296"/>
      <c r="E271" s="2296"/>
      <c r="F271" s="2296"/>
      <c r="G271" s="3070"/>
      <c r="H271" s="3081"/>
      <c r="I271" s="3069"/>
      <c r="J271" s="3070"/>
      <c r="K271" s="3070"/>
      <c r="L271" s="3070"/>
      <c r="M271" s="3070"/>
      <c r="N271" s="3070"/>
      <c r="O271" s="3070"/>
      <c r="P271" s="3070"/>
      <c r="Q271" s="3069"/>
      <c r="R271" s="3070"/>
      <c r="S271" s="3070"/>
      <c r="T271" s="3070"/>
      <c r="U271" s="3071"/>
      <c r="W271" s="702"/>
      <c r="X271" s="702"/>
    </row>
    <row r="272" spans="2:24" s="1105" customFormat="1" ht="15" hidden="1">
      <c r="B272" s="3145" t="str">
        <f>Weight!B81</f>
        <v>2.1.2</v>
      </c>
      <c r="C272" s="2296" t="str">
        <f>Weight!C81</f>
        <v>Seismic Isolation, Seismic &amp; Vibration Control</v>
      </c>
      <c r="D272" s="2296"/>
      <c r="E272" s="2296"/>
      <c r="F272" s="2296"/>
      <c r="G272" s="3070"/>
      <c r="H272" s="3081"/>
      <c r="I272" s="3069"/>
      <c r="J272" s="3070"/>
      <c r="K272" s="3070"/>
      <c r="L272" s="3070"/>
      <c r="M272" s="3070"/>
      <c r="N272" s="3070"/>
      <c r="O272" s="3070"/>
      <c r="P272" s="3070"/>
      <c r="Q272" s="3069"/>
      <c r="R272" s="3070"/>
      <c r="S272" s="3070"/>
      <c r="T272" s="3070"/>
      <c r="U272" s="3071"/>
      <c r="W272" s="702"/>
      <c r="X272" s="702"/>
    </row>
    <row r="273" spans="2:24" s="1105" customFormat="1" ht="15" hidden="1">
      <c r="B273" s="3145">
        <f>Weight!B82</f>
        <v>2.2000000000000002</v>
      </c>
      <c r="C273" s="2296" t="str">
        <f>Weight!C82</f>
        <v>Service Life of Components</v>
      </c>
      <c r="D273" s="2296"/>
      <c r="E273" s="2296"/>
      <c r="F273" s="2296"/>
      <c r="G273" s="3070"/>
      <c r="H273" s="3081"/>
      <c r="I273" s="3069"/>
      <c r="J273" s="3070"/>
      <c r="K273" s="3070"/>
      <c r="L273" s="3070"/>
      <c r="M273" s="3070"/>
      <c r="N273" s="3070"/>
      <c r="O273" s="3070"/>
      <c r="P273" s="3070"/>
      <c r="Q273" s="3069"/>
      <c r="R273" s="3070"/>
      <c r="S273" s="3070"/>
      <c r="T273" s="3070"/>
      <c r="U273" s="3071"/>
      <c r="W273" s="702"/>
      <c r="X273" s="702"/>
    </row>
    <row r="274" spans="2:24" s="1105" customFormat="1" ht="15" hidden="1">
      <c r="B274" s="3145" t="str">
        <f>Weight!B83</f>
        <v>2.2.1</v>
      </c>
      <c r="C274" s="2296" t="str">
        <f>Weight!C83</f>
        <v>Service Life of Structural Materials</v>
      </c>
      <c r="D274" s="2296"/>
      <c r="E274" s="2296"/>
      <c r="F274" s="2296"/>
      <c r="G274" s="3070"/>
      <c r="H274" s="3081"/>
      <c r="I274" s="3069"/>
      <c r="J274" s="3070"/>
      <c r="K274" s="3070"/>
      <c r="L274" s="3070"/>
      <c r="M274" s="3070"/>
      <c r="N274" s="3070"/>
      <c r="O274" s="3070"/>
      <c r="P274" s="3070"/>
      <c r="Q274" s="3069"/>
      <c r="R274" s="3070"/>
      <c r="S274" s="3070"/>
      <c r="T274" s="3070"/>
      <c r="U274" s="3071"/>
      <c r="W274" s="702"/>
      <c r="X274" s="702"/>
    </row>
    <row r="275" spans="2:24" s="1105" customFormat="1" ht="15" hidden="1">
      <c r="B275" s="3145" t="str">
        <f>Weight!B84</f>
        <v>2.2.2</v>
      </c>
      <c r="C275" s="2296" t="str">
        <f>Weight!C84</f>
        <v>Necessary Refurbishment Interval for Exterior Finishes</v>
      </c>
      <c r="D275" s="2296"/>
      <c r="E275" s="2296"/>
      <c r="F275" s="2296"/>
      <c r="G275" s="3070"/>
      <c r="H275" s="3081"/>
      <c r="I275" s="3069"/>
      <c r="J275" s="3070"/>
      <c r="K275" s="3070"/>
      <c r="L275" s="3070"/>
      <c r="M275" s="3070"/>
      <c r="N275" s="3070"/>
      <c r="O275" s="3070"/>
      <c r="P275" s="3070"/>
      <c r="Q275" s="3070"/>
      <c r="R275" s="3070"/>
      <c r="S275" s="3070"/>
      <c r="T275" s="3070"/>
      <c r="U275" s="3071"/>
      <c r="W275" s="702"/>
      <c r="X275" s="702"/>
    </row>
    <row r="276" spans="2:24" s="1105" customFormat="1" ht="15" hidden="1">
      <c r="B276" s="3145" t="str">
        <f>Weight!B85</f>
        <v>2.2.3</v>
      </c>
      <c r="C276" s="2296" t="str">
        <f>Weight!C85</f>
        <v>Necessary Renewal Interval for Main Interior Finishes</v>
      </c>
      <c r="D276" s="2296"/>
      <c r="E276" s="2296"/>
      <c r="F276" s="2296"/>
      <c r="G276" s="3070"/>
      <c r="H276" s="3081"/>
      <c r="I276" s="3069"/>
      <c r="J276" s="3070"/>
      <c r="K276" s="3070"/>
      <c r="L276" s="3070"/>
      <c r="M276" s="3070"/>
      <c r="N276" s="3070"/>
      <c r="O276" s="3070"/>
      <c r="P276" s="3070"/>
      <c r="Q276" s="3070"/>
      <c r="R276" s="3070"/>
      <c r="S276" s="3070"/>
      <c r="T276" s="3070"/>
      <c r="U276" s="3071"/>
      <c r="W276" s="702"/>
      <c r="X276" s="702"/>
    </row>
    <row r="277" spans="2:24" s="1105" customFormat="1" ht="15" hidden="1">
      <c r="B277" s="3145" t="str">
        <f>Weight!B86</f>
        <v>2.2.4</v>
      </c>
      <c r="C277" s="2296" t="str">
        <f>Weight!C86</f>
        <v>Necessary Renewal Interval for Air Conditioning and Ventilation Ducts</v>
      </c>
      <c r="D277" s="2296"/>
      <c r="E277" s="2296"/>
      <c r="F277" s="2296"/>
      <c r="G277" s="3070"/>
      <c r="H277" s="3081"/>
      <c r="I277" s="3069"/>
      <c r="J277" s="3070"/>
      <c r="K277" s="3070"/>
      <c r="L277" s="3070"/>
      <c r="M277" s="3070"/>
      <c r="N277" s="3070"/>
      <c r="O277" s="3070"/>
      <c r="P277" s="3070"/>
      <c r="Q277" s="3070"/>
      <c r="R277" s="3070"/>
      <c r="S277" s="3070"/>
      <c r="T277" s="3070"/>
      <c r="U277" s="3071"/>
      <c r="W277" s="702"/>
      <c r="X277" s="702"/>
    </row>
    <row r="278" spans="2:24" s="1105" customFormat="1" ht="15" hidden="1">
      <c r="B278" s="3145" t="str">
        <f>Weight!B87</f>
        <v>2.2.5</v>
      </c>
      <c r="C278" s="2296" t="str">
        <f>Weight!C87</f>
        <v>Necessary Renewal Interval for HVAC and Water Supply and Drainage Pipes</v>
      </c>
      <c r="D278" s="2296"/>
      <c r="E278" s="2296"/>
      <c r="F278" s="2296"/>
      <c r="G278" s="3070"/>
      <c r="H278" s="3081"/>
      <c r="I278" s="3070"/>
      <c r="J278" s="3070"/>
      <c r="K278" s="3070"/>
      <c r="L278" s="3070"/>
      <c r="M278" s="3070"/>
      <c r="N278" s="3070"/>
      <c r="O278" s="3070"/>
      <c r="P278" s="3070"/>
      <c r="Q278" s="3070"/>
      <c r="R278" s="3070"/>
      <c r="S278" s="3070"/>
      <c r="T278" s="3070"/>
      <c r="U278" s="3071"/>
      <c r="W278" s="702"/>
      <c r="X278" s="702"/>
    </row>
    <row r="279" spans="2:24" s="1105" customFormat="1" ht="15" hidden="1">
      <c r="B279" s="3145" t="str">
        <f>Weight!B88</f>
        <v>2.2.6</v>
      </c>
      <c r="C279" s="2296" t="str">
        <f>Weight!C88</f>
        <v>Necessary Replacement Interval for Major Equipment and Services</v>
      </c>
      <c r="D279" s="2296"/>
      <c r="E279" s="2296"/>
      <c r="F279" s="2296"/>
      <c r="G279" s="3070"/>
      <c r="H279" s="3081"/>
      <c r="I279" s="3070"/>
      <c r="J279" s="3070"/>
      <c r="K279" s="3070"/>
      <c r="L279" s="3070"/>
      <c r="M279" s="3070"/>
      <c r="N279" s="3070"/>
      <c r="O279" s="3070"/>
      <c r="P279" s="3070"/>
      <c r="Q279" s="3070"/>
      <c r="R279" s="3070"/>
      <c r="S279" s="3070"/>
      <c r="T279" s="3070"/>
      <c r="U279" s="3071"/>
      <c r="W279" s="702"/>
      <c r="X279" s="702"/>
    </row>
    <row r="280" spans="2:24" s="1105" customFormat="1" ht="15" hidden="1">
      <c r="B280" s="3145">
        <f>Weight!B89</f>
        <v>2.2999999999999998</v>
      </c>
      <c r="C280" s="2296" t="str">
        <f>Weight!C89</f>
        <v xml:space="preserve"> Appropriate Renewal</v>
      </c>
      <c r="D280" s="2296"/>
      <c r="E280" s="2296"/>
      <c r="F280" s="2296"/>
      <c r="G280" s="3070"/>
      <c r="H280" s="3081"/>
      <c r="I280" s="3070"/>
      <c r="J280" s="3070"/>
      <c r="K280" s="3070"/>
      <c r="L280" s="3070"/>
      <c r="M280" s="3070"/>
      <c r="N280" s="3070"/>
      <c r="O280" s="3070"/>
      <c r="P280" s="3070"/>
      <c r="Q280" s="3070"/>
      <c r="R280" s="3070"/>
      <c r="S280" s="3070"/>
      <c r="T280" s="3070"/>
      <c r="U280" s="3071"/>
      <c r="W280" s="702"/>
      <c r="X280" s="702"/>
    </row>
    <row r="281" spans="2:24" s="1105" customFormat="1" ht="15" hidden="1">
      <c r="B281" s="3145" t="str">
        <f>Weight!B90</f>
        <v>2.3.1</v>
      </c>
      <c r="C281" s="2296">
        <f>Weight!C90</f>
        <v>0</v>
      </c>
      <c r="D281" s="2296"/>
      <c r="E281" s="2296"/>
      <c r="F281" s="2296"/>
      <c r="G281" s="3070"/>
      <c r="H281" s="3081"/>
      <c r="I281" s="3070"/>
      <c r="J281" s="3070"/>
      <c r="K281" s="3070"/>
      <c r="L281" s="3070"/>
      <c r="M281" s="3070"/>
      <c r="N281" s="3070"/>
      <c r="O281" s="3070"/>
      <c r="P281" s="3070"/>
      <c r="Q281" s="3070"/>
      <c r="R281" s="3070"/>
      <c r="S281" s="3070"/>
      <c r="T281" s="3070"/>
      <c r="U281" s="3071"/>
      <c r="W281" s="702"/>
      <c r="X281" s="702"/>
    </row>
    <row r="282" spans="2:24" s="1105" customFormat="1" ht="15" hidden="1">
      <c r="B282" s="3145" t="str">
        <f>Weight!B91</f>
        <v>2.3.2</v>
      </c>
      <c r="C282" s="2296">
        <f>Weight!C91</f>
        <v>0</v>
      </c>
      <c r="D282" s="2296"/>
      <c r="E282" s="2296"/>
      <c r="F282" s="2296"/>
      <c r="G282" s="3070"/>
      <c r="H282" s="3081"/>
      <c r="I282" s="3070"/>
      <c r="J282" s="3070"/>
      <c r="K282" s="3070"/>
      <c r="L282" s="3070"/>
      <c r="M282" s="3070"/>
      <c r="N282" s="3070"/>
      <c r="O282" s="3070"/>
      <c r="P282" s="3070"/>
      <c r="Q282" s="3070"/>
      <c r="R282" s="3070"/>
      <c r="S282" s="3070"/>
      <c r="T282" s="3070"/>
      <c r="U282" s="3071"/>
      <c r="W282" s="702"/>
      <c r="X282" s="702"/>
    </row>
    <row r="283" spans="2:24" s="1105" customFormat="1" ht="15" hidden="1">
      <c r="B283" s="3145" t="str">
        <f>Weight!B92</f>
        <v>2.3.3</v>
      </c>
      <c r="C283" s="2296">
        <f>Weight!C92</f>
        <v>0</v>
      </c>
      <c r="D283" s="2296"/>
      <c r="E283" s="2296"/>
      <c r="F283" s="2296"/>
      <c r="G283" s="3070"/>
      <c r="H283" s="3081"/>
      <c r="I283" s="3070"/>
      <c r="J283" s="3070"/>
      <c r="K283" s="3070"/>
      <c r="L283" s="3070"/>
      <c r="M283" s="3070"/>
      <c r="N283" s="3070"/>
      <c r="O283" s="3070"/>
      <c r="P283" s="3070"/>
      <c r="Q283" s="3070"/>
      <c r="R283" s="3070"/>
      <c r="S283" s="3070"/>
      <c r="T283" s="3070"/>
      <c r="U283" s="3071"/>
      <c r="W283" s="702"/>
      <c r="X283" s="702"/>
    </row>
    <row r="284" spans="2:24" s="1105" customFormat="1" hidden="1">
      <c r="B284" s="3145">
        <f>Weight!B93</f>
        <v>2.4</v>
      </c>
      <c r="C284" s="2296" t="str">
        <f>Weight!C93</f>
        <v>Reliability</v>
      </c>
      <c r="D284" s="2296"/>
      <c r="E284" s="2296"/>
      <c r="F284" s="2296"/>
      <c r="G284" s="3069"/>
      <c r="H284" s="3081"/>
      <c r="I284" s="3069"/>
      <c r="J284" s="3069"/>
      <c r="K284" s="3069"/>
      <c r="L284" s="3069"/>
      <c r="M284" s="3069"/>
      <c r="N284" s="3069"/>
      <c r="O284" s="3069"/>
      <c r="P284" s="3069"/>
      <c r="Q284" s="3069"/>
      <c r="R284" s="3069"/>
      <c r="S284" s="3069"/>
      <c r="T284" s="3069"/>
      <c r="U284" s="3072"/>
      <c r="W284" s="702"/>
      <c r="X284" s="702"/>
    </row>
    <row r="285" spans="2:24" s="1105" customFormat="1" ht="15">
      <c r="B285" s="3145" t="str">
        <f>Weight!B94</f>
        <v>2.4.1</v>
      </c>
      <c r="C285" s="2296" t="str">
        <f>Weight!C94</f>
        <v>HVAC System</v>
      </c>
      <c r="D285" s="2296"/>
      <c r="E285" s="2296"/>
      <c r="F285" s="2296"/>
      <c r="G285" s="3070">
        <f>'Q2'!G288</f>
        <v>1</v>
      </c>
      <c r="H285" s="3081"/>
      <c r="I285" s="3070">
        <f>'Q2'!G283</f>
        <v>0</v>
      </c>
      <c r="J285" s="3070" t="str">
        <f>'Q2'!G284</f>
        <v>Yes</v>
      </c>
      <c r="K285" s="3070">
        <f>'Q2'!G285</f>
        <v>0</v>
      </c>
      <c r="L285" s="3070">
        <f>'Q2'!G286</f>
        <v>0</v>
      </c>
      <c r="M285" s="3070">
        <f>'Q2'!G287</f>
        <v>0</v>
      </c>
      <c r="N285" s="3081"/>
      <c r="O285" s="3081"/>
      <c r="P285" s="3081"/>
      <c r="Q285" s="3081"/>
      <c r="R285" s="3081"/>
      <c r="S285" s="3081"/>
      <c r="T285" s="3081"/>
      <c r="U285" s="3082"/>
      <c r="W285" s="702"/>
      <c r="X285" s="702"/>
    </row>
    <row r="286" spans="2:24" s="1105" customFormat="1" ht="15">
      <c r="B286" s="3145" t="str">
        <f>Weight!B95</f>
        <v>2.4.2</v>
      </c>
      <c r="C286" s="2296" t="str">
        <f>Weight!C95</f>
        <v>Water Supply &amp; Drainage</v>
      </c>
      <c r="D286" s="2296"/>
      <c r="E286" s="2296"/>
      <c r="F286" s="2296"/>
      <c r="G286" s="3070">
        <f>'Q2'!I308</f>
        <v>2</v>
      </c>
      <c r="H286" s="3070">
        <f>'Q2'!M308</f>
        <v>1</v>
      </c>
      <c r="I286" s="3070" t="str">
        <f>'Q2'!G301</f>
        <v>Yes</v>
      </c>
      <c r="J286" s="3070">
        <f>'Q2'!G302</f>
        <v>0</v>
      </c>
      <c r="K286" s="3070">
        <f>'Q2'!G303</f>
        <v>0</v>
      </c>
      <c r="L286" s="3070">
        <f>'Q2'!G304</f>
        <v>0</v>
      </c>
      <c r="M286" s="3070">
        <f>'Q2'!G305</f>
        <v>0</v>
      </c>
      <c r="N286" s="3070" t="str">
        <f>'Q2'!G306</f>
        <v>Yes</v>
      </c>
      <c r="O286" s="3070">
        <f>'Q2'!G307</f>
        <v>0</v>
      </c>
      <c r="P286" s="3081"/>
      <c r="Q286" s="3081"/>
      <c r="R286" s="3081"/>
      <c r="S286" s="3081"/>
      <c r="T286" s="3081"/>
      <c r="U286" s="3082"/>
      <c r="W286" s="702"/>
      <c r="X286" s="702"/>
    </row>
    <row r="287" spans="2:24" s="1105" customFormat="1" ht="15">
      <c r="B287" s="3145" t="str">
        <f>Weight!B96</f>
        <v>2.4.3</v>
      </c>
      <c r="C287" s="2296" t="str">
        <f>Weight!C96</f>
        <v>Electrical Equipment</v>
      </c>
      <c r="D287" s="2296"/>
      <c r="E287" s="2296"/>
      <c r="F287" s="2296"/>
      <c r="G287" s="3070">
        <f>'Q2'!I327</f>
        <v>2</v>
      </c>
      <c r="H287" s="3070">
        <f>'Q2'!M327</f>
        <v>2</v>
      </c>
      <c r="I287" s="3070">
        <f>'Q2'!G321</f>
        <v>0</v>
      </c>
      <c r="J287" s="3070">
        <f>'Q2'!G322</f>
        <v>0</v>
      </c>
      <c r="K287" s="3070" t="str">
        <f>'Q2'!G323</f>
        <v>Yes</v>
      </c>
      <c r="L287" s="3070">
        <f>'Q2'!G324</f>
        <v>0</v>
      </c>
      <c r="M287" s="3070" t="str">
        <f>'Q2'!G325</f>
        <v>Yes</v>
      </c>
      <c r="N287" s="3070">
        <f>'Q2'!G326</f>
        <v>0</v>
      </c>
      <c r="O287" s="3081"/>
      <c r="P287" s="3081"/>
      <c r="Q287" s="3081"/>
      <c r="R287" s="3081"/>
      <c r="S287" s="3081"/>
      <c r="T287" s="3081"/>
      <c r="U287" s="3082"/>
      <c r="W287" s="702"/>
      <c r="X287" s="702"/>
    </row>
    <row r="288" spans="2:24" s="1105" customFormat="1" ht="15" hidden="1">
      <c r="B288" s="3145" t="str">
        <f>Weight!B97</f>
        <v>2.4.4</v>
      </c>
      <c r="C288" s="2296" t="str">
        <f>Weight!C97</f>
        <v>Support Method of Machines &amp; Ducts</v>
      </c>
      <c r="D288" s="2296"/>
      <c r="E288" s="2296"/>
      <c r="F288" s="2296"/>
      <c r="G288" s="3070"/>
      <c r="H288" s="3070"/>
      <c r="I288" s="3069"/>
      <c r="J288" s="3070"/>
      <c r="K288" s="3070"/>
      <c r="L288" s="3070"/>
      <c r="M288" s="3070"/>
      <c r="N288" s="3070"/>
      <c r="O288" s="3081"/>
      <c r="P288" s="3081"/>
      <c r="Q288" s="3081"/>
      <c r="R288" s="3081"/>
      <c r="S288" s="3081"/>
      <c r="T288" s="3081"/>
      <c r="U288" s="3082"/>
      <c r="W288" s="702"/>
      <c r="X288" s="702"/>
    </row>
    <row r="289" spans="2:24" s="1105" customFormat="1" ht="15">
      <c r="B289" s="3145" t="str">
        <f>Weight!B98</f>
        <v>2.4.5</v>
      </c>
      <c r="C289" s="3087" t="str">
        <f>Weight!C98</f>
        <v>Communications &amp; IT Equipment</v>
      </c>
      <c r="D289" s="2296"/>
      <c r="E289" s="2296"/>
      <c r="F289" s="2296"/>
      <c r="G289" s="3070">
        <f>'Q2'!G356</f>
        <v>2</v>
      </c>
      <c r="H289" s="3081"/>
      <c r="I289" s="3070">
        <f>'Q2'!G350</f>
        <v>0</v>
      </c>
      <c r="J289" s="3070" t="str">
        <f>'Q2'!G351</f>
        <v>Yes</v>
      </c>
      <c r="K289" s="3070">
        <f>'Q2'!G352</f>
        <v>0</v>
      </c>
      <c r="L289" s="3070" t="str">
        <f>'Q2'!G353</f>
        <v>Yes</v>
      </c>
      <c r="M289" s="3070">
        <f>'Q2'!G354</f>
        <v>0</v>
      </c>
      <c r="N289" s="3070">
        <f>'Q2'!G355</f>
        <v>0</v>
      </c>
      <c r="O289" s="3081"/>
      <c r="P289" s="3081"/>
      <c r="Q289" s="3081"/>
      <c r="R289" s="3081"/>
      <c r="S289" s="3081"/>
      <c r="T289" s="3081"/>
      <c r="U289" s="3082"/>
      <c r="W289" s="702"/>
      <c r="X289" s="702"/>
    </row>
    <row r="290" spans="2:24" s="1105" customFormat="1" ht="15" hidden="1">
      <c r="B290" s="3145">
        <f>Weight!B99</f>
        <v>0</v>
      </c>
      <c r="C290" s="2296">
        <f>Weight!C99</f>
        <v>0</v>
      </c>
      <c r="D290" s="2296"/>
      <c r="E290" s="2296"/>
      <c r="F290" s="2296"/>
      <c r="G290" s="3070"/>
      <c r="H290" s="3070"/>
      <c r="I290" s="3069"/>
      <c r="J290" s="3070"/>
      <c r="K290" s="3070"/>
      <c r="L290" s="3070"/>
      <c r="M290" s="3070"/>
      <c r="N290" s="3070"/>
      <c r="O290" s="3070"/>
      <c r="P290" s="3070"/>
      <c r="Q290" s="3070"/>
      <c r="R290" s="3070"/>
      <c r="S290" s="3070"/>
      <c r="T290" s="3070"/>
      <c r="U290" s="3071"/>
      <c r="W290" s="702"/>
      <c r="X290" s="702"/>
    </row>
    <row r="291" spans="2:24" s="1105" customFormat="1" ht="15" hidden="1">
      <c r="B291" s="3145">
        <f>Weight!B100</f>
        <v>3</v>
      </c>
      <c r="C291" s="2296" t="str">
        <f>Weight!C100</f>
        <v>Flexibility &amp; Adaptability</v>
      </c>
      <c r="D291" s="2296"/>
      <c r="E291" s="2296"/>
      <c r="F291" s="2296"/>
      <c r="G291" s="3070"/>
      <c r="H291" s="3070"/>
      <c r="I291" s="3069"/>
      <c r="J291" s="3070"/>
      <c r="K291" s="3070"/>
      <c r="L291" s="3070"/>
      <c r="M291" s="3070"/>
      <c r="N291" s="3070"/>
      <c r="O291" s="3070"/>
      <c r="P291" s="3070"/>
      <c r="Q291" s="3070"/>
      <c r="R291" s="3070"/>
      <c r="S291" s="3070"/>
      <c r="T291" s="3070"/>
      <c r="U291" s="3071"/>
      <c r="W291" s="702"/>
      <c r="X291" s="702"/>
    </row>
    <row r="292" spans="2:24" s="1105" customFormat="1" ht="15" hidden="1">
      <c r="B292" s="3145">
        <f>Weight!B101</f>
        <v>3.1</v>
      </c>
      <c r="C292" s="2296" t="str">
        <f>Weight!C101</f>
        <v>Spatial Margin</v>
      </c>
      <c r="D292" s="2296"/>
      <c r="E292" s="2296"/>
      <c r="F292" s="2296"/>
      <c r="G292" s="3070"/>
      <c r="H292" s="3070"/>
      <c r="I292" s="3069"/>
      <c r="J292" s="3070"/>
      <c r="K292" s="3070"/>
      <c r="L292" s="3070"/>
      <c r="M292" s="3070"/>
      <c r="N292" s="3070"/>
      <c r="O292" s="3070"/>
      <c r="P292" s="3070"/>
      <c r="Q292" s="3070"/>
      <c r="R292" s="3070"/>
      <c r="S292" s="3070"/>
      <c r="T292" s="3070"/>
      <c r="U292" s="3071"/>
      <c r="W292" s="702"/>
      <c r="X292" s="702"/>
    </row>
    <row r="293" spans="2:24" s="1105" customFormat="1" ht="15" hidden="1">
      <c r="B293" s="3145" t="str">
        <f>Weight!B102</f>
        <v>3.1.1</v>
      </c>
      <c r="C293" s="2296" t="str">
        <f>Weight!C102</f>
        <v>Allowance for Floor-to-floor Height</v>
      </c>
      <c r="D293" s="2296"/>
      <c r="E293" s="2296"/>
      <c r="F293" s="2296"/>
      <c r="G293" s="3070"/>
      <c r="H293" s="3070"/>
      <c r="I293" s="3069"/>
      <c r="J293" s="3070"/>
      <c r="K293" s="3070"/>
      <c r="L293" s="3070"/>
      <c r="M293" s="3070"/>
      <c r="N293" s="3070"/>
      <c r="O293" s="3070"/>
      <c r="P293" s="3070"/>
      <c r="Q293" s="3070"/>
      <c r="R293" s="3070"/>
      <c r="S293" s="3070"/>
      <c r="T293" s="3070"/>
      <c r="U293" s="3071"/>
      <c r="W293" s="702"/>
      <c r="X293" s="702"/>
    </row>
    <row r="294" spans="2:24" s="1105" customFormat="1" ht="15" hidden="1">
      <c r="B294" s="3145" t="str">
        <f>Weight!B103</f>
        <v>3.1.2</v>
      </c>
      <c r="C294" s="2296" t="str">
        <f>Weight!C103</f>
        <v>Flexibility in Floor Layout</v>
      </c>
      <c r="D294" s="2296"/>
      <c r="E294" s="2296"/>
      <c r="F294" s="2296"/>
      <c r="G294" s="3070"/>
      <c r="H294" s="3070"/>
      <c r="I294" s="3069"/>
      <c r="J294" s="3070"/>
      <c r="K294" s="3070"/>
      <c r="L294" s="3070"/>
      <c r="M294" s="3070"/>
      <c r="N294" s="3070"/>
      <c r="O294" s="3070"/>
      <c r="P294" s="3070"/>
      <c r="Q294" s="3070"/>
      <c r="R294" s="3070"/>
      <c r="S294" s="3070"/>
      <c r="T294" s="3070"/>
      <c r="U294" s="3071"/>
      <c r="W294" s="702"/>
      <c r="X294" s="702"/>
    </row>
    <row r="295" spans="2:24" s="1105" customFormat="1" ht="15" hidden="1">
      <c r="B295" s="3145">
        <f>Weight!B104</f>
        <v>3.2</v>
      </c>
      <c r="C295" s="2296" t="str">
        <f>Weight!C104</f>
        <v>Floor Load Margin</v>
      </c>
      <c r="D295" s="2296"/>
      <c r="E295" s="2296"/>
      <c r="F295" s="2296"/>
      <c r="G295" s="3070"/>
      <c r="H295" s="3070"/>
      <c r="I295" s="3069"/>
      <c r="J295" s="3070"/>
      <c r="K295" s="3070"/>
      <c r="L295" s="3070"/>
      <c r="M295" s="3070"/>
      <c r="N295" s="3070"/>
      <c r="O295" s="3070"/>
      <c r="P295" s="3070"/>
      <c r="Q295" s="3070"/>
      <c r="R295" s="3070"/>
      <c r="S295" s="3070"/>
      <c r="T295" s="3070"/>
      <c r="U295" s="3071"/>
      <c r="W295" s="702"/>
      <c r="X295" s="702"/>
    </row>
    <row r="296" spans="2:24" s="1105" customFormat="1" ht="15" hidden="1">
      <c r="B296" s="3145">
        <f>Weight!B105</f>
        <v>3.3</v>
      </c>
      <c r="C296" s="2296" t="str">
        <f>Weight!C105</f>
        <v>System Renewability</v>
      </c>
      <c r="D296" s="2296"/>
      <c r="E296" s="2296"/>
      <c r="F296" s="2296"/>
      <c r="G296" s="3070"/>
      <c r="H296" s="3070"/>
      <c r="I296" s="3070"/>
      <c r="J296" s="3070"/>
      <c r="K296" s="3070"/>
      <c r="L296" s="3070"/>
      <c r="M296" s="3070"/>
      <c r="N296" s="3070"/>
      <c r="O296" s="3070"/>
      <c r="P296" s="3070"/>
      <c r="Q296" s="3070"/>
      <c r="R296" s="3070"/>
      <c r="S296" s="3070"/>
      <c r="T296" s="3070"/>
      <c r="U296" s="3071"/>
      <c r="W296" s="702"/>
      <c r="X296" s="702"/>
    </row>
    <row r="297" spans="2:24" s="1105" customFormat="1" ht="15" hidden="1">
      <c r="B297" s="3145" t="str">
        <f>Weight!B106</f>
        <v>3.3.1</v>
      </c>
      <c r="C297" s="2296" t="str">
        <f>Weight!C106</f>
        <v>Ease of Air Conditioning Duct Renewal</v>
      </c>
      <c r="D297" s="2296"/>
      <c r="E297" s="2296"/>
      <c r="F297" s="2296"/>
      <c r="G297" s="3070"/>
      <c r="H297" s="3070"/>
      <c r="I297" s="3070"/>
      <c r="J297" s="3070"/>
      <c r="K297" s="3070"/>
      <c r="L297" s="3070"/>
      <c r="M297" s="3070"/>
      <c r="N297" s="3070"/>
      <c r="O297" s="3070"/>
      <c r="P297" s="3070"/>
      <c r="Q297" s="3070"/>
      <c r="R297" s="3070"/>
      <c r="S297" s="3070"/>
      <c r="T297" s="3070"/>
      <c r="U297" s="3071"/>
      <c r="W297" s="702"/>
      <c r="X297" s="702"/>
    </row>
    <row r="298" spans="2:24" s="1105" customFormat="1" ht="15" hidden="1">
      <c r="B298" s="3145" t="str">
        <f>Weight!B107</f>
        <v>3.3.2</v>
      </c>
      <c r="C298" s="2296" t="str">
        <f>Weight!C107</f>
        <v>Ease of Water Supply and Drain Pipe Renewal</v>
      </c>
      <c r="D298" s="2296"/>
      <c r="E298" s="2296"/>
      <c r="F298" s="2296"/>
      <c r="G298" s="3070"/>
      <c r="H298" s="3070"/>
      <c r="I298" s="3070"/>
      <c r="J298" s="3070"/>
      <c r="K298" s="3070"/>
      <c r="L298" s="3070"/>
      <c r="M298" s="3070"/>
      <c r="N298" s="3070"/>
      <c r="O298" s="3070"/>
      <c r="P298" s="3070"/>
      <c r="Q298" s="3070"/>
      <c r="R298" s="3070"/>
      <c r="S298" s="3070"/>
      <c r="T298" s="3070"/>
      <c r="U298" s="3071"/>
      <c r="W298" s="702"/>
      <c r="X298" s="702"/>
    </row>
    <row r="299" spans="2:24" s="1105" customFormat="1" ht="15" hidden="1">
      <c r="B299" s="3145" t="str">
        <f>Weight!B108</f>
        <v>3.3.3</v>
      </c>
      <c r="C299" s="2296" t="str">
        <f>Weight!C108</f>
        <v>Ease of Electrical Wiring Renewal</v>
      </c>
      <c r="D299" s="2296"/>
      <c r="E299" s="2296"/>
      <c r="F299" s="2296"/>
      <c r="G299" s="3070"/>
      <c r="H299" s="3070"/>
      <c r="I299" s="3070"/>
      <c r="J299" s="3070"/>
      <c r="K299" s="3070"/>
      <c r="L299" s="3070"/>
      <c r="M299" s="3070"/>
      <c r="N299" s="3070"/>
      <c r="O299" s="3070"/>
      <c r="P299" s="3070"/>
      <c r="Q299" s="3070"/>
      <c r="R299" s="3070"/>
      <c r="S299" s="3070"/>
      <c r="T299" s="3070"/>
      <c r="U299" s="3071"/>
      <c r="W299" s="702"/>
      <c r="X299" s="702"/>
    </row>
    <row r="300" spans="2:24" s="1105" customFormat="1" ht="15" hidden="1">
      <c r="B300" s="3145" t="str">
        <f>Weight!B109</f>
        <v>3.3.4</v>
      </c>
      <c r="C300" s="2296" t="str">
        <f>Weight!C109</f>
        <v>Ease of Communications Cable Renewal</v>
      </c>
      <c r="D300" s="2296"/>
      <c r="E300" s="2296"/>
      <c r="F300" s="2296"/>
      <c r="G300" s="3070"/>
      <c r="H300" s="3070"/>
      <c r="I300" s="3070"/>
      <c r="J300" s="3070"/>
      <c r="K300" s="3070"/>
      <c r="L300" s="3070"/>
      <c r="M300" s="3070"/>
      <c r="N300" s="3070"/>
      <c r="O300" s="3070"/>
      <c r="P300" s="3070"/>
      <c r="Q300" s="3070"/>
      <c r="R300" s="3070"/>
      <c r="S300" s="3070"/>
      <c r="T300" s="3070"/>
      <c r="U300" s="3071"/>
      <c r="W300" s="702"/>
      <c r="X300" s="702"/>
    </row>
    <row r="301" spans="2:24" s="1105" customFormat="1" ht="15" hidden="1">
      <c r="B301" s="3145" t="str">
        <f>Weight!B110</f>
        <v>3.3.5</v>
      </c>
      <c r="C301" s="2296" t="str">
        <f>Weight!C110</f>
        <v>Ease of Equipment Renewal</v>
      </c>
      <c r="D301" s="2296"/>
      <c r="E301" s="2296"/>
      <c r="F301" s="2296"/>
      <c r="G301" s="3070"/>
      <c r="H301" s="3070"/>
      <c r="I301" s="3070"/>
      <c r="J301" s="3070"/>
      <c r="K301" s="3070"/>
      <c r="L301" s="3070"/>
      <c r="M301" s="3070"/>
      <c r="N301" s="3070"/>
      <c r="O301" s="3070"/>
      <c r="P301" s="3070"/>
      <c r="Q301" s="3070"/>
      <c r="R301" s="3070"/>
      <c r="S301" s="3070"/>
      <c r="T301" s="3070"/>
      <c r="U301" s="3071"/>
      <c r="W301" s="702"/>
      <c r="X301" s="702"/>
    </row>
    <row r="302" spans="2:24" s="1105" customFormat="1" ht="15" hidden="1">
      <c r="B302" s="3145" t="str">
        <f>Weight!B111</f>
        <v>3.3.6</v>
      </c>
      <c r="C302" s="2296" t="str">
        <f>Weight!C111</f>
        <v>Provision of Backup Space</v>
      </c>
      <c r="D302" s="2296"/>
      <c r="E302" s="2296"/>
      <c r="F302" s="2296"/>
      <c r="G302" s="3070"/>
      <c r="H302" s="3070"/>
      <c r="I302" s="3070"/>
      <c r="J302" s="3070"/>
      <c r="K302" s="3070"/>
      <c r="L302" s="3070"/>
      <c r="M302" s="3070"/>
      <c r="N302" s="3070"/>
      <c r="O302" s="3070"/>
      <c r="P302" s="3070"/>
      <c r="Q302" s="3070"/>
      <c r="R302" s="3070"/>
      <c r="S302" s="3070"/>
      <c r="T302" s="3070"/>
      <c r="U302" s="3071"/>
      <c r="W302" s="702"/>
      <c r="X302" s="702"/>
    </row>
    <row r="303" spans="2:24" s="1105" customFormat="1" ht="15">
      <c r="B303" s="3144" t="str">
        <f>Weight!B112</f>
        <v>Q3</v>
      </c>
      <c r="C303" s="3075" t="str">
        <f>Weight!C112</f>
        <v>Outdoor Environment on Site</v>
      </c>
      <c r="D303" s="3075"/>
      <c r="E303" s="3075"/>
      <c r="F303" s="3075"/>
      <c r="G303" s="3075"/>
      <c r="H303" s="3076"/>
      <c r="I303" s="3077"/>
      <c r="J303" s="3077"/>
      <c r="K303" s="3077"/>
      <c r="L303" s="3077"/>
      <c r="M303" s="3077"/>
      <c r="N303" s="3077"/>
      <c r="O303" s="3077"/>
      <c r="P303" s="3078"/>
      <c r="Q303" s="3078"/>
      <c r="R303" s="1271"/>
      <c r="S303" s="1272"/>
      <c r="T303" s="1271"/>
      <c r="U303" s="1273"/>
    </row>
    <row r="304" spans="2:24" s="1105" customFormat="1" ht="15">
      <c r="B304" s="3145">
        <f>Weight!B113</f>
        <v>1</v>
      </c>
      <c r="C304" s="2296" t="str">
        <f>Weight!C113</f>
        <v>Preservation &amp; Creation of Biotope</v>
      </c>
      <c r="D304" s="2296"/>
      <c r="E304" s="2296"/>
      <c r="F304" s="2296"/>
      <c r="G304" s="3070">
        <f>'Q3'!G41</f>
        <v>7</v>
      </c>
      <c r="H304" s="3085"/>
      <c r="I304" s="3070">
        <f>'Q3'!G25</f>
        <v>0</v>
      </c>
      <c r="J304" s="3070">
        <f>'Q3'!G26</f>
        <v>2</v>
      </c>
      <c r="K304" s="3070">
        <f>'Q3'!G28</f>
        <v>0</v>
      </c>
      <c r="L304" s="3070">
        <f>'Q3'!G30</f>
        <v>0</v>
      </c>
      <c r="M304" s="3070">
        <f>'Q3'!G32</f>
        <v>1</v>
      </c>
      <c r="N304" s="3070">
        <f>'Q3'!G33</f>
        <v>1</v>
      </c>
      <c r="O304" s="3070">
        <f>'Q3'!G34</f>
        <v>1</v>
      </c>
      <c r="P304" s="3070">
        <f>'Q3'!G35</f>
        <v>0</v>
      </c>
      <c r="Q304" s="3070">
        <f>'Q3'!G36</f>
        <v>1</v>
      </c>
      <c r="R304" s="3070">
        <f>'Q3'!G39</f>
        <v>1</v>
      </c>
      <c r="S304" s="3070">
        <f>'Q3'!G40</f>
        <v>0</v>
      </c>
      <c r="T304" s="3085"/>
      <c r="U304" s="3086"/>
      <c r="W304" s="702"/>
      <c r="X304" s="702"/>
    </row>
    <row r="305" spans="2:24" s="1105" customFormat="1" ht="15" hidden="1">
      <c r="B305" s="3145">
        <f>Weight!B114</f>
        <v>1</v>
      </c>
      <c r="C305" s="2296">
        <f>Weight!C114</f>
        <v>0</v>
      </c>
      <c r="D305" s="2296"/>
      <c r="E305" s="2296"/>
      <c r="F305" s="2296"/>
      <c r="G305" s="3069"/>
      <c r="H305" s="3081"/>
      <c r="I305" s="3069"/>
      <c r="J305" s="3069"/>
      <c r="K305" s="3069"/>
      <c r="L305" s="3069"/>
      <c r="M305" s="3069"/>
      <c r="N305" s="3069"/>
      <c r="O305" s="3070"/>
      <c r="P305" s="3070"/>
      <c r="Q305" s="3070"/>
      <c r="R305" s="3070"/>
      <c r="S305" s="3070"/>
      <c r="T305" s="3085"/>
      <c r="U305" s="3086"/>
      <c r="W305" s="702"/>
      <c r="X305" s="702"/>
    </row>
    <row r="306" spans="2:24" s="1105" customFormat="1" ht="15" hidden="1">
      <c r="B306" s="3145">
        <f>Weight!B115</f>
        <v>1.1000000000000001</v>
      </c>
      <c r="C306" s="2296">
        <f>Weight!C115</f>
        <v>0</v>
      </c>
      <c r="D306" s="2296"/>
      <c r="E306" s="2296"/>
      <c r="F306" s="2296"/>
      <c r="G306" s="3070"/>
      <c r="H306" s="3085"/>
      <c r="I306" s="3069"/>
      <c r="J306" s="3070"/>
      <c r="K306" s="3070"/>
      <c r="L306" s="3070"/>
      <c r="M306" s="3070"/>
      <c r="N306" s="3070"/>
      <c r="O306" s="3070"/>
      <c r="P306" s="3070"/>
      <c r="Q306" s="3070"/>
      <c r="R306" s="3070"/>
      <c r="S306" s="3070"/>
      <c r="T306" s="3085"/>
      <c r="U306" s="3086"/>
      <c r="W306" s="702"/>
      <c r="X306" s="702"/>
    </row>
    <row r="307" spans="2:24" s="1105" customFormat="1" ht="15">
      <c r="B307" s="3145">
        <f>Weight!B116</f>
        <v>2</v>
      </c>
      <c r="C307" s="2296" t="str">
        <f>Weight!C116</f>
        <v>Townscape &amp; Landscape</v>
      </c>
      <c r="D307" s="2296"/>
      <c r="E307" s="2296"/>
      <c r="F307" s="2296"/>
      <c r="G307" s="3070">
        <f>'Q3'!G61</f>
        <v>3</v>
      </c>
      <c r="H307" s="3085"/>
      <c r="I307" s="3070">
        <f>'Q3'!G55</f>
        <v>2</v>
      </c>
      <c r="J307" s="3070">
        <f>'Q3'!G56</f>
        <v>1</v>
      </c>
      <c r="K307" s="3070">
        <f>'Q3'!G57</f>
        <v>0</v>
      </c>
      <c r="L307" s="3070">
        <f>'Q3'!G58</f>
        <v>0</v>
      </c>
      <c r="M307" s="3070">
        <f>'Q3'!G59</f>
        <v>0</v>
      </c>
      <c r="N307" s="3070">
        <f>'Q3'!G60</f>
        <v>0</v>
      </c>
      <c r="O307" s="3085"/>
      <c r="P307" s="3085"/>
      <c r="Q307" s="3085"/>
      <c r="R307" s="3085"/>
      <c r="S307" s="3085"/>
      <c r="T307" s="3085"/>
      <c r="U307" s="3086"/>
      <c r="W307" s="702"/>
      <c r="X307" s="702"/>
    </row>
    <row r="308" spans="2:24" s="1105" customFormat="1" ht="15" hidden="1">
      <c r="B308" s="3145">
        <f>Weight!B117</f>
        <v>3</v>
      </c>
      <c r="C308" s="2296" t="str">
        <f>Weight!C117</f>
        <v>Local Characteristics &amp; Outdoor Amenity</v>
      </c>
      <c r="D308" s="2296"/>
      <c r="E308" s="2296"/>
      <c r="F308" s="2296"/>
      <c r="G308" s="3070"/>
      <c r="H308" s="3085"/>
      <c r="I308" s="3069"/>
      <c r="J308" s="3070"/>
      <c r="K308" s="3070"/>
      <c r="L308" s="3070"/>
      <c r="M308" s="3070"/>
      <c r="N308" s="3070"/>
      <c r="O308" s="3070"/>
      <c r="P308" s="3070"/>
      <c r="Q308" s="3070"/>
      <c r="R308" s="3070"/>
      <c r="S308" s="3070"/>
      <c r="T308" s="3085"/>
      <c r="U308" s="3086"/>
      <c r="W308" s="702"/>
      <c r="X308" s="702"/>
    </row>
    <row r="309" spans="2:24" s="1105" customFormat="1" ht="15">
      <c r="B309" s="3145" t="str">
        <f>Weight!B118</f>
        <v>3.1</v>
      </c>
      <c r="C309" s="3147" t="str">
        <f>Weight!C118</f>
        <v>Attention to Local Character &amp; Improvement of Comfort</v>
      </c>
      <c r="D309" s="2296"/>
      <c r="E309" s="2296"/>
      <c r="F309" s="2296"/>
      <c r="G309" s="3070">
        <f>'Q3'!G96</f>
        <v>2</v>
      </c>
      <c r="H309" s="3085"/>
      <c r="I309" s="3070">
        <f>'Q3'!G75</f>
        <v>1</v>
      </c>
      <c r="J309" s="3070">
        <f>'Q3'!G77</f>
        <v>0</v>
      </c>
      <c r="K309" s="3070">
        <f>'Q3'!G79</f>
        <v>1</v>
      </c>
      <c r="L309" s="3070">
        <f>'Q3'!G82</f>
        <v>0</v>
      </c>
      <c r="M309" s="3070">
        <f>'Q3'!G84</f>
        <v>0</v>
      </c>
      <c r="N309" s="3070">
        <f>'Q3'!G87</f>
        <v>0</v>
      </c>
      <c r="O309" s="3070">
        <f>'Q3'!G92</f>
        <v>0</v>
      </c>
      <c r="P309" s="3070">
        <f>'Q3'!G95</f>
        <v>0</v>
      </c>
      <c r="Q309" s="3085"/>
      <c r="R309" s="3085"/>
      <c r="S309" s="3085"/>
      <c r="T309" s="3085"/>
      <c r="U309" s="3086"/>
      <c r="W309" s="702"/>
      <c r="X309" s="702"/>
    </row>
    <row r="310" spans="2:24" s="1105" customFormat="1" ht="15">
      <c r="B310" s="3145" t="str">
        <f>Weight!B119</f>
        <v>3.2</v>
      </c>
      <c r="C310" s="3147" t="str">
        <f>Weight!C119</f>
        <v>Improvement of the Thermal Environment on Site</v>
      </c>
      <c r="D310" s="2296"/>
      <c r="E310" s="2296"/>
      <c r="F310" s="2296"/>
      <c r="G310" s="3070">
        <f>'Q3'!G139</f>
        <v>6</v>
      </c>
      <c r="H310" s="3085"/>
      <c r="I310" s="3070">
        <f>'Q3'!G122</f>
        <v>2</v>
      </c>
      <c r="J310" s="3070">
        <f>'Q3'!G123</f>
        <v>0</v>
      </c>
      <c r="K310" s="3070">
        <f>'Q3'!G125</f>
        <v>0</v>
      </c>
      <c r="L310" s="3070">
        <f>'Q3'!G127</f>
        <v>0</v>
      </c>
      <c r="M310" s="3070">
        <f>'Q3'!G129</f>
        <v>0</v>
      </c>
      <c r="N310" s="3070">
        <f>'Q3'!G131</f>
        <v>2</v>
      </c>
      <c r="O310" s="3070">
        <f>'Q3'!G133</f>
        <v>0</v>
      </c>
      <c r="P310" s="3070">
        <f>'Q3'!G135</f>
        <v>2</v>
      </c>
      <c r="Q310" s="3070">
        <f>'Q3'!G137</f>
        <v>0</v>
      </c>
      <c r="R310" s="3085"/>
      <c r="S310" s="3085"/>
      <c r="T310" s="3085"/>
      <c r="U310" s="3086"/>
      <c r="W310" s="702"/>
      <c r="X310" s="702"/>
    </row>
    <row r="311" spans="2:24" s="1105" customFormat="1" ht="15" hidden="1">
      <c r="B311" s="3145">
        <f>Weight!B120</f>
        <v>0</v>
      </c>
      <c r="C311" s="2296">
        <f>Weight!C120</f>
        <v>0</v>
      </c>
      <c r="D311" s="2296"/>
      <c r="E311" s="2296"/>
      <c r="F311" s="2296"/>
      <c r="G311" s="3070"/>
      <c r="H311" s="3070"/>
      <c r="I311" s="3070"/>
      <c r="J311" s="3070"/>
      <c r="K311" s="3070"/>
      <c r="L311" s="3070"/>
      <c r="M311" s="3070"/>
      <c r="N311" s="3070"/>
      <c r="O311" s="3070"/>
      <c r="P311" s="3070"/>
      <c r="Q311" s="3070"/>
      <c r="R311" s="3070"/>
      <c r="S311" s="3070"/>
      <c r="T311" s="3070"/>
      <c r="U311" s="3071"/>
      <c r="W311" s="702"/>
      <c r="X311" s="702"/>
    </row>
    <row r="312" spans="2:24" s="1105" customFormat="1" ht="15" hidden="1">
      <c r="B312" s="3145" t="str">
        <f>Weight!B121</f>
        <v>LR</v>
      </c>
      <c r="C312" s="2296" t="str">
        <f>Weight!C121</f>
        <v>Environmental Load Reduction of Building</v>
      </c>
      <c r="D312" s="2296"/>
      <c r="E312" s="2296"/>
      <c r="F312" s="2296"/>
      <c r="G312" s="3070"/>
      <c r="H312" s="3070"/>
      <c r="I312" s="3070"/>
      <c r="J312" s="3070"/>
      <c r="K312" s="3070"/>
      <c r="L312" s="3070"/>
      <c r="M312" s="3070"/>
      <c r="N312" s="3070"/>
      <c r="O312" s="3070"/>
      <c r="P312" s="3070"/>
      <c r="Q312" s="3070"/>
      <c r="R312" s="3070"/>
      <c r="S312" s="3070"/>
      <c r="T312" s="3070"/>
      <c r="U312" s="3071"/>
      <c r="W312" s="702"/>
      <c r="X312" s="702"/>
    </row>
    <row r="313" spans="2:24" s="1105" customFormat="1" ht="15">
      <c r="B313" s="3144" t="str">
        <f>Weight!B122</f>
        <v>LR1</v>
      </c>
      <c r="C313" s="3075" t="str">
        <f>Weight!C122</f>
        <v>Energy</v>
      </c>
      <c r="D313" s="3075"/>
      <c r="E313" s="3075"/>
      <c r="F313" s="3075"/>
      <c r="G313" s="3075"/>
      <c r="H313" s="3076"/>
      <c r="I313" s="3077"/>
      <c r="J313" s="3077"/>
      <c r="K313" s="3077"/>
      <c r="L313" s="3077"/>
      <c r="M313" s="3077"/>
      <c r="N313" s="3077"/>
      <c r="O313" s="3077"/>
      <c r="P313" s="3078"/>
      <c r="Q313" s="3078"/>
      <c r="R313" s="1271"/>
      <c r="S313" s="1272"/>
      <c r="T313" s="1271"/>
      <c r="U313" s="1273"/>
      <c r="W313" s="702"/>
      <c r="X313" s="702"/>
    </row>
    <row r="314" spans="2:24" s="1105" customFormat="1" ht="15" hidden="1">
      <c r="B314" s="3145">
        <f>Weight!B123</f>
        <v>1</v>
      </c>
      <c r="C314" s="2296" t="str">
        <f>Weight!C123</f>
        <v>Control of Heat Load on Building Envelopes</v>
      </c>
      <c r="D314" s="2296"/>
      <c r="E314" s="2296"/>
      <c r="F314" s="2296"/>
      <c r="G314" s="3070"/>
      <c r="H314" s="3070"/>
      <c r="I314" s="3070"/>
      <c r="J314" s="3070"/>
      <c r="K314" s="3070"/>
      <c r="L314" s="3070"/>
      <c r="M314" s="3070"/>
      <c r="N314" s="3070"/>
      <c r="O314" s="3070"/>
      <c r="P314" s="3070"/>
      <c r="Q314" s="3070"/>
      <c r="R314" s="3070"/>
      <c r="S314" s="3070"/>
      <c r="T314" s="3070"/>
      <c r="U314" s="3071"/>
      <c r="W314" s="702"/>
      <c r="X314" s="702"/>
    </row>
    <row r="315" spans="2:24" s="1105" customFormat="1" ht="15">
      <c r="B315" s="3145">
        <f>Weight!B124</f>
        <v>2</v>
      </c>
      <c r="C315" s="3087" t="str">
        <f>Weight!C124</f>
        <v>Natural Energy Utilization (Direct Use)</v>
      </c>
      <c r="D315" s="2296"/>
      <c r="E315" s="2296"/>
      <c r="F315" s="2296"/>
      <c r="G315" s="3070">
        <f>'LR1'!G58</f>
        <v>0</v>
      </c>
      <c r="H315" s="3085"/>
      <c r="I315" s="3070">
        <f>'LR1'!L45</f>
        <v>0</v>
      </c>
      <c r="J315" s="3070">
        <f>'LR1'!L46</f>
        <v>0</v>
      </c>
      <c r="K315" s="3070">
        <f>'LR1'!L47</f>
        <v>0</v>
      </c>
      <c r="L315" s="3070">
        <f>'LR1'!L48</f>
        <v>0</v>
      </c>
      <c r="M315" s="3070">
        <f>'LR1'!L49</f>
        <v>0</v>
      </c>
      <c r="N315" s="3070">
        <f>'LR1'!L50</f>
        <v>0</v>
      </c>
      <c r="O315" s="3070">
        <f>'LR1'!L51</f>
        <v>0</v>
      </c>
      <c r="P315" s="3070">
        <f>'LR1'!L52</f>
        <v>0</v>
      </c>
      <c r="Q315" s="3070">
        <f>'LR1'!L53</f>
        <v>0</v>
      </c>
      <c r="R315" s="3070">
        <f>'LR1'!L54</f>
        <v>0</v>
      </c>
      <c r="S315" s="3070">
        <f>'LR1'!L55</f>
        <v>0</v>
      </c>
      <c r="T315" s="3070">
        <f>'LR1'!L56</f>
        <v>0</v>
      </c>
      <c r="U315" s="3071">
        <f>'LR1'!L57</f>
        <v>0</v>
      </c>
      <c r="W315" s="702"/>
      <c r="X315" s="702"/>
    </row>
    <row r="316" spans="2:24" s="1105" customFormat="1" ht="15" hidden="1">
      <c r="B316" s="3145">
        <f>Weight!B125</f>
        <v>0</v>
      </c>
      <c r="C316" s="2296">
        <f>Weight!C125</f>
        <v>0</v>
      </c>
      <c r="D316" s="2296"/>
      <c r="E316" s="2296"/>
      <c r="F316" s="2296"/>
      <c r="G316" s="3070"/>
      <c r="H316" s="3085"/>
      <c r="I316" s="3069"/>
      <c r="J316" s="3070"/>
      <c r="K316" s="3070"/>
      <c r="L316" s="3070"/>
      <c r="M316" s="3070"/>
      <c r="N316" s="3070"/>
      <c r="O316" s="3070"/>
      <c r="P316" s="3070"/>
      <c r="Q316" s="3070"/>
      <c r="R316" s="3070"/>
      <c r="S316" s="3070"/>
      <c r="T316" s="3070"/>
      <c r="U316" s="3071"/>
      <c r="W316" s="702"/>
      <c r="X316" s="702"/>
    </row>
    <row r="317" spans="2:24" s="1105" customFormat="1" ht="15" hidden="1">
      <c r="B317" s="3145">
        <f>Weight!B126</f>
        <v>0</v>
      </c>
      <c r="C317" s="2296">
        <f>Weight!C126</f>
        <v>0</v>
      </c>
      <c r="D317" s="2296"/>
      <c r="E317" s="2296"/>
      <c r="F317" s="2296"/>
      <c r="G317" s="3070"/>
      <c r="H317" s="3085"/>
      <c r="I317" s="3069"/>
      <c r="J317" s="3070"/>
      <c r="K317" s="3070"/>
      <c r="L317" s="3070"/>
      <c r="M317" s="3070"/>
      <c r="N317" s="3070"/>
      <c r="O317" s="3070"/>
      <c r="P317" s="3070"/>
      <c r="Q317" s="3070"/>
      <c r="R317" s="3070"/>
      <c r="S317" s="3070"/>
      <c r="T317" s="3070"/>
      <c r="U317" s="3071"/>
      <c r="W317" s="702"/>
      <c r="X317" s="702"/>
    </row>
    <row r="318" spans="2:24" s="1105" customFormat="1" ht="15" hidden="1">
      <c r="B318" s="3145" t="str">
        <f>Weight!B127</f>
        <v>2.1</v>
      </c>
      <c r="C318" s="2296">
        <f>Weight!C127</f>
        <v>0</v>
      </c>
      <c r="D318" s="2296"/>
      <c r="E318" s="2296"/>
      <c r="F318" s="2296"/>
      <c r="G318" s="3070"/>
      <c r="H318" s="3085"/>
      <c r="I318" s="3069"/>
      <c r="J318" s="3070"/>
      <c r="K318" s="3070"/>
      <c r="L318" s="3070"/>
      <c r="M318" s="3070"/>
      <c r="N318" s="3070"/>
      <c r="O318" s="3070"/>
      <c r="P318" s="3070"/>
      <c r="Q318" s="3070"/>
      <c r="R318" s="3070"/>
      <c r="S318" s="3070"/>
      <c r="T318" s="3070"/>
      <c r="U318" s="3071"/>
      <c r="W318" s="702"/>
      <c r="X318" s="702"/>
    </row>
    <row r="319" spans="2:24" s="1105" customFormat="1" ht="15" hidden="1">
      <c r="B319" s="3145" t="str">
        <f>Weight!B128</f>
        <v>2.2</v>
      </c>
      <c r="C319" s="2296">
        <f>Weight!C128</f>
        <v>0</v>
      </c>
      <c r="D319" s="2296"/>
      <c r="E319" s="2296"/>
      <c r="F319" s="2296"/>
      <c r="G319" s="3070"/>
      <c r="H319" s="3085"/>
      <c r="I319" s="3069"/>
      <c r="J319" s="3070"/>
      <c r="K319" s="3070"/>
      <c r="L319" s="3070"/>
      <c r="M319" s="3070"/>
      <c r="N319" s="3070"/>
      <c r="O319" s="3070"/>
      <c r="P319" s="3070"/>
      <c r="Q319" s="3070"/>
      <c r="R319" s="3070"/>
      <c r="S319" s="3070"/>
      <c r="T319" s="3070"/>
      <c r="U319" s="3071"/>
      <c r="W319" s="702"/>
      <c r="X319" s="702"/>
    </row>
    <row r="320" spans="2:24" s="1105" customFormat="1" ht="15" hidden="1">
      <c r="B320" s="3145">
        <f>Weight!B129</f>
        <v>3</v>
      </c>
      <c r="C320" s="2296" t="str">
        <f>Weight!C129</f>
        <v>Efficiency in Building Service System</v>
      </c>
      <c r="D320" s="2296"/>
      <c r="E320" s="2296"/>
      <c r="F320" s="2296"/>
      <c r="G320" s="3070"/>
      <c r="H320" s="3085"/>
      <c r="I320" s="3069"/>
      <c r="J320" s="3070"/>
      <c r="K320" s="3070"/>
      <c r="L320" s="3070"/>
      <c r="M320" s="3070"/>
      <c r="N320" s="3070"/>
      <c r="O320" s="3070"/>
      <c r="P320" s="3070"/>
      <c r="Q320" s="3070"/>
      <c r="R320" s="3070"/>
      <c r="S320" s="3070"/>
      <c r="T320" s="3070"/>
      <c r="U320" s="3071"/>
      <c r="W320" s="702"/>
      <c r="X320" s="702"/>
    </row>
    <row r="321" spans="2:24" s="1105" customFormat="1" ht="15" hidden="1">
      <c r="B321" s="3145">
        <f>Weight!B130</f>
        <v>3.1</v>
      </c>
      <c r="C321" s="2296" t="str">
        <f>Weight!C130</f>
        <v xml:space="preserve">Other than apartment </v>
      </c>
      <c r="D321" s="2296"/>
      <c r="E321" s="2296"/>
      <c r="F321" s="2296"/>
      <c r="G321" s="3070"/>
      <c r="H321" s="3085"/>
      <c r="I321" s="3069"/>
      <c r="J321" s="3070"/>
      <c r="K321" s="3070"/>
      <c r="L321" s="3070"/>
      <c r="M321" s="3070"/>
      <c r="N321" s="3070"/>
      <c r="O321" s="3070"/>
      <c r="P321" s="3070"/>
      <c r="Q321" s="3070"/>
      <c r="R321" s="3070"/>
      <c r="S321" s="3070"/>
      <c r="T321" s="3070"/>
      <c r="U321" s="3071"/>
      <c r="W321" s="702"/>
      <c r="X321" s="702"/>
    </row>
    <row r="322" spans="2:24" s="1105" customFormat="1" ht="15" hidden="1">
      <c r="B322" s="3145">
        <f>Weight!B131</f>
        <v>3.2</v>
      </c>
      <c r="C322" s="2296" t="str">
        <f>Weight!C131</f>
        <v>Apartment</v>
      </c>
      <c r="D322" s="2296"/>
      <c r="E322" s="2296"/>
      <c r="F322" s="2296"/>
      <c r="G322" s="3070"/>
      <c r="H322" s="3085"/>
      <c r="I322" s="3069"/>
      <c r="J322" s="3070"/>
      <c r="K322" s="3070"/>
      <c r="L322" s="3070"/>
      <c r="M322" s="3070"/>
      <c r="N322" s="3070"/>
      <c r="O322" s="3070"/>
      <c r="P322" s="3070"/>
      <c r="Q322" s="3070"/>
      <c r="R322" s="3070"/>
      <c r="S322" s="3070"/>
      <c r="T322" s="3070"/>
      <c r="U322" s="3071"/>
      <c r="W322" s="702"/>
      <c r="X322" s="702"/>
    </row>
    <row r="323" spans="2:24" s="1105" customFormat="1" ht="15" hidden="1">
      <c r="B323" s="3145">
        <f>Weight!B132</f>
        <v>3.1</v>
      </c>
      <c r="C323" s="2296">
        <f>Weight!C132</f>
        <v>0</v>
      </c>
      <c r="D323" s="2296"/>
      <c r="E323" s="2296"/>
      <c r="F323" s="2296"/>
      <c r="G323" s="3070"/>
      <c r="H323" s="3085"/>
      <c r="I323" s="3069"/>
      <c r="J323" s="3070"/>
      <c r="K323" s="3070"/>
      <c r="L323" s="3070"/>
      <c r="M323" s="3070"/>
      <c r="N323" s="3070"/>
      <c r="O323" s="3070"/>
      <c r="P323" s="3070"/>
      <c r="Q323" s="3070"/>
      <c r="R323" s="3070"/>
      <c r="S323" s="3070"/>
      <c r="T323" s="3070"/>
      <c r="U323" s="3071"/>
      <c r="W323" s="702"/>
      <c r="X323" s="702"/>
    </row>
    <row r="324" spans="2:24" s="1105" customFormat="1" ht="15" hidden="1">
      <c r="B324" s="3145">
        <f>Weight!B133</f>
        <v>3.2</v>
      </c>
      <c r="C324" s="2296">
        <f>Weight!C133</f>
        <v>0</v>
      </c>
      <c r="D324" s="2296"/>
      <c r="E324" s="2296"/>
      <c r="F324" s="2296"/>
      <c r="G324" s="3070"/>
      <c r="H324" s="3085"/>
      <c r="I324" s="3069"/>
      <c r="J324" s="3070"/>
      <c r="K324" s="3070"/>
      <c r="L324" s="3070"/>
      <c r="M324" s="3070"/>
      <c r="N324" s="3070"/>
      <c r="O324" s="3070"/>
      <c r="P324" s="3070"/>
      <c r="Q324" s="3070"/>
      <c r="R324" s="3070"/>
      <c r="S324" s="3070"/>
      <c r="T324" s="3070"/>
      <c r="U324" s="3071"/>
      <c r="W324" s="702"/>
      <c r="X324" s="702"/>
    </row>
    <row r="325" spans="2:24" s="1105" customFormat="1" ht="15" hidden="1">
      <c r="B325" s="3145">
        <f>Weight!B134</f>
        <v>3.3</v>
      </c>
      <c r="C325" s="2296">
        <f>Weight!C134</f>
        <v>0</v>
      </c>
      <c r="D325" s="2296"/>
      <c r="E325" s="2296"/>
      <c r="F325" s="2296"/>
      <c r="G325" s="3070"/>
      <c r="H325" s="3085"/>
      <c r="I325" s="3069"/>
      <c r="J325" s="3070"/>
      <c r="K325" s="3070"/>
      <c r="L325" s="3070"/>
      <c r="M325" s="3070"/>
      <c r="N325" s="3070"/>
      <c r="O325" s="3070"/>
      <c r="P325" s="3070"/>
      <c r="Q325" s="3070"/>
      <c r="R325" s="3070"/>
      <c r="S325" s="3070"/>
      <c r="T325" s="3070"/>
      <c r="U325" s="3071"/>
      <c r="W325" s="702"/>
      <c r="X325" s="702"/>
    </row>
    <row r="326" spans="2:24" s="1105" customFormat="1" ht="15" hidden="1">
      <c r="B326" s="3145">
        <f>Weight!B135</f>
        <v>3.4</v>
      </c>
      <c r="C326" s="2296">
        <f>Weight!C135</f>
        <v>0</v>
      </c>
      <c r="D326" s="2296"/>
      <c r="E326" s="2296"/>
      <c r="F326" s="2296"/>
      <c r="G326" s="3070"/>
      <c r="H326" s="3085"/>
      <c r="I326" s="3069"/>
      <c r="J326" s="3070"/>
      <c r="K326" s="3070"/>
      <c r="L326" s="3070"/>
      <c r="M326" s="3070"/>
      <c r="N326" s="3070"/>
      <c r="O326" s="3070"/>
      <c r="P326" s="3070"/>
      <c r="Q326" s="3070"/>
      <c r="R326" s="3070"/>
      <c r="S326" s="3070"/>
      <c r="T326" s="3070"/>
      <c r="U326" s="3071"/>
      <c r="W326" s="702"/>
      <c r="X326" s="702"/>
    </row>
    <row r="327" spans="2:24" s="1105" customFormat="1" ht="15" hidden="1">
      <c r="B327" s="3145">
        <f>Weight!B136</f>
        <v>3.5</v>
      </c>
      <c r="C327" s="2296">
        <f>Weight!C136</f>
        <v>0</v>
      </c>
      <c r="D327" s="2296"/>
      <c r="E327" s="2296"/>
      <c r="F327" s="2296"/>
      <c r="G327" s="3070"/>
      <c r="H327" s="3085"/>
      <c r="I327" s="3069"/>
      <c r="J327" s="3070"/>
      <c r="K327" s="3070"/>
      <c r="L327" s="3070"/>
      <c r="M327" s="3070"/>
      <c r="N327" s="3070"/>
      <c r="O327" s="3070"/>
      <c r="P327" s="3070"/>
      <c r="Q327" s="3070"/>
      <c r="R327" s="3070"/>
      <c r="S327" s="3070"/>
      <c r="T327" s="3070"/>
      <c r="U327" s="3071"/>
      <c r="W327" s="702"/>
      <c r="X327" s="702"/>
    </row>
    <row r="328" spans="2:24" s="1105" customFormat="1" ht="15" hidden="1">
      <c r="B328" s="3145">
        <f>Weight!B137</f>
        <v>0</v>
      </c>
      <c r="C328" s="2296">
        <f>Weight!C137</f>
        <v>0</v>
      </c>
      <c r="D328" s="2296"/>
      <c r="E328" s="2296"/>
      <c r="F328" s="2296"/>
      <c r="G328" s="3070"/>
      <c r="H328" s="3085"/>
      <c r="I328" s="3069"/>
      <c r="J328" s="3070"/>
      <c r="K328" s="3070"/>
      <c r="L328" s="3070"/>
      <c r="M328" s="3070"/>
      <c r="N328" s="3070"/>
      <c r="O328" s="3070"/>
      <c r="P328" s="3070"/>
      <c r="Q328" s="3070"/>
      <c r="R328" s="3070"/>
      <c r="S328" s="3070"/>
      <c r="T328" s="3070"/>
      <c r="U328" s="3071"/>
      <c r="W328" s="702"/>
      <c r="X328" s="702"/>
    </row>
    <row r="329" spans="2:24" s="1105" customFormat="1" ht="15" hidden="1">
      <c r="B329" s="3145">
        <f>Weight!B138</f>
        <v>4</v>
      </c>
      <c r="C329" s="2296" t="str">
        <f>Weight!C138</f>
        <v>Initiatives for Efficient Operation</v>
      </c>
      <c r="D329" s="2296"/>
      <c r="E329" s="2296"/>
      <c r="F329" s="2296"/>
      <c r="G329" s="3070"/>
      <c r="H329" s="3085"/>
      <c r="I329" s="3070"/>
      <c r="J329" s="3070"/>
      <c r="K329" s="3070"/>
      <c r="L329" s="3070"/>
      <c r="M329" s="3070"/>
      <c r="N329" s="3070"/>
      <c r="O329" s="3070"/>
      <c r="P329" s="3070"/>
      <c r="Q329" s="3070"/>
      <c r="R329" s="3070"/>
      <c r="S329" s="3070"/>
      <c r="T329" s="3070"/>
      <c r="U329" s="3071"/>
      <c r="W329" s="702"/>
      <c r="X329" s="702"/>
    </row>
    <row r="330" spans="2:24" s="1105" customFormat="1" ht="15" hidden="1">
      <c r="B330" s="3145">
        <f>Weight!B139</f>
        <v>4.0999999999999996</v>
      </c>
      <c r="C330" s="2296" t="str">
        <f>Weight!C139</f>
        <v>Other than apartments</v>
      </c>
      <c r="D330" s="2296"/>
      <c r="E330" s="2296"/>
      <c r="F330" s="2296"/>
      <c r="G330" s="3070"/>
      <c r="H330" s="3085"/>
      <c r="I330" s="3070"/>
      <c r="J330" s="3070"/>
      <c r="K330" s="3070"/>
      <c r="L330" s="3070"/>
      <c r="M330" s="3070"/>
      <c r="N330" s="3070"/>
      <c r="O330" s="3070"/>
      <c r="P330" s="3070"/>
      <c r="Q330" s="3070"/>
      <c r="R330" s="3070"/>
      <c r="S330" s="3070"/>
      <c r="T330" s="3070"/>
      <c r="U330" s="3071"/>
      <c r="W330" s="702"/>
      <c r="X330" s="702"/>
    </row>
    <row r="331" spans="2:24" s="1105" customFormat="1" ht="15" hidden="1">
      <c r="B331" s="3145" t="str">
        <f>Weight!B140</f>
        <v>4.1.1</v>
      </c>
      <c r="C331" s="2296" t="str">
        <f>Weight!C140</f>
        <v>Monitoring</v>
      </c>
      <c r="D331" s="2296"/>
      <c r="E331" s="2296"/>
      <c r="F331" s="2296"/>
      <c r="G331" s="3070"/>
      <c r="H331" s="3085"/>
      <c r="I331" s="3070"/>
      <c r="J331" s="3070"/>
      <c r="K331" s="3070"/>
      <c r="L331" s="3070"/>
      <c r="M331" s="3070"/>
      <c r="N331" s="3070"/>
      <c r="O331" s="3070"/>
      <c r="P331" s="3070"/>
      <c r="Q331" s="3070"/>
      <c r="R331" s="3070"/>
      <c r="S331" s="3070"/>
      <c r="T331" s="3070"/>
      <c r="U331" s="3071"/>
      <c r="W331" s="702"/>
      <c r="X331" s="702"/>
    </row>
    <row r="332" spans="2:24" s="1105" customFormat="1" ht="15" hidden="1">
      <c r="B332" s="3145" t="str">
        <f>Weight!B141</f>
        <v>4.1.2</v>
      </c>
      <c r="C332" s="2296" t="str">
        <f>Weight!C141</f>
        <v>Operation &amp; Management System</v>
      </c>
      <c r="D332" s="2296"/>
      <c r="E332" s="2296"/>
      <c r="F332" s="2296"/>
      <c r="G332" s="3070"/>
      <c r="H332" s="3085"/>
      <c r="I332" s="3070"/>
      <c r="J332" s="3070"/>
      <c r="K332" s="3070"/>
      <c r="L332" s="3070"/>
      <c r="M332" s="3070"/>
      <c r="N332" s="3070"/>
      <c r="O332" s="3070"/>
      <c r="P332" s="3070"/>
      <c r="Q332" s="3070"/>
      <c r="R332" s="3070"/>
      <c r="S332" s="3070"/>
      <c r="T332" s="3070"/>
      <c r="U332" s="3071"/>
      <c r="W332" s="702"/>
      <c r="X332" s="702"/>
    </row>
    <row r="333" spans="2:24" s="1105" customFormat="1" ht="15" hidden="1">
      <c r="B333" s="3145" t="str">
        <f>Weight!B142</f>
        <v>4.1.3</v>
      </c>
      <c r="C333" s="2296" t="str">
        <f>Weight!C142</f>
        <v>Expanding adoption of non-fossil energy</v>
      </c>
      <c r="D333" s="2296"/>
      <c r="E333" s="2296"/>
      <c r="F333" s="2296"/>
      <c r="G333" s="3070"/>
      <c r="H333" s="3085"/>
      <c r="I333" s="3070"/>
      <c r="J333" s="3070"/>
      <c r="K333" s="3070"/>
      <c r="L333" s="3070"/>
      <c r="M333" s="3070"/>
      <c r="N333" s="3070"/>
      <c r="O333" s="3070"/>
      <c r="P333" s="3070"/>
      <c r="Q333" s="3070"/>
      <c r="R333" s="3070"/>
      <c r="S333" s="3070"/>
      <c r="T333" s="3070"/>
      <c r="U333" s="3071"/>
      <c r="W333" s="702"/>
      <c r="X333" s="702"/>
    </row>
    <row r="334" spans="2:24" s="1105" customFormat="1" ht="15">
      <c r="B334" s="3145" t="str">
        <f>Weight!B143</f>
        <v>4.1.4</v>
      </c>
      <c r="C334" s="2296" t="str">
        <f>Weight!C143</f>
        <v>Promoting Commissioning</v>
      </c>
      <c r="D334" s="2296"/>
      <c r="E334" s="2296"/>
      <c r="F334" s="2296"/>
      <c r="G334" s="3070">
        <f>'LR1'!G201</f>
        <v>1</v>
      </c>
      <c r="H334" s="3085"/>
      <c r="I334" s="3070" t="str">
        <f>'LR1'!G196</f>
        <v>Yes</v>
      </c>
      <c r="J334" s="3070">
        <f>'LR1'!G197</f>
        <v>0</v>
      </c>
      <c r="K334" s="3070">
        <f>'LR1'!G198</f>
        <v>0</v>
      </c>
      <c r="L334" s="3070" t="str">
        <f>'LR1'!G199</f>
        <v>Yes</v>
      </c>
      <c r="M334" s="3070">
        <f>'LR1'!G200</f>
        <v>0</v>
      </c>
      <c r="N334" s="3085"/>
      <c r="O334" s="3085"/>
      <c r="P334" s="3085"/>
      <c r="Q334" s="3085"/>
      <c r="R334" s="3085"/>
      <c r="S334" s="3085"/>
      <c r="T334" s="3085"/>
      <c r="U334" s="3086"/>
      <c r="W334" s="702"/>
      <c r="X334" s="702"/>
    </row>
    <row r="335" spans="2:24" s="1105" customFormat="1" ht="15" hidden="1">
      <c r="B335" s="3145">
        <f>Weight!B144</f>
        <v>4.2</v>
      </c>
      <c r="C335" s="2296" t="str">
        <f>Weight!C144</f>
        <v>Apartments</v>
      </c>
      <c r="D335" s="2296"/>
      <c r="E335" s="2296"/>
      <c r="F335" s="2296"/>
      <c r="G335" s="3070"/>
      <c r="H335" s="3070"/>
      <c r="I335" s="3070"/>
      <c r="J335" s="3070"/>
      <c r="K335" s="3070"/>
      <c r="L335" s="3070"/>
      <c r="M335" s="3070"/>
      <c r="N335" s="3070"/>
      <c r="O335" s="3070"/>
      <c r="P335" s="3070"/>
      <c r="Q335" s="3070"/>
      <c r="R335" s="3070"/>
      <c r="S335" s="3070"/>
      <c r="T335" s="3070"/>
      <c r="U335" s="3071"/>
      <c r="W335" s="702"/>
      <c r="X335" s="702"/>
    </row>
    <row r="336" spans="2:24" s="1105" customFormat="1" ht="15" hidden="1">
      <c r="B336" s="3145" t="str">
        <f>Weight!B145</f>
        <v>4.2.1</v>
      </c>
      <c r="C336" s="2296" t="str">
        <f>Weight!C145</f>
        <v>Monitoring</v>
      </c>
      <c r="D336" s="2296"/>
      <c r="E336" s="2296"/>
      <c r="F336" s="2296"/>
      <c r="G336" s="3070"/>
      <c r="H336" s="3070"/>
      <c r="I336" s="3070"/>
      <c r="J336" s="3070"/>
      <c r="K336" s="3070"/>
      <c r="L336" s="3070"/>
      <c r="M336" s="3070"/>
      <c r="N336" s="3070"/>
      <c r="O336" s="3070"/>
      <c r="P336" s="3070"/>
      <c r="Q336" s="3070"/>
      <c r="R336" s="3070"/>
      <c r="S336" s="3070"/>
      <c r="T336" s="3070"/>
      <c r="U336" s="3071"/>
      <c r="W336" s="702"/>
      <c r="X336" s="702"/>
    </row>
    <row r="337" spans="2:24" s="1105" customFormat="1" ht="15" hidden="1">
      <c r="B337" s="3145" t="str">
        <f>Weight!B146</f>
        <v>4.2.2</v>
      </c>
      <c r="C337" s="2296" t="str">
        <f>Weight!C146</f>
        <v>Operation &amp; Management System</v>
      </c>
      <c r="D337" s="2296"/>
      <c r="E337" s="2296"/>
      <c r="F337" s="2296"/>
      <c r="G337" s="3070"/>
      <c r="H337" s="3070"/>
      <c r="I337" s="3070"/>
      <c r="J337" s="3070"/>
      <c r="K337" s="3070"/>
      <c r="L337" s="3070"/>
      <c r="M337" s="3070"/>
      <c r="N337" s="3070"/>
      <c r="O337" s="3070"/>
      <c r="P337" s="3070"/>
      <c r="Q337" s="3070"/>
      <c r="R337" s="3070"/>
      <c r="S337" s="3070"/>
      <c r="T337" s="3070"/>
      <c r="U337" s="3071"/>
      <c r="W337" s="702"/>
      <c r="X337" s="702"/>
    </row>
    <row r="338" spans="2:24" s="1105" customFormat="1" ht="15">
      <c r="B338" s="3144" t="str">
        <f>Weight!B147</f>
        <v>LR2</v>
      </c>
      <c r="C338" s="3075" t="str">
        <f>Weight!C147</f>
        <v>Resources &amp; Materials</v>
      </c>
      <c r="D338" s="3075"/>
      <c r="E338" s="3075"/>
      <c r="F338" s="3075"/>
      <c r="G338" s="3075"/>
      <c r="H338" s="3076"/>
      <c r="I338" s="3077"/>
      <c r="J338" s="3077"/>
      <c r="K338" s="3077"/>
      <c r="L338" s="3077"/>
      <c r="M338" s="3077"/>
      <c r="N338" s="3077"/>
      <c r="O338" s="3077"/>
      <c r="P338" s="3078"/>
      <c r="Q338" s="3078"/>
      <c r="R338" s="1271"/>
      <c r="S338" s="1272"/>
      <c r="T338" s="1271"/>
      <c r="U338" s="1273"/>
    </row>
    <row r="339" spans="2:24" s="1105" customFormat="1" ht="15" hidden="1">
      <c r="B339" s="3145">
        <f>Weight!B148</f>
        <v>1</v>
      </c>
      <c r="C339" s="2296" t="str">
        <f>Weight!C148</f>
        <v xml:space="preserve">Water Resources </v>
      </c>
      <c r="D339" s="2296"/>
      <c r="E339" s="2296"/>
      <c r="F339" s="2296"/>
      <c r="G339" s="3070"/>
      <c r="H339" s="3070"/>
      <c r="I339" s="3070"/>
      <c r="J339" s="3070"/>
      <c r="K339" s="3070"/>
      <c r="L339" s="3070"/>
      <c r="M339" s="3070"/>
      <c r="N339" s="3070"/>
      <c r="O339" s="3070"/>
      <c r="P339" s="3070"/>
      <c r="Q339" s="3070"/>
      <c r="R339" s="3070"/>
      <c r="S339" s="3070"/>
      <c r="T339" s="3070"/>
      <c r="U339" s="3071"/>
      <c r="W339" s="702"/>
      <c r="X339" s="702"/>
    </row>
    <row r="340" spans="2:24" s="1105" customFormat="1" ht="15" hidden="1">
      <c r="B340" s="3145">
        <f>Weight!B149</f>
        <v>1.1000000000000001</v>
      </c>
      <c r="C340" s="2296" t="str">
        <f>Weight!C149</f>
        <v>Water Saving</v>
      </c>
      <c r="D340" s="2296"/>
      <c r="E340" s="2296"/>
      <c r="F340" s="2296"/>
      <c r="G340" s="3070"/>
      <c r="H340" s="3070"/>
      <c r="I340" s="3070"/>
      <c r="J340" s="3070"/>
      <c r="K340" s="3070"/>
      <c r="L340" s="3070"/>
      <c r="M340" s="3070"/>
      <c r="N340" s="3070"/>
      <c r="O340" s="3070"/>
      <c r="P340" s="3070"/>
      <c r="Q340" s="3070"/>
      <c r="R340" s="3070"/>
      <c r="S340" s="3070"/>
      <c r="T340" s="3070"/>
      <c r="U340" s="3071"/>
      <c r="W340" s="702"/>
      <c r="X340" s="702"/>
    </row>
    <row r="341" spans="2:24" s="1105" customFormat="1" ht="15" hidden="1">
      <c r="B341" s="3145">
        <f>Weight!B150</f>
        <v>1.2</v>
      </c>
      <c r="C341" s="2296" t="str">
        <f>Weight!C150</f>
        <v>Rain Water &amp; Waste Water Use</v>
      </c>
      <c r="D341" s="2296"/>
      <c r="E341" s="2296"/>
      <c r="F341" s="2296"/>
      <c r="G341" s="3070"/>
      <c r="H341" s="3070"/>
      <c r="I341" s="3070"/>
      <c r="J341" s="3070"/>
      <c r="K341" s="3070"/>
      <c r="L341" s="3070"/>
      <c r="M341" s="3070"/>
      <c r="N341" s="3070"/>
      <c r="O341" s="3070"/>
      <c r="P341" s="3070"/>
      <c r="Q341" s="3070"/>
      <c r="R341" s="3070"/>
      <c r="S341" s="3070"/>
      <c r="T341" s="3070"/>
      <c r="U341" s="3071"/>
      <c r="W341" s="702"/>
      <c r="X341" s="702"/>
    </row>
    <row r="342" spans="2:24" s="1105" customFormat="1" ht="15" hidden="1">
      <c r="B342" s="3145" t="str">
        <f>Weight!B151</f>
        <v>1.2.1</v>
      </c>
      <c r="C342" s="2296" t="str">
        <f>Weight!C151</f>
        <v>Rainwater Use System</v>
      </c>
      <c r="D342" s="2296"/>
      <c r="E342" s="2296"/>
      <c r="F342" s="2296"/>
      <c r="G342" s="3070"/>
      <c r="H342" s="3070"/>
      <c r="I342" s="3070"/>
      <c r="J342" s="3070"/>
      <c r="K342" s="3070"/>
      <c r="L342" s="3070"/>
      <c r="M342" s="3070"/>
      <c r="N342" s="3070"/>
      <c r="O342" s="3070"/>
      <c r="P342" s="3070"/>
      <c r="Q342" s="3070"/>
      <c r="R342" s="3070"/>
      <c r="S342" s="3070"/>
      <c r="T342" s="3070"/>
      <c r="U342" s="3071"/>
      <c r="W342" s="702"/>
      <c r="X342" s="702"/>
    </row>
    <row r="343" spans="2:24" s="1105" customFormat="1" ht="15">
      <c r="B343" s="3145" t="str">
        <f>Weight!B152</f>
        <v>1.2.2</v>
      </c>
      <c r="C343" s="3087" t="str">
        <f>Weight!C152</f>
        <v>Waste Water Reuse System</v>
      </c>
      <c r="D343" s="2296"/>
      <c r="E343" s="2296"/>
      <c r="F343" s="2296"/>
      <c r="G343" s="3085"/>
      <c r="H343" s="3085"/>
      <c r="I343" s="3070" t="str">
        <f>'LR2'!L33</f>
        <v>-</v>
      </c>
      <c r="J343" s="3070">
        <f>'LR2'!L34</f>
        <v>0</v>
      </c>
      <c r="K343" s="3070">
        <f>'LR2'!L35</f>
        <v>0</v>
      </c>
      <c r="L343" s="3070">
        <f>'LR2'!L36</f>
        <v>0</v>
      </c>
      <c r="M343" s="3070">
        <f>'LR2'!L37</f>
        <v>0</v>
      </c>
      <c r="N343" s="3070" t="str">
        <f>'LR2'!L38</f>
        <v>-</v>
      </c>
      <c r="O343" s="3070">
        <f>'LR2'!L39</f>
        <v>0</v>
      </c>
      <c r="P343" s="3070">
        <f>'LR2'!L40</f>
        <v>0</v>
      </c>
      <c r="Q343" s="3085"/>
      <c r="R343" s="3085"/>
      <c r="S343" s="3085"/>
      <c r="T343" s="3085"/>
      <c r="U343" s="3086"/>
      <c r="W343" s="702"/>
      <c r="X343" s="702"/>
    </row>
    <row r="344" spans="2:24" s="1105" customFormat="1" ht="15" hidden="1">
      <c r="B344" s="3145">
        <f>Weight!B153</f>
        <v>2</v>
      </c>
      <c r="C344" s="2296" t="str">
        <f>Weight!C153</f>
        <v>Reducing Use of Non-renewable Resources</v>
      </c>
      <c r="D344" s="2296"/>
      <c r="E344" s="2296"/>
      <c r="F344" s="2296"/>
      <c r="G344" s="3070"/>
      <c r="H344" s="3085"/>
      <c r="I344" s="3069"/>
      <c r="J344" s="3070"/>
      <c r="K344" s="3070"/>
      <c r="L344" s="3085"/>
      <c r="M344" s="3085"/>
      <c r="N344" s="3085"/>
      <c r="O344" s="3085"/>
      <c r="P344" s="3085"/>
      <c r="Q344" s="3085"/>
      <c r="R344" s="3085"/>
      <c r="S344" s="3085"/>
      <c r="T344" s="3085"/>
      <c r="U344" s="3086"/>
      <c r="W344" s="702"/>
      <c r="X344" s="702"/>
    </row>
    <row r="345" spans="2:24" s="1105" customFormat="1" ht="15">
      <c r="B345" s="3145" t="str">
        <f>Weight!B154</f>
        <v>2.1</v>
      </c>
      <c r="C345" s="2296" t="str">
        <f>Weight!C154</f>
        <v>Reducing Use of Materials</v>
      </c>
      <c r="D345" s="2296"/>
      <c r="E345" s="2296"/>
      <c r="F345" s="2296"/>
      <c r="G345" s="3070">
        <f>'LR2'!G57</f>
        <v>2</v>
      </c>
      <c r="H345" s="3085"/>
      <c r="I345" s="3070">
        <f>'LR2'!G54</f>
        <v>1</v>
      </c>
      <c r="J345" s="3070">
        <f>'LR2'!G55</f>
        <v>1</v>
      </c>
      <c r="K345" s="3070">
        <f>'LR2'!G56</f>
        <v>0</v>
      </c>
      <c r="L345" s="3085"/>
      <c r="M345" s="3085"/>
      <c r="N345" s="3085"/>
      <c r="O345" s="3085"/>
      <c r="P345" s="3085"/>
      <c r="Q345" s="3085"/>
      <c r="R345" s="3085"/>
      <c r="S345" s="3085"/>
      <c r="T345" s="3085"/>
      <c r="U345" s="3086"/>
      <c r="W345" s="702"/>
      <c r="X345" s="702"/>
    </row>
    <row r="346" spans="2:24" s="1105" customFormat="1" ht="15" hidden="1">
      <c r="B346" s="3145" t="str">
        <f>Weight!B155</f>
        <v>2.2</v>
      </c>
      <c r="C346" s="2296" t="str">
        <f>Weight!C155</f>
        <v>Continuing Use of Existing Structural Frame, etc.</v>
      </c>
      <c r="D346" s="2296"/>
      <c r="E346" s="2296"/>
      <c r="F346" s="2296"/>
      <c r="G346" s="3070"/>
      <c r="H346" s="3085"/>
      <c r="I346" s="3069"/>
      <c r="J346" s="3069"/>
      <c r="K346" s="3069"/>
      <c r="L346" s="3069"/>
      <c r="M346" s="3085"/>
      <c r="N346" s="3085"/>
      <c r="O346" s="3085"/>
      <c r="P346" s="3085"/>
      <c r="Q346" s="3085"/>
      <c r="R346" s="3085"/>
      <c r="S346" s="3085"/>
      <c r="T346" s="3085"/>
      <c r="U346" s="3086"/>
      <c r="W346" s="702"/>
      <c r="X346" s="702"/>
    </row>
    <row r="347" spans="2:24" s="1105" customFormat="1" ht="15">
      <c r="B347" s="3145" t="str">
        <f>Weight!B156</f>
        <v>2.3</v>
      </c>
      <c r="C347" s="3087" t="str">
        <f>Weight!C156</f>
        <v>Use of Recycled Materials as Structural Materials</v>
      </c>
      <c r="D347" s="2296"/>
      <c r="E347" s="2296"/>
      <c r="F347" s="2296"/>
      <c r="G347" s="3085"/>
      <c r="H347" s="3085"/>
      <c r="I347" s="3070">
        <f>'LR2'!I79</f>
        <v>0</v>
      </c>
      <c r="J347" s="3070">
        <f>'LR2'!I80</f>
        <v>0</v>
      </c>
      <c r="K347" s="3070">
        <f>'LR2'!I81</f>
        <v>0</v>
      </c>
      <c r="L347" s="3070">
        <f>'LR2'!I82</f>
        <v>0</v>
      </c>
      <c r="M347" s="3070">
        <f>'LR2'!I83</f>
        <v>0</v>
      </c>
      <c r="N347" s="3085"/>
      <c r="O347" s="3085"/>
      <c r="P347" s="3085"/>
      <c r="Q347" s="3085"/>
      <c r="R347" s="3085"/>
      <c r="S347" s="3085"/>
      <c r="T347" s="3085"/>
      <c r="U347" s="3086"/>
      <c r="W347" s="702"/>
      <c r="X347" s="702"/>
    </row>
    <row r="348" spans="2:24" s="1105" customFormat="1" ht="15" hidden="1">
      <c r="B348" s="3145" t="str">
        <f>Weight!B157</f>
        <v>2.4</v>
      </c>
      <c r="C348" s="3087" t="str">
        <f>Weight!C157</f>
        <v>Use of Recycled Materials as Non-structural Materials</v>
      </c>
      <c r="D348" s="2296"/>
      <c r="E348" s="2296"/>
      <c r="F348" s="2296"/>
      <c r="G348" s="3070"/>
      <c r="H348" s="3085"/>
      <c r="I348" s="3069"/>
      <c r="J348" s="3070"/>
      <c r="K348" s="3070"/>
      <c r="L348" s="3070"/>
      <c r="M348" s="3085"/>
      <c r="N348" s="3085"/>
      <c r="O348" s="3085"/>
      <c r="P348" s="3085"/>
      <c r="Q348" s="3085"/>
      <c r="R348" s="3085"/>
      <c r="S348" s="3085"/>
      <c r="T348" s="3085"/>
      <c r="U348" s="3086"/>
      <c r="W348" s="702"/>
      <c r="X348" s="702"/>
    </row>
    <row r="349" spans="2:24" s="1105" customFormat="1" ht="15" hidden="1">
      <c r="B349" s="3145" t="str">
        <f>Weight!B158</f>
        <v>2.5</v>
      </c>
      <c r="C349" s="3087" t="str">
        <f>Weight!C158</f>
        <v>Timber from Sustainable Forestry</v>
      </c>
      <c r="D349" s="2296"/>
      <c r="E349" s="2296"/>
      <c r="F349" s="2296"/>
      <c r="G349" s="3070"/>
      <c r="H349" s="3085"/>
      <c r="I349" s="3069"/>
      <c r="J349" s="3070"/>
      <c r="K349" s="3070"/>
      <c r="L349" s="3070"/>
      <c r="M349" s="3085"/>
      <c r="N349" s="3085"/>
      <c r="O349" s="3085"/>
      <c r="P349" s="3085"/>
      <c r="Q349" s="3085"/>
      <c r="R349" s="3085"/>
      <c r="S349" s="3085"/>
      <c r="T349" s="3085"/>
      <c r="U349" s="3086"/>
      <c r="W349" s="702"/>
      <c r="X349" s="702"/>
    </row>
    <row r="350" spans="2:24" s="1105" customFormat="1" ht="15">
      <c r="B350" s="3145" t="str">
        <f>Weight!B159</f>
        <v>2.6</v>
      </c>
      <c r="C350" s="3087" t="str">
        <f>Weight!C159</f>
        <v>Reusability of Components and Materials</v>
      </c>
      <c r="D350" s="2296"/>
      <c r="E350" s="2296"/>
      <c r="F350" s="2296"/>
      <c r="G350" s="3070">
        <f>'LR2'!G126</f>
        <v>0</v>
      </c>
      <c r="H350" s="3085"/>
      <c r="I350" s="3070">
        <f>'LR2'!G122</f>
        <v>0</v>
      </c>
      <c r="J350" s="3070">
        <f>'LR2'!G123</f>
        <v>0</v>
      </c>
      <c r="K350" s="3070">
        <f>'LR2'!G124</f>
        <v>0</v>
      </c>
      <c r="L350" s="3070">
        <f>'LR2'!G125</f>
        <v>0</v>
      </c>
      <c r="M350" s="3085"/>
      <c r="N350" s="3085"/>
      <c r="O350" s="3085"/>
      <c r="P350" s="3085"/>
      <c r="Q350" s="3085"/>
      <c r="R350" s="3085"/>
      <c r="S350" s="3085"/>
      <c r="T350" s="3085"/>
      <c r="U350" s="3086"/>
      <c r="W350" s="702"/>
      <c r="X350" s="702"/>
    </row>
    <row r="351" spans="2:24" s="1105" customFormat="1" ht="15" hidden="1">
      <c r="B351" s="3145" t="str">
        <f>Weight!B160</f>
        <v>2.6</v>
      </c>
      <c r="C351" s="3087">
        <f>Weight!C160</f>
        <v>0</v>
      </c>
      <c r="D351" s="2296"/>
      <c r="E351" s="2296"/>
      <c r="F351" s="2296"/>
      <c r="G351" s="3070"/>
      <c r="H351" s="3085"/>
      <c r="I351" s="3069"/>
      <c r="J351" s="3070"/>
      <c r="K351" s="3070"/>
      <c r="L351" s="3070"/>
      <c r="M351" s="3085"/>
      <c r="N351" s="3085"/>
      <c r="O351" s="3085"/>
      <c r="P351" s="3085"/>
      <c r="Q351" s="3085"/>
      <c r="R351" s="3085"/>
      <c r="S351" s="3085"/>
      <c r="T351" s="3085"/>
      <c r="U351" s="3086"/>
      <c r="W351" s="702"/>
      <c r="X351" s="702"/>
    </row>
    <row r="352" spans="2:24" s="1105" customFormat="1" ht="15" hidden="1">
      <c r="B352" s="3145" t="str">
        <f>Weight!B161</f>
        <v>2.6.1</v>
      </c>
      <c r="C352" s="3087">
        <f>Weight!C161</f>
        <v>0</v>
      </c>
      <c r="D352" s="2296"/>
      <c r="E352" s="2296"/>
      <c r="F352" s="2296"/>
      <c r="G352" s="3070"/>
      <c r="H352" s="3085"/>
      <c r="I352" s="3070"/>
      <c r="J352" s="3070"/>
      <c r="K352" s="3070"/>
      <c r="L352" s="3070"/>
      <c r="M352" s="3085"/>
      <c r="N352" s="3085"/>
      <c r="O352" s="3085"/>
      <c r="P352" s="3085"/>
      <c r="Q352" s="3085"/>
      <c r="R352" s="3085"/>
      <c r="S352" s="3085"/>
      <c r="T352" s="3085"/>
      <c r="U352" s="3086"/>
      <c r="W352" s="702"/>
      <c r="X352" s="702"/>
    </row>
    <row r="353" spans="2:24" s="1105" customFormat="1" ht="15" hidden="1">
      <c r="B353" s="3145" t="str">
        <f>Weight!B162</f>
        <v>2.6.2</v>
      </c>
      <c r="C353" s="3087">
        <f>Weight!C162</f>
        <v>0</v>
      </c>
      <c r="D353" s="2296"/>
      <c r="E353" s="2296"/>
      <c r="F353" s="2296"/>
      <c r="G353" s="3070"/>
      <c r="H353" s="3085"/>
      <c r="I353" s="3070"/>
      <c r="J353" s="3070"/>
      <c r="K353" s="3070"/>
      <c r="L353" s="3070"/>
      <c r="M353" s="3085"/>
      <c r="N353" s="3085"/>
      <c r="O353" s="3085"/>
      <c r="P353" s="3085"/>
      <c r="Q353" s="3085"/>
      <c r="R353" s="3085"/>
      <c r="S353" s="3085"/>
      <c r="T353" s="3085"/>
      <c r="U353" s="3086"/>
      <c r="W353" s="702"/>
      <c r="X353" s="702"/>
    </row>
    <row r="354" spans="2:24" s="1105" customFormat="1" ht="15" hidden="1">
      <c r="B354" s="3145" t="str">
        <f>Weight!B163</f>
        <v>2.6.3</v>
      </c>
      <c r="C354" s="3087">
        <f>Weight!C163</f>
        <v>0</v>
      </c>
      <c r="D354" s="2296"/>
      <c r="E354" s="2296"/>
      <c r="F354" s="2296"/>
      <c r="G354" s="3070"/>
      <c r="H354" s="3085"/>
      <c r="I354" s="3069"/>
      <c r="J354" s="3070"/>
      <c r="K354" s="3070"/>
      <c r="L354" s="3070"/>
      <c r="M354" s="3085"/>
      <c r="N354" s="3085"/>
      <c r="O354" s="3085"/>
      <c r="P354" s="3085"/>
      <c r="Q354" s="3085"/>
      <c r="R354" s="3085"/>
      <c r="S354" s="3085"/>
      <c r="T354" s="3085"/>
      <c r="U354" s="3086"/>
      <c r="W354" s="702"/>
      <c r="X354" s="702"/>
    </row>
    <row r="355" spans="2:24" s="1105" customFormat="1" ht="15" hidden="1">
      <c r="B355" s="3145" t="str">
        <f>Weight!B164</f>
        <v>2.6.4</v>
      </c>
      <c r="C355" s="3087">
        <f>Weight!C164</f>
        <v>0</v>
      </c>
      <c r="D355" s="2296"/>
      <c r="E355" s="2296"/>
      <c r="F355" s="2296"/>
      <c r="G355" s="3070"/>
      <c r="H355" s="3085"/>
      <c r="I355" s="3070"/>
      <c r="J355" s="3070"/>
      <c r="K355" s="3070"/>
      <c r="L355" s="3070"/>
      <c r="M355" s="3085"/>
      <c r="N355" s="3085"/>
      <c r="O355" s="3085"/>
      <c r="P355" s="3085"/>
      <c r="Q355" s="3085"/>
      <c r="R355" s="3085"/>
      <c r="S355" s="3085"/>
      <c r="T355" s="3085"/>
      <c r="U355" s="3086"/>
      <c r="W355" s="702"/>
      <c r="X355" s="702"/>
    </row>
    <row r="356" spans="2:24" s="1105" customFormat="1" ht="15" hidden="1">
      <c r="B356" s="3145" t="str">
        <f>Weight!B165</f>
        <v>2.6.5</v>
      </c>
      <c r="C356" s="3087">
        <f>Weight!C165</f>
        <v>0</v>
      </c>
      <c r="D356" s="2296"/>
      <c r="E356" s="2296"/>
      <c r="F356" s="2296"/>
      <c r="G356" s="3070"/>
      <c r="H356" s="3085"/>
      <c r="I356" s="3070"/>
      <c r="J356" s="3070"/>
      <c r="K356" s="3070"/>
      <c r="L356" s="3070"/>
      <c r="M356" s="3085"/>
      <c r="N356" s="3085"/>
      <c r="O356" s="3085"/>
      <c r="P356" s="3085"/>
      <c r="Q356" s="3085"/>
      <c r="R356" s="3085"/>
      <c r="S356" s="3085"/>
      <c r="T356" s="3085"/>
      <c r="U356" s="3086"/>
      <c r="W356" s="702"/>
      <c r="X356" s="702"/>
    </row>
    <row r="357" spans="2:24" s="1105" customFormat="1" ht="15" hidden="1">
      <c r="B357" s="3145" t="str">
        <f>Weight!B166</f>
        <v>2.6.6</v>
      </c>
      <c r="C357" s="3087">
        <f>Weight!C166</f>
        <v>0</v>
      </c>
      <c r="D357" s="2296"/>
      <c r="E357" s="2296"/>
      <c r="F357" s="2296"/>
      <c r="G357" s="3070"/>
      <c r="H357" s="3085"/>
      <c r="I357" s="3070"/>
      <c r="J357" s="3070"/>
      <c r="K357" s="3070"/>
      <c r="L357" s="3070"/>
      <c r="M357" s="3085"/>
      <c r="N357" s="3085"/>
      <c r="O357" s="3085"/>
      <c r="P357" s="3085"/>
      <c r="Q357" s="3085"/>
      <c r="R357" s="3085"/>
      <c r="S357" s="3085"/>
      <c r="T357" s="3085"/>
      <c r="U357" s="3086"/>
      <c r="W357" s="702"/>
      <c r="X357" s="702"/>
    </row>
    <row r="358" spans="2:24" s="1105" customFormat="1" ht="15" hidden="1">
      <c r="B358" s="3145">
        <f>Weight!B167</f>
        <v>2.7</v>
      </c>
      <c r="C358" s="3087">
        <f>Weight!C167</f>
        <v>0</v>
      </c>
      <c r="D358" s="2296"/>
      <c r="E358" s="2296"/>
      <c r="F358" s="2296"/>
      <c r="G358" s="3070"/>
      <c r="H358" s="3085"/>
      <c r="I358" s="3070"/>
      <c r="J358" s="3070"/>
      <c r="K358" s="3070"/>
      <c r="L358" s="3070"/>
      <c r="M358" s="3085"/>
      <c r="N358" s="3085"/>
      <c r="O358" s="3085"/>
      <c r="P358" s="3085"/>
      <c r="Q358" s="3085"/>
      <c r="R358" s="3085"/>
      <c r="S358" s="3085"/>
      <c r="T358" s="3085"/>
      <c r="U358" s="3086"/>
      <c r="W358" s="702"/>
      <c r="X358" s="702"/>
    </row>
    <row r="359" spans="2:24" s="1105" customFormat="1" ht="15" hidden="1">
      <c r="B359" s="3145">
        <f>Weight!B168</f>
        <v>3</v>
      </c>
      <c r="C359" s="3087" t="str">
        <f>Weight!C168</f>
        <v>Avoiding the Use of Materials with Pollutant Content</v>
      </c>
      <c r="D359" s="2296"/>
      <c r="E359" s="2296"/>
      <c r="F359" s="2296"/>
      <c r="G359" s="3070"/>
      <c r="H359" s="3085"/>
      <c r="I359" s="3070"/>
      <c r="J359" s="3070"/>
      <c r="K359" s="3070"/>
      <c r="L359" s="3070"/>
      <c r="M359" s="3085"/>
      <c r="N359" s="3085"/>
      <c r="O359" s="3085"/>
      <c r="P359" s="3085"/>
      <c r="Q359" s="3085"/>
      <c r="R359" s="3085"/>
      <c r="S359" s="3085"/>
      <c r="T359" s="3085"/>
      <c r="U359" s="3086"/>
      <c r="W359" s="702"/>
      <c r="X359" s="702"/>
    </row>
    <row r="360" spans="2:24" s="1105" customFormat="1" ht="15">
      <c r="B360" s="3145" t="str">
        <f>Weight!B169</f>
        <v>3.1</v>
      </c>
      <c r="C360" s="3147" t="str">
        <f>Weight!C169</f>
        <v>Use of Materials without Harmful Substances</v>
      </c>
      <c r="D360" s="2296"/>
      <c r="E360" s="2296"/>
      <c r="F360" s="2296"/>
      <c r="G360" s="3070">
        <f>'LR2'!L207</f>
        <v>0</v>
      </c>
      <c r="H360" s="3085"/>
      <c r="I360" s="3085"/>
      <c r="J360" s="3085"/>
      <c r="K360" s="3085"/>
      <c r="L360" s="3085"/>
      <c r="M360" s="3085"/>
      <c r="N360" s="3085"/>
      <c r="O360" s="3085"/>
      <c r="P360" s="3085"/>
      <c r="Q360" s="3085"/>
      <c r="R360" s="3085"/>
      <c r="S360" s="3085"/>
      <c r="T360" s="3085"/>
      <c r="U360" s="3086"/>
      <c r="W360" s="702"/>
      <c r="X360" s="702"/>
    </row>
    <row r="361" spans="2:24" s="1105" customFormat="1" ht="15" hidden="1">
      <c r="B361" s="3145" t="str">
        <f>Weight!B170</f>
        <v>3.2</v>
      </c>
      <c r="C361" s="2296" t="str">
        <f>Weight!C170</f>
        <v>Avoidance of CFCs and Halons</v>
      </c>
      <c r="D361" s="2296"/>
      <c r="E361" s="2296"/>
      <c r="F361" s="2296"/>
      <c r="G361" s="3070"/>
      <c r="H361" s="3070"/>
      <c r="I361" s="3070"/>
      <c r="J361" s="3070"/>
      <c r="K361" s="3070"/>
      <c r="L361" s="3070"/>
      <c r="M361" s="3070"/>
      <c r="N361" s="3070"/>
      <c r="O361" s="3070"/>
      <c r="P361" s="3070"/>
      <c r="Q361" s="3070"/>
      <c r="R361" s="3070"/>
      <c r="S361" s="3070"/>
      <c r="T361" s="3070"/>
      <c r="U361" s="3071"/>
      <c r="W361" s="702"/>
      <c r="X361" s="702"/>
    </row>
    <row r="362" spans="2:24" s="1105" customFormat="1" ht="15" hidden="1">
      <c r="B362" s="3145" t="str">
        <f>Weight!B171</f>
        <v>3.2.1</v>
      </c>
      <c r="C362" s="2296" t="str">
        <f>Weight!C171</f>
        <v>Fire Retardant</v>
      </c>
      <c r="D362" s="2296"/>
      <c r="E362" s="2296"/>
      <c r="F362" s="2296"/>
      <c r="G362" s="3070"/>
      <c r="H362" s="3070"/>
      <c r="I362" s="3070"/>
      <c r="J362" s="3070"/>
      <c r="K362" s="3070"/>
      <c r="L362" s="3070"/>
      <c r="M362" s="3070"/>
      <c r="N362" s="3070"/>
      <c r="O362" s="3070"/>
      <c r="P362" s="3070"/>
      <c r="Q362" s="3070"/>
      <c r="R362" s="3070"/>
      <c r="S362" s="3070"/>
      <c r="T362" s="3070"/>
      <c r="U362" s="3071"/>
      <c r="W362" s="702"/>
      <c r="X362" s="702"/>
    </row>
    <row r="363" spans="2:24" s="1105" customFormat="1" ht="15" hidden="1">
      <c r="B363" s="3145" t="str">
        <f>Weight!B172</f>
        <v>3.2.2</v>
      </c>
      <c r="C363" s="2296" t="str">
        <f>Weight!C172</f>
        <v>Foaming Agents (Insulation Materials, etc.)</v>
      </c>
      <c r="D363" s="2296"/>
      <c r="E363" s="2296"/>
      <c r="F363" s="2296"/>
      <c r="G363" s="3070"/>
      <c r="H363" s="3070"/>
      <c r="I363" s="3070"/>
      <c r="J363" s="3070"/>
      <c r="K363" s="3070"/>
      <c r="L363" s="3070"/>
      <c r="M363" s="3070"/>
      <c r="N363" s="3070"/>
      <c r="O363" s="3070"/>
      <c r="P363" s="3070"/>
      <c r="Q363" s="3070"/>
      <c r="R363" s="3070"/>
      <c r="S363" s="3070"/>
      <c r="T363" s="3070"/>
      <c r="U363" s="3071"/>
      <c r="W363" s="702"/>
      <c r="X363" s="702"/>
    </row>
    <row r="364" spans="2:24" s="1105" customFormat="1" ht="15" hidden="1">
      <c r="B364" s="3145" t="str">
        <f>Weight!B173</f>
        <v>3.2.3</v>
      </c>
      <c r="C364" s="2296" t="str">
        <f>Weight!C173</f>
        <v>Refrigerants</v>
      </c>
      <c r="D364" s="2296"/>
      <c r="E364" s="2296"/>
      <c r="F364" s="2296"/>
      <c r="G364" s="3070"/>
      <c r="H364" s="3070"/>
      <c r="I364" s="3070"/>
      <c r="J364" s="3070"/>
      <c r="K364" s="3070"/>
      <c r="L364" s="3070"/>
      <c r="M364" s="3070"/>
      <c r="N364" s="3070"/>
      <c r="O364" s="3070"/>
      <c r="P364" s="3070"/>
      <c r="Q364" s="3070"/>
      <c r="R364" s="3070"/>
      <c r="S364" s="3070"/>
      <c r="T364" s="3070"/>
      <c r="U364" s="3071"/>
      <c r="W364" s="702"/>
      <c r="X364" s="702"/>
    </row>
    <row r="365" spans="2:24" s="1105" customFormat="1" ht="15">
      <c r="B365" s="3144" t="str">
        <f>Weight!B174</f>
        <v>LR3</v>
      </c>
      <c r="C365" s="3075" t="str">
        <f>Weight!C174</f>
        <v>Off-site Environment</v>
      </c>
      <c r="D365" s="3075"/>
      <c r="E365" s="3075"/>
      <c r="F365" s="3075"/>
      <c r="G365" s="3075"/>
      <c r="H365" s="3076"/>
      <c r="I365" s="3077"/>
      <c r="J365" s="3077"/>
      <c r="K365" s="3077"/>
      <c r="L365" s="3077"/>
      <c r="M365" s="3077"/>
      <c r="N365" s="3077"/>
      <c r="O365" s="3077"/>
      <c r="P365" s="3078"/>
      <c r="Q365" s="3078"/>
      <c r="R365" s="1271"/>
      <c r="S365" s="1272"/>
      <c r="T365" s="1271"/>
      <c r="U365" s="1273"/>
      <c r="W365" s="702"/>
      <c r="X365" s="702"/>
    </row>
    <row r="366" spans="2:24" s="1105" customFormat="1" ht="15" hidden="1">
      <c r="B366" s="3145">
        <f>Weight!B175</f>
        <v>1</v>
      </c>
      <c r="C366" s="2296" t="str">
        <f>Weight!C175</f>
        <v>Consideration of Global Warming</v>
      </c>
      <c r="D366" s="2296"/>
      <c r="E366" s="2296"/>
      <c r="F366" s="2296"/>
      <c r="G366" s="3070"/>
      <c r="H366" s="3070"/>
      <c r="I366" s="3070"/>
      <c r="J366" s="3070"/>
      <c r="K366" s="3070"/>
      <c r="L366" s="3070"/>
      <c r="M366" s="3070"/>
      <c r="N366" s="3070"/>
      <c r="O366" s="3070"/>
      <c r="P366" s="3070"/>
      <c r="Q366" s="3070"/>
      <c r="R366" s="3070"/>
      <c r="S366" s="3070"/>
      <c r="T366" s="3070"/>
      <c r="U366" s="3071"/>
      <c r="W366" s="702"/>
      <c r="X366" s="702"/>
    </row>
    <row r="367" spans="2:24" s="1105" customFormat="1" ht="15" hidden="1">
      <c r="B367" s="3145">
        <f>Weight!B176</f>
        <v>2</v>
      </c>
      <c r="C367" s="2296" t="str">
        <f>Weight!C176</f>
        <v>Consideration of Local Environment</v>
      </c>
      <c r="D367" s="2296"/>
      <c r="E367" s="2296"/>
      <c r="F367" s="2296"/>
      <c r="G367" s="3070"/>
      <c r="H367" s="3070"/>
      <c r="I367" s="3070"/>
      <c r="J367" s="3070"/>
      <c r="K367" s="3070"/>
      <c r="L367" s="3070"/>
      <c r="M367" s="3070"/>
      <c r="N367" s="3070"/>
      <c r="O367" s="3070"/>
      <c r="P367" s="3070"/>
      <c r="Q367" s="3070"/>
      <c r="R367" s="3070"/>
      <c r="S367" s="3070"/>
      <c r="T367" s="3070"/>
      <c r="U367" s="3071"/>
      <c r="W367" s="702"/>
      <c r="X367" s="702"/>
    </row>
    <row r="368" spans="2:24" s="1105" customFormat="1" ht="15" hidden="1">
      <c r="B368" s="3145" t="str">
        <f>Weight!B177</f>
        <v>2.1</v>
      </c>
      <c r="C368" s="2296" t="str">
        <f>Weight!C177</f>
        <v>Air Pollution</v>
      </c>
      <c r="D368" s="2296"/>
      <c r="E368" s="2296"/>
      <c r="F368" s="2296"/>
      <c r="G368" s="3070"/>
      <c r="H368" s="3070"/>
      <c r="I368" s="3070"/>
      <c r="J368" s="3070"/>
      <c r="K368" s="3070"/>
      <c r="L368" s="3070"/>
      <c r="M368" s="3070"/>
      <c r="N368" s="3070"/>
      <c r="O368" s="3070"/>
      <c r="P368" s="3070"/>
      <c r="Q368" s="3070"/>
      <c r="R368" s="3070"/>
      <c r="S368" s="3070"/>
      <c r="T368" s="3070"/>
      <c r="U368" s="3071"/>
      <c r="W368" s="702"/>
      <c r="X368" s="702"/>
    </row>
    <row r="369" spans="2:24" s="1105" customFormat="1" ht="15">
      <c r="B369" s="3145" t="str">
        <f>Weight!B178</f>
        <v>2.2</v>
      </c>
      <c r="C369" s="2296" t="str">
        <f>Weight!C178</f>
        <v>Heat Island Effect</v>
      </c>
      <c r="D369" s="2296"/>
      <c r="E369" s="2296"/>
      <c r="F369" s="2296"/>
      <c r="G369" s="3070">
        <f>'LR3'!G82</f>
        <v>6</v>
      </c>
      <c r="H369" s="3085"/>
      <c r="I369" s="3070">
        <f>'LR3'!G61</f>
        <v>1</v>
      </c>
      <c r="J369" s="3070">
        <f>'LR3'!G64</f>
        <v>1</v>
      </c>
      <c r="K369" s="3070">
        <f>'LR3'!G66</f>
        <v>0</v>
      </c>
      <c r="L369" s="3070">
        <f>'LR3'!G68</f>
        <v>0</v>
      </c>
      <c r="M369" s="3070">
        <f>'LR3'!G70</f>
        <v>0</v>
      </c>
      <c r="N369" s="3070">
        <f>'LR3'!G72</f>
        <v>1</v>
      </c>
      <c r="O369" s="3070">
        <f>'LR3'!G74</f>
        <v>1</v>
      </c>
      <c r="P369" s="3070">
        <f>'LR3'!G76</f>
        <v>1</v>
      </c>
      <c r="Q369" s="3070">
        <f>'LR3'!G78</f>
        <v>1</v>
      </c>
      <c r="R369" s="3070">
        <f>'LR3'!G80</f>
        <v>0</v>
      </c>
      <c r="S369" s="3085"/>
      <c r="T369" s="3085"/>
      <c r="U369" s="3086"/>
      <c r="W369" s="702"/>
      <c r="X369" s="702"/>
    </row>
    <row r="370" spans="2:24" s="1105" customFormat="1" ht="15" hidden="1">
      <c r="B370" s="3145" t="str">
        <f>Weight!B179</f>
        <v>2.3</v>
      </c>
      <c r="C370" s="2296" t="str">
        <f>Weight!C179</f>
        <v>Load on Local Infrastructure</v>
      </c>
      <c r="D370" s="2296"/>
      <c r="E370" s="2296"/>
      <c r="F370" s="2296"/>
      <c r="G370" s="3070"/>
      <c r="H370" s="3085"/>
      <c r="I370" s="3069"/>
      <c r="J370" s="3070"/>
      <c r="K370" s="3070"/>
      <c r="L370" s="3070"/>
      <c r="M370" s="3070"/>
      <c r="N370" s="3070"/>
      <c r="O370" s="3070"/>
      <c r="P370" s="3070"/>
      <c r="Q370" s="3070"/>
      <c r="R370" s="3070"/>
      <c r="S370" s="3070"/>
      <c r="T370" s="3070"/>
      <c r="U370" s="3071"/>
      <c r="W370" s="702"/>
      <c r="X370" s="702"/>
    </row>
    <row r="371" spans="2:24" s="1105" customFormat="1" ht="15" hidden="1">
      <c r="B371" s="3145" t="str">
        <f>Weight!B180</f>
        <v>2.3.1</v>
      </c>
      <c r="C371" s="2296" t="str">
        <f>Weight!C180</f>
        <v>Reduction of Rainwater Discharge Loads</v>
      </c>
      <c r="D371" s="2296"/>
      <c r="E371" s="2296"/>
      <c r="F371" s="2296"/>
      <c r="G371" s="3070"/>
      <c r="H371" s="3085"/>
      <c r="I371" s="3070"/>
      <c r="J371" s="3070"/>
      <c r="K371" s="3070"/>
      <c r="L371" s="3070"/>
      <c r="M371" s="3070"/>
      <c r="N371" s="3070"/>
      <c r="O371" s="3070"/>
      <c r="P371" s="3070"/>
      <c r="Q371" s="3070"/>
      <c r="R371" s="3070"/>
      <c r="S371" s="3070"/>
      <c r="T371" s="3070"/>
      <c r="U371" s="3071"/>
      <c r="W371" s="702"/>
      <c r="X371" s="702"/>
    </row>
    <row r="372" spans="2:24" s="1105" customFormat="1" ht="15" hidden="1">
      <c r="B372" s="3145" t="str">
        <f>Weight!B181</f>
        <v>2.3.2</v>
      </c>
      <c r="C372" s="2296" t="str">
        <f>Weight!C181</f>
        <v>Sewage Load Suppression</v>
      </c>
      <c r="D372" s="2296"/>
      <c r="E372" s="2296"/>
      <c r="F372" s="2296"/>
      <c r="G372" s="3070"/>
      <c r="H372" s="3085"/>
      <c r="I372" s="3069"/>
      <c r="J372" s="3070"/>
      <c r="K372" s="3070"/>
      <c r="L372" s="3070"/>
      <c r="M372" s="3070"/>
      <c r="N372" s="3070"/>
      <c r="O372" s="3070"/>
      <c r="P372" s="3070"/>
      <c r="Q372" s="3070"/>
      <c r="R372" s="3070"/>
      <c r="S372" s="3070"/>
      <c r="T372" s="3070"/>
      <c r="U372" s="3071"/>
      <c r="W372" s="702"/>
      <c r="X372" s="702"/>
    </row>
    <row r="373" spans="2:24" s="1105" customFormat="1" ht="15">
      <c r="B373" s="3145" t="str">
        <f>Weight!B182</f>
        <v>2.3.3</v>
      </c>
      <c r="C373" s="2296" t="str">
        <f>Weight!C182</f>
        <v>Traffic Load Control</v>
      </c>
      <c r="D373" s="2296"/>
      <c r="E373" s="2296"/>
      <c r="F373" s="2296"/>
      <c r="G373" s="3070">
        <f>'LR3'!G122</f>
        <v>2</v>
      </c>
      <c r="H373" s="3085"/>
      <c r="I373" s="3070">
        <f>'LR3'!G116</f>
        <v>0</v>
      </c>
      <c r="J373" s="3070">
        <f>'LR3'!G117</f>
        <v>1</v>
      </c>
      <c r="K373" s="3070">
        <f>'LR3'!G118</f>
        <v>0</v>
      </c>
      <c r="L373" s="3070">
        <f>'LR3'!G119</f>
        <v>1</v>
      </c>
      <c r="M373" s="3070">
        <f>'LR3'!G120</f>
        <v>0</v>
      </c>
      <c r="N373" s="3070">
        <f>'LR3'!G121</f>
        <v>0</v>
      </c>
      <c r="O373" s="3081"/>
      <c r="P373" s="3085"/>
      <c r="Q373" s="3085"/>
      <c r="R373" s="3085"/>
      <c r="S373" s="3085"/>
      <c r="T373" s="3085"/>
      <c r="U373" s="3086"/>
      <c r="W373" s="702"/>
      <c r="X373" s="702"/>
    </row>
    <row r="374" spans="2:24" s="1105" customFormat="1" ht="15">
      <c r="B374" s="3145" t="str">
        <f>Weight!B183</f>
        <v>2.3.4</v>
      </c>
      <c r="C374" s="3147" t="str">
        <f>Weight!C183</f>
        <v>Reduction of Waste Treatment Loads</v>
      </c>
      <c r="D374" s="2296"/>
      <c r="E374" s="2296"/>
      <c r="F374" s="2296"/>
      <c r="G374" s="3070">
        <f>'LR3'!G142</f>
        <v>3</v>
      </c>
      <c r="H374" s="3085"/>
      <c r="I374" s="3070">
        <f>'LR3'!G135</f>
        <v>1</v>
      </c>
      <c r="J374" s="3070">
        <f>'LR3'!G136</f>
        <v>1</v>
      </c>
      <c r="K374" s="3070">
        <f>'LR3'!G137</f>
        <v>0</v>
      </c>
      <c r="L374" s="3070">
        <f>'LR3'!G138</f>
        <v>0</v>
      </c>
      <c r="M374" s="3069"/>
      <c r="N374" s="3070">
        <f>'LR3'!G140</f>
        <v>1</v>
      </c>
      <c r="O374" s="3070">
        <f>'LR3'!G141</f>
        <v>0</v>
      </c>
      <c r="P374" s="3085"/>
      <c r="Q374" s="3085"/>
      <c r="R374" s="3085"/>
      <c r="S374" s="3085"/>
      <c r="T374" s="3085"/>
      <c r="U374" s="3086"/>
      <c r="W374" s="702"/>
      <c r="X374" s="702"/>
    </row>
    <row r="375" spans="2:24" s="1105" customFormat="1" ht="15" hidden="1">
      <c r="B375" s="3145">
        <f>Weight!B184</f>
        <v>0</v>
      </c>
      <c r="C375" s="2296">
        <f>Weight!C184</f>
        <v>0</v>
      </c>
      <c r="D375" s="2296"/>
      <c r="E375" s="2296"/>
      <c r="F375" s="2296"/>
      <c r="G375" s="3070"/>
      <c r="H375" s="3085"/>
      <c r="I375" s="3069"/>
      <c r="J375" s="3070"/>
      <c r="K375" s="3070"/>
      <c r="L375" s="3070"/>
      <c r="M375" s="3070"/>
      <c r="N375" s="3070"/>
      <c r="O375" s="3070"/>
      <c r="P375" s="3085"/>
      <c r="Q375" s="3085"/>
      <c r="R375" s="3085"/>
      <c r="S375" s="3085"/>
      <c r="T375" s="3085"/>
      <c r="U375" s="3086"/>
      <c r="W375" s="702"/>
      <c r="X375" s="702"/>
    </row>
    <row r="376" spans="2:24" s="1105" customFormat="1" ht="15" hidden="1">
      <c r="B376" s="3145">
        <f>Weight!B185</f>
        <v>3</v>
      </c>
      <c r="C376" s="2296" t="str">
        <f>Weight!C185</f>
        <v>Consideration of Surrounding Environment</v>
      </c>
      <c r="D376" s="2296"/>
      <c r="E376" s="2296"/>
      <c r="F376" s="2296"/>
      <c r="G376" s="3070"/>
      <c r="H376" s="3085"/>
      <c r="I376" s="3069"/>
      <c r="J376" s="3070"/>
      <c r="K376" s="3070"/>
      <c r="L376" s="3070"/>
      <c r="M376" s="3070"/>
      <c r="N376" s="3070"/>
      <c r="O376" s="3070"/>
      <c r="P376" s="3085"/>
      <c r="Q376" s="3085"/>
      <c r="R376" s="3085"/>
      <c r="S376" s="3085"/>
      <c r="T376" s="3085"/>
      <c r="U376" s="3086"/>
      <c r="W376" s="702"/>
      <c r="X376" s="702"/>
    </row>
    <row r="377" spans="2:24" s="1105" customFormat="1" ht="15" hidden="1">
      <c r="B377" s="3145" t="str">
        <f>Weight!B186</f>
        <v>3.1</v>
      </c>
      <c r="C377" s="2296" t="str">
        <f>Weight!C186</f>
        <v>Noise, Vibration &amp; Odor</v>
      </c>
      <c r="D377" s="2296"/>
      <c r="E377" s="2296"/>
      <c r="F377" s="2296"/>
      <c r="G377" s="3070"/>
      <c r="H377" s="3085"/>
      <c r="I377" s="3069"/>
      <c r="J377" s="3070"/>
      <c r="K377" s="3070"/>
      <c r="L377" s="3070"/>
      <c r="M377" s="3070"/>
      <c r="N377" s="3070"/>
      <c r="O377" s="3070"/>
      <c r="P377" s="3085"/>
      <c r="Q377" s="3085"/>
      <c r="R377" s="3085"/>
      <c r="S377" s="3085"/>
      <c r="T377" s="3085"/>
      <c r="U377" s="3086"/>
      <c r="W377" s="702"/>
      <c r="X377" s="702"/>
    </row>
    <row r="378" spans="2:24" s="1105" customFormat="1" ht="15" hidden="1">
      <c r="B378" s="3145" t="str">
        <f>Weight!B187</f>
        <v>3.1.1</v>
      </c>
      <c r="C378" s="2296" t="str">
        <f>Weight!C187</f>
        <v>Noise</v>
      </c>
      <c r="D378" s="2296"/>
      <c r="E378" s="2296"/>
      <c r="F378" s="2296"/>
      <c r="G378" s="3070"/>
      <c r="H378" s="3085"/>
      <c r="I378" s="3070"/>
      <c r="J378" s="3070"/>
      <c r="K378" s="3070"/>
      <c r="L378" s="3070"/>
      <c r="M378" s="3070"/>
      <c r="N378" s="3070"/>
      <c r="O378" s="3070"/>
      <c r="P378" s="3085"/>
      <c r="Q378" s="3085"/>
      <c r="R378" s="3085"/>
      <c r="S378" s="3085"/>
      <c r="T378" s="3085"/>
      <c r="U378" s="3086"/>
      <c r="W378" s="702"/>
      <c r="X378" s="702"/>
    </row>
    <row r="379" spans="2:24" s="1105" customFormat="1" ht="15" hidden="1">
      <c r="B379" s="3145" t="str">
        <f>Weight!B188</f>
        <v>3.1.2</v>
      </c>
      <c r="C379" s="2296" t="str">
        <f>Weight!C188</f>
        <v>Vibration</v>
      </c>
      <c r="D379" s="2296"/>
      <c r="E379" s="2296"/>
      <c r="F379" s="2296"/>
      <c r="G379" s="3070"/>
      <c r="H379" s="3085"/>
      <c r="I379" s="3069"/>
      <c r="J379" s="3070"/>
      <c r="K379" s="3070"/>
      <c r="L379" s="3070"/>
      <c r="M379" s="3070"/>
      <c r="N379" s="3070"/>
      <c r="O379" s="3070"/>
      <c r="P379" s="3085"/>
      <c r="Q379" s="3085"/>
      <c r="R379" s="3085"/>
      <c r="S379" s="3085"/>
      <c r="T379" s="3085"/>
      <c r="U379" s="3086"/>
      <c r="W379" s="702"/>
      <c r="X379" s="702"/>
    </row>
    <row r="380" spans="2:24" s="1105" customFormat="1" ht="15" hidden="1">
      <c r="B380" s="3145" t="str">
        <f>Weight!B189</f>
        <v>3.1.3</v>
      </c>
      <c r="C380" s="2296" t="str">
        <f>Weight!C189</f>
        <v>Odor</v>
      </c>
      <c r="D380" s="2296"/>
      <c r="E380" s="2296"/>
      <c r="F380" s="2296"/>
      <c r="G380" s="3070"/>
      <c r="H380" s="3085"/>
      <c r="I380" s="3069"/>
      <c r="J380" s="3070"/>
      <c r="K380" s="3070"/>
      <c r="L380" s="3070"/>
      <c r="M380" s="3070"/>
      <c r="N380" s="3070"/>
      <c r="O380" s="3070"/>
      <c r="P380" s="3085"/>
      <c r="Q380" s="3085"/>
      <c r="R380" s="3085"/>
      <c r="S380" s="3085"/>
      <c r="T380" s="3085"/>
      <c r="U380" s="3086"/>
      <c r="W380" s="702"/>
      <c r="X380" s="702"/>
    </row>
    <row r="381" spans="2:24" s="1105" customFormat="1" ht="15" hidden="1">
      <c r="B381" s="3145" t="str">
        <f>Weight!B190</f>
        <v>3.2</v>
      </c>
      <c r="C381" s="2296" t="str">
        <f>Weight!C190</f>
        <v>Wind/Sand Damage &amp; Sunlight Obstruction</v>
      </c>
      <c r="D381" s="2296"/>
      <c r="E381" s="2296"/>
      <c r="F381" s="2296"/>
      <c r="G381" s="3070"/>
      <c r="H381" s="3085"/>
      <c r="I381" s="3069"/>
      <c r="J381" s="3070"/>
      <c r="K381" s="3070"/>
      <c r="L381" s="3070"/>
      <c r="M381" s="3070"/>
      <c r="N381" s="3070"/>
      <c r="O381" s="3070"/>
      <c r="P381" s="3085"/>
      <c r="Q381" s="3085"/>
      <c r="R381" s="3085"/>
      <c r="S381" s="3085"/>
      <c r="T381" s="3085"/>
      <c r="U381" s="3086"/>
      <c r="W381" s="702"/>
      <c r="X381" s="702"/>
    </row>
    <row r="382" spans="2:24" s="1105" customFormat="1" ht="15" hidden="1">
      <c r="B382" s="3145" t="str">
        <f>Weight!B191</f>
        <v>3.2.1</v>
      </c>
      <c r="C382" s="2296" t="str">
        <f>Weight!C191</f>
        <v>Restriction of Wind Damage</v>
      </c>
      <c r="D382" s="2296"/>
      <c r="E382" s="2296"/>
      <c r="F382" s="2296"/>
      <c r="G382" s="3070"/>
      <c r="H382" s="3085"/>
      <c r="I382" s="3070"/>
      <c r="J382" s="3070"/>
      <c r="K382" s="3070"/>
      <c r="L382" s="3070"/>
      <c r="M382" s="3070"/>
      <c r="N382" s="3070"/>
      <c r="O382" s="3070"/>
      <c r="P382" s="3085"/>
      <c r="Q382" s="3085"/>
      <c r="R382" s="3085"/>
      <c r="S382" s="3085"/>
      <c r="T382" s="3085"/>
      <c r="U382" s="3086"/>
      <c r="W382" s="702"/>
      <c r="X382" s="702"/>
    </row>
    <row r="383" spans="2:24" s="1105" customFormat="1" ht="15">
      <c r="B383" s="3145" t="str">
        <f>Weight!B192</f>
        <v>3.2.2</v>
      </c>
      <c r="C383" s="2296" t="str">
        <f>Weight!C192</f>
        <v>Control of Sand and Dust</v>
      </c>
      <c r="D383" s="2296"/>
      <c r="E383" s="2296"/>
      <c r="F383" s="2296"/>
      <c r="G383" s="3070">
        <f>'LR3'!G232</f>
        <v>2</v>
      </c>
      <c r="H383" s="3085"/>
      <c r="I383" s="3070">
        <f>'LR3'!G227</f>
        <v>2</v>
      </c>
      <c r="J383" s="3070">
        <f>'LR3'!G229</f>
        <v>0</v>
      </c>
      <c r="K383" s="3085"/>
      <c r="L383" s="3085"/>
      <c r="M383" s="3085"/>
      <c r="N383" s="3085"/>
      <c r="O383" s="3085"/>
      <c r="P383" s="3085"/>
      <c r="Q383" s="3085"/>
      <c r="R383" s="3085"/>
      <c r="S383" s="3085"/>
      <c r="T383" s="3085"/>
      <c r="U383" s="3086"/>
      <c r="W383" s="702"/>
      <c r="X383" s="702"/>
    </row>
    <row r="384" spans="2:24" s="1105" customFormat="1" ht="15" hidden="1">
      <c r="B384" s="3145" t="str">
        <f>Weight!B193</f>
        <v>3.2.3</v>
      </c>
      <c r="C384" s="2296" t="str">
        <f>Weight!C193</f>
        <v>Restriction of Sunlight Obstruction</v>
      </c>
      <c r="D384" s="2296"/>
      <c r="E384" s="2296"/>
      <c r="F384" s="2296"/>
      <c r="G384" s="3070"/>
      <c r="H384" s="3085"/>
      <c r="I384" s="3070"/>
      <c r="J384" s="3070"/>
      <c r="K384" s="3085"/>
      <c r="L384" s="3085"/>
      <c r="M384" s="3085"/>
      <c r="N384" s="3085"/>
      <c r="O384" s="3085"/>
      <c r="P384" s="3085"/>
      <c r="Q384" s="3085"/>
      <c r="R384" s="3085"/>
      <c r="S384" s="3085"/>
      <c r="T384" s="3085"/>
      <c r="U384" s="3086"/>
      <c r="W384" s="702"/>
      <c r="X384" s="702"/>
    </row>
    <row r="385" spans="1:24" s="1105" customFormat="1" ht="15" hidden="1">
      <c r="B385" s="3145" t="str">
        <f>Weight!B194</f>
        <v>3.3</v>
      </c>
      <c r="C385" s="2296" t="str">
        <f>Weight!C194</f>
        <v>Light Pollution</v>
      </c>
      <c r="D385" s="2296"/>
      <c r="E385" s="2296"/>
      <c r="F385" s="2296"/>
      <c r="G385" s="3070"/>
      <c r="H385" s="3085"/>
      <c r="I385" s="3069"/>
      <c r="J385" s="3070"/>
      <c r="K385" s="3085"/>
      <c r="L385" s="3085"/>
      <c r="M385" s="3085"/>
      <c r="N385" s="3085"/>
      <c r="O385" s="3085"/>
      <c r="P385" s="3085"/>
      <c r="Q385" s="3085"/>
      <c r="R385" s="3085"/>
      <c r="S385" s="3085"/>
      <c r="T385" s="3085"/>
      <c r="U385" s="3086"/>
      <c r="W385" s="702"/>
      <c r="X385" s="702"/>
    </row>
    <row r="386" spans="1:24" s="1105" customFormat="1" ht="15.75" thickBot="1">
      <c r="B386" s="3146" t="str">
        <f>Weight!B195</f>
        <v>3.3.1</v>
      </c>
      <c r="C386" s="3148" t="str">
        <f>Weight!C195</f>
        <v>Outdoor Illumination and Light that Spills from Interiors</v>
      </c>
      <c r="D386" s="3089"/>
      <c r="E386" s="3089"/>
      <c r="F386" s="3089"/>
      <c r="G386" s="3090">
        <f>'LR3'!G263</f>
        <v>2</v>
      </c>
      <c r="H386" s="3091"/>
      <c r="I386" s="3090">
        <f>'LR3'!G257</f>
        <v>0</v>
      </c>
      <c r="J386" s="3090">
        <f>'LR3'!G260</f>
        <v>2</v>
      </c>
      <c r="K386" s="3091"/>
      <c r="L386" s="3091"/>
      <c r="M386" s="3091"/>
      <c r="N386" s="3091"/>
      <c r="O386" s="3091"/>
      <c r="P386" s="3091"/>
      <c r="Q386" s="3091"/>
      <c r="R386" s="3091"/>
      <c r="S386" s="3091"/>
      <c r="T386" s="3091"/>
      <c r="U386" s="3092"/>
      <c r="W386" s="702"/>
      <c r="X386" s="702"/>
    </row>
    <row r="387" spans="1:24" s="1105" customFormat="1" ht="15" hidden="1">
      <c r="B387" s="2687" t="str">
        <f>Weight!B196</f>
        <v>3.3.2</v>
      </c>
      <c r="C387" s="1105" t="str">
        <f>Weight!C196</f>
        <v>Measures for Reflected Solar Glare from Building Walls</v>
      </c>
      <c r="G387" s="3093"/>
      <c r="H387" s="3093"/>
      <c r="I387" s="3093"/>
      <c r="J387" s="3093"/>
      <c r="K387" s="3093"/>
      <c r="L387" s="3093"/>
      <c r="M387" s="3093"/>
      <c r="N387" s="3093"/>
      <c r="O387" s="3093"/>
      <c r="P387" s="3093"/>
      <c r="Q387" s="3093"/>
      <c r="R387" s="3093"/>
      <c r="S387" s="3093"/>
      <c r="T387" s="3093"/>
      <c r="U387" s="3093"/>
      <c r="W387" s="702"/>
      <c r="X387" s="702"/>
    </row>
    <row r="388" spans="1:24" s="1105" customFormat="1" ht="5.45" customHeight="1" thickBot="1">
      <c r="B388" s="2687"/>
      <c r="W388" s="702"/>
      <c r="X388" s="702"/>
    </row>
    <row r="389" spans="1:24" s="1105" customFormat="1" ht="18" customHeight="1">
      <c r="A389" s="1989"/>
      <c r="B389" s="3064" t="s">
        <v>1937</v>
      </c>
      <c r="C389" s="3066"/>
      <c r="D389" s="3066"/>
      <c r="E389" s="3066"/>
      <c r="F389" s="3066"/>
      <c r="G389" s="3066"/>
      <c r="H389" s="3066"/>
      <c r="I389" s="3066"/>
      <c r="J389" s="3066"/>
      <c r="K389" s="3066"/>
      <c r="L389" s="3066"/>
      <c r="M389" s="3066"/>
      <c r="N389" s="3066"/>
      <c r="O389" s="3066"/>
      <c r="P389" s="3066"/>
      <c r="Q389" s="3066"/>
      <c r="R389" s="3066"/>
      <c r="S389" s="3066"/>
      <c r="T389" s="3066"/>
      <c r="U389" s="3094"/>
      <c r="W389" s="702"/>
      <c r="X389" s="702"/>
    </row>
    <row r="390" spans="1:24" s="1105" customFormat="1">
      <c r="A390" s="1989"/>
      <c r="B390" s="3149" t="str">
        <f t="shared" ref="B390:C405" si="79">B200</f>
        <v>Q1</v>
      </c>
      <c r="C390" s="3095" t="str">
        <f t="shared" si="79"/>
        <v>Indoor Environment</v>
      </c>
      <c r="D390" s="3095"/>
      <c r="E390" s="2297"/>
      <c r="F390" s="2297"/>
      <c r="G390" s="2297"/>
      <c r="H390" s="2297"/>
      <c r="I390" s="2297"/>
      <c r="J390" s="2297"/>
      <c r="K390" s="2297"/>
      <c r="L390" s="2297"/>
      <c r="M390" s="2297"/>
      <c r="N390" s="2297"/>
      <c r="O390" s="2297"/>
      <c r="P390" s="2297"/>
      <c r="Q390" s="2297"/>
      <c r="R390" s="2297"/>
      <c r="S390" s="2297"/>
      <c r="T390" s="2297"/>
      <c r="U390" s="3080"/>
      <c r="W390" s="702"/>
      <c r="X390" s="702"/>
    </row>
    <row r="391" spans="1:24" s="1105" customFormat="1" hidden="1">
      <c r="A391" s="1989"/>
      <c r="B391" s="3145">
        <f t="shared" si="79"/>
        <v>1</v>
      </c>
      <c r="C391" s="2296" t="str">
        <f t="shared" si="79"/>
        <v>Sound Environment</v>
      </c>
      <c r="D391" s="2296"/>
      <c r="E391" s="2297"/>
      <c r="F391" s="2297"/>
      <c r="G391" s="2297"/>
      <c r="H391" s="2297"/>
      <c r="I391" s="2297"/>
      <c r="J391" s="2297"/>
      <c r="K391" s="2297"/>
      <c r="L391" s="2297"/>
      <c r="M391" s="2297"/>
      <c r="N391" s="2297"/>
      <c r="O391" s="2297"/>
      <c r="P391" s="2297"/>
      <c r="Q391" s="2297"/>
      <c r="R391" s="2297"/>
      <c r="S391" s="2297"/>
      <c r="T391" s="2297"/>
      <c r="U391" s="3080"/>
      <c r="W391" s="702"/>
      <c r="X391" s="702"/>
    </row>
    <row r="392" spans="1:24" s="1105" customFormat="1" hidden="1">
      <c r="A392" s="1989"/>
      <c r="B392" s="3145">
        <f t="shared" si="79"/>
        <v>1.1000000000000001</v>
      </c>
      <c r="C392" s="2296" t="str">
        <f t="shared" si="79"/>
        <v>Indoor Noise Level</v>
      </c>
      <c r="D392" s="2296"/>
      <c r="E392" s="2297"/>
      <c r="F392" s="2297"/>
      <c r="G392" s="2297"/>
      <c r="H392" s="2297"/>
      <c r="I392" s="2297"/>
      <c r="J392" s="2297"/>
      <c r="K392" s="2297"/>
      <c r="L392" s="2297"/>
      <c r="M392" s="2297"/>
      <c r="N392" s="2297"/>
      <c r="O392" s="2297"/>
      <c r="P392" s="2297"/>
      <c r="Q392" s="2297"/>
      <c r="R392" s="2297"/>
      <c r="S392" s="2297"/>
      <c r="T392" s="2297"/>
      <c r="U392" s="3080"/>
      <c r="W392" s="702"/>
      <c r="X392" s="702"/>
    </row>
    <row r="393" spans="1:24" s="1105" customFormat="1" hidden="1">
      <c r="A393" s="1989"/>
      <c r="B393" s="3145" t="str">
        <f t="shared" si="79"/>
        <v>1.1.1</v>
      </c>
      <c r="C393" s="2296" t="str">
        <f t="shared" si="79"/>
        <v>Background noise level</v>
      </c>
      <c r="D393" s="2296"/>
      <c r="E393" s="2297"/>
      <c r="F393" s="2297"/>
      <c r="G393" s="2297"/>
      <c r="H393" s="2297"/>
      <c r="I393" s="2297"/>
      <c r="J393" s="2297"/>
      <c r="K393" s="2297"/>
      <c r="L393" s="2297"/>
      <c r="M393" s="2297"/>
      <c r="N393" s="2297"/>
      <c r="O393" s="2297"/>
      <c r="P393" s="2297"/>
      <c r="Q393" s="2297"/>
      <c r="R393" s="2297"/>
      <c r="S393" s="2297"/>
      <c r="T393" s="2297"/>
      <c r="U393" s="3080"/>
      <c r="W393" s="702"/>
      <c r="X393" s="702"/>
    </row>
    <row r="394" spans="1:24" s="1105" customFormat="1" hidden="1">
      <c r="A394" s="1989"/>
      <c r="B394" s="3145" t="str">
        <f t="shared" si="79"/>
        <v>1.1.2</v>
      </c>
      <c r="C394" s="2296" t="str">
        <f t="shared" si="79"/>
        <v>Equipment noise</v>
      </c>
      <c r="D394" s="2296"/>
      <c r="E394" s="2297"/>
      <c r="F394" s="2297"/>
      <c r="G394" s="2297"/>
      <c r="H394" s="2297"/>
      <c r="I394" s="2297"/>
      <c r="J394" s="2297"/>
      <c r="K394" s="2297"/>
      <c r="L394" s="2297"/>
      <c r="M394" s="2297"/>
      <c r="N394" s="2297"/>
      <c r="O394" s="2297"/>
      <c r="P394" s="2297"/>
      <c r="Q394" s="2297"/>
      <c r="R394" s="2297"/>
      <c r="S394" s="2297"/>
      <c r="T394" s="2297"/>
      <c r="U394" s="3080"/>
      <c r="W394" s="702"/>
      <c r="X394" s="702"/>
    </row>
    <row r="395" spans="1:24" s="1105" customFormat="1" hidden="1">
      <c r="A395" s="1989"/>
      <c r="B395" s="3145">
        <f t="shared" si="79"/>
        <v>1.2</v>
      </c>
      <c r="C395" s="2296" t="str">
        <f t="shared" si="79"/>
        <v>Sound Insulation</v>
      </c>
      <c r="D395" s="2296"/>
      <c r="E395" s="2297"/>
      <c r="F395" s="2297"/>
      <c r="G395" s="2297"/>
      <c r="H395" s="2297"/>
      <c r="I395" s="2297"/>
      <c r="J395" s="2297"/>
      <c r="K395" s="2297"/>
      <c r="L395" s="2297"/>
      <c r="M395" s="2297"/>
      <c r="N395" s="2297"/>
      <c r="O395" s="2297"/>
      <c r="P395" s="2297"/>
      <c r="Q395" s="2297"/>
      <c r="R395" s="2297"/>
      <c r="S395" s="2297"/>
      <c r="T395" s="2297"/>
      <c r="U395" s="3080"/>
      <c r="W395" s="702"/>
      <c r="X395" s="702"/>
    </row>
    <row r="396" spans="1:24" s="1105" customFormat="1" hidden="1">
      <c r="A396" s="1989"/>
      <c r="B396" s="3145" t="str">
        <f t="shared" si="79"/>
        <v>1.2.1</v>
      </c>
      <c r="C396" s="2296" t="str">
        <f t="shared" si="79"/>
        <v>Sound Insulation of Openings</v>
      </c>
      <c r="D396" s="2296"/>
      <c r="E396" s="2297"/>
      <c r="F396" s="2297"/>
      <c r="G396" s="2297"/>
      <c r="H396" s="2297"/>
      <c r="I396" s="2297"/>
      <c r="J396" s="2297"/>
      <c r="K396" s="2297"/>
      <c r="L396" s="2297"/>
      <c r="M396" s="2297"/>
      <c r="N396" s="2297"/>
      <c r="O396" s="2297"/>
      <c r="P396" s="2297"/>
      <c r="Q396" s="2297"/>
      <c r="R396" s="2297"/>
      <c r="S396" s="2297"/>
      <c r="T396" s="2297"/>
      <c r="U396" s="3080"/>
      <c r="W396" s="702"/>
      <c r="X396" s="702"/>
    </row>
    <row r="397" spans="1:24" s="1105" customFormat="1" hidden="1">
      <c r="A397" s="1989"/>
      <c r="B397" s="3145" t="str">
        <f t="shared" si="79"/>
        <v>1.2.2</v>
      </c>
      <c r="C397" s="2296" t="str">
        <f t="shared" si="79"/>
        <v>Sound Insulation of Partition Walls</v>
      </c>
      <c r="D397" s="2296"/>
      <c r="E397" s="2297"/>
      <c r="F397" s="2297"/>
      <c r="G397" s="2297"/>
      <c r="H397" s="2297"/>
      <c r="I397" s="2297"/>
      <c r="J397" s="2297"/>
      <c r="K397" s="2297"/>
      <c r="L397" s="2297"/>
      <c r="M397" s="2297"/>
      <c r="N397" s="2297"/>
      <c r="O397" s="2297"/>
      <c r="P397" s="2297"/>
      <c r="Q397" s="2297"/>
      <c r="R397" s="2297"/>
      <c r="S397" s="2297"/>
      <c r="T397" s="2297"/>
      <c r="U397" s="3080"/>
      <c r="W397" s="702"/>
      <c r="X397" s="702"/>
    </row>
    <row r="398" spans="1:24" s="1105" customFormat="1" hidden="1">
      <c r="A398" s="1989"/>
      <c r="B398" s="3145" t="str">
        <f t="shared" si="79"/>
        <v>1.2.3</v>
      </c>
      <c r="C398" s="2296" t="str">
        <f t="shared" si="79"/>
        <v>Sound Insulation Performance of Floor Slabs (light-weight impact source)</v>
      </c>
      <c r="D398" s="2296"/>
      <c r="E398" s="2297"/>
      <c r="F398" s="2297"/>
      <c r="G398" s="2297"/>
      <c r="H398" s="2297"/>
      <c r="I398" s="2297"/>
      <c r="J398" s="2297"/>
      <c r="K398" s="2297"/>
      <c r="L398" s="2297"/>
      <c r="M398" s="2297"/>
      <c r="N398" s="2297"/>
      <c r="O398" s="2297"/>
      <c r="P398" s="2297"/>
      <c r="Q398" s="2297"/>
      <c r="R398" s="2297"/>
      <c r="S398" s="2297"/>
      <c r="T398" s="2297"/>
      <c r="U398" s="3080"/>
      <c r="W398" s="702"/>
      <c r="X398" s="702"/>
    </row>
    <row r="399" spans="1:24" s="1105" customFormat="1" hidden="1">
      <c r="A399" s="1989"/>
      <c r="B399" s="3145" t="str">
        <f t="shared" si="79"/>
        <v>1.2.4</v>
      </c>
      <c r="C399" s="2296" t="str">
        <f t="shared" si="79"/>
        <v>Sound Insulation Performance of Floor Slabs (heavy-weight impact source)</v>
      </c>
      <c r="D399" s="2296"/>
      <c r="E399" s="2297"/>
      <c r="F399" s="2297"/>
      <c r="G399" s="2297"/>
      <c r="H399" s="2297"/>
      <c r="I399" s="2297"/>
      <c r="J399" s="2297"/>
      <c r="K399" s="2297"/>
      <c r="L399" s="2297"/>
      <c r="M399" s="2297"/>
      <c r="N399" s="2297"/>
      <c r="O399" s="2297"/>
      <c r="P399" s="2297"/>
      <c r="Q399" s="2297"/>
      <c r="R399" s="2297"/>
      <c r="S399" s="2297"/>
      <c r="T399" s="2297"/>
      <c r="U399" s="3080"/>
      <c r="W399" s="702"/>
      <c r="X399" s="702"/>
    </row>
    <row r="400" spans="1:24" s="1105" customFormat="1" hidden="1">
      <c r="A400" s="1989"/>
      <c r="B400" s="3145">
        <f t="shared" si="79"/>
        <v>1.3</v>
      </c>
      <c r="C400" s="2296" t="str">
        <f t="shared" si="79"/>
        <v>Sound Absorption</v>
      </c>
      <c r="D400" s="2296"/>
      <c r="E400" s="2297"/>
      <c r="F400" s="2297"/>
      <c r="G400" s="2297"/>
      <c r="H400" s="2297"/>
      <c r="I400" s="2297"/>
      <c r="J400" s="2297"/>
      <c r="K400" s="2297"/>
      <c r="L400" s="2297"/>
      <c r="M400" s="2297"/>
      <c r="N400" s="2297"/>
      <c r="O400" s="2297"/>
      <c r="P400" s="2297"/>
      <c r="Q400" s="2297"/>
      <c r="R400" s="2297"/>
      <c r="S400" s="2297"/>
      <c r="T400" s="2297"/>
      <c r="U400" s="3080"/>
      <c r="W400" s="702"/>
      <c r="X400" s="702"/>
    </row>
    <row r="401" spans="1:24" s="1105" customFormat="1" hidden="1">
      <c r="A401" s="1989"/>
      <c r="B401" s="3145">
        <f t="shared" si="79"/>
        <v>2</v>
      </c>
      <c r="C401" s="2296" t="str">
        <f t="shared" si="79"/>
        <v>Thermal Comfort</v>
      </c>
      <c r="D401" s="2296"/>
      <c r="E401" s="2297"/>
      <c r="F401" s="2297"/>
      <c r="G401" s="2297"/>
      <c r="H401" s="2297"/>
      <c r="I401" s="2297"/>
      <c r="J401" s="2297"/>
      <c r="K401" s="2297"/>
      <c r="L401" s="2297"/>
      <c r="M401" s="2297"/>
      <c r="N401" s="2297"/>
      <c r="O401" s="2297"/>
      <c r="P401" s="2297"/>
      <c r="Q401" s="2297"/>
      <c r="R401" s="2297"/>
      <c r="S401" s="2297"/>
      <c r="T401" s="2297"/>
      <c r="U401" s="3080"/>
      <c r="W401" s="702"/>
      <c r="X401" s="702"/>
    </row>
    <row r="402" spans="1:24" s="1105" customFormat="1" hidden="1">
      <c r="A402" s="1989"/>
      <c r="B402" s="3145">
        <f t="shared" si="79"/>
        <v>2.1</v>
      </c>
      <c r="C402" s="2296" t="str">
        <f t="shared" si="79"/>
        <v>Room Temperature Control</v>
      </c>
      <c r="D402" s="2296"/>
      <c r="E402" s="2297"/>
      <c r="F402" s="2297"/>
      <c r="G402" s="2297"/>
      <c r="H402" s="2297"/>
      <c r="I402" s="2297"/>
      <c r="J402" s="2297"/>
      <c r="K402" s="2297"/>
      <c r="L402" s="2297"/>
      <c r="M402" s="2297"/>
      <c r="N402" s="2297"/>
      <c r="O402" s="2297"/>
      <c r="P402" s="2297"/>
      <c r="Q402" s="2297"/>
      <c r="R402" s="2297"/>
      <c r="S402" s="2297"/>
      <c r="T402" s="2297"/>
      <c r="U402" s="3080"/>
      <c r="W402" s="702"/>
      <c r="X402" s="702"/>
    </row>
    <row r="403" spans="1:24" s="1105" customFormat="1" hidden="1">
      <c r="A403" s="1989"/>
      <c r="B403" s="3145" t="str">
        <f t="shared" si="79"/>
        <v>2.1.1</v>
      </c>
      <c r="C403" s="2296" t="str">
        <f t="shared" si="79"/>
        <v>Room Temperature</v>
      </c>
      <c r="D403" s="2296"/>
      <c r="E403" s="2297"/>
      <c r="F403" s="2297"/>
      <c r="G403" s="2297"/>
      <c r="H403" s="2297"/>
      <c r="I403" s="2297"/>
      <c r="J403" s="2297"/>
      <c r="K403" s="2297"/>
      <c r="L403" s="2297"/>
      <c r="M403" s="2297"/>
      <c r="N403" s="2297"/>
      <c r="O403" s="2297"/>
      <c r="P403" s="2297"/>
      <c r="Q403" s="2297"/>
      <c r="R403" s="2297"/>
      <c r="S403" s="2297"/>
      <c r="T403" s="2297"/>
      <c r="U403" s="3080"/>
      <c r="W403" s="702"/>
      <c r="X403" s="702"/>
    </row>
    <row r="404" spans="1:24" s="1105" customFormat="1" hidden="1">
      <c r="A404" s="1989"/>
      <c r="B404" s="3145" t="str">
        <f t="shared" si="79"/>
        <v>2.1.2</v>
      </c>
      <c r="C404" s="2296" t="str">
        <f t="shared" si="79"/>
        <v>Variable Loads and Following-up Control</v>
      </c>
      <c r="D404" s="2296"/>
      <c r="E404" s="2297"/>
      <c r="F404" s="2297"/>
      <c r="G404" s="2297"/>
      <c r="H404" s="2297"/>
      <c r="I404" s="2297"/>
      <c r="J404" s="2297"/>
      <c r="K404" s="2297"/>
      <c r="L404" s="2297"/>
      <c r="M404" s="2297"/>
      <c r="N404" s="2297"/>
      <c r="O404" s="2297"/>
      <c r="P404" s="2297"/>
      <c r="Q404" s="2297"/>
      <c r="R404" s="2297"/>
      <c r="S404" s="2297"/>
      <c r="T404" s="2297"/>
      <c r="U404" s="3080"/>
      <c r="W404" s="702"/>
      <c r="X404" s="702"/>
    </row>
    <row r="405" spans="1:24" s="1105" customFormat="1" ht="22.9" customHeight="1">
      <c r="A405" s="1989"/>
      <c r="B405" s="3145" t="str">
        <f t="shared" si="79"/>
        <v>2.1.2</v>
      </c>
      <c r="C405" s="2296" t="str">
        <f t="shared" si="79"/>
        <v>Perimeter Performance</v>
      </c>
      <c r="D405" s="2296"/>
      <c r="E405" s="2297"/>
      <c r="F405" s="2297"/>
      <c r="G405" s="2297"/>
      <c r="H405" s="2297"/>
      <c r="I405" s="3915" t="str">
        <f>'Q1'!F195</f>
        <v>Window system SC</v>
      </c>
      <c r="J405" s="3915"/>
      <c r="K405" s="3097">
        <f>'Q1'!G195</f>
        <v>0</v>
      </c>
      <c r="L405" s="3910" t="str">
        <f>'Q1'!I195</f>
        <v>window solar heat gain coef(η)</v>
      </c>
      <c r="M405" s="3910"/>
      <c r="N405" s="3910"/>
      <c r="O405" s="3097">
        <f>'Q1'!J195</f>
        <v>0</v>
      </c>
      <c r="P405" s="2297"/>
      <c r="Q405" s="2297"/>
      <c r="R405" s="2297"/>
      <c r="S405" s="2297"/>
      <c r="T405" s="2297"/>
      <c r="U405" s="3080"/>
      <c r="W405" s="702"/>
      <c r="X405" s="702"/>
    </row>
    <row r="406" spans="1:24" s="1105" customFormat="1">
      <c r="A406" s="1989"/>
      <c r="B406" s="3145"/>
      <c r="C406" s="2296"/>
      <c r="D406" s="2296"/>
      <c r="E406" s="2297"/>
      <c r="F406" s="2297"/>
      <c r="G406" s="2297"/>
      <c r="H406" s="2297"/>
      <c r="I406" s="3096" t="s">
        <v>3012</v>
      </c>
      <c r="J406" s="3098"/>
      <c r="K406" s="3099"/>
      <c r="L406" s="3100" t="str">
        <f>'Q1'!G196</f>
        <v>window system</v>
      </c>
      <c r="M406" s="3097">
        <f>'Q1'!H196</f>
        <v>0</v>
      </c>
      <c r="N406" s="3100" t="str">
        <f>'Q1'!I196</f>
        <v>roof</v>
      </c>
      <c r="O406" s="3097">
        <f>'Q1'!J196</f>
        <v>0</v>
      </c>
      <c r="P406" s="3101" t="str">
        <f>'Q1'!K196</f>
        <v>outer walls</v>
      </c>
      <c r="Q406" s="3097">
        <f>'Q1'!L196</f>
        <v>0</v>
      </c>
      <c r="R406" s="3100" t="str">
        <f>'Q1'!M196</f>
        <v>floor</v>
      </c>
      <c r="S406" s="3097">
        <f>'Q1'!N196</f>
        <v>0</v>
      </c>
      <c r="T406" s="3087" t="s">
        <v>3011</v>
      </c>
      <c r="U406" s="3080"/>
      <c r="W406" s="702"/>
      <c r="X406" s="702"/>
    </row>
    <row r="407" spans="1:24" s="1105" customFormat="1" ht="19.5">
      <c r="A407" s="1989"/>
      <c r="B407" s="3145"/>
      <c r="C407" s="2296"/>
      <c r="D407" s="2296"/>
      <c r="E407" s="2297"/>
      <c r="F407" s="2297"/>
      <c r="G407" s="2297"/>
      <c r="H407" s="2297"/>
      <c r="I407" s="3783" t="str">
        <f>'Q1'!F197</f>
        <v>Dwelling area:</v>
      </c>
      <c r="J407" s="3912" t="str">
        <f>'Q1'!G197</f>
        <v>Window system U value</v>
      </c>
      <c r="K407" s="3912"/>
      <c r="L407" s="3097">
        <f>'Q1'!H197</f>
        <v>0</v>
      </c>
      <c r="M407" s="3912" t="str">
        <f>'Q1'!I197</f>
        <v>perimeter UA value</v>
      </c>
      <c r="N407" s="3912"/>
      <c r="O407" s="3097">
        <f>'Q1'!J197</f>
        <v>0</v>
      </c>
      <c r="P407" s="3100" t="str">
        <f>'Q1'!K197</f>
        <v>ηAC</v>
      </c>
      <c r="Q407" s="3097">
        <f>'Q1'!L197</f>
        <v>0</v>
      </c>
      <c r="R407" s="3097" t="s">
        <v>1085</v>
      </c>
      <c r="S407" s="3097">
        <f>'Q1'!N197</f>
        <v>0</v>
      </c>
      <c r="T407" s="3087"/>
      <c r="U407" s="3080"/>
      <c r="W407" s="702"/>
      <c r="X407" s="702"/>
    </row>
    <row r="408" spans="1:24" s="1105" customFormat="1" hidden="1">
      <c r="A408" s="1989"/>
      <c r="B408" s="3145" t="str">
        <f t="shared" ref="B408:C427" si="80">B218</f>
        <v>2.1.6</v>
      </c>
      <c r="C408" s="2296" t="str">
        <f t="shared" si="80"/>
        <v>Individual Control</v>
      </c>
      <c r="D408" s="2296"/>
      <c r="E408" s="2297"/>
      <c r="F408" s="2297"/>
      <c r="G408" s="2297"/>
      <c r="H408" s="2297"/>
      <c r="I408" s="2297"/>
      <c r="J408" s="2297"/>
      <c r="K408" s="2297"/>
      <c r="L408" s="2297"/>
      <c r="M408" s="2297"/>
      <c r="N408" s="2297"/>
      <c r="O408" s="2297"/>
      <c r="P408" s="2297"/>
      <c r="Q408" s="2297"/>
      <c r="R408" s="2297"/>
      <c r="S408" s="3087"/>
      <c r="T408" s="3087"/>
      <c r="U408" s="3080"/>
      <c r="W408" s="702"/>
      <c r="X408" s="702"/>
    </row>
    <row r="409" spans="1:24" s="1105" customFormat="1" hidden="1">
      <c r="A409" s="1989"/>
      <c r="B409" s="3145" t="str">
        <f t="shared" si="80"/>
        <v>2.1.7</v>
      </c>
      <c r="C409" s="2296" t="str">
        <f t="shared" si="80"/>
        <v>Allowance for After-hours Air Conditioning</v>
      </c>
      <c r="D409" s="2296"/>
      <c r="E409" s="2297"/>
      <c r="F409" s="2297"/>
      <c r="G409" s="2297"/>
      <c r="H409" s="2297"/>
      <c r="I409" s="3087"/>
      <c r="J409" s="3087"/>
      <c r="K409" s="3087"/>
      <c r="L409" s="3087"/>
      <c r="M409" s="3087"/>
      <c r="N409" s="3087"/>
      <c r="O409" s="3087"/>
      <c r="P409" s="3087"/>
      <c r="Q409" s="3087"/>
      <c r="R409" s="3087"/>
      <c r="S409" s="3087"/>
      <c r="T409" s="3087"/>
      <c r="U409" s="3080"/>
      <c r="W409" s="702"/>
      <c r="X409" s="702"/>
    </row>
    <row r="410" spans="1:24" s="1105" customFormat="1" hidden="1">
      <c r="A410" s="1989"/>
      <c r="B410" s="3145" t="str">
        <f t="shared" si="80"/>
        <v>2.1.8</v>
      </c>
      <c r="C410" s="2296" t="str">
        <f t="shared" si="80"/>
        <v>Monitoring Systems</v>
      </c>
      <c r="D410" s="2296"/>
      <c r="E410" s="2297"/>
      <c r="F410" s="2297"/>
      <c r="G410" s="2297"/>
      <c r="H410" s="2297"/>
      <c r="I410" s="3087"/>
      <c r="J410" s="3087"/>
      <c r="K410" s="3087"/>
      <c r="L410" s="3087"/>
      <c r="M410" s="3087"/>
      <c r="N410" s="3087"/>
      <c r="O410" s="3087"/>
      <c r="P410" s="3087"/>
      <c r="Q410" s="3087"/>
      <c r="R410" s="3087"/>
      <c r="S410" s="3087"/>
      <c r="T410" s="3087"/>
      <c r="U410" s="3080"/>
      <c r="W410" s="702"/>
      <c r="X410" s="702"/>
    </row>
    <row r="411" spans="1:24" s="1105" customFormat="1" hidden="1">
      <c r="A411" s="1989"/>
      <c r="B411" s="3145">
        <f t="shared" si="80"/>
        <v>2.2000000000000002</v>
      </c>
      <c r="C411" s="2296" t="str">
        <f t="shared" si="80"/>
        <v>Humidity Control</v>
      </c>
      <c r="D411" s="2296"/>
      <c r="E411" s="2297"/>
      <c r="F411" s="2297"/>
      <c r="G411" s="2297"/>
      <c r="H411" s="2297"/>
      <c r="I411" s="3087"/>
      <c r="J411" s="3087"/>
      <c r="K411" s="3087"/>
      <c r="L411" s="3087"/>
      <c r="M411" s="3087"/>
      <c r="N411" s="3087"/>
      <c r="O411" s="3087"/>
      <c r="P411" s="3087"/>
      <c r="Q411" s="3087"/>
      <c r="R411" s="3087"/>
      <c r="S411" s="3087"/>
      <c r="T411" s="3087"/>
      <c r="U411" s="3080"/>
      <c r="W411" s="702"/>
      <c r="X411" s="702"/>
    </row>
    <row r="412" spans="1:24" s="1105" customFormat="1" hidden="1">
      <c r="A412" s="1989"/>
      <c r="B412" s="3145">
        <f t="shared" si="80"/>
        <v>2.2999999999999998</v>
      </c>
      <c r="C412" s="2296" t="str">
        <f t="shared" si="80"/>
        <v>Type of Air Conditioning System</v>
      </c>
      <c r="D412" s="2296"/>
      <c r="E412" s="2297"/>
      <c r="F412" s="2297"/>
      <c r="G412" s="2297"/>
      <c r="H412" s="2297"/>
      <c r="I412" s="3087"/>
      <c r="J412" s="3087"/>
      <c r="K412" s="3087"/>
      <c r="L412" s="3087"/>
      <c r="M412" s="3087"/>
      <c r="N412" s="3087"/>
      <c r="O412" s="3087"/>
      <c r="P412" s="3087"/>
      <c r="Q412" s="3087"/>
      <c r="R412" s="3087"/>
      <c r="S412" s="3087"/>
      <c r="T412" s="3087"/>
      <c r="U412" s="3080"/>
      <c r="W412" s="702"/>
      <c r="X412" s="702"/>
    </row>
    <row r="413" spans="1:24" s="1105" customFormat="1" hidden="1">
      <c r="A413" s="1989"/>
      <c r="B413" s="3145">
        <f t="shared" si="80"/>
        <v>2.2999999999999998</v>
      </c>
      <c r="C413" s="2296">
        <f t="shared" si="80"/>
        <v>0</v>
      </c>
      <c r="D413" s="2296"/>
      <c r="E413" s="2297"/>
      <c r="F413" s="2297"/>
      <c r="G413" s="2297"/>
      <c r="H413" s="2297"/>
      <c r="I413" s="3087"/>
      <c r="J413" s="3087"/>
      <c r="K413" s="3087"/>
      <c r="L413" s="3087"/>
      <c r="M413" s="3087"/>
      <c r="N413" s="3087"/>
      <c r="O413" s="3087"/>
      <c r="P413" s="3087"/>
      <c r="Q413" s="3087"/>
      <c r="R413" s="3087"/>
      <c r="S413" s="3087"/>
      <c r="T413" s="3087"/>
      <c r="U413" s="3080"/>
      <c r="W413" s="702"/>
      <c r="X413" s="702"/>
    </row>
    <row r="414" spans="1:24" s="1105" customFormat="1" hidden="1">
      <c r="A414" s="1989"/>
      <c r="B414" s="3145" t="str">
        <f t="shared" si="80"/>
        <v>2.3.1</v>
      </c>
      <c r="C414" s="2296">
        <f t="shared" si="80"/>
        <v>0</v>
      </c>
      <c r="D414" s="2296"/>
      <c r="E414" s="2297"/>
      <c r="F414" s="2297"/>
      <c r="G414" s="2297"/>
      <c r="H414" s="2297"/>
      <c r="I414" s="3087"/>
      <c r="J414" s="3087"/>
      <c r="K414" s="3087"/>
      <c r="L414" s="3087"/>
      <c r="M414" s="3087"/>
      <c r="N414" s="3087"/>
      <c r="O414" s="3087"/>
      <c r="P414" s="3087"/>
      <c r="Q414" s="3087"/>
      <c r="R414" s="3087"/>
      <c r="S414" s="3087"/>
      <c r="T414" s="3087"/>
      <c r="U414" s="3080"/>
      <c r="W414" s="702"/>
      <c r="X414" s="702"/>
    </row>
    <row r="415" spans="1:24" s="1105" customFormat="1" hidden="1">
      <c r="A415" s="1989"/>
      <c r="B415" s="3145" t="str">
        <f t="shared" si="80"/>
        <v>2.3.2</v>
      </c>
      <c r="C415" s="2296">
        <f t="shared" si="80"/>
        <v>0</v>
      </c>
      <c r="D415" s="2296"/>
      <c r="E415" s="2297"/>
      <c r="F415" s="2297"/>
      <c r="G415" s="2297"/>
      <c r="H415" s="2297"/>
      <c r="I415" s="3087"/>
      <c r="J415" s="3087"/>
      <c r="K415" s="3087"/>
      <c r="L415" s="3087"/>
      <c r="M415" s="3087"/>
      <c r="N415" s="3087"/>
      <c r="O415" s="3087"/>
      <c r="P415" s="3087"/>
      <c r="Q415" s="3087"/>
      <c r="R415" s="3087"/>
      <c r="S415" s="3087"/>
      <c r="T415" s="3087"/>
      <c r="U415" s="3080"/>
      <c r="W415" s="702"/>
      <c r="X415" s="702"/>
    </row>
    <row r="416" spans="1:24" s="1105" customFormat="1" hidden="1">
      <c r="A416" s="1989"/>
      <c r="B416" s="3145">
        <f t="shared" si="80"/>
        <v>3</v>
      </c>
      <c r="C416" s="2296" t="str">
        <f t="shared" si="80"/>
        <v>Lighting &amp; Illumination</v>
      </c>
      <c r="D416" s="2296"/>
      <c r="E416" s="2297"/>
      <c r="F416" s="2297"/>
      <c r="G416" s="2297"/>
      <c r="H416" s="2297"/>
      <c r="I416" s="3087"/>
      <c r="J416" s="3087"/>
      <c r="K416" s="3087"/>
      <c r="L416" s="3087"/>
      <c r="M416" s="3087"/>
      <c r="N416" s="3087"/>
      <c r="O416" s="3087"/>
      <c r="P416" s="3087"/>
      <c r="Q416" s="3087"/>
      <c r="R416" s="3087"/>
      <c r="S416" s="3087"/>
      <c r="T416" s="3087"/>
      <c r="U416" s="3080"/>
      <c r="W416" s="702"/>
      <c r="X416" s="702"/>
    </row>
    <row r="417" spans="1:24" s="1105" customFormat="1" hidden="1">
      <c r="A417" s="1989"/>
      <c r="B417" s="3145">
        <f t="shared" si="80"/>
        <v>3.1</v>
      </c>
      <c r="C417" s="2296" t="str">
        <f t="shared" si="80"/>
        <v>Daylighting</v>
      </c>
      <c r="D417" s="2296"/>
      <c r="E417" s="2297"/>
      <c r="F417" s="2297"/>
      <c r="G417" s="2297"/>
      <c r="H417" s="2297"/>
      <c r="I417" s="3087"/>
      <c r="J417" s="3087"/>
      <c r="K417" s="3087"/>
      <c r="L417" s="3087"/>
      <c r="M417" s="3087"/>
      <c r="N417" s="3087"/>
      <c r="O417" s="3087"/>
      <c r="P417" s="3087"/>
      <c r="Q417" s="3087"/>
      <c r="R417" s="3087"/>
      <c r="S417" s="3087"/>
      <c r="T417" s="3087"/>
      <c r="U417" s="3080"/>
      <c r="W417" s="702"/>
      <c r="X417" s="702"/>
    </row>
    <row r="418" spans="1:24" s="1105" customFormat="1">
      <c r="A418" s="1989"/>
      <c r="B418" s="3145" t="str">
        <f t="shared" si="80"/>
        <v>3.1.1</v>
      </c>
      <c r="C418" s="2296" t="str">
        <f t="shared" si="80"/>
        <v>Daylight Factor</v>
      </c>
      <c r="D418" s="2296"/>
      <c r="E418" s="2297"/>
      <c r="F418" s="2297"/>
      <c r="G418" s="2297"/>
      <c r="H418" s="2297"/>
      <c r="I418" s="3098" t="str">
        <f>'Q1'!F293</f>
        <v>Daylight factor</v>
      </c>
      <c r="J418" s="3103"/>
      <c r="K418" s="3104">
        <f>'Q1'!G293</f>
        <v>0</v>
      </c>
      <c r="L418" s="3087"/>
      <c r="M418" s="3087"/>
      <c r="N418" s="3087"/>
      <c r="O418" s="3087"/>
      <c r="P418" s="3087"/>
      <c r="Q418" s="3087"/>
      <c r="R418" s="3087"/>
      <c r="S418" s="3087"/>
      <c r="T418" s="3087"/>
      <c r="U418" s="3080"/>
      <c r="W418" s="702"/>
      <c r="X418" s="702"/>
    </row>
    <row r="419" spans="1:24" s="1105" customFormat="1" hidden="1">
      <c r="A419" s="1989"/>
      <c r="B419" s="3145" t="str">
        <f t="shared" si="80"/>
        <v>3.1.2</v>
      </c>
      <c r="C419" s="2296" t="str">
        <f t="shared" si="80"/>
        <v>Openings by Orientation</v>
      </c>
      <c r="D419" s="2296"/>
      <c r="E419" s="2297"/>
      <c r="F419" s="2297"/>
      <c r="G419" s="2297"/>
      <c r="H419" s="2297"/>
      <c r="I419" s="3087"/>
      <c r="J419" s="3087"/>
      <c r="K419" s="3087"/>
      <c r="L419" s="3087"/>
      <c r="M419" s="3087"/>
      <c r="N419" s="3087"/>
      <c r="O419" s="3087"/>
      <c r="P419" s="3087"/>
      <c r="Q419" s="3087"/>
      <c r="R419" s="3087"/>
      <c r="S419" s="3087"/>
      <c r="T419" s="3087"/>
      <c r="U419" s="3080"/>
      <c r="W419" s="702"/>
      <c r="X419" s="702"/>
    </row>
    <row r="420" spans="1:24" s="1105" customFormat="1" hidden="1">
      <c r="A420" s="1989"/>
      <c r="B420" s="3145" t="str">
        <f t="shared" si="80"/>
        <v>3.1.3</v>
      </c>
      <c r="C420" s="2296" t="str">
        <f t="shared" si="80"/>
        <v>Daylight Devices</v>
      </c>
      <c r="D420" s="2296"/>
      <c r="E420" s="2297"/>
      <c r="F420" s="2297"/>
      <c r="G420" s="2297"/>
      <c r="H420" s="2297"/>
      <c r="I420" s="3087"/>
      <c r="J420" s="3087"/>
      <c r="K420" s="3087"/>
      <c r="L420" s="3087"/>
      <c r="M420" s="3087"/>
      <c r="N420" s="3087"/>
      <c r="O420" s="3087"/>
      <c r="P420" s="3087"/>
      <c r="Q420" s="3087"/>
      <c r="R420" s="3087"/>
      <c r="S420" s="3087"/>
      <c r="T420" s="3087"/>
      <c r="U420" s="3080"/>
      <c r="W420" s="702"/>
      <c r="X420" s="702"/>
    </row>
    <row r="421" spans="1:24" s="1105" customFormat="1" hidden="1">
      <c r="A421" s="1989"/>
      <c r="B421" s="3145">
        <f t="shared" si="80"/>
        <v>3.2</v>
      </c>
      <c r="C421" s="2296" t="str">
        <f t="shared" si="80"/>
        <v>Anti-glare Measures</v>
      </c>
      <c r="D421" s="2296"/>
      <c r="E421" s="2297"/>
      <c r="F421" s="2297"/>
      <c r="G421" s="2297"/>
      <c r="H421" s="2297"/>
      <c r="I421" s="3087"/>
      <c r="J421" s="3087"/>
      <c r="K421" s="3087"/>
      <c r="L421" s="3087"/>
      <c r="M421" s="3087"/>
      <c r="N421" s="3087"/>
      <c r="O421" s="3087"/>
      <c r="P421" s="3087"/>
      <c r="Q421" s="3087"/>
      <c r="R421" s="3087"/>
      <c r="S421" s="3087"/>
      <c r="T421" s="3087"/>
      <c r="U421" s="3080"/>
      <c r="W421" s="702"/>
      <c r="X421" s="702"/>
    </row>
    <row r="422" spans="1:24" s="1105" customFormat="1" hidden="1">
      <c r="A422" s="1989"/>
      <c r="B422" s="3145" t="str">
        <f t="shared" si="80"/>
        <v>3.2.1</v>
      </c>
      <c r="C422" s="2296" t="str">
        <f t="shared" si="80"/>
        <v>Glare from Light Fixtures</v>
      </c>
      <c r="D422" s="2296"/>
      <c r="E422" s="2297"/>
      <c r="F422" s="2297"/>
      <c r="G422" s="2297"/>
      <c r="H422" s="2297"/>
      <c r="I422" s="3087"/>
      <c r="J422" s="3087"/>
      <c r="K422" s="3087"/>
      <c r="L422" s="3087"/>
      <c r="M422" s="3087"/>
      <c r="N422" s="3087"/>
      <c r="O422" s="3087"/>
      <c r="P422" s="3087"/>
      <c r="Q422" s="3087"/>
      <c r="R422" s="3087"/>
      <c r="S422" s="3087"/>
      <c r="T422" s="3087"/>
      <c r="U422" s="3080"/>
      <c r="W422" s="702"/>
      <c r="X422" s="702"/>
    </row>
    <row r="423" spans="1:24" s="1105" customFormat="1" hidden="1">
      <c r="A423" s="1989"/>
      <c r="B423" s="3145" t="str">
        <f t="shared" si="80"/>
        <v>3.2.1</v>
      </c>
      <c r="C423" s="2296" t="str">
        <f t="shared" si="80"/>
        <v>Daylight Control</v>
      </c>
      <c r="D423" s="2296"/>
      <c r="E423" s="2297"/>
      <c r="F423" s="2297"/>
      <c r="G423" s="2297"/>
      <c r="H423" s="2297"/>
      <c r="I423" s="3087"/>
      <c r="J423" s="3087"/>
      <c r="K423" s="3087"/>
      <c r="L423" s="3087"/>
      <c r="M423" s="3087"/>
      <c r="N423" s="3087"/>
      <c r="O423" s="3087"/>
      <c r="P423" s="3087"/>
      <c r="Q423" s="3087"/>
      <c r="R423" s="3087"/>
      <c r="S423" s="3087"/>
      <c r="T423" s="3087"/>
      <c r="U423" s="3080"/>
      <c r="W423" s="702"/>
      <c r="X423" s="702"/>
    </row>
    <row r="424" spans="1:24" s="1105" customFormat="1" hidden="1">
      <c r="A424" s="1989"/>
      <c r="B424" s="3145" t="str">
        <f t="shared" si="80"/>
        <v>3.2.3</v>
      </c>
      <c r="C424" s="2296" t="str">
        <f t="shared" si="80"/>
        <v>Reflection Control</v>
      </c>
      <c r="D424" s="2296"/>
      <c r="E424" s="2297"/>
      <c r="F424" s="2297"/>
      <c r="G424" s="2297"/>
      <c r="H424" s="2297"/>
      <c r="I424" s="3087"/>
      <c r="J424" s="3087"/>
      <c r="K424" s="3087"/>
      <c r="L424" s="3087"/>
      <c r="M424" s="3087"/>
      <c r="N424" s="3087"/>
      <c r="O424" s="3087"/>
      <c r="P424" s="3087"/>
      <c r="Q424" s="3087"/>
      <c r="R424" s="3087"/>
      <c r="S424" s="3087"/>
      <c r="T424" s="3087"/>
      <c r="U424" s="3080"/>
      <c r="W424" s="702"/>
      <c r="X424" s="702"/>
    </row>
    <row r="425" spans="1:24" s="1105" customFormat="1" hidden="1">
      <c r="A425" s="1989"/>
      <c r="B425" s="3145">
        <f t="shared" si="80"/>
        <v>3.3</v>
      </c>
      <c r="C425" s="2296" t="str">
        <f t="shared" si="80"/>
        <v>Illuminance Level</v>
      </c>
      <c r="D425" s="2296"/>
      <c r="E425" s="2297"/>
      <c r="F425" s="2297"/>
      <c r="G425" s="2297"/>
      <c r="H425" s="2297"/>
      <c r="I425" s="3087"/>
      <c r="J425" s="3087"/>
      <c r="K425" s="3087"/>
      <c r="L425" s="3087"/>
      <c r="M425" s="3087"/>
      <c r="N425" s="3087"/>
      <c r="O425" s="3087"/>
      <c r="P425" s="3087"/>
      <c r="Q425" s="3087"/>
      <c r="R425" s="3087"/>
      <c r="S425" s="3087"/>
      <c r="T425" s="3087"/>
      <c r="U425" s="3080"/>
      <c r="W425" s="702"/>
      <c r="X425" s="702"/>
    </row>
    <row r="426" spans="1:24" s="1105" customFormat="1" hidden="1">
      <c r="A426" s="1989"/>
      <c r="B426" s="3145" t="str">
        <f t="shared" si="80"/>
        <v>3.3.1</v>
      </c>
      <c r="C426" s="2296" t="str">
        <f t="shared" si="80"/>
        <v>照度</v>
      </c>
      <c r="D426" s="2296"/>
      <c r="E426" s="2297"/>
      <c r="F426" s="2297"/>
      <c r="G426" s="2297"/>
      <c r="H426" s="2297"/>
      <c r="I426" s="3087"/>
      <c r="J426" s="3087"/>
      <c r="K426" s="3087"/>
      <c r="L426" s="3087"/>
      <c r="M426" s="3087"/>
      <c r="N426" s="3087"/>
      <c r="O426" s="3087"/>
      <c r="P426" s="3087"/>
      <c r="Q426" s="3087"/>
      <c r="R426" s="3087"/>
      <c r="S426" s="3087"/>
      <c r="T426" s="3087"/>
      <c r="U426" s="3080"/>
      <c r="W426" s="702"/>
      <c r="X426" s="702"/>
    </row>
    <row r="427" spans="1:24" s="1105" customFormat="1" hidden="1">
      <c r="A427" s="1989"/>
      <c r="B427" s="3145" t="str">
        <f t="shared" si="80"/>
        <v>3.3.2</v>
      </c>
      <c r="C427" s="2296" t="str">
        <f t="shared" si="80"/>
        <v>照度均斉度</v>
      </c>
      <c r="D427" s="2296"/>
      <c r="E427" s="2297"/>
      <c r="F427" s="2297"/>
      <c r="G427" s="2297"/>
      <c r="H427" s="2297"/>
      <c r="I427" s="3087"/>
      <c r="J427" s="3087"/>
      <c r="K427" s="3087"/>
      <c r="L427" s="3087"/>
      <c r="M427" s="3087"/>
      <c r="N427" s="3087"/>
      <c r="O427" s="3087"/>
      <c r="P427" s="3087"/>
      <c r="Q427" s="3087"/>
      <c r="R427" s="3087"/>
      <c r="S427" s="3087"/>
      <c r="T427" s="3087"/>
      <c r="U427" s="3080"/>
      <c r="W427" s="702"/>
      <c r="X427" s="702"/>
    </row>
    <row r="428" spans="1:24" s="1105" customFormat="1" hidden="1">
      <c r="A428" s="1989"/>
      <c r="B428" s="3145">
        <f t="shared" ref="B428:C447" si="81">B238</f>
        <v>3.4</v>
      </c>
      <c r="C428" s="2296" t="str">
        <f t="shared" si="81"/>
        <v>Lighting Controllability</v>
      </c>
      <c r="D428" s="2296"/>
      <c r="E428" s="2297"/>
      <c r="F428" s="2297"/>
      <c r="G428" s="2297"/>
      <c r="H428" s="2297"/>
      <c r="I428" s="3087"/>
      <c r="J428" s="3087"/>
      <c r="K428" s="3087"/>
      <c r="L428" s="3087"/>
      <c r="M428" s="3087"/>
      <c r="N428" s="3087"/>
      <c r="O428" s="3087"/>
      <c r="P428" s="3087"/>
      <c r="Q428" s="3087"/>
      <c r="R428" s="3087"/>
      <c r="S428" s="3087"/>
      <c r="T428" s="3087"/>
      <c r="U428" s="3080"/>
      <c r="W428" s="702"/>
      <c r="X428" s="702"/>
    </row>
    <row r="429" spans="1:24" s="1105" customFormat="1" hidden="1">
      <c r="A429" s="1989"/>
      <c r="B429" s="3145">
        <f t="shared" si="81"/>
        <v>4</v>
      </c>
      <c r="C429" s="2296" t="str">
        <f t="shared" si="81"/>
        <v>Air Quality</v>
      </c>
      <c r="D429" s="2296"/>
      <c r="E429" s="2297"/>
      <c r="F429" s="2297"/>
      <c r="G429" s="2297"/>
      <c r="H429" s="2297"/>
      <c r="I429" s="3087"/>
      <c r="J429" s="3087"/>
      <c r="K429" s="3087"/>
      <c r="L429" s="3087"/>
      <c r="M429" s="3087"/>
      <c r="N429" s="3087"/>
      <c r="O429" s="3087"/>
      <c r="P429" s="3087"/>
      <c r="Q429" s="3087"/>
      <c r="R429" s="3087"/>
      <c r="S429" s="3087"/>
      <c r="T429" s="3087"/>
      <c r="U429" s="3080"/>
      <c r="W429" s="702"/>
      <c r="X429" s="702"/>
    </row>
    <row r="430" spans="1:24" s="1105" customFormat="1" hidden="1">
      <c r="A430" s="1989"/>
      <c r="B430" s="3145">
        <f t="shared" si="81"/>
        <v>4.0999999999999996</v>
      </c>
      <c r="C430" s="2296" t="str">
        <f t="shared" si="81"/>
        <v>Source Control</v>
      </c>
      <c r="D430" s="2296"/>
      <c r="E430" s="2297"/>
      <c r="F430" s="2297"/>
      <c r="G430" s="2297"/>
      <c r="H430" s="2297"/>
      <c r="I430" s="3087"/>
      <c r="J430" s="3087"/>
      <c r="K430" s="3087"/>
      <c r="L430" s="3087"/>
      <c r="M430" s="3087"/>
      <c r="N430" s="3087"/>
      <c r="O430" s="3087"/>
      <c r="P430" s="3087"/>
      <c r="Q430" s="3087"/>
      <c r="R430" s="3087"/>
      <c r="S430" s="3087"/>
      <c r="T430" s="3087"/>
      <c r="U430" s="3080"/>
      <c r="W430" s="702"/>
      <c r="X430" s="702"/>
    </row>
    <row r="431" spans="1:24" s="1105" customFormat="1" hidden="1">
      <c r="A431" s="1989"/>
      <c r="B431" s="3145" t="str">
        <f t="shared" si="81"/>
        <v>4.1.1</v>
      </c>
      <c r="C431" s="2296" t="str">
        <f t="shared" si="81"/>
        <v>Chemical Pollutants</v>
      </c>
      <c r="D431" s="2296"/>
      <c r="E431" s="2297"/>
      <c r="F431" s="2297"/>
      <c r="G431" s="2297"/>
      <c r="H431" s="2297"/>
      <c r="I431" s="3087"/>
      <c r="J431" s="3087"/>
      <c r="K431" s="3087"/>
      <c r="L431" s="3087"/>
      <c r="M431" s="3087"/>
      <c r="N431" s="3087"/>
      <c r="O431" s="3087"/>
      <c r="P431" s="3087"/>
      <c r="Q431" s="3087"/>
      <c r="R431" s="3087"/>
      <c r="S431" s="3087"/>
      <c r="T431" s="3087"/>
      <c r="U431" s="3080"/>
      <c r="W431" s="702"/>
      <c r="X431" s="702"/>
    </row>
    <row r="432" spans="1:24" s="1105" customFormat="1" hidden="1">
      <c r="A432" s="1989"/>
      <c r="B432" s="3145" t="str">
        <f t="shared" si="81"/>
        <v>4.1.2</v>
      </c>
      <c r="C432" s="2296" t="str">
        <f t="shared" si="81"/>
        <v>Asbestos</v>
      </c>
      <c r="D432" s="2296"/>
      <c r="E432" s="2297"/>
      <c r="F432" s="2297"/>
      <c r="G432" s="2297"/>
      <c r="H432" s="2297"/>
      <c r="I432" s="3087"/>
      <c r="J432" s="3087"/>
      <c r="K432" s="3087"/>
      <c r="L432" s="3087"/>
      <c r="M432" s="3087"/>
      <c r="N432" s="3087"/>
      <c r="O432" s="3087"/>
      <c r="P432" s="3087"/>
      <c r="Q432" s="3087"/>
      <c r="R432" s="3087"/>
      <c r="S432" s="3087"/>
      <c r="T432" s="3087"/>
      <c r="U432" s="3080"/>
      <c r="W432" s="702"/>
      <c r="X432" s="702"/>
    </row>
    <row r="433" spans="1:24" s="1105" customFormat="1" hidden="1">
      <c r="A433" s="1989"/>
      <c r="B433" s="3145" t="str">
        <f t="shared" si="81"/>
        <v>4.1.3</v>
      </c>
      <c r="C433" s="2296" t="str">
        <f t="shared" si="81"/>
        <v>Mites, Mold etc.</v>
      </c>
      <c r="D433" s="2296"/>
      <c r="E433" s="2297"/>
      <c r="F433" s="2297"/>
      <c r="G433" s="2297"/>
      <c r="H433" s="2297"/>
      <c r="I433" s="3087"/>
      <c r="J433" s="3087"/>
      <c r="K433" s="3087"/>
      <c r="L433" s="3087"/>
      <c r="M433" s="3087"/>
      <c r="N433" s="3087"/>
      <c r="O433" s="3087"/>
      <c r="P433" s="3087"/>
      <c r="Q433" s="3087"/>
      <c r="R433" s="3087"/>
      <c r="S433" s="3087"/>
      <c r="T433" s="3087"/>
      <c r="U433" s="3080"/>
      <c r="W433" s="702"/>
      <c r="X433" s="702"/>
    </row>
    <row r="434" spans="1:24" s="1105" customFormat="1" hidden="1">
      <c r="A434" s="1989"/>
      <c r="B434" s="3145" t="str">
        <f t="shared" si="81"/>
        <v>4.1.4</v>
      </c>
      <c r="C434" s="2296" t="str">
        <f t="shared" si="81"/>
        <v>Legionella</v>
      </c>
      <c r="D434" s="2296"/>
      <c r="E434" s="2297"/>
      <c r="F434" s="2297"/>
      <c r="G434" s="2297"/>
      <c r="H434" s="2297"/>
      <c r="I434" s="3087"/>
      <c r="J434" s="3087"/>
      <c r="K434" s="3087"/>
      <c r="L434" s="3087"/>
      <c r="M434" s="3087"/>
      <c r="N434" s="3087"/>
      <c r="O434" s="3087"/>
      <c r="P434" s="3087"/>
      <c r="Q434" s="3087"/>
      <c r="R434" s="3087"/>
      <c r="S434" s="3087"/>
      <c r="T434" s="3087"/>
      <c r="U434" s="3080"/>
      <c r="W434" s="702"/>
      <c r="X434" s="702"/>
    </row>
    <row r="435" spans="1:24" s="1105" customFormat="1" hidden="1">
      <c r="A435" s="1989"/>
      <c r="B435" s="3145">
        <f t="shared" si="81"/>
        <v>4.2</v>
      </c>
      <c r="C435" s="2296" t="str">
        <f t="shared" si="81"/>
        <v>Ventilation</v>
      </c>
      <c r="D435" s="2296"/>
      <c r="E435" s="2297"/>
      <c r="F435" s="2297"/>
      <c r="G435" s="2297"/>
      <c r="H435" s="2297"/>
      <c r="I435" s="3087"/>
      <c r="J435" s="3087"/>
      <c r="K435" s="3087"/>
      <c r="L435" s="3087"/>
      <c r="M435" s="3087"/>
      <c r="N435" s="3087"/>
      <c r="O435" s="3087"/>
      <c r="P435" s="3087"/>
      <c r="Q435" s="3087"/>
      <c r="R435" s="3087"/>
      <c r="S435" s="3087"/>
      <c r="T435" s="3087"/>
      <c r="U435" s="3080"/>
      <c r="W435" s="702"/>
      <c r="X435" s="702"/>
    </row>
    <row r="436" spans="1:24" s="1105" customFormat="1" hidden="1">
      <c r="A436" s="1989"/>
      <c r="B436" s="3145" t="str">
        <f t="shared" si="81"/>
        <v>4.2.1</v>
      </c>
      <c r="C436" s="2296" t="str">
        <f t="shared" si="81"/>
        <v>Ventilation Rate</v>
      </c>
      <c r="D436" s="2296"/>
      <c r="E436" s="2297"/>
      <c r="F436" s="2297"/>
      <c r="G436" s="2297"/>
      <c r="H436" s="2297"/>
      <c r="I436" s="3087"/>
      <c r="J436" s="3087"/>
      <c r="K436" s="3087"/>
      <c r="L436" s="3087"/>
      <c r="M436" s="3087"/>
      <c r="N436" s="3087"/>
      <c r="O436" s="3087"/>
      <c r="P436" s="3087"/>
      <c r="Q436" s="3087"/>
      <c r="R436" s="3087"/>
      <c r="S436" s="3087"/>
      <c r="T436" s="3087"/>
      <c r="U436" s="3080"/>
      <c r="W436" s="702"/>
      <c r="X436" s="702"/>
    </row>
    <row r="437" spans="1:24" s="1105" customFormat="1" ht="22.15" customHeight="1">
      <c r="A437" s="1989"/>
      <c r="B437" s="3145" t="str">
        <f t="shared" si="81"/>
        <v>4.2.2</v>
      </c>
      <c r="C437" s="2296" t="str">
        <f t="shared" si="81"/>
        <v>Natural Ventilation Performance</v>
      </c>
      <c r="D437" s="2296"/>
      <c r="E437" s="2297"/>
      <c r="F437" s="2297"/>
      <c r="G437" s="2297"/>
      <c r="H437" s="2297"/>
      <c r="I437" s="3915" t="str">
        <f>'Q1'!G446</f>
        <v>Valid opening area for natural ventilation</v>
      </c>
      <c r="J437" s="3915"/>
      <c r="K437" s="3915"/>
      <c r="L437" s="3105">
        <f>'Q1'!H446</f>
        <v>0</v>
      </c>
      <c r="M437" s="3087"/>
      <c r="N437" s="3087"/>
      <c r="O437" s="3087"/>
      <c r="P437" s="3087"/>
      <c r="Q437" s="3087"/>
      <c r="R437" s="3087"/>
      <c r="S437" s="3087"/>
      <c r="T437" s="3087"/>
      <c r="U437" s="3080"/>
      <c r="W437" s="702"/>
      <c r="X437" s="702"/>
    </row>
    <row r="438" spans="1:24" s="1105" customFormat="1" hidden="1">
      <c r="A438" s="1989"/>
      <c r="B438" s="3145" t="str">
        <f t="shared" si="81"/>
        <v>4.2.3</v>
      </c>
      <c r="C438" s="2296" t="str">
        <f t="shared" si="81"/>
        <v>Consideration for Outside Air Intake</v>
      </c>
      <c r="D438" s="2296"/>
      <c r="E438" s="2297"/>
      <c r="F438" s="2297"/>
      <c r="G438" s="2297"/>
      <c r="H438" s="2297"/>
      <c r="I438" s="3087"/>
      <c r="J438" s="3087"/>
      <c r="K438" s="3087"/>
      <c r="L438" s="3087"/>
      <c r="M438" s="3087"/>
      <c r="N438" s="3087"/>
      <c r="O438" s="3087"/>
      <c r="P438" s="3087"/>
      <c r="Q438" s="3087"/>
      <c r="R438" s="3087"/>
      <c r="S438" s="3087"/>
      <c r="T438" s="3087"/>
      <c r="U438" s="3080"/>
      <c r="W438" s="702"/>
      <c r="X438" s="702"/>
    </row>
    <row r="439" spans="1:24" s="1105" customFormat="1" hidden="1">
      <c r="A439" s="1989"/>
      <c r="B439" s="3145" t="str">
        <f t="shared" si="81"/>
        <v>4.2.4</v>
      </c>
      <c r="C439" s="2296" t="str">
        <f t="shared" si="81"/>
        <v>Air Supply Planning</v>
      </c>
      <c r="D439" s="2296"/>
      <c r="E439" s="2297"/>
      <c r="F439" s="2297"/>
      <c r="G439" s="2297"/>
      <c r="H439" s="2297"/>
      <c r="I439" s="3087"/>
      <c r="J439" s="3087"/>
      <c r="K439" s="3087"/>
      <c r="L439" s="3087"/>
      <c r="M439" s="3087"/>
      <c r="N439" s="3087"/>
      <c r="O439" s="3087"/>
      <c r="P439" s="3087"/>
      <c r="Q439" s="3087"/>
      <c r="R439" s="3087"/>
      <c r="S439" s="3087"/>
      <c r="T439" s="3087"/>
      <c r="U439" s="3080"/>
      <c r="W439" s="702"/>
      <c r="X439" s="702"/>
    </row>
    <row r="440" spans="1:24" s="1105" customFormat="1" hidden="1">
      <c r="A440" s="1989"/>
      <c r="B440" s="3145">
        <f t="shared" si="81"/>
        <v>4.3</v>
      </c>
      <c r="C440" s="2296" t="str">
        <f t="shared" si="81"/>
        <v>Operation Plan</v>
      </c>
      <c r="D440" s="2296"/>
      <c r="E440" s="2297"/>
      <c r="F440" s="2297"/>
      <c r="G440" s="2297"/>
      <c r="H440" s="2297"/>
      <c r="I440" s="3087"/>
      <c r="J440" s="3087"/>
      <c r="K440" s="3087"/>
      <c r="L440" s="3087"/>
      <c r="M440" s="3087"/>
      <c r="N440" s="3087"/>
      <c r="O440" s="3087"/>
      <c r="P440" s="3087"/>
      <c r="Q440" s="3087"/>
      <c r="R440" s="3087"/>
      <c r="S440" s="3087"/>
      <c r="T440" s="3087"/>
      <c r="U440" s="3080"/>
      <c r="W440" s="702"/>
      <c r="X440" s="702"/>
    </row>
    <row r="441" spans="1:24" s="1105" customFormat="1" hidden="1">
      <c r="A441" s="1989"/>
      <c r="B441" s="3145" t="str">
        <f t="shared" si="81"/>
        <v>4.3.1</v>
      </c>
      <c r="C441" s="2296" t="str">
        <f t="shared" si="81"/>
        <v>CO2 Monitoring</v>
      </c>
      <c r="D441" s="2296"/>
      <c r="E441" s="2297"/>
      <c r="F441" s="2297"/>
      <c r="G441" s="2297"/>
      <c r="H441" s="2297"/>
      <c r="I441" s="3087"/>
      <c r="J441" s="3087"/>
      <c r="K441" s="3087"/>
      <c r="L441" s="3087"/>
      <c r="M441" s="3087"/>
      <c r="N441" s="3087"/>
      <c r="O441" s="3087"/>
      <c r="P441" s="3087"/>
      <c r="Q441" s="3087"/>
      <c r="R441" s="3087"/>
      <c r="S441" s="3087"/>
      <c r="T441" s="3087"/>
      <c r="U441" s="3080"/>
      <c r="W441" s="702"/>
      <c r="X441" s="702"/>
    </row>
    <row r="442" spans="1:24" s="1105" customFormat="1" hidden="1">
      <c r="A442" s="1989"/>
      <c r="B442" s="3145" t="str">
        <f t="shared" si="81"/>
        <v>4.3.2</v>
      </c>
      <c r="C442" s="2296" t="str">
        <f t="shared" si="81"/>
        <v>Control of Smoking</v>
      </c>
      <c r="D442" s="2296"/>
      <c r="E442" s="2297"/>
      <c r="F442" s="2297"/>
      <c r="G442" s="2297"/>
      <c r="H442" s="2297"/>
      <c r="I442" s="3087"/>
      <c r="J442" s="3087"/>
      <c r="K442" s="3087"/>
      <c r="L442" s="3087"/>
      <c r="M442" s="3087"/>
      <c r="N442" s="3087"/>
      <c r="O442" s="3087"/>
      <c r="P442" s="3087"/>
      <c r="Q442" s="3087"/>
      <c r="R442" s="3087"/>
      <c r="S442" s="3087"/>
      <c r="T442" s="3087"/>
      <c r="U442" s="3080"/>
      <c r="W442" s="702"/>
      <c r="X442" s="702"/>
    </row>
    <row r="443" spans="1:24" s="1105" customFormat="1">
      <c r="A443" s="1989"/>
      <c r="B443" s="3149" t="str">
        <f t="shared" si="81"/>
        <v>Q2</v>
      </c>
      <c r="C443" s="3095" t="str">
        <f t="shared" si="81"/>
        <v>Quality of Service</v>
      </c>
      <c r="D443" s="2296"/>
      <c r="E443" s="2297"/>
      <c r="F443" s="2297"/>
      <c r="G443" s="2297"/>
      <c r="H443" s="2297"/>
      <c r="I443" s="3087"/>
      <c r="J443" s="3087"/>
      <c r="K443" s="3087"/>
      <c r="L443" s="3087"/>
      <c r="M443" s="3087"/>
      <c r="N443" s="3087"/>
      <c r="O443" s="3087"/>
      <c r="P443" s="3087"/>
      <c r="Q443" s="3087"/>
      <c r="R443" s="3087"/>
      <c r="S443" s="3087"/>
      <c r="T443" s="3087"/>
      <c r="U443" s="3080"/>
      <c r="W443" s="702"/>
      <c r="X443" s="702"/>
    </row>
    <row r="444" spans="1:24" s="1105" customFormat="1" hidden="1">
      <c r="A444" s="1989"/>
      <c r="B444" s="3145">
        <f t="shared" si="81"/>
        <v>1</v>
      </c>
      <c r="C444" s="2296" t="str">
        <f t="shared" si="81"/>
        <v>Service Ability</v>
      </c>
      <c r="D444" s="2296"/>
      <c r="E444" s="2297"/>
      <c r="F444" s="2297"/>
      <c r="G444" s="2297"/>
      <c r="H444" s="2297"/>
      <c r="I444" s="3087"/>
      <c r="J444" s="3087"/>
      <c r="K444" s="3087"/>
      <c r="L444" s="3087"/>
      <c r="M444" s="3087"/>
      <c r="N444" s="3087"/>
      <c r="O444" s="3087"/>
      <c r="P444" s="3087"/>
      <c r="Q444" s="3087"/>
      <c r="R444" s="3087"/>
      <c r="S444" s="3087"/>
      <c r="T444" s="3087"/>
      <c r="U444" s="3080"/>
      <c r="W444" s="702"/>
      <c r="X444" s="702"/>
    </row>
    <row r="445" spans="1:24" s="1105" customFormat="1" hidden="1">
      <c r="A445" s="1989"/>
      <c r="B445" s="3145">
        <f t="shared" si="81"/>
        <v>1.1000000000000001</v>
      </c>
      <c r="C445" s="2296" t="str">
        <f t="shared" si="81"/>
        <v xml:space="preserve"> Functionality &amp; Usability</v>
      </c>
      <c r="D445" s="2296"/>
      <c r="E445" s="2297"/>
      <c r="F445" s="2297"/>
      <c r="G445" s="2297"/>
      <c r="H445" s="2297"/>
      <c r="I445" s="3087"/>
      <c r="J445" s="3087"/>
      <c r="K445" s="3087"/>
      <c r="L445" s="3087"/>
      <c r="M445" s="3087"/>
      <c r="N445" s="3087"/>
      <c r="O445" s="3087"/>
      <c r="P445" s="3087"/>
      <c r="Q445" s="3087"/>
      <c r="R445" s="3087"/>
      <c r="S445" s="3087"/>
      <c r="T445" s="3087"/>
      <c r="U445" s="3080"/>
      <c r="W445" s="702"/>
      <c r="X445" s="702"/>
    </row>
    <row r="446" spans="1:24" s="1105" customFormat="1">
      <c r="A446" s="1989"/>
      <c r="B446" s="3145" t="str">
        <f t="shared" si="81"/>
        <v>1.1.1</v>
      </c>
      <c r="C446" s="2296" t="str">
        <f t="shared" si="81"/>
        <v>Provision of Space &amp; Storage</v>
      </c>
      <c r="D446" s="2296"/>
      <c r="E446" s="2297"/>
      <c r="F446" s="2297"/>
      <c r="G446" s="2297"/>
      <c r="H446" s="2297"/>
      <c r="I446" s="3098" t="str">
        <f>'Q2'!G22</f>
        <v>Working space</v>
      </c>
      <c r="J446" s="3098"/>
      <c r="K446" s="3106">
        <f>'Q2'!H22</f>
        <v>0</v>
      </c>
      <c r="L446" s="3103" t="s">
        <v>2984</v>
      </c>
      <c r="M446" s="3103" t="str">
        <f>'Q2'!I22</f>
        <v>Bedroom</v>
      </c>
      <c r="N446" s="3106">
        <f>'Q2'!J22</f>
        <v>0</v>
      </c>
      <c r="O446" s="3103" t="s">
        <v>2985</v>
      </c>
      <c r="P446" s="3784" t="str">
        <f>'Q2'!K22</f>
        <v>Single room</v>
      </c>
      <c r="Q446" s="3106">
        <f>'Q2'!L22</f>
        <v>0</v>
      </c>
      <c r="R446" s="3103" t="str">
        <f>'Q2'!M22</f>
        <v>Twin room</v>
      </c>
      <c r="S446" s="3106">
        <f>'Q2'!N22</f>
        <v>0</v>
      </c>
      <c r="T446" s="3087"/>
      <c r="U446" s="3080"/>
      <c r="W446" s="702"/>
      <c r="X446" s="702"/>
    </row>
    <row r="447" spans="1:24" s="1105" customFormat="1">
      <c r="A447" s="1989"/>
      <c r="B447" s="3145" t="str">
        <f t="shared" si="81"/>
        <v>1.1.2</v>
      </c>
      <c r="C447" s="2296" t="str">
        <f t="shared" si="81"/>
        <v>Use of Advanced Information System</v>
      </c>
      <c r="D447" s="2296"/>
      <c r="E447" s="2297"/>
      <c r="F447" s="2297"/>
      <c r="G447" s="2297"/>
      <c r="H447" s="2297"/>
      <c r="I447" s="3098" t="str">
        <f>'Q2'!F33</f>
        <v>Socket capacity</v>
      </c>
      <c r="J447" s="3098"/>
      <c r="K447" s="3107">
        <f>'Q2'!G33</f>
        <v>0</v>
      </c>
      <c r="L447" s="3098" t="s">
        <v>3330</v>
      </c>
      <c r="M447" s="3087"/>
      <c r="N447" s="3087"/>
      <c r="O447" s="3087"/>
      <c r="P447" s="3087"/>
      <c r="Q447" s="3087"/>
      <c r="R447" s="3087"/>
      <c r="S447" s="3087"/>
      <c r="T447" s="3087"/>
      <c r="U447" s="3080"/>
      <c r="W447" s="702"/>
      <c r="X447" s="702"/>
    </row>
    <row r="448" spans="1:24" s="1105" customFormat="1" hidden="1">
      <c r="A448" s="1989"/>
      <c r="B448" s="3145" t="str">
        <f t="shared" ref="B448:C467" si="82">B258</f>
        <v>1.1.3</v>
      </c>
      <c r="C448" s="2296" t="str">
        <f t="shared" si="82"/>
        <v>Barrier-free Planning</v>
      </c>
      <c r="D448" s="2296"/>
      <c r="E448" s="2297"/>
      <c r="F448" s="2297"/>
      <c r="G448" s="2297"/>
      <c r="H448" s="2297"/>
      <c r="I448" s="3087"/>
      <c r="J448" s="3087"/>
      <c r="K448" s="3087"/>
      <c r="L448" s="3087"/>
      <c r="M448" s="3087"/>
      <c r="N448" s="3087"/>
      <c r="O448" s="3087"/>
      <c r="P448" s="3087"/>
      <c r="Q448" s="3087"/>
      <c r="R448" s="3087"/>
      <c r="S448" s="3087"/>
      <c r="T448" s="3087"/>
      <c r="U448" s="3080"/>
      <c r="W448" s="702"/>
      <c r="X448" s="702"/>
    </row>
    <row r="449" spans="1:24" s="1105" customFormat="1" hidden="1">
      <c r="A449" s="1989"/>
      <c r="B449" s="3145">
        <f t="shared" si="82"/>
        <v>1.2</v>
      </c>
      <c r="C449" s="2296" t="str">
        <f t="shared" si="82"/>
        <v>Amenity</v>
      </c>
      <c r="D449" s="2296"/>
      <c r="E449" s="2297"/>
      <c r="F449" s="2297"/>
      <c r="G449" s="2297"/>
      <c r="H449" s="2297"/>
      <c r="I449" s="3087"/>
      <c r="J449" s="3087"/>
      <c r="K449" s="3087"/>
      <c r="L449" s="3087"/>
      <c r="M449" s="3087"/>
      <c r="N449" s="3087"/>
      <c r="O449" s="3087"/>
      <c r="P449" s="3087"/>
      <c r="Q449" s="3087"/>
      <c r="R449" s="3087"/>
      <c r="S449" s="3087"/>
      <c r="T449" s="3087"/>
      <c r="U449" s="3080"/>
      <c r="W449" s="702"/>
      <c r="X449" s="702"/>
    </row>
    <row r="450" spans="1:24" s="1105" customFormat="1">
      <c r="A450" s="1989"/>
      <c r="B450" s="3145" t="str">
        <f t="shared" si="82"/>
        <v>1.2.1</v>
      </c>
      <c r="C450" s="2296" t="str">
        <f t="shared" si="82"/>
        <v>Perceived Spaciousness &amp; Access to View</v>
      </c>
      <c r="D450" s="2296"/>
      <c r="E450" s="2297"/>
      <c r="F450" s="2297"/>
      <c r="G450" s="2297"/>
      <c r="H450" s="2297"/>
      <c r="I450" s="3098" t="str">
        <f>'Q2'!K54</f>
        <v>Celling height</v>
      </c>
      <c r="J450" s="3098"/>
      <c r="K450" s="3098">
        <f>'Q2'!L54</f>
        <v>0</v>
      </c>
      <c r="L450" s="3098" t="s">
        <v>1067</v>
      </c>
      <c r="M450" s="3087"/>
      <c r="N450" s="3087"/>
      <c r="O450" s="3087"/>
      <c r="P450" s="3087"/>
      <c r="Q450" s="3087"/>
      <c r="R450" s="3087"/>
      <c r="S450" s="3087"/>
      <c r="T450" s="3087"/>
      <c r="U450" s="3080"/>
      <c r="W450" s="702"/>
      <c r="X450" s="702"/>
    </row>
    <row r="451" spans="1:24" s="1105" customFormat="1" hidden="1">
      <c r="A451" s="1989"/>
      <c r="B451" s="3145">
        <f t="shared" si="82"/>
        <v>0</v>
      </c>
      <c r="C451" s="2296">
        <f t="shared" si="82"/>
        <v>0</v>
      </c>
      <c r="D451" s="2296"/>
      <c r="E451" s="2297"/>
      <c r="F451" s="2297"/>
      <c r="G451" s="2297"/>
      <c r="H451" s="2297"/>
      <c r="I451" s="3087"/>
      <c r="J451" s="3087"/>
      <c r="K451" s="3087"/>
      <c r="L451" s="3087"/>
      <c r="M451" s="3087"/>
      <c r="N451" s="3087"/>
      <c r="O451" s="3087"/>
      <c r="P451" s="3087"/>
      <c r="Q451" s="3087"/>
      <c r="R451" s="3087"/>
      <c r="S451" s="3087"/>
      <c r="T451" s="3087"/>
      <c r="U451" s="3080"/>
      <c r="W451" s="702"/>
      <c r="X451" s="702"/>
    </row>
    <row r="452" spans="1:24" s="1105" customFormat="1">
      <c r="A452" s="1989"/>
      <c r="B452" s="3145" t="str">
        <f t="shared" si="82"/>
        <v>1.2.2</v>
      </c>
      <c r="C452" s="2296" t="str">
        <f t="shared" si="82"/>
        <v>Space for Refreshment</v>
      </c>
      <c r="D452" s="2296"/>
      <c r="E452" s="2297"/>
      <c r="F452" s="2297"/>
      <c r="G452" s="2297"/>
      <c r="H452" s="2297"/>
      <c r="I452" s="3098" t="str">
        <f>'Q2'!L64</f>
        <v>Refreshment space</v>
      </c>
      <c r="J452" s="3098"/>
      <c r="K452" s="3098"/>
      <c r="L452" s="3105">
        <f>'Q2'!M64</f>
        <v>0</v>
      </c>
      <c r="M452" s="3098"/>
      <c r="N452" s="3100" t="str">
        <f>'Q2'!N64</f>
        <v>Rest space</v>
      </c>
      <c r="O452" s="3105">
        <f>'Q2'!O64</f>
        <v>0</v>
      </c>
      <c r="P452" s="3087"/>
      <c r="Q452" s="3087"/>
      <c r="R452" s="3087"/>
      <c r="S452" s="3087"/>
      <c r="T452" s="3087"/>
      <c r="U452" s="3080"/>
      <c r="W452" s="702"/>
      <c r="X452" s="702"/>
    </row>
    <row r="453" spans="1:24" s="1105" customFormat="1" hidden="1">
      <c r="A453" s="1989"/>
      <c r="B453" s="3145" t="str">
        <f t="shared" si="82"/>
        <v>1.2.3</v>
      </c>
      <c r="C453" s="2296" t="str">
        <f t="shared" si="82"/>
        <v>Décor Planning</v>
      </c>
      <c r="D453" s="2296"/>
      <c r="E453" s="2297"/>
      <c r="F453" s="2297"/>
      <c r="G453" s="2297"/>
      <c r="H453" s="2297"/>
      <c r="I453" s="3087"/>
      <c r="J453" s="3087"/>
      <c r="K453" s="3087"/>
      <c r="L453" s="3087"/>
      <c r="M453" s="3087"/>
      <c r="N453" s="3087"/>
      <c r="O453" s="3087"/>
      <c r="P453" s="3087"/>
      <c r="Q453" s="3087"/>
      <c r="R453" s="3087"/>
      <c r="S453" s="3087"/>
      <c r="T453" s="3087"/>
      <c r="U453" s="3080"/>
      <c r="W453" s="702"/>
      <c r="X453" s="702"/>
    </row>
    <row r="454" spans="1:24" s="1105" customFormat="1" hidden="1">
      <c r="A454" s="1989"/>
      <c r="B454" s="3145">
        <f t="shared" si="82"/>
        <v>0</v>
      </c>
      <c r="C454" s="2296">
        <f t="shared" si="82"/>
        <v>0</v>
      </c>
      <c r="D454" s="2296"/>
      <c r="E454" s="2297"/>
      <c r="F454" s="2297"/>
      <c r="G454" s="2297"/>
      <c r="H454" s="2297"/>
      <c r="I454" s="3087"/>
      <c r="J454" s="3087"/>
      <c r="K454" s="3087"/>
      <c r="L454" s="3087"/>
      <c r="M454" s="3087"/>
      <c r="N454" s="3087"/>
      <c r="O454" s="3087"/>
      <c r="P454" s="3087"/>
      <c r="Q454" s="3087"/>
      <c r="R454" s="3087"/>
      <c r="S454" s="3087"/>
      <c r="T454" s="3087"/>
      <c r="U454" s="3080"/>
      <c r="W454" s="702"/>
      <c r="X454" s="702"/>
    </row>
    <row r="455" spans="1:24" s="1105" customFormat="1" hidden="1">
      <c r="A455" s="1989"/>
      <c r="B455" s="3145">
        <f t="shared" si="82"/>
        <v>1.3</v>
      </c>
      <c r="C455" s="2296" t="str">
        <f t="shared" si="82"/>
        <v>Maintenance Management</v>
      </c>
      <c r="D455" s="2296"/>
      <c r="E455" s="2297"/>
      <c r="F455" s="2297"/>
      <c r="G455" s="2297"/>
      <c r="H455" s="2297"/>
      <c r="I455" s="3087"/>
      <c r="J455" s="3087"/>
      <c r="K455" s="3087"/>
      <c r="L455" s="3087"/>
      <c r="M455" s="3087"/>
      <c r="N455" s="3087"/>
      <c r="O455" s="3087"/>
      <c r="P455" s="3087"/>
      <c r="Q455" s="3087"/>
      <c r="R455" s="3087"/>
      <c r="S455" s="3087"/>
      <c r="T455" s="3087"/>
      <c r="U455" s="3080"/>
      <c r="W455" s="702"/>
      <c r="X455" s="702"/>
    </row>
    <row r="456" spans="1:24" s="1105" customFormat="1" hidden="1">
      <c r="A456" s="1989"/>
      <c r="B456" s="3145" t="str">
        <f t="shared" si="82"/>
        <v>1.3.1</v>
      </c>
      <c r="C456" s="2296" t="str">
        <f t="shared" si="82"/>
        <v>Design that Considers Maintenance Management</v>
      </c>
      <c r="D456" s="2296"/>
      <c r="E456" s="2297"/>
      <c r="F456" s="2297"/>
      <c r="G456" s="2297"/>
      <c r="H456" s="2297"/>
      <c r="I456" s="3087"/>
      <c r="J456" s="3087"/>
      <c r="K456" s="3087"/>
      <c r="L456" s="3087"/>
      <c r="M456" s="3087"/>
      <c r="N456" s="3087"/>
      <c r="O456" s="3087"/>
      <c r="P456" s="3087"/>
      <c r="Q456" s="3087"/>
      <c r="R456" s="3087"/>
      <c r="S456" s="3087"/>
      <c r="T456" s="3087"/>
      <c r="U456" s="3080"/>
      <c r="W456" s="702"/>
      <c r="X456" s="702"/>
    </row>
    <row r="457" spans="1:24" s="1105" customFormat="1" hidden="1">
      <c r="A457" s="1989"/>
      <c r="B457" s="3145" t="str">
        <f t="shared" si="82"/>
        <v>1.3.2</v>
      </c>
      <c r="C457" s="2296" t="str">
        <f t="shared" si="82"/>
        <v>Securing Maintenance Management Functions</v>
      </c>
      <c r="D457" s="2296"/>
      <c r="E457" s="2297"/>
      <c r="F457" s="2297"/>
      <c r="G457" s="2297"/>
      <c r="H457" s="2297"/>
      <c r="I457" s="3087"/>
      <c r="J457" s="3087"/>
      <c r="K457" s="3087"/>
      <c r="L457" s="3087"/>
      <c r="M457" s="3087"/>
      <c r="N457" s="3087"/>
      <c r="O457" s="3087"/>
      <c r="P457" s="3087"/>
      <c r="Q457" s="3087"/>
      <c r="R457" s="3087"/>
      <c r="S457" s="3087"/>
      <c r="T457" s="3087"/>
      <c r="U457" s="3080"/>
      <c r="W457" s="702"/>
      <c r="X457" s="702"/>
    </row>
    <row r="458" spans="1:24" s="1105" customFormat="1" hidden="1">
      <c r="A458" s="1989"/>
      <c r="B458" s="3145" t="str">
        <f t="shared" si="82"/>
        <v>1.3.3</v>
      </c>
      <c r="C458" s="2296" t="str">
        <f t="shared" si="82"/>
        <v>Sanitation management operations</v>
      </c>
      <c r="D458" s="2296"/>
      <c r="E458" s="2297"/>
      <c r="F458" s="2297"/>
      <c r="G458" s="2297"/>
      <c r="H458" s="2297"/>
      <c r="I458" s="3087"/>
      <c r="J458" s="3087"/>
      <c r="K458" s="3087"/>
      <c r="L458" s="3087"/>
      <c r="M458" s="3087"/>
      <c r="N458" s="3087"/>
      <c r="O458" s="3087"/>
      <c r="P458" s="3087"/>
      <c r="Q458" s="3087"/>
      <c r="R458" s="3087"/>
      <c r="S458" s="3087"/>
      <c r="T458" s="3087"/>
      <c r="U458" s="3080"/>
      <c r="W458" s="702"/>
      <c r="X458" s="702"/>
    </row>
    <row r="459" spans="1:24" s="1105" customFormat="1" hidden="1">
      <c r="A459" s="1989"/>
      <c r="B459" s="3145">
        <f t="shared" si="82"/>
        <v>2</v>
      </c>
      <c r="C459" s="2296" t="str">
        <f t="shared" si="82"/>
        <v>Durability &amp; Reliability</v>
      </c>
      <c r="D459" s="2296"/>
      <c r="E459" s="2297"/>
      <c r="F459" s="2297"/>
      <c r="G459" s="2297"/>
      <c r="H459" s="2297"/>
      <c r="I459" s="3087"/>
      <c r="J459" s="3087"/>
      <c r="K459" s="3087"/>
      <c r="L459" s="3087"/>
      <c r="M459" s="3087"/>
      <c r="N459" s="3087"/>
      <c r="O459" s="3087"/>
      <c r="P459" s="3087"/>
      <c r="Q459" s="3087"/>
      <c r="R459" s="3087"/>
      <c r="S459" s="3087"/>
      <c r="T459" s="3087"/>
      <c r="U459" s="3080"/>
      <c r="W459" s="702"/>
      <c r="X459" s="702"/>
    </row>
    <row r="460" spans="1:24" s="1105" customFormat="1" hidden="1">
      <c r="A460" s="1989"/>
      <c r="B460" s="3145">
        <f t="shared" si="82"/>
        <v>2.1</v>
      </c>
      <c r="C460" s="2296" t="str">
        <f t="shared" si="82"/>
        <v>Earthquake Resistance, Seismic Isolation, Seismic Control, &amp; Vibration Control</v>
      </c>
      <c r="D460" s="2296"/>
      <c r="E460" s="2297"/>
      <c r="F460" s="2297"/>
      <c r="G460" s="2297"/>
      <c r="H460" s="2297"/>
      <c r="I460" s="3087"/>
      <c r="J460" s="3087"/>
      <c r="K460" s="3087"/>
      <c r="L460" s="3087"/>
      <c r="M460" s="3087"/>
      <c r="N460" s="3087"/>
      <c r="O460" s="3087"/>
      <c r="P460" s="3087"/>
      <c r="Q460" s="3087"/>
      <c r="R460" s="3087"/>
      <c r="S460" s="3087"/>
      <c r="T460" s="3087"/>
      <c r="U460" s="3080"/>
      <c r="W460" s="702"/>
      <c r="X460" s="702"/>
    </row>
    <row r="461" spans="1:24" s="1105" customFormat="1" hidden="1">
      <c r="A461" s="1989"/>
      <c r="B461" s="3145" t="str">
        <f t="shared" si="82"/>
        <v>2.1.1</v>
      </c>
      <c r="C461" s="2296" t="str">
        <f t="shared" si="82"/>
        <v>Earthquake-resistance</v>
      </c>
      <c r="D461" s="2296"/>
      <c r="E461" s="2297"/>
      <c r="F461" s="2297"/>
      <c r="G461" s="2297"/>
      <c r="H461" s="2297"/>
      <c r="I461" s="3087"/>
      <c r="J461" s="3087"/>
      <c r="K461" s="3087"/>
      <c r="L461" s="3087"/>
      <c r="M461" s="3087"/>
      <c r="N461" s="3087"/>
      <c r="O461" s="3087"/>
      <c r="P461" s="3087"/>
      <c r="Q461" s="3087"/>
      <c r="R461" s="3087"/>
      <c r="S461" s="3087"/>
      <c r="T461" s="3087"/>
      <c r="U461" s="3080"/>
      <c r="W461" s="702"/>
      <c r="X461" s="702"/>
    </row>
    <row r="462" spans="1:24" s="1105" customFormat="1" hidden="1">
      <c r="A462" s="1989"/>
      <c r="B462" s="3145" t="str">
        <f t="shared" si="82"/>
        <v>2.1.2</v>
      </c>
      <c r="C462" s="2296" t="str">
        <f t="shared" si="82"/>
        <v>Seismic Isolation, Seismic &amp; Vibration Control</v>
      </c>
      <c r="D462" s="2296"/>
      <c r="E462" s="2297"/>
      <c r="F462" s="2297"/>
      <c r="G462" s="2297"/>
      <c r="H462" s="2297"/>
      <c r="I462" s="3087"/>
      <c r="J462" s="3087"/>
      <c r="K462" s="3087"/>
      <c r="L462" s="3087"/>
      <c r="M462" s="3087"/>
      <c r="N462" s="3087"/>
      <c r="O462" s="3087"/>
      <c r="P462" s="3087"/>
      <c r="Q462" s="3087"/>
      <c r="R462" s="3087"/>
      <c r="S462" s="3087"/>
      <c r="T462" s="3087"/>
      <c r="U462" s="3080"/>
      <c r="W462" s="702"/>
      <c r="X462" s="702"/>
    </row>
    <row r="463" spans="1:24" s="1105" customFormat="1" hidden="1">
      <c r="A463" s="1989"/>
      <c r="B463" s="3145">
        <f t="shared" si="82"/>
        <v>2.2000000000000002</v>
      </c>
      <c r="C463" s="2296" t="str">
        <f t="shared" si="82"/>
        <v>Service Life of Components</v>
      </c>
      <c r="D463" s="2296"/>
      <c r="E463" s="2297"/>
      <c r="F463" s="2297"/>
      <c r="G463" s="2297"/>
      <c r="H463" s="2297"/>
      <c r="I463" s="3087"/>
      <c r="J463" s="3087"/>
      <c r="K463" s="3087"/>
      <c r="L463" s="3087"/>
      <c r="M463" s="3087"/>
      <c r="N463" s="3087"/>
      <c r="O463" s="3087"/>
      <c r="P463" s="3087"/>
      <c r="Q463" s="3087"/>
      <c r="R463" s="3087"/>
      <c r="S463" s="3087"/>
      <c r="T463" s="3087"/>
      <c r="U463" s="3080"/>
      <c r="W463" s="702"/>
      <c r="X463" s="702"/>
    </row>
    <row r="464" spans="1:24" s="1105" customFormat="1">
      <c r="A464" s="1989"/>
      <c r="B464" s="3145" t="str">
        <f t="shared" si="82"/>
        <v>2.2.1</v>
      </c>
      <c r="C464" s="2296" t="str">
        <f t="shared" si="82"/>
        <v>Service Life of Structural Materials</v>
      </c>
      <c r="D464" s="2296"/>
      <c r="E464" s="2297"/>
      <c r="F464" s="2297"/>
      <c r="G464" s="2297"/>
      <c r="H464" s="2297"/>
      <c r="I464" s="3098" t="str">
        <f>'Q2'!F226</f>
        <v>Expected lifespan</v>
      </c>
      <c r="J464" s="3098"/>
      <c r="K464" s="3103">
        <f>'Q2'!G226</f>
        <v>0</v>
      </c>
      <c r="L464" s="3103" t="str">
        <f>'Q2'!H226</f>
        <v xml:space="preserve">yr. </v>
      </c>
      <c r="M464" s="3087"/>
      <c r="N464" s="3087"/>
      <c r="O464" s="3087"/>
      <c r="P464" s="3087"/>
      <c r="Q464" s="3087"/>
      <c r="R464" s="3087"/>
      <c r="S464" s="3087"/>
      <c r="T464" s="3087"/>
      <c r="U464" s="3080"/>
      <c r="W464" s="702"/>
      <c r="X464" s="702"/>
    </row>
    <row r="465" spans="1:24" s="1105" customFormat="1">
      <c r="A465" s="1989"/>
      <c r="B465" s="3145" t="str">
        <f t="shared" si="82"/>
        <v>2.2.2</v>
      </c>
      <c r="C465" s="3147" t="str">
        <f t="shared" si="82"/>
        <v>Necessary Refurbishment Interval for Exterior Finishes</v>
      </c>
      <c r="D465" s="2296"/>
      <c r="E465" s="2297"/>
      <c r="F465" s="2297"/>
      <c r="G465" s="2297"/>
      <c r="H465" s="2297"/>
      <c r="I465" s="3098" t="str">
        <f>'Q2'!K226</f>
        <v>Expected necessary interval</v>
      </c>
      <c r="J465" s="3098"/>
      <c r="K465" s="3103">
        <f>'Q2'!L226</f>
        <v>0</v>
      </c>
      <c r="L465" s="3103" t="str">
        <f>'Q2'!M226</f>
        <v>years</v>
      </c>
      <c r="M465" s="3087"/>
      <c r="N465" s="3087"/>
      <c r="O465" s="3087"/>
      <c r="P465" s="3087"/>
      <c r="Q465" s="3087"/>
      <c r="R465" s="3087"/>
      <c r="S465" s="3087"/>
      <c r="T465" s="3087"/>
      <c r="U465" s="3080"/>
      <c r="W465" s="702"/>
      <c r="X465" s="702"/>
    </row>
    <row r="466" spans="1:24" s="1105" customFormat="1">
      <c r="A466" s="1989"/>
      <c r="B466" s="3145" t="str">
        <f t="shared" si="82"/>
        <v>2.2.3</v>
      </c>
      <c r="C466" s="3147" t="str">
        <f t="shared" si="82"/>
        <v>Necessary Renewal Interval for Main Interior Finishes</v>
      </c>
      <c r="D466" s="2296"/>
      <c r="E466" s="2297"/>
      <c r="F466" s="2297"/>
      <c r="G466" s="2297"/>
      <c r="H466" s="2297"/>
      <c r="I466" s="3098" t="str">
        <f>'Q2'!F237</f>
        <v>Expected necessary interval</v>
      </c>
      <c r="J466" s="3098"/>
      <c r="K466" s="3103">
        <f>'Q2'!G237</f>
        <v>0</v>
      </c>
      <c r="L466" s="3103" t="str">
        <f>'Q2'!H237</f>
        <v>years</v>
      </c>
      <c r="M466" s="3087"/>
      <c r="N466" s="3087"/>
      <c r="O466" s="3087"/>
      <c r="P466" s="3087"/>
      <c r="Q466" s="3087"/>
      <c r="R466" s="3087"/>
      <c r="S466" s="3087"/>
      <c r="T466" s="3087"/>
      <c r="U466" s="3080"/>
      <c r="W466" s="702"/>
      <c r="X466" s="702"/>
    </row>
    <row r="467" spans="1:24" s="1105" customFormat="1" hidden="1">
      <c r="A467" s="1989"/>
      <c r="B467" s="3145" t="str">
        <f t="shared" si="82"/>
        <v>2.2.4</v>
      </c>
      <c r="C467" s="3147" t="str">
        <f t="shared" si="82"/>
        <v>Necessary Renewal Interval for Air Conditioning and Ventilation Ducts</v>
      </c>
      <c r="D467" s="2296"/>
      <c r="E467" s="2297"/>
      <c r="F467" s="2297"/>
      <c r="G467" s="2297"/>
      <c r="H467" s="2297"/>
      <c r="I467" s="3087"/>
      <c r="J467" s="3087"/>
      <c r="K467" s="3108"/>
      <c r="L467" s="3108"/>
      <c r="M467" s="3087"/>
      <c r="N467" s="3087"/>
      <c r="O467" s="3087"/>
      <c r="P467" s="3087"/>
      <c r="Q467" s="3087"/>
      <c r="R467" s="3087"/>
      <c r="S467" s="3087"/>
      <c r="T467" s="3087"/>
      <c r="U467" s="3080"/>
      <c r="W467" s="702"/>
      <c r="X467" s="702"/>
    </row>
    <row r="468" spans="1:24" s="1105" customFormat="1" hidden="1">
      <c r="A468" s="1989"/>
      <c r="B468" s="3145" t="str">
        <f t="shared" ref="B468:C487" si="83">B278</f>
        <v>2.2.5</v>
      </c>
      <c r="C468" s="3147" t="str">
        <f t="shared" si="83"/>
        <v>Necessary Renewal Interval for HVAC and Water Supply and Drainage Pipes</v>
      </c>
      <c r="D468" s="2296"/>
      <c r="E468" s="2297"/>
      <c r="F468" s="2297"/>
      <c r="G468" s="2297"/>
      <c r="H468" s="2297"/>
      <c r="I468" s="3087"/>
      <c r="J468" s="3087"/>
      <c r="K468" s="3108"/>
      <c r="L468" s="3108"/>
      <c r="M468" s="3087"/>
      <c r="N468" s="3087"/>
      <c r="O468" s="3087"/>
      <c r="P468" s="3087"/>
      <c r="Q468" s="3087"/>
      <c r="R468" s="3087"/>
      <c r="S468" s="3087"/>
      <c r="T468" s="3087"/>
      <c r="U468" s="3080"/>
      <c r="W468" s="702"/>
      <c r="X468" s="702"/>
    </row>
    <row r="469" spans="1:24" s="1105" customFormat="1">
      <c r="A469" s="1989"/>
      <c r="B469" s="3145" t="str">
        <f t="shared" si="83"/>
        <v>2.2.6</v>
      </c>
      <c r="C469" s="3147" t="str">
        <f t="shared" si="83"/>
        <v>Necessary Replacement Interval for Major Equipment and Services</v>
      </c>
      <c r="D469" s="2296"/>
      <c r="E469" s="2297"/>
      <c r="F469" s="2297"/>
      <c r="G469" s="2297"/>
      <c r="H469" s="2297"/>
      <c r="I469" s="3098" t="str">
        <f>'Q2'!K248</f>
        <v>Expected necessary interval</v>
      </c>
      <c r="J469" s="3098"/>
      <c r="K469" s="3103">
        <f>'Q2'!L248</f>
        <v>0</v>
      </c>
      <c r="L469" s="3103" t="str">
        <f>'Q2'!M248</f>
        <v>years</v>
      </c>
      <c r="M469" s="3087"/>
      <c r="N469" s="3087"/>
      <c r="O469" s="3087"/>
      <c r="P469" s="3087"/>
      <c r="Q469" s="3087"/>
      <c r="R469" s="3087"/>
      <c r="S469" s="3087"/>
      <c r="T469" s="3087"/>
      <c r="U469" s="3080"/>
      <c r="W469" s="702"/>
      <c r="X469" s="702"/>
    </row>
    <row r="470" spans="1:24" s="1105" customFormat="1" hidden="1">
      <c r="A470" s="1989"/>
      <c r="B470" s="3145">
        <f t="shared" si="83"/>
        <v>2.2999999999999998</v>
      </c>
      <c r="C470" s="2296" t="str">
        <f t="shared" si="83"/>
        <v xml:space="preserve"> Appropriate Renewal</v>
      </c>
      <c r="D470" s="2296"/>
      <c r="E470" s="2297"/>
      <c r="F470" s="2297"/>
      <c r="G470" s="2297"/>
      <c r="H470" s="2297"/>
      <c r="I470" s="3087"/>
      <c r="J470" s="3087"/>
      <c r="K470" s="3087"/>
      <c r="L470" s="3087"/>
      <c r="M470" s="3087"/>
      <c r="N470" s="3087"/>
      <c r="O470" s="3087"/>
      <c r="P470" s="3087"/>
      <c r="Q470" s="3087"/>
      <c r="R470" s="3087"/>
      <c r="S470" s="3087"/>
      <c r="T470" s="3087"/>
      <c r="U470" s="3080"/>
      <c r="W470" s="702"/>
      <c r="X470" s="702"/>
    </row>
    <row r="471" spans="1:24" s="1105" customFormat="1" hidden="1">
      <c r="A471" s="1989"/>
      <c r="B471" s="3145" t="str">
        <f t="shared" si="83"/>
        <v>2.3.1</v>
      </c>
      <c r="C471" s="2296">
        <f t="shared" si="83"/>
        <v>0</v>
      </c>
      <c r="D471" s="2296"/>
      <c r="E471" s="2297"/>
      <c r="F471" s="2297"/>
      <c r="G471" s="2297"/>
      <c r="H471" s="2297"/>
      <c r="I471" s="3087"/>
      <c r="J471" s="3087"/>
      <c r="K471" s="3087"/>
      <c r="L471" s="3087"/>
      <c r="M471" s="3087"/>
      <c r="N471" s="3087"/>
      <c r="O471" s="3087"/>
      <c r="P471" s="3087"/>
      <c r="Q471" s="3087"/>
      <c r="R471" s="3087"/>
      <c r="S471" s="3087"/>
      <c r="T471" s="3087"/>
      <c r="U471" s="3080"/>
      <c r="W471" s="702"/>
      <c r="X471" s="702"/>
    </row>
    <row r="472" spans="1:24" s="1105" customFormat="1" hidden="1">
      <c r="A472" s="1989"/>
      <c r="B472" s="3145" t="str">
        <f t="shared" si="83"/>
        <v>2.3.2</v>
      </c>
      <c r="C472" s="2296">
        <f t="shared" si="83"/>
        <v>0</v>
      </c>
      <c r="D472" s="2296"/>
      <c r="E472" s="2297"/>
      <c r="F472" s="2297"/>
      <c r="G472" s="2297"/>
      <c r="H472" s="2297"/>
      <c r="I472" s="3087"/>
      <c r="J472" s="3087"/>
      <c r="K472" s="3087"/>
      <c r="L472" s="3087"/>
      <c r="M472" s="3087"/>
      <c r="N472" s="3087"/>
      <c r="O472" s="3087"/>
      <c r="P472" s="3087"/>
      <c r="Q472" s="3087"/>
      <c r="R472" s="3087"/>
      <c r="S472" s="3087"/>
      <c r="T472" s="3087"/>
      <c r="U472" s="3080"/>
      <c r="W472" s="702"/>
      <c r="X472" s="702"/>
    </row>
    <row r="473" spans="1:24" s="1105" customFormat="1" hidden="1">
      <c r="A473" s="1989"/>
      <c r="B473" s="3145" t="str">
        <f t="shared" si="83"/>
        <v>2.3.3</v>
      </c>
      <c r="C473" s="2296">
        <f t="shared" si="83"/>
        <v>0</v>
      </c>
      <c r="D473" s="2296"/>
      <c r="E473" s="2297"/>
      <c r="F473" s="2297"/>
      <c r="G473" s="2297"/>
      <c r="H473" s="2297"/>
      <c r="I473" s="3087"/>
      <c r="J473" s="3087"/>
      <c r="K473" s="3087"/>
      <c r="L473" s="3087"/>
      <c r="M473" s="3087"/>
      <c r="N473" s="3087"/>
      <c r="O473" s="3087"/>
      <c r="P473" s="3087"/>
      <c r="Q473" s="3087"/>
      <c r="R473" s="3087"/>
      <c r="S473" s="3087"/>
      <c r="T473" s="3087"/>
      <c r="U473" s="3080"/>
      <c r="W473" s="702"/>
      <c r="X473" s="702"/>
    </row>
    <row r="474" spans="1:24" s="1105" customFormat="1" hidden="1">
      <c r="A474" s="1989"/>
      <c r="B474" s="3145">
        <f t="shared" si="83"/>
        <v>2.4</v>
      </c>
      <c r="C474" s="2296" t="str">
        <f t="shared" si="83"/>
        <v>Reliability</v>
      </c>
      <c r="D474" s="2296"/>
      <c r="E474" s="2297"/>
      <c r="F474" s="2297"/>
      <c r="G474" s="2297"/>
      <c r="H474" s="2297"/>
      <c r="I474" s="3087"/>
      <c r="J474" s="3087"/>
      <c r="K474" s="3087"/>
      <c r="L474" s="3087"/>
      <c r="M474" s="3087"/>
      <c r="N474" s="3087"/>
      <c r="O474" s="3087"/>
      <c r="P474" s="3087"/>
      <c r="Q474" s="3087"/>
      <c r="R474" s="3087"/>
      <c r="S474" s="3087"/>
      <c r="T474" s="3087"/>
      <c r="U474" s="3080"/>
      <c r="W474" s="702"/>
      <c r="X474" s="702"/>
    </row>
    <row r="475" spans="1:24" s="1105" customFormat="1" hidden="1">
      <c r="A475" s="1989"/>
      <c r="B475" s="3145" t="str">
        <f t="shared" si="83"/>
        <v>2.4.1</v>
      </c>
      <c r="C475" s="2296" t="str">
        <f t="shared" si="83"/>
        <v>HVAC System</v>
      </c>
      <c r="D475" s="2296"/>
      <c r="E475" s="2297"/>
      <c r="F475" s="2297"/>
      <c r="G475" s="2297"/>
      <c r="H475" s="2297"/>
      <c r="I475" s="3087"/>
      <c r="J475" s="3087"/>
      <c r="K475" s="3087"/>
      <c r="L475" s="3087"/>
      <c r="M475" s="3087"/>
      <c r="N475" s="3087"/>
      <c r="O475" s="3087"/>
      <c r="P475" s="3087"/>
      <c r="Q475" s="3087"/>
      <c r="R475" s="3087"/>
      <c r="S475" s="3087"/>
      <c r="T475" s="3087"/>
      <c r="U475" s="3080"/>
      <c r="W475" s="702"/>
      <c r="X475" s="702"/>
    </row>
    <row r="476" spans="1:24" s="1105" customFormat="1" hidden="1">
      <c r="A476" s="1989"/>
      <c r="B476" s="3145" t="str">
        <f t="shared" si="83"/>
        <v>2.4.2</v>
      </c>
      <c r="C476" s="2296" t="str">
        <f t="shared" si="83"/>
        <v>Water Supply &amp; Drainage</v>
      </c>
      <c r="D476" s="2296"/>
      <c r="E476" s="2297"/>
      <c r="F476" s="2297"/>
      <c r="G476" s="2297"/>
      <c r="H476" s="2297"/>
      <c r="I476" s="3087"/>
      <c r="J476" s="3087"/>
      <c r="K476" s="3087"/>
      <c r="L476" s="3087"/>
      <c r="M476" s="3087"/>
      <c r="N476" s="3087"/>
      <c r="O476" s="3087"/>
      <c r="P476" s="3087"/>
      <c r="Q476" s="3087"/>
      <c r="R476" s="3087"/>
      <c r="S476" s="3087"/>
      <c r="T476" s="3087"/>
      <c r="U476" s="3080"/>
      <c r="W476" s="702"/>
      <c r="X476" s="702"/>
    </row>
    <row r="477" spans="1:24" s="1105" customFormat="1" hidden="1">
      <c r="A477" s="1989"/>
      <c r="B477" s="3145" t="str">
        <f t="shared" si="83"/>
        <v>2.4.3</v>
      </c>
      <c r="C477" s="2296" t="str">
        <f t="shared" si="83"/>
        <v>Electrical Equipment</v>
      </c>
      <c r="D477" s="2296"/>
      <c r="E477" s="2297"/>
      <c r="F477" s="2297"/>
      <c r="G477" s="2297"/>
      <c r="H477" s="2297"/>
      <c r="I477" s="3087"/>
      <c r="J477" s="3087"/>
      <c r="K477" s="3087"/>
      <c r="L477" s="3087"/>
      <c r="M477" s="3087"/>
      <c r="N477" s="3087"/>
      <c r="O477" s="3087"/>
      <c r="P477" s="3087"/>
      <c r="Q477" s="3087"/>
      <c r="R477" s="3087"/>
      <c r="S477" s="3087"/>
      <c r="T477" s="3087"/>
      <c r="U477" s="3080"/>
      <c r="W477" s="702"/>
      <c r="X477" s="702"/>
    </row>
    <row r="478" spans="1:24" s="1105" customFormat="1" hidden="1">
      <c r="A478" s="1989"/>
      <c r="B478" s="3145" t="str">
        <f t="shared" si="83"/>
        <v>2.4.4</v>
      </c>
      <c r="C478" s="2296" t="str">
        <f t="shared" si="83"/>
        <v>Support Method of Machines &amp; Ducts</v>
      </c>
      <c r="D478" s="2296"/>
      <c r="E478" s="2297"/>
      <c r="F478" s="2297"/>
      <c r="G478" s="2297"/>
      <c r="H478" s="2297"/>
      <c r="I478" s="3087"/>
      <c r="J478" s="3087"/>
      <c r="K478" s="3087"/>
      <c r="L478" s="3087"/>
      <c r="M478" s="3087"/>
      <c r="N478" s="3087"/>
      <c r="O478" s="3087"/>
      <c r="P478" s="3087"/>
      <c r="Q478" s="3087"/>
      <c r="R478" s="3087"/>
      <c r="S478" s="3087"/>
      <c r="T478" s="3087"/>
      <c r="U478" s="3080"/>
      <c r="W478" s="702"/>
      <c r="X478" s="702"/>
    </row>
    <row r="479" spans="1:24" s="1105" customFormat="1" hidden="1">
      <c r="A479" s="1989"/>
      <c r="B479" s="3145" t="str">
        <f t="shared" si="83"/>
        <v>2.4.5</v>
      </c>
      <c r="C479" s="2296" t="str">
        <f t="shared" si="83"/>
        <v>Communications &amp; IT Equipment</v>
      </c>
      <c r="D479" s="2296"/>
      <c r="E479" s="2297"/>
      <c r="F479" s="2297"/>
      <c r="G479" s="2297"/>
      <c r="H479" s="2297"/>
      <c r="I479" s="3087"/>
      <c r="J479" s="3087"/>
      <c r="K479" s="3087"/>
      <c r="L479" s="3087"/>
      <c r="M479" s="3087"/>
      <c r="N479" s="3087"/>
      <c r="O479" s="3087"/>
      <c r="P479" s="3087"/>
      <c r="Q479" s="3087"/>
      <c r="R479" s="3087"/>
      <c r="S479" s="3087"/>
      <c r="T479" s="3087"/>
      <c r="U479" s="3080"/>
      <c r="W479" s="702"/>
      <c r="X479" s="702"/>
    </row>
    <row r="480" spans="1:24" s="1105" customFormat="1" hidden="1">
      <c r="A480" s="1989"/>
      <c r="B480" s="3145">
        <f t="shared" si="83"/>
        <v>0</v>
      </c>
      <c r="C480" s="2296">
        <f t="shared" si="83"/>
        <v>0</v>
      </c>
      <c r="D480" s="2296"/>
      <c r="E480" s="2297"/>
      <c r="F480" s="2297"/>
      <c r="G480" s="2297"/>
      <c r="H480" s="2297"/>
      <c r="I480" s="3087"/>
      <c r="J480" s="3087"/>
      <c r="K480" s="3087"/>
      <c r="L480" s="3087"/>
      <c r="M480" s="3087"/>
      <c r="N480" s="3087"/>
      <c r="O480" s="3087"/>
      <c r="P480" s="3087"/>
      <c r="Q480" s="3087"/>
      <c r="R480" s="3087"/>
      <c r="S480" s="3087"/>
      <c r="T480" s="3087"/>
      <c r="U480" s="3080"/>
      <c r="W480" s="702"/>
      <c r="X480" s="702"/>
    </row>
    <row r="481" spans="1:24" s="1105" customFormat="1" hidden="1">
      <c r="A481" s="1989"/>
      <c r="B481" s="3145">
        <f t="shared" si="83"/>
        <v>3</v>
      </c>
      <c r="C481" s="2296" t="str">
        <f t="shared" si="83"/>
        <v>Flexibility &amp; Adaptability</v>
      </c>
      <c r="D481" s="2296"/>
      <c r="E481" s="2297"/>
      <c r="F481" s="2297"/>
      <c r="G481" s="2297"/>
      <c r="H481" s="2297"/>
      <c r="I481" s="3087"/>
      <c r="J481" s="3087"/>
      <c r="K481" s="3087"/>
      <c r="L481" s="3087"/>
      <c r="M481" s="3087"/>
      <c r="N481" s="3087"/>
      <c r="O481" s="3087"/>
      <c r="P481" s="3087"/>
      <c r="Q481" s="3087"/>
      <c r="R481" s="3087"/>
      <c r="S481" s="3087"/>
      <c r="T481" s="3087"/>
      <c r="U481" s="3080"/>
      <c r="W481" s="702"/>
      <c r="X481" s="702"/>
    </row>
    <row r="482" spans="1:24" s="1105" customFormat="1" hidden="1">
      <c r="A482" s="1989"/>
      <c r="B482" s="3145">
        <f t="shared" si="83"/>
        <v>3.1</v>
      </c>
      <c r="C482" s="2296" t="str">
        <f t="shared" si="83"/>
        <v>Spatial Margin</v>
      </c>
      <c r="D482" s="2296"/>
      <c r="E482" s="2297"/>
      <c r="F482" s="2297"/>
      <c r="G482" s="2297"/>
      <c r="H482" s="2297"/>
      <c r="I482" s="3087"/>
      <c r="J482" s="3087"/>
      <c r="K482" s="3087"/>
      <c r="L482" s="3087"/>
      <c r="M482" s="3087"/>
      <c r="N482" s="3087"/>
      <c r="O482" s="3087"/>
      <c r="P482" s="3087"/>
      <c r="Q482" s="3087"/>
      <c r="R482" s="3087"/>
      <c r="S482" s="3087"/>
      <c r="T482" s="3087"/>
      <c r="U482" s="3080"/>
      <c r="W482" s="702"/>
      <c r="X482" s="702"/>
    </row>
    <row r="483" spans="1:24" s="1105" customFormat="1">
      <c r="A483" s="1989"/>
      <c r="B483" s="3145" t="str">
        <f t="shared" si="83"/>
        <v>3.1.1</v>
      </c>
      <c r="C483" s="2296" t="str">
        <f t="shared" si="83"/>
        <v>Allowance for Floor-to-floor Height</v>
      </c>
      <c r="D483" s="2296"/>
      <c r="E483" s="2297"/>
      <c r="F483" s="2297"/>
      <c r="G483" s="2297"/>
      <c r="H483" s="2297"/>
      <c r="I483" s="3098" t="str">
        <f>'Q2'!F369</f>
        <v>Floor height</v>
      </c>
      <c r="J483" s="3098"/>
      <c r="K483" s="3098">
        <f>'Q2'!G369</f>
        <v>0</v>
      </c>
      <c r="L483" s="3098" t="str">
        <f>'Q2'!H369</f>
        <v>m</v>
      </c>
      <c r="M483" s="3087"/>
      <c r="N483" s="3087"/>
      <c r="O483" s="3087"/>
      <c r="P483" s="3087"/>
      <c r="Q483" s="3087"/>
      <c r="R483" s="3087"/>
      <c r="S483" s="3087"/>
      <c r="T483" s="3087"/>
      <c r="U483" s="3080"/>
      <c r="W483" s="702"/>
      <c r="X483" s="702"/>
    </row>
    <row r="484" spans="1:24" s="1105" customFormat="1">
      <c r="A484" s="1989"/>
      <c r="B484" s="3145" t="str">
        <f t="shared" si="83"/>
        <v>3.1.2</v>
      </c>
      <c r="C484" s="2296" t="str">
        <f t="shared" si="83"/>
        <v>Flexibility in Floor Layout</v>
      </c>
      <c r="D484" s="2296"/>
      <c r="E484" s="2297"/>
      <c r="F484" s="2297"/>
      <c r="G484" s="2297"/>
      <c r="H484" s="2297"/>
      <c r="I484" s="3109" t="str">
        <f>'Q2'!F380</f>
        <v>Wall length/area ratio</v>
      </c>
      <c r="J484" s="3098"/>
      <c r="K484" s="3156">
        <f>'Q2'!G380</f>
        <v>0</v>
      </c>
      <c r="L484" s="3098"/>
      <c r="M484" s="3087"/>
      <c r="N484" s="3087"/>
      <c r="O484" s="3087"/>
      <c r="P484" s="3087"/>
      <c r="Q484" s="3087"/>
      <c r="R484" s="3087"/>
      <c r="S484" s="3087"/>
      <c r="T484" s="3087"/>
      <c r="U484" s="3080"/>
      <c r="W484" s="702"/>
      <c r="X484" s="702"/>
    </row>
    <row r="485" spans="1:24" s="1105" customFormat="1">
      <c r="A485" s="1989"/>
      <c r="B485" s="3145">
        <f t="shared" si="83"/>
        <v>3.2</v>
      </c>
      <c r="C485" s="2296" t="str">
        <f t="shared" si="83"/>
        <v>Floor Load Margin</v>
      </c>
      <c r="D485" s="2296"/>
      <c r="E485" s="2297"/>
      <c r="F485" s="2297"/>
      <c r="G485" s="2297"/>
      <c r="H485" s="2297"/>
      <c r="I485" s="3098" t="str">
        <f>'Q2'!F392</f>
        <v>Floor Load</v>
      </c>
      <c r="J485" s="3098"/>
      <c r="K485" s="3110">
        <f>'Q2'!G392</f>
        <v>0</v>
      </c>
      <c r="L485" s="3098" t="str">
        <f>'Q2'!H392</f>
        <v>N/m2</v>
      </c>
      <c r="M485" s="3087"/>
      <c r="N485" s="3087"/>
      <c r="O485" s="3087"/>
      <c r="P485" s="3087"/>
      <c r="Q485" s="3087"/>
      <c r="R485" s="3087"/>
      <c r="S485" s="3087"/>
      <c r="T485" s="3087"/>
      <c r="U485" s="3080"/>
      <c r="W485" s="702"/>
      <c r="X485" s="702"/>
    </row>
    <row r="486" spans="1:24" s="1105" customFormat="1" hidden="1">
      <c r="A486" s="1989"/>
      <c r="B486" s="3145">
        <f t="shared" si="83"/>
        <v>3.3</v>
      </c>
      <c r="C486" s="2296" t="str">
        <f t="shared" si="83"/>
        <v>System Renewability</v>
      </c>
      <c r="D486" s="2296"/>
      <c r="E486" s="2297"/>
      <c r="F486" s="2297"/>
      <c r="G486" s="2297"/>
      <c r="H486" s="2297"/>
      <c r="I486" s="3087"/>
      <c r="J486" s="3087"/>
      <c r="K486" s="3087"/>
      <c r="L486" s="3087"/>
      <c r="M486" s="3087"/>
      <c r="N486" s="3087"/>
      <c r="O486" s="3087"/>
      <c r="P486" s="3087"/>
      <c r="Q486" s="3087"/>
      <c r="R486" s="3087"/>
      <c r="S486" s="3087"/>
      <c r="T486" s="3087"/>
      <c r="U486" s="3080"/>
      <c r="W486" s="702"/>
      <c r="X486" s="702"/>
    </row>
    <row r="487" spans="1:24" s="1105" customFormat="1" hidden="1">
      <c r="A487" s="1989"/>
      <c r="B487" s="3145" t="str">
        <f t="shared" si="83"/>
        <v>3.3.1</v>
      </c>
      <c r="C487" s="2296" t="str">
        <f t="shared" si="83"/>
        <v>Ease of Air Conditioning Duct Renewal</v>
      </c>
      <c r="D487" s="2296"/>
      <c r="E487" s="2297"/>
      <c r="F487" s="2297"/>
      <c r="G487" s="2297"/>
      <c r="H487" s="2297"/>
      <c r="I487" s="3087"/>
      <c r="J487" s="3087"/>
      <c r="K487" s="3087"/>
      <c r="L487" s="3087"/>
      <c r="M487" s="3087"/>
      <c r="N487" s="3087"/>
      <c r="O487" s="3087"/>
      <c r="P487" s="3087"/>
      <c r="Q487" s="3087"/>
      <c r="R487" s="3087"/>
      <c r="S487" s="3087"/>
      <c r="T487" s="3087"/>
      <c r="U487" s="3080"/>
      <c r="W487" s="702"/>
      <c r="X487" s="702"/>
    </row>
    <row r="488" spans="1:24" s="1105" customFormat="1" hidden="1">
      <c r="A488" s="1989"/>
      <c r="B488" s="3145" t="str">
        <f t="shared" ref="B488:C505" si="84">B298</f>
        <v>3.3.2</v>
      </c>
      <c r="C488" s="2296" t="str">
        <f t="shared" si="84"/>
        <v>Ease of Water Supply and Drain Pipe Renewal</v>
      </c>
      <c r="D488" s="2296"/>
      <c r="E488" s="2297"/>
      <c r="F488" s="2297"/>
      <c r="G488" s="2297"/>
      <c r="H488" s="2297"/>
      <c r="I488" s="3087"/>
      <c r="J488" s="3087"/>
      <c r="K488" s="3087"/>
      <c r="L488" s="3087"/>
      <c r="M488" s="3087"/>
      <c r="N488" s="3087"/>
      <c r="O488" s="3087"/>
      <c r="P488" s="3087"/>
      <c r="Q488" s="3087"/>
      <c r="R488" s="3087"/>
      <c r="S488" s="3087"/>
      <c r="T488" s="3087"/>
      <c r="U488" s="3080"/>
      <c r="W488" s="702"/>
      <c r="X488" s="702"/>
    </row>
    <row r="489" spans="1:24" s="1105" customFormat="1" hidden="1">
      <c r="A489" s="1989"/>
      <c r="B489" s="3145" t="str">
        <f t="shared" si="84"/>
        <v>3.3.3</v>
      </c>
      <c r="C489" s="2296" t="str">
        <f t="shared" si="84"/>
        <v>Ease of Electrical Wiring Renewal</v>
      </c>
      <c r="D489" s="2296"/>
      <c r="E489" s="2297"/>
      <c r="F489" s="2297"/>
      <c r="G489" s="2297"/>
      <c r="H489" s="2297"/>
      <c r="I489" s="3087"/>
      <c r="J489" s="3087"/>
      <c r="K489" s="3087"/>
      <c r="L489" s="3087"/>
      <c r="M489" s="3087"/>
      <c r="N489" s="3087"/>
      <c r="O489" s="3087"/>
      <c r="P489" s="3087"/>
      <c r="Q489" s="3087"/>
      <c r="R489" s="3087"/>
      <c r="S489" s="3087"/>
      <c r="T489" s="3087"/>
      <c r="U489" s="3080"/>
      <c r="W489" s="702"/>
      <c r="X489" s="702"/>
    </row>
    <row r="490" spans="1:24" s="1105" customFormat="1" hidden="1">
      <c r="A490" s="1989"/>
      <c r="B490" s="3145" t="str">
        <f t="shared" si="84"/>
        <v>3.3.4</v>
      </c>
      <c r="C490" s="2296" t="str">
        <f t="shared" si="84"/>
        <v>Ease of Communications Cable Renewal</v>
      </c>
      <c r="D490" s="2296"/>
      <c r="E490" s="2297"/>
      <c r="F490" s="2297"/>
      <c r="G490" s="2297"/>
      <c r="H490" s="2297"/>
      <c r="I490" s="3087"/>
      <c r="J490" s="3087"/>
      <c r="K490" s="3087"/>
      <c r="L490" s="3087"/>
      <c r="M490" s="3087"/>
      <c r="N490" s="3087"/>
      <c r="O490" s="3087"/>
      <c r="P490" s="3087"/>
      <c r="Q490" s="3087"/>
      <c r="R490" s="3087"/>
      <c r="S490" s="3087"/>
      <c r="T490" s="3087"/>
      <c r="U490" s="3080"/>
      <c r="W490" s="702"/>
      <c r="X490" s="702"/>
    </row>
    <row r="491" spans="1:24" s="1105" customFormat="1" hidden="1">
      <c r="A491" s="1989"/>
      <c r="B491" s="3145" t="str">
        <f t="shared" si="84"/>
        <v>3.3.5</v>
      </c>
      <c r="C491" s="2296" t="str">
        <f t="shared" si="84"/>
        <v>Ease of Equipment Renewal</v>
      </c>
      <c r="D491" s="2296"/>
      <c r="E491" s="2297"/>
      <c r="F491" s="2297"/>
      <c r="G491" s="2297"/>
      <c r="H491" s="2297"/>
      <c r="I491" s="3087"/>
      <c r="J491" s="3087"/>
      <c r="K491" s="3087"/>
      <c r="L491" s="3087"/>
      <c r="M491" s="3087"/>
      <c r="N491" s="3087"/>
      <c r="O491" s="3087"/>
      <c r="P491" s="3087"/>
      <c r="Q491" s="3087"/>
      <c r="R491" s="3087"/>
      <c r="S491" s="3087"/>
      <c r="T491" s="3087"/>
      <c r="U491" s="3080"/>
      <c r="W491" s="702"/>
      <c r="X491" s="702"/>
    </row>
    <row r="492" spans="1:24" s="1105" customFormat="1" hidden="1">
      <c r="A492" s="1989"/>
      <c r="B492" s="3145" t="str">
        <f t="shared" si="84"/>
        <v>3.3.6</v>
      </c>
      <c r="C492" s="2296" t="str">
        <f t="shared" si="84"/>
        <v>Provision of Backup Space</v>
      </c>
      <c r="D492" s="2296"/>
      <c r="E492" s="2297"/>
      <c r="F492" s="2297"/>
      <c r="G492" s="2297"/>
      <c r="H492" s="2297"/>
      <c r="I492" s="3087"/>
      <c r="J492" s="3087"/>
      <c r="K492" s="3087"/>
      <c r="L492" s="3087"/>
      <c r="M492" s="3087"/>
      <c r="N492" s="3087"/>
      <c r="O492" s="3087"/>
      <c r="P492" s="3087"/>
      <c r="Q492" s="3087"/>
      <c r="R492" s="3087"/>
      <c r="S492" s="3087"/>
      <c r="T492" s="3087"/>
      <c r="U492" s="3080"/>
      <c r="W492" s="702"/>
      <c r="X492" s="702"/>
    </row>
    <row r="493" spans="1:24" s="1105" customFormat="1">
      <c r="A493" s="1989"/>
      <c r="B493" s="3149" t="str">
        <f t="shared" si="84"/>
        <v>Q3</v>
      </c>
      <c r="C493" s="3095" t="str">
        <f t="shared" si="84"/>
        <v>Outdoor Environment on Site</v>
      </c>
      <c r="D493" s="2296"/>
      <c r="E493" s="2297"/>
      <c r="F493" s="2297"/>
      <c r="G493" s="2297"/>
      <c r="H493" s="2297"/>
      <c r="I493" s="3087"/>
      <c r="J493" s="3087"/>
      <c r="K493" s="3087"/>
      <c r="L493" s="3087"/>
      <c r="M493" s="3087"/>
      <c r="N493" s="3087"/>
      <c r="O493" s="3087"/>
      <c r="P493" s="3087"/>
      <c r="Q493" s="3087"/>
      <c r="R493" s="3087"/>
      <c r="S493" s="3087"/>
      <c r="T493" s="3087"/>
      <c r="U493" s="3080"/>
      <c r="W493" s="702"/>
      <c r="X493" s="702"/>
    </row>
    <row r="494" spans="1:24" s="1105" customFormat="1">
      <c r="A494" s="1989"/>
      <c r="B494" s="3145">
        <f t="shared" si="84"/>
        <v>1</v>
      </c>
      <c r="C494" s="2296" t="str">
        <f t="shared" si="84"/>
        <v>Preservation &amp; Creation of Biotope</v>
      </c>
      <c r="D494" s="2296"/>
      <c r="E494" s="2297"/>
      <c r="F494" s="2297"/>
      <c r="G494" s="2297"/>
      <c r="H494" s="2297"/>
      <c r="I494" s="3098" t="str">
        <f>'Q3'!F20</f>
        <v xml:space="preserve">Exterior 
Planting Index </v>
      </c>
      <c r="J494" s="3098"/>
      <c r="K494" s="3111" t="e">
        <f>'Q3'!G20</f>
        <v>#DIV/0!</v>
      </c>
      <c r="L494" s="3098"/>
      <c r="M494" s="3098"/>
      <c r="N494" s="3112" t="str">
        <f>'Q3'!F21</f>
        <v xml:space="preserve">Building Planting Index </v>
      </c>
      <c r="O494" s="3111">
        <f>'Q3'!G21</f>
        <v>0</v>
      </c>
      <c r="P494" s="3087"/>
      <c r="Q494" s="3087"/>
      <c r="R494" s="3087"/>
      <c r="S494" s="3087"/>
      <c r="T494" s="3087"/>
      <c r="U494" s="3080"/>
      <c r="W494" s="702"/>
      <c r="X494" s="702"/>
    </row>
    <row r="495" spans="1:24" s="1105" customFormat="1" hidden="1">
      <c r="A495" s="1989"/>
      <c r="B495" s="3145">
        <f t="shared" si="84"/>
        <v>1</v>
      </c>
      <c r="C495" s="2296">
        <f t="shared" si="84"/>
        <v>0</v>
      </c>
      <c r="D495" s="2296"/>
      <c r="E495" s="2297"/>
      <c r="F495" s="2297"/>
      <c r="G495" s="2297"/>
      <c r="H495" s="2297"/>
      <c r="I495" s="3087"/>
      <c r="J495" s="3087"/>
      <c r="K495" s="3087"/>
      <c r="L495" s="3087"/>
      <c r="M495" s="3087"/>
      <c r="N495" s="3087"/>
      <c r="O495" s="3087"/>
      <c r="P495" s="3087"/>
      <c r="Q495" s="3087"/>
      <c r="R495" s="3087"/>
      <c r="S495" s="3087"/>
      <c r="T495" s="3087"/>
      <c r="U495" s="3080"/>
      <c r="W495" s="702"/>
      <c r="X495" s="702"/>
    </row>
    <row r="496" spans="1:24" s="1105" customFormat="1" hidden="1">
      <c r="A496" s="1989"/>
      <c r="B496" s="3145">
        <f t="shared" si="84"/>
        <v>1.1000000000000001</v>
      </c>
      <c r="C496" s="2296">
        <f t="shared" si="84"/>
        <v>0</v>
      </c>
      <c r="D496" s="2296"/>
      <c r="E496" s="2297"/>
      <c r="F496" s="2297"/>
      <c r="G496" s="2297"/>
      <c r="H496" s="2297"/>
      <c r="I496" s="3087"/>
      <c r="J496" s="3087"/>
      <c r="K496" s="3087"/>
      <c r="L496" s="3087"/>
      <c r="M496" s="3087"/>
      <c r="N496" s="3087"/>
      <c r="O496" s="3087"/>
      <c r="P496" s="3087"/>
      <c r="Q496" s="3087"/>
      <c r="R496" s="3087"/>
      <c r="S496" s="3087"/>
      <c r="T496" s="3087"/>
      <c r="U496" s="3080"/>
      <c r="W496" s="702"/>
      <c r="X496" s="702"/>
    </row>
    <row r="497" spans="1:24" s="1105" customFormat="1" hidden="1">
      <c r="A497" s="1989"/>
      <c r="B497" s="3145">
        <f t="shared" si="84"/>
        <v>2</v>
      </c>
      <c r="C497" s="2296" t="str">
        <f t="shared" si="84"/>
        <v>Townscape &amp; Landscape</v>
      </c>
      <c r="D497" s="2296"/>
      <c r="E497" s="2297"/>
      <c r="F497" s="2297"/>
      <c r="G497" s="2297"/>
      <c r="H497" s="2297"/>
      <c r="I497" s="3087"/>
      <c r="J497" s="3087"/>
      <c r="K497" s="3087"/>
      <c r="L497" s="3087"/>
      <c r="M497" s="3087"/>
      <c r="N497" s="3087"/>
      <c r="O497" s="3087"/>
      <c r="P497" s="3087"/>
      <c r="Q497" s="3087"/>
      <c r="R497" s="3087"/>
      <c r="S497" s="3087"/>
      <c r="T497" s="3087"/>
      <c r="U497" s="3080"/>
      <c r="W497" s="702"/>
      <c r="X497" s="702"/>
    </row>
    <row r="498" spans="1:24" s="1105" customFormat="1" hidden="1">
      <c r="A498" s="1989"/>
      <c r="B498" s="3145">
        <f t="shared" si="84"/>
        <v>3</v>
      </c>
      <c r="C498" s="2296" t="str">
        <f t="shared" si="84"/>
        <v>Local Characteristics &amp; Outdoor Amenity</v>
      </c>
      <c r="D498" s="2296"/>
      <c r="E498" s="2297"/>
      <c r="F498" s="2297"/>
      <c r="G498" s="2297"/>
      <c r="H498" s="2297"/>
      <c r="I498" s="3087"/>
      <c r="J498" s="3087"/>
      <c r="K498" s="3087"/>
      <c r="L498" s="3087"/>
      <c r="M498" s="3087"/>
      <c r="N498" s="3087"/>
      <c r="O498" s="3087"/>
      <c r="P498" s="3087"/>
      <c r="Q498" s="3087"/>
      <c r="R498" s="3087"/>
      <c r="S498" s="3087"/>
      <c r="T498" s="3087"/>
      <c r="U498" s="3080"/>
      <c r="W498" s="702"/>
      <c r="X498" s="702"/>
    </row>
    <row r="499" spans="1:24" s="1105" customFormat="1" ht="16.899999999999999" hidden="1" customHeight="1">
      <c r="A499" s="1989"/>
      <c r="B499" s="3150" t="str">
        <f t="shared" si="84"/>
        <v>3.1</v>
      </c>
      <c r="C499" s="3113" t="str">
        <f t="shared" si="84"/>
        <v>Attention to Local Character &amp; Improvement of Comfort</v>
      </c>
      <c r="D499" s="2296"/>
      <c r="E499" s="2297"/>
      <c r="F499" s="2297"/>
      <c r="G499" s="2297"/>
      <c r="H499" s="2297"/>
      <c r="I499" s="3087"/>
      <c r="J499" s="3087"/>
      <c r="K499" s="3087"/>
      <c r="L499" s="3087"/>
      <c r="M499" s="3087"/>
      <c r="N499" s="3087"/>
      <c r="O499" s="3087"/>
      <c r="P499" s="3087"/>
      <c r="Q499" s="3087"/>
      <c r="R499" s="3087"/>
      <c r="S499" s="3087"/>
      <c r="T499" s="3087"/>
      <c r="U499" s="3080"/>
      <c r="W499" s="702"/>
      <c r="X499" s="702"/>
    </row>
    <row r="500" spans="1:24" s="1105" customFormat="1" ht="21.6" customHeight="1">
      <c r="A500" s="1989"/>
      <c r="B500" s="3150" t="str">
        <f t="shared" si="84"/>
        <v>3.2</v>
      </c>
      <c r="C500" s="3152" t="str">
        <f t="shared" si="84"/>
        <v>Improvement of the Thermal Environment on Site</v>
      </c>
      <c r="D500" s="2296"/>
      <c r="E500" s="2297"/>
      <c r="F500" s="2297"/>
      <c r="G500" s="2297"/>
      <c r="H500" s="2297"/>
      <c r="I500" s="3151" t="str">
        <f>'Q3'!F107</f>
        <v xml:space="preserve">　Open space </v>
      </c>
      <c r="J500" s="3114">
        <f>'Q3'!H107</f>
        <v>0</v>
      </c>
      <c r="K500" s="3910" t="str">
        <f>'Q3'!F109</f>
        <v xml:space="preserve">  horizontal projection areas</v>
      </c>
      <c r="L500" s="3910"/>
      <c r="M500" s="3910"/>
      <c r="N500" s="3114">
        <f>'Q3'!H109</f>
        <v>0</v>
      </c>
      <c r="O500" s="3910" t="str">
        <f>'Q3'!F110</f>
        <v xml:space="preserve">  appropriate ground surface</v>
      </c>
      <c r="P500" s="3910"/>
      <c r="Q500" s="3114">
        <f>'Q3'!H110</f>
        <v>0</v>
      </c>
      <c r="R500" s="3098"/>
      <c r="S500" s="3100" t="str">
        <f>'Q3'!F111</f>
        <v xml:space="preserve">  paved surface</v>
      </c>
      <c r="T500" s="3114">
        <f>'Q3'!H111</f>
        <v>0</v>
      </c>
      <c r="U500" s="3080"/>
      <c r="W500" s="702"/>
      <c r="X500" s="702"/>
    </row>
    <row r="501" spans="1:24" s="1105" customFormat="1" hidden="1">
      <c r="A501" s="1989"/>
      <c r="B501" s="3145">
        <f t="shared" si="84"/>
        <v>0</v>
      </c>
      <c r="C501" s="2296">
        <f t="shared" si="84"/>
        <v>0</v>
      </c>
      <c r="D501" s="2296"/>
      <c r="E501" s="2297"/>
      <c r="F501" s="2297"/>
      <c r="G501" s="2297"/>
      <c r="H501" s="2297"/>
      <c r="I501" s="3087"/>
      <c r="J501" s="3087"/>
      <c r="K501" s="3087"/>
      <c r="L501" s="3087"/>
      <c r="M501" s="3087"/>
      <c r="N501" s="3087"/>
      <c r="O501" s="3087"/>
      <c r="P501" s="3087"/>
      <c r="Q501" s="3087"/>
      <c r="R501" s="3087"/>
      <c r="S501" s="3087"/>
      <c r="T501" s="3087"/>
      <c r="U501" s="3080"/>
      <c r="W501" s="702"/>
      <c r="X501" s="702"/>
    </row>
    <row r="502" spans="1:24" s="1105" customFormat="1" hidden="1">
      <c r="A502" s="1989"/>
      <c r="B502" s="3145" t="str">
        <f t="shared" si="84"/>
        <v>LR</v>
      </c>
      <c r="C502" s="2296" t="str">
        <f t="shared" si="84"/>
        <v>Environmental Load Reduction of Building</v>
      </c>
      <c r="D502" s="2296"/>
      <c r="E502" s="2297"/>
      <c r="F502" s="2297"/>
      <c r="G502" s="2297"/>
      <c r="H502" s="2297"/>
      <c r="I502" s="3087"/>
      <c r="J502" s="3087"/>
      <c r="K502" s="3087"/>
      <c r="L502" s="3087"/>
      <c r="M502" s="3087"/>
      <c r="N502" s="3087"/>
      <c r="O502" s="3087"/>
      <c r="P502" s="3087"/>
      <c r="Q502" s="3087"/>
      <c r="R502" s="3087"/>
      <c r="S502" s="3087"/>
      <c r="T502" s="3087"/>
      <c r="U502" s="3080"/>
      <c r="W502" s="702"/>
      <c r="X502" s="702"/>
    </row>
    <row r="503" spans="1:24" s="1105" customFormat="1">
      <c r="A503" s="1989"/>
      <c r="B503" s="3149" t="str">
        <f t="shared" si="84"/>
        <v>LR1</v>
      </c>
      <c r="C503" s="3095" t="str">
        <f t="shared" si="84"/>
        <v>Energy</v>
      </c>
      <c r="D503" s="2296"/>
      <c r="E503" s="2297"/>
      <c r="F503" s="2297"/>
      <c r="G503" s="2297"/>
      <c r="H503" s="2297"/>
      <c r="I503" s="3087"/>
      <c r="J503" s="3087"/>
      <c r="K503" s="3087"/>
      <c r="L503" s="3087"/>
      <c r="M503" s="3087"/>
      <c r="N503" s="3087"/>
      <c r="O503" s="3087"/>
      <c r="P503" s="3087"/>
      <c r="Q503" s="3087"/>
      <c r="R503" s="3087"/>
      <c r="S503" s="3087"/>
      <c r="T503" s="3087"/>
      <c r="U503" s="3080"/>
      <c r="W503" s="702"/>
      <c r="X503" s="702"/>
    </row>
    <row r="504" spans="1:24" s="1105" customFormat="1" ht="20.45" customHeight="1">
      <c r="A504" s="1989"/>
      <c r="B504" s="3145">
        <f t="shared" si="84"/>
        <v>1</v>
      </c>
      <c r="C504" s="2296" t="str">
        <f t="shared" si="84"/>
        <v>Control of Heat Load on Building Envelopes</v>
      </c>
      <c r="D504" s="2296"/>
      <c r="E504" s="2297"/>
      <c r="F504" s="2297"/>
      <c r="G504" s="2297"/>
      <c r="H504" s="2297"/>
      <c r="I504" s="3098" t="s">
        <v>3343</v>
      </c>
      <c r="J504" s="3098"/>
      <c r="K504" s="3115">
        <f>ENcalc!H6</f>
        <v>0.97</v>
      </c>
      <c r="L504" s="3910" t="str">
        <f>ENcalc!F9</f>
        <v>Housing Performance Indication Standard</v>
      </c>
      <c r="M504" s="3910"/>
      <c r="N504" s="3910"/>
      <c r="O504" s="3116" t="str">
        <f>ENcalc!H9</f>
        <v>Not applicable</v>
      </c>
      <c r="P504" s="3099" t="s">
        <v>3008</v>
      </c>
      <c r="Q504" s="3098"/>
      <c r="R504" s="3098"/>
      <c r="S504" s="3100"/>
      <c r="T504" s="3098"/>
      <c r="U504" s="3080"/>
      <c r="W504" s="702"/>
      <c r="X504" s="702"/>
    </row>
    <row r="505" spans="1:24" s="1105" customFormat="1" ht="22.15" customHeight="1">
      <c r="A505" s="1989"/>
      <c r="B505" s="3145">
        <f t="shared" si="84"/>
        <v>2</v>
      </c>
      <c r="C505" s="2296" t="str">
        <f t="shared" si="84"/>
        <v>Natural Energy Utilization (Direct Use)</v>
      </c>
      <c r="D505" s="2296"/>
      <c r="E505" s="2297"/>
      <c r="F505" s="2297"/>
      <c r="G505" s="2297"/>
      <c r="H505" s="2297"/>
      <c r="I505" s="3098" t="str">
        <f>'LR1'!G41</f>
        <v>% of impact</v>
      </c>
      <c r="J505" s="3098"/>
      <c r="K505" s="3105">
        <f>'LR1'!H41</f>
        <v>0</v>
      </c>
      <c r="L505" s="3105"/>
      <c r="M505" s="3105"/>
      <c r="N505" s="3098"/>
      <c r="O505" s="3098"/>
      <c r="P505" s="3100" t="str">
        <f>'LR1'!K41</f>
        <v>% of classrooms w/ adequate natural light</v>
      </c>
      <c r="Q505" s="3105">
        <f>'LR1'!L41</f>
        <v>0</v>
      </c>
      <c r="R505" s="3911" t="str">
        <f>'LR1'!N41</f>
        <v>% of dwellings w/ adequate natural light</v>
      </c>
      <c r="S505" s="3911"/>
      <c r="T505" s="3105">
        <f>'LR1'!O41</f>
        <v>0</v>
      </c>
      <c r="U505" s="3080"/>
      <c r="W505" s="702"/>
      <c r="X505" s="702"/>
    </row>
    <row r="506" spans="1:24" s="1105" customFormat="1" ht="22.15" customHeight="1">
      <c r="A506" s="1989"/>
      <c r="B506" s="3145"/>
      <c r="C506" s="2296"/>
      <c r="D506" s="2296"/>
      <c r="E506" s="2297"/>
      <c r="F506" s="2297"/>
      <c r="G506" s="2297"/>
      <c r="H506" s="2297"/>
      <c r="I506" s="3087"/>
      <c r="J506" s="3087"/>
      <c r="K506" s="3087"/>
      <c r="L506" s="3087"/>
      <c r="M506" s="3087"/>
      <c r="N506" s="3087"/>
      <c r="O506" s="3098"/>
      <c r="P506" s="3100" t="str">
        <f>'LR1'!K42</f>
        <v>% of classrooms w/ adequate ventilation</v>
      </c>
      <c r="Q506" s="3105">
        <f>'LR1'!L42</f>
        <v>0</v>
      </c>
      <c r="R506" s="3912" t="str">
        <f>'LR1'!N42</f>
        <v>% of dwellings w/ adequate ventilation</v>
      </c>
      <c r="S506" s="3913"/>
      <c r="T506" s="3105">
        <f>'LR1'!O42</f>
        <v>0</v>
      </c>
      <c r="U506" s="3080"/>
      <c r="W506" s="702"/>
      <c r="X506" s="702"/>
    </row>
    <row r="507" spans="1:24" s="1105" customFormat="1" hidden="1">
      <c r="A507" s="1989"/>
      <c r="B507" s="3145">
        <f t="shared" ref="B507:C510" si="85">B317</f>
        <v>0</v>
      </c>
      <c r="C507" s="2296">
        <f t="shared" si="85"/>
        <v>0</v>
      </c>
      <c r="D507" s="2296"/>
      <c r="E507" s="2297"/>
      <c r="F507" s="2297"/>
      <c r="G507" s="2297"/>
      <c r="H507" s="2297"/>
      <c r="I507" s="3087"/>
      <c r="J507" s="3087"/>
      <c r="K507" s="3087"/>
      <c r="L507" s="3087"/>
      <c r="M507" s="3087"/>
      <c r="N507" s="3087"/>
      <c r="O507" s="3087"/>
      <c r="P507" s="3087"/>
      <c r="Q507" s="3087"/>
      <c r="R507" s="3087"/>
      <c r="S507" s="3087"/>
      <c r="T507" s="3087"/>
      <c r="U507" s="3080"/>
      <c r="W507" s="702"/>
      <c r="X507" s="702"/>
    </row>
    <row r="508" spans="1:24" s="1105" customFormat="1" hidden="1">
      <c r="A508" s="1989"/>
      <c r="B508" s="3145" t="str">
        <f t="shared" si="85"/>
        <v>2.1</v>
      </c>
      <c r="C508" s="2296">
        <f t="shared" si="85"/>
        <v>0</v>
      </c>
      <c r="D508" s="2296"/>
      <c r="E508" s="2297"/>
      <c r="F508" s="2297"/>
      <c r="G508" s="2297"/>
      <c r="H508" s="2297"/>
      <c r="I508" s="3087"/>
      <c r="J508" s="3087"/>
      <c r="K508" s="3087"/>
      <c r="L508" s="3087"/>
      <c r="M508" s="3087"/>
      <c r="N508" s="3087"/>
      <c r="O508" s="3087"/>
      <c r="P508" s="3087"/>
      <c r="Q508" s="3087"/>
      <c r="R508" s="3087"/>
      <c r="S508" s="3087"/>
      <c r="T508" s="3087"/>
      <c r="U508" s="3080"/>
      <c r="W508" s="702"/>
      <c r="X508" s="702"/>
    </row>
    <row r="509" spans="1:24" s="1105" customFormat="1" hidden="1">
      <c r="A509" s="1989"/>
      <c r="B509" s="3145" t="str">
        <f t="shared" si="85"/>
        <v>2.2</v>
      </c>
      <c r="C509" s="2296">
        <f t="shared" si="85"/>
        <v>0</v>
      </c>
      <c r="D509" s="2296"/>
      <c r="E509" s="2297"/>
      <c r="F509" s="2297"/>
      <c r="G509" s="2297"/>
      <c r="H509" s="2297"/>
      <c r="I509" s="3087"/>
      <c r="J509" s="3087"/>
      <c r="K509" s="3087"/>
      <c r="L509" s="3087"/>
      <c r="M509" s="3087"/>
      <c r="N509" s="3087"/>
      <c r="O509" s="3087"/>
      <c r="P509" s="3087"/>
      <c r="Q509" s="3087"/>
      <c r="R509" s="3087"/>
      <c r="S509" s="3087"/>
      <c r="T509" s="3087"/>
      <c r="U509" s="3080"/>
      <c r="W509" s="702"/>
      <c r="X509" s="702"/>
    </row>
    <row r="510" spans="1:24" s="1105" customFormat="1">
      <c r="A510" s="1989"/>
      <c r="B510" s="3145">
        <f t="shared" si="85"/>
        <v>3</v>
      </c>
      <c r="C510" s="2296" t="str">
        <f t="shared" si="85"/>
        <v>Efficiency in Building Service System</v>
      </c>
      <c r="D510" s="2296"/>
      <c r="E510" s="2297"/>
      <c r="F510" s="2297"/>
      <c r="G510" s="2297"/>
      <c r="H510" s="2297"/>
      <c r="I510" s="3098"/>
      <c r="J510" s="3098"/>
      <c r="K510" s="3098"/>
      <c r="L510" s="3098"/>
      <c r="M510" s="3098"/>
      <c r="N510" s="3098"/>
      <c r="O510" s="3100" t="str">
        <f>'LR1'!H85</f>
        <v>Solar power generation</v>
      </c>
      <c r="P510" s="3117">
        <f>'LR1'!I85</f>
        <v>0</v>
      </c>
      <c r="Q510" s="3100" t="str">
        <f>'LR1'!J85</f>
        <v>kW　　Solar heat</v>
      </c>
      <c r="R510" s="3117">
        <f>'LR1'!K85</f>
        <v>0</v>
      </c>
      <c r="S510" s="3100" t="str">
        <f>'LR1'!L85</f>
        <v>kW　　　Battery</v>
      </c>
      <c r="T510" s="3118">
        <f>'LR1'!M85</f>
        <v>0</v>
      </c>
      <c r="U510" s="3080"/>
      <c r="W510" s="702"/>
      <c r="X510" s="702"/>
    </row>
    <row r="511" spans="1:24" s="1105" customFormat="1" ht="25.15" customHeight="1">
      <c r="A511" s="1989"/>
      <c r="B511" s="3145"/>
      <c r="C511" s="2296" t="str">
        <f t="shared" ref="C511:C522" si="86">C321</f>
        <v xml:space="preserve">Other than apartment </v>
      </c>
      <c r="D511" s="2296"/>
      <c r="E511" s="2297"/>
      <c r="F511" s="2297"/>
      <c r="G511" s="2297"/>
      <c r="H511" s="2297"/>
      <c r="I511" s="3119" t="s">
        <v>3342</v>
      </c>
      <c r="J511" s="3119"/>
      <c r="K511" s="3120" t="s">
        <v>3339</v>
      </c>
      <c r="L511" s="3121">
        <f>ENcalc!G21</f>
        <v>0.25</v>
      </c>
      <c r="M511" s="3120" t="s">
        <v>3340</v>
      </c>
      <c r="N511" s="3121">
        <f>ENcalc!G20</f>
        <v>0.5</v>
      </c>
      <c r="O511" s="3119"/>
      <c r="P511" s="3122" t="s">
        <v>3341</v>
      </c>
      <c r="Q511" s="3123">
        <f>ENcalc!G22</f>
        <v>0</v>
      </c>
      <c r="R511" s="3914" t="str">
        <f>ENcalc!H26</f>
        <v>〇〇kW installed in 〇〇 City, used 〇〇GJ/yr, etc.</v>
      </c>
      <c r="S511" s="3914"/>
      <c r="T511" s="3914"/>
      <c r="U511" s="3080"/>
      <c r="W511" s="702"/>
      <c r="X511" s="702"/>
    </row>
    <row r="512" spans="1:24" s="1105" customFormat="1" ht="23.45" customHeight="1">
      <c r="A512" s="1989"/>
      <c r="B512" s="3145"/>
      <c r="C512" s="2296" t="str">
        <f t="shared" si="86"/>
        <v>Apartment</v>
      </c>
      <c r="D512" s="2296"/>
      <c r="E512" s="2297"/>
      <c r="F512" s="2297"/>
      <c r="G512" s="2297"/>
      <c r="H512" s="2297"/>
      <c r="I512" s="3098" t="s">
        <v>1343</v>
      </c>
      <c r="J512" s="3098"/>
      <c r="K512" s="3100" t="s">
        <v>3405</v>
      </c>
      <c r="L512" s="3124" t="str">
        <f>IF(ENcalc!H21="","",ENcalc!H21)</f>
        <v/>
      </c>
      <c r="M512" s="3100" t="s">
        <v>3010</v>
      </c>
      <c r="N512" s="3124" t="str">
        <f>IF(ENcalc!H20="","",ENcalc!H20)</f>
        <v/>
      </c>
      <c r="O512" s="3099"/>
      <c r="P512" s="3916" t="str">
        <f>IF(ENcalc!H31=ENcalc!S30,"",ENcalc!G31)</f>
        <v>Evaluated based on specification std.</v>
      </c>
      <c r="Q512" s="3916"/>
      <c r="R512" s="3914">
        <f>ENcalc!H30</f>
        <v>0</v>
      </c>
      <c r="S512" s="3914"/>
      <c r="T512" s="3914"/>
      <c r="U512" s="3080"/>
      <c r="W512" s="702"/>
      <c r="X512" s="702"/>
    </row>
    <row r="513" spans="1:24" s="1105" customFormat="1" hidden="1">
      <c r="A513" s="1989"/>
      <c r="B513" s="3145">
        <f t="shared" ref="B513:B522" si="87">B323</f>
        <v>3.1</v>
      </c>
      <c r="C513" s="2296">
        <f t="shared" si="86"/>
        <v>0</v>
      </c>
      <c r="D513" s="2296"/>
      <c r="E513" s="2297"/>
      <c r="F513" s="2297"/>
      <c r="G513" s="2297"/>
      <c r="H513" s="2297"/>
      <c r="I513" s="3098" t="s">
        <v>1342</v>
      </c>
      <c r="J513" s="3087"/>
      <c r="K513" s="3087"/>
      <c r="L513" s="3087"/>
      <c r="M513" s="3087"/>
      <c r="N513" s="3087"/>
      <c r="O513" s="3087"/>
      <c r="P513" s="3087"/>
      <c r="Q513" s="3087"/>
      <c r="R513" s="3087"/>
      <c r="S513" s="3087"/>
      <c r="T513" s="3087"/>
      <c r="U513" s="3080"/>
      <c r="W513" s="702"/>
      <c r="X513" s="702"/>
    </row>
    <row r="514" spans="1:24" s="1105" customFormat="1" hidden="1">
      <c r="A514" s="1989"/>
      <c r="B514" s="3145">
        <f t="shared" si="87"/>
        <v>3.2</v>
      </c>
      <c r="C514" s="2296">
        <f t="shared" si="86"/>
        <v>0</v>
      </c>
      <c r="D514" s="2296"/>
      <c r="E514" s="2297"/>
      <c r="F514" s="2297"/>
      <c r="G514" s="2297"/>
      <c r="H514" s="2297"/>
      <c r="I514" s="3098" t="s">
        <v>1342</v>
      </c>
      <c r="J514" s="3087"/>
      <c r="K514" s="3087"/>
      <c r="L514" s="3087"/>
      <c r="M514" s="3087"/>
      <c r="N514" s="3087"/>
      <c r="O514" s="3087"/>
      <c r="P514" s="3087"/>
      <c r="Q514" s="3087"/>
      <c r="R514" s="3087"/>
      <c r="S514" s="3087"/>
      <c r="T514" s="3087"/>
      <c r="U514" s="3080"/>
      <c r="W514" s="702"/>
      <c r="X514" s="702"/>
    </row>
    <row r="515" spans="1:24" s="1105" customFormat="1" hidden="1">
      <c r="A515" s="1989"/>
      <c r="B515" s="3145">
        <f t="shared" si="87"/>
        <v>3.3</v>
      </c>
      <c r="C515" s="2296">
        <f t="shared" si="86"/>
        <v>0</v>
      </c>
      <c r="D515" s="2296"/>
      <c r="E515" s="2297"/>
      <c r="F515" s="2297"/>
      <c r="G515" s="2297"/>
      <c r="H515" s="2297"/>
      <c r="I515" s="3098" t="s">
        <v>1342</v>
      </c>
      <c r="J515" s="3087"/>
      <c r="K515" s="3087"/>
      <c r="L515" s="3087"/>
      <c r="M515" s="3087"/>
      <c r="N515" s="3087"/>
      <c r="O515" s="3087"/>
      <c r="P515" s="3087"/>
      <c r="Q515" s="3087"/>
      <c r="R515" s="3087"/>
      <c r="S515" s="3087"/>
      <c r="T515" s="3087"/>
      <c r="U515" s="3080"/>
      <c r="W515" s="702"/>
      <c r="X515" s="702"/>
    </row>
    <row r="516" spans="1:24" s="1105" customFormat="1" hidden="1">
      <c r="A516" s="1989"/>
      <c r="B516" s="3145">
        <f t="shared" si="87"/>
        <v>3.4</v>
      </c>
      <c r="C516" s="2296">
        <f t="shared" si="86"/>
        <v>0</v>
      </c>
      <c r="D516" s="2296"/>
      <c r="E516" s="2297"/>
      <c r="F516" s="2297"/>
      <c r="G516" s="2297"/>
      <c r="H516" s="2297"/>
      <c r="I516" s="3098" t="s">
        <v>1342</v>
      </c>
      <c r="J516" s="3087"/>
      <c r="K516" s="3087"/>
      <c r="L516" s="3087"/>
      <c r="M516" s="3087"/>
      <c r="N516" s="3087"/>
      <c r="O516" s="3087"/>
      <c r="P516" s="3087"/>
      <c r="Q516" s="3087"/>
      <c r="R516" s="3087"/>
      <c r="S516" s="3087"/>
      <c r="T516" s="3087"/>
      <c r="U516" s="3080"/>
      <c r="W516" s="702"/>
      <c r="X516" s="702"/>
    </row>
    <row r="517" spans="1:24" s="1105" customFormat="1" hidden="1">
      <c r="A517" s="1989"/>
      <c r="B517" s="3145">
        <f t="shared" si="87"/>
        <v>3.5</v>
      </c>
      <c r="C517" s="2296">
        <f t="shared" si="86"/>
        <v>0</v>
      </c>
      <c r="D517" s="2296"/>
      <c r="E517" s="2297"/>
      <c r="F517" s="2297"/>
      <c r="G517" s="2297"/>
      <c r="H517" s="2297"/>
      <c r="I517" s="3098" t="s">
        <v>1342</v>
      </c>
      <c r="J517" s="3087"/>
      <c r="K517" s="3087"/>
      <c r="L517" s="3087"/>
      <c r="M517" s="3087"/>
      <c r="N517" s="3087"/>
      <c r="O517" s="3087"/>
      <c r="P517" s="3087"/>
      <c r="Q517" s="3087"/>
      <c r="R517" s="3087"/>
      <c r="S517" s="3087"/>
      <c r="T517" s="3087"/>
      <c r="U517" s="3080"/>
      <c r="W517" s="702"/>
      <c r="X517" s="702"/>
    </row>
    <row r="518" spans="1:24" s="1105" customFormat="1" hidden="1">
      <c r="A518" s="1989"/>
      <c r="B518" s="3145">
        <f t="shared" si="87"/>
        <v>0</v>
      </c>
      <c r="C518" s="2296">
        <f t="shared" si="86"/>
        <v>0</v>
      </c>
      <c r="D518" s="2296"/>
      <c r="E518" s="2297"/>
      <c r="F518" s="2297"/>
      <c r="G518" s="2297"/>
      <c r="H518" s="2297"/>
      <c r="I518" s="3098" t="s">
        <v>1342</v>
      </c>
      <c r="J518" s="3087"/>
      <c r="K518" s="3087"/>
      <c r="L518" s="3087"/>
      <c r="M518" s="3087"/>
      <c r="N518" s="3087"/>
      <c r="O518" s="3087"/>
      <c r="P518" s="3087"/>
      <c r="Q518" s="3087"/>
      <c r="R518" s="3087"/>
      <c r="S518" s="3087"/>
      <c r="T518" s="3087"/>
      <c r="U518" s="3080"/>
      <c r="W518" s="702"/>
      <c r="X518" s="702"/>
    </row>
    <row r="519" spans="1:24" s="1105" customFormat="1" hidden="1">
      <c r="A519" s="1989"/>
      <c r="B519" s="3145">
        <f t="shared" si="87"/>
        <v>4</v>
      </c>
      <c r="C519" s="2296" t="str">
        <f t="shared" si="86"/>
        <v>Initiatives for Efficient Operation</v>
      </c>
      <c r="D519" s="2296"/>
      <c r="E519" s="2297"/>
      <c r="F519" s="2297"/>
      <c r="G519" s="2297"/>
      <c r="H519" s="2297"/>
      <c r="I519" s="3087"/>
      <c r="J519" s="3087"/>
      <c r="K519" s="3087"/>
      <c r="L519" s="3087"/>
      <c r="M519" s="3087"/>
      <c r="N519" s="3087"/>
      <c r="O519" s="3087"/>
      <c r="P519" s="3087"/>
      <c r="Q519" s="3087"/>
      <c r="R519" s="3087"/>
      <c r="S519" s="3087"/>
      <c r="T519" s="3087"/>
      <c r="U519" s="3080"/>
      <c r="W519" s="702"/>
      <c r="X519" s="702"/>
    </row>
    <row r="520" spans="1:24" s="1105" customFormat="1" hidden="1">
      <c r="A520" s="1989"/>
      <c r="B520" s="3145">
        <f t="shared" si="87"/>
        <v>4.0999999999999996</v>
      </c>
      <c r="C520" s="2296" t="str">
        <f t="shared" si="86"/>
        <v>Other than apartments</v>
      </c>
      <c r="D520" s="2296"/>
      <c r="E520" s="2297"/>
      <c r="F520" s="2297"/>
      <c r="G520" s="2297"/>
      <c r="H520" s="2297"/>
      <c r="I520" s="3087"/>
      <c r="J520" s="3087"/>
      <c r="K520" s="3087"/>
      <c r="L520" s="3087"/>
      <c r="M520" s="3087"/>
      <c r="N520" s="3087"/>
      <c r="O520" s="3087"/>
      <c r="P520" s="3087"/>
      <c r="Q520" s="3087"/>
      <c r="R520" s="3087"/>
      <c r="S520" s="3087"/>
      <c r="T520" s="3087"/>
      <c r="U520" s="3080"/>
      <c r="W520" s="702"/>
      <c r="X520" s="702"/>
    </row>
    <row r="521" spans="1:24" s="1105" customFormat="1" hidden="1">
      <c r="A521" s="1989"/>
      <c r="B521" s="3145" t="str">
        <f t="shared" si="87"/>
        <v>4.1.1</v>
      </c>
      <c r="C521" s="2296" t="str">
        <f t="shared" si="86"/>
        <v>Monitoring</v>
      </c>
      <c r="D521" s="2296"/>
      <c r="E521" s="2297"/>
      <c r="F521" s="2297"/>
      <c r="G521" s="2297"/>
      <c r="H521" s="2297"/>
      <c r="I521" s="3087"/>
      <c r="J521" s="3087"/>
      <c r="K521" s="3087"/>
      <c r="L521" s="3087"/>
      <c r="M521" s="3087"/>
      <c r="N521" s="3087"/>
      <c r="O521" s="3087"/>
      <c r="P521" s="3087"/>
      <c r="Q521" s="3087"/>
      <c r="R521" s="3087"/>
      <c r="S521" s="3087"/>
      <c r="T521" s="3087"/>
      <c r="U521" s="3080"/>
      <c r="W521" s="702"/>
      <c r="X521" s="702"/>
    </row>
    <row r="522" spans="1:24" s="1105" customFormat="1" hidden="1">
      <c r="A522" s="1989"/>
      <c r="B522" s="3145" t="str">
        <f t="shared" si="87"/>
        <v>4.1.2</v>
      </c>
      <c r="C522" s="2296" t="str">
        <f t="shared" si="86"/>
        <v>Operation &amp; Management System</v>
      </c>
      <c r="D522" s="2296"/>
      <c r="E522" s="2297"/>
      <c r="F522" s="2297"/>
      <c r="G522" s="2297"/>
      <c r="H522" s="2297"/>
      <c r="I522" s="3087"/>
      <c r="J522" s="3087"/>
      <c r="K522" s="3087"/>
      <c r="L522" s="3087"/>
      <c r="M522" s="3087"/>
      <c r="N522" s="3087"/>
      <c r="O522" s="3087"/>
      <c r="P522" s="3087"/>
      <c r="Q522" s="3087"/>
      <c r="R522" s="3087"/>
      <c r="S522" s="3087"/>
      <c r="T522" s="3087"/>
      <c r="U522" s="3080"/>
      <c r="W522" s="702"/>
      <c r="X522" s="702"/>
    </row>
    <row r="523" spans="1:24" s="1105" customFormat="1" hidden="1">
      <c r="A523" s="1989"/>
      <c r="B523" s="3145">
        <f t="shared" ref="B523:C526" si="88">B335</f>
        <v>4.2</v>
      </c>
      <c r="C523" s="2296" t="str">
        <f t="shared" si="88"/>
        <v>Apartments</v>
      </c>
      <c r="D523" s="2296"/>
      <c r="E523" s="2297"/>
      <c r="F523" s="2297"/>
      <c r="G523" s="2297"/>
      <c r="H523" s="2297"/>
      <c r="I523" s="3087"/>
      <c r="J523" s="3087"/>
      <c r="K523" s="3087"/>
      <c r="L523" s="3087"/>
      <c r="M523" s="3087"/>
      <c r="N523" s="3087"/>
      <c r="O523" s="3087"/>
      <c r="P523" s="3087"/>
      <c r="Q523" s="3087"/>
      <c r="R523" s="3087"/>
      <c r="S523" s="3087"/>
      <c r="T523" s="3087"/>
      <c r="U523" s="3080"/>
      <c r="W523" s="702"/>
      <c r="X523" s="702"/>
    </row>
    <row r="524" spans="1:24" s="1105" customFormat="1" hidden="1">
      <c r="A524" s="1989"/>
      <c r="B524" s="3145" t="str">
        <f t="shared" si="88"/>
        <v>4.2.1</v>
      </c>
      <c r="C524" s="2296" t="str">
        <f t="shared" si="88"/>
        <v>Monitoring</v>
      </c>
      <c r="D524" s="2296"/>
      <c r="E524" s="2297"/>
      <c r="F524" s="2297"/>
      <c r="G524" s="2297"/>
      <c r="H524" s="2297"/>
      <c r="I524" s="3087"/>
      <c r="J524" s="3087"/>
      <c r="K524" s="3087"/>
      <c r="L524" s="3087"/>
      <c r="M524" s="3087"/>
      <c r="N524" s="3087"/>
      <c r="O524" s="3087"/>
      <c r="P524" s="3087"/>
      <c r="Q524" s="3087"/>
      <c r="R524" s="3087"/>
      <c r="S524" s="3087"/>
      <c r="T524" s="3087"/>
      <c r="U524" s="3080"/>
      <c r="W524" s="702"/>
      <c r="X524" s="702"/>
    </row>
    <row r="525" spans="1:24" s="1105" customFormat="1" hidden="1">
      <c r="A525" s="1989"/>
      <c r="B525" s="3145" t="str">
        <f t="shared" si="88"/>
        <v>4.2.2</v>
      </c>
      <c r="C525" s="2296" t="str">
        <f t="shared" si="88"/>
        <v>Operation &amp; Management System</v>
      </c>
      <c r="D525" s="2296"/>
      <c r="E525" s="2297"/>
      <c r="F525" s="2297"/>
      <c r="G525" s="2297"/>
      <c r="H525" s="2297"/>
      <c r="I525" s="3087"/>
      <c r="J525" s="3087"/>
      <c r="K525" s="3087"/>
      <c r="L525" s="3087"/>
      <c r="M525" s="3087"/>
      <c r="N525" s="3087"/>
      <c r="O525" s="3087"/>
      <c r="P525" s="3087"/>
      <c r="Q525" s="3087"/>
      <c r="R525" s="3087"/>
      <c r="S525" s="3087"/>
      <c r="T525" s="3087"/>
      <c r="U525" s="3080"/>
      <c r="W525" s="702"/>
      <c r="X525" s="702"/>
    </row>
    <row r="526" spans="1:24" s="1105" customFormat="1">
      <c r="A526" s="1989"/>
      <c r="B526" s="3149" t="str">
        <f t="shared" si="88"/>
        <v>LR2</v>
      </c>
      <c r="C526" s="3095" t="str">
        <f t="shared" si="88"/>
        <v>Resources &amp; Materials</v>
      </c>
      <c r="D526" s="2296"/>
      <c r="E526" s="2297"/>
      <c r="F526" s="2297"/>
      <c r="G526" s="2297"/>
      <c r="H526" s="2297"/>
      <c r="I526" s="3087"/>
      <c r="J526" s="3087"/>
      <c r="K526" s="3087"/>
      <c r="L526" s="3087"/>
      <c r="M526" s="3087"/>
      <c r="N526" s="3087"/>
      <c r="O526" s="3087"/>
      <c r="P526" s="3087"/>
      <c r="Q526" s="3087"/>
      <c r="R526" s="3087"/>
      <c r="S526" s="3087"/>
      <c r="T526" s="3087"/>
      <c r="U526" s="3080"/>
      <c r="W526" s="702"/>
      <c r="X526" s="702"/>
    </row>
    <row r="527" spans="1:24" s="1105" customFormat="1" hidden="1">
      <c r="A527" s="1989"/>
      <c r="B527" s="3145">
        <f t="shared" ref="B527:C546" si="89">B339</f>
        <v>1</v>
      </c>
      <c r="C527" s="2296" t="str">
        <f t="shared" si="89"/>
        <v xml:space="preserve">Water Resources </v>
      </c>
      <c r="D527" s="2296"/>
      <c r="E527" s="2297"/>
      <c r="F527" s="2297"/>
      <c r="G527" s="2297"/>
      <c r="H527" s="2297"/>
      <c r="I527" s="3087"/>
      <c r="J527" s="3087"/>
      <c r="K527" s="3087"/>
      <c r="L527" s="3087"/>
      <c r="M527" s="3087"/>
      <c r="N527" s="3087"/>
      <c r="O527" s="3087"/>
      <c r="P527" s="3087"/>
      <c r="Q527" s="3087"/>
      <c r="R527" s="3087"/>
      <c r="S527" s="3087"/>
      <c r="T527" s="3087"/>
      <c r="U527" s="3080"/>
      <c r="W527" s="702"/>
      <c r="X527" s="702"/>
    </row>
    <row r="528" spans="1:24" s="1105" customFormat="1" hidden="1">
      <c r="A528" s="1989"/>
      <c r="B528" s="3145">
        <f t="shared" si="89"/>
        <v>1.1000000000000001</v>
      </c>
      <c r="C528" s="2296" t="str">
        <f t="shared" si="89"/>
        <v>Water Saving</v>
      </c>
      <c r="D528" s="2296"/>
      <c r="E528" s="2297"/>
      <c r="F528" s="2297"/>
      <c r="G528" s="2297"/>
      <c r="H528" s="2297"/>
      <c r="I528" s="3087"/>
      <c r="J528" s="3087"/>
      <c r="K528" s="3087"/>
      <c r="L528" s="3087"/>
      <c r="M528" s="3087"/>
      <c r="N528" s="3087"/>
      <c r="O528" s="3087"/>
      <c r="P528" s="3087"/>
      <c r="Q528" s="3087"/>
      <c r="R528" s="3087"/>
      <c r="S528" s="3087"/>
      <c r="T528" s="3087"/>
      <c r="U528" s="3080"/>
      <c r="W528" s="702"/>
      <c r="X528" s="702"/>
    </row>
    <row r="529" spans="1:24" s="1105" customFormat="1" hidden="1">
      <c r="A529" s="1989"/>
      <c r="B529" s="3145">
        <f t="shared" si="89"/>
        <v>1.2</v>
      </c>
      <c r="C529" s="2296" t="str">
        <f t="shared" si="89"/>
        <v>Rain Water &amp; Waste Water Use</v>
      </c>
      <c r="D529" s="2296"/>
      <c r="E529" s="2297"/>
      <c r="F529" s="2297"/>
      <c r="G529" s="2297"/>
      <c r="H529" s="2297"/>
      <c r="I529" s="3087"/>
      <c r="J529" s="3087"/>
      <c r="K529" s="3087"/>
      <c r="L529" s="3087"/>
      <c r="M529" s="3087"/>
      <c r="N529" s="3087"/>
      <c r="O529" s="3087"/>
      <c r="P529" s="3087"/>
      <c r="Q529" s="3087"/>
      <c r="R529" s="3087"/>
      <c r="S529" s="3087"/>
      <c r="T529" s="3087"/>
      <c r="U529" s="3080"/>
      <c r="W529" s="702"/>
      <c r="X529" s="702"/>
    </row>
    <row r="530" spans="1:24" s="1105" customFormat="1">
      <c r="A530" s="1989"/>
      <c r="B530" s="3145" t="str">
        <f t="shared" si="89"/>
        <v>1.2.1</v>
      </c>
      <c r="C530" s="2296" t="str">
        <f t="shared" si="89"/>
        <v>Rainwater Use System</v>
      </c>
      <c r="D530" s="2296"/>
      <c r="E530" s="2297"/>
      <c r="F530" s="2297"/>
      <c r="G530" s="2297"/>
      <c r="H530" s="2297"/>
      <c r="I530" s="3098" t="str">
        <f>'LR2'!F32</f>
        <v>Rain water 
usage rate</v>
      </c>
      <c r="J530" s="3098"/>
      <c r="K530" s="3105">
        <f>'LR2'!G32</f>
        <v>0</v>
      </c>
      <c r="L530" s="3087"/>
      <c r="M530" s="3087"/>
      <c r="N530" s="3087"/>
      <c r="O530" s="3087"/>
      <c r="P530" s="3087"/>
      <c r="Q530" s="3087"/>
      <c r="R530" s="3087"/>
      <c r="S530" s="3087"/>
      <c r="T530" s="3087"/>
      <c r="U530" s="3080"/>
      <c r="W530" s="702"/>
      <c r="X530" s="702"/>
    </row>
    <row r="531" spans="1:24" s="1105" customFormat="1" hidden="1">
      <c r="A531" s="1989"/>
      <c r="B531" s="3145" t="str">
        <f t="shared" si="89"/>
        <v>1.2.2</v>
      </c>
      <c r="C531" s="2296" t="str">
        <f t="shared" si="89"/>
        <v>Waste Water Reuse System</v>
      </c>
      <c r="D531" s="2296"/>
      <c r="E531" s="2297"/>
      <c r="F531" s="2297"/>
      <c r="G531" s="2297"/>
      <c r="H531" s="2297"/>
      <c r="I531" s="3125"/>
      <c r="J531" s="3125"/>
      <c r="K531" s="3087"/>
      <c r="L531" s="3087"/>
      <c r="M531" s="3087"/>
      <c r="N531" s="3087"/>
      <c r="O531" s="3087"/>
      <c r="P531" s="3087"/>
      <c r="Q531" s="3087"/>
      <c r="R531" s="3087"/>
      <c r="S531" s="3087"/>
      <c r="T531" s="3087"/>
      <c r="U531" s="3080"/>
      <c r="W531" s="702"/>
      <c r="X531" s="702"/>
    </row>
    <row r="532" spans="1:24" s="1105" customFormat="1" hidden="1">
      <c r="A532" s="1989"/>
      <c r="B532" s="3145">
        <f t="shared" si="89"/>
        <v>2</v>
      </c>
      <c r="C532" s="2296" t="str">
        <f t="shared" si="89"/>
        <v>Reducing Use of Non-renewable Resources</v>
      </c>
      <c r="D532" s="2296"/>
      <c r="E532" s="2297"/>
      <c r="F532" s="2297"/>
      <c r="G532" s="2297"/>
      <c r="H532" s="2297"/>
      <c r="I532" s="3087"/>
      <c r="J532" s="3087"/>
      <c r="K532" s="3087"/>
      <c r="L532" s="3087"/>
      <c r="M532" s="3087"/>
      <c r="N532" s="3087"/>
      <c r="O532" s="3087"/>
      <c r="P532" s="3087"/>
      <c r="Q532" s="3087"/>
      <c r="R532" s="3087"/>
      <c r="S532" s="3087"/>
      <c r="T532" s="3087"/>
      <c r="U532" s="3080"/>
      <c r="W532" s="702"/>
      <c r="X532" s="702"/>
    </row>
    <row r="533" spans="1:24" s="1105" customFormat="1" hidden="1">
      <c r="A533" s="1989"/>
      <c r="B533" s="3145" t="str">
        <f t="shared" si="89"/>
        <v>2.1</v>
      </c>
      <c r="C533" s="2296" t="str">
        <f t="shared" si="89"/>
        <v>Reducing Use of Materials</v>
      </c>
      <c r="D533" s="2296"/>
      <c r="E533" s="2297"/>
      <c r="F533" s="2297"/>
      <c r="G533" s="2297"/>
      <c r="H533" s="2297"/>
      <c r="I533" s="3087"/>
      <c r="J533" s="3087"/>
      <c r="K533" s="3087"/>
      <c r="L533" s="3087"/>
      <c r="M533" s="3087"/>
      <c r="N533" s="3087"/>
      <c r="O533" s="3087"/>
      <c r="P533" s="3087"/>
      <c r="Q533" s="3087"/>
      <c r="R533" s="3087"/>
      <c r="S533" s="3087"/>
      <c r="T533" s="3087"/>
      <c r="U533" s="3080"/>
      <c r="W533" s="702"/>
      <c r="X533" s="702"/>
    </row>
    <row r="534" spans="1:24" s="1105" customFormat="1" hidden="1">
      <c r="A534" s="1989"/>
      <c r="B534" s="3145" t="str">
        <f t="shared" si="89"/>
        <v>2.2</v>
      </c>
      <c r="C534" s="2296" t="str">
        <f t="shared" si="89"/>
        <v>Continuing Use of Existing Structural Frame, etc.</v>
      </c>
      <c r="D534" s="2296"/>
      <c r="E534" s="2297"/>
      <c r="F534" s="2297"/>
      <c r="G534" s="2297"/>
      <c r="H534" s="2297"/>
      <c r="I534" s="3087"/>
      <c r="J534" s="3087"/>
      <c r="K534" s="3087"/>
      <c r="L534" s="3087"/>
      <c r="M534" s="3087"/>
      <c r="N534" s="3087"/>
      <c r="O534" s="3087"/>
      <c r="P534" s="3087"/>
      <c r="Q534" s="3087"/>
      <c r="R534" s="3087"/>
      <c r="S534" s="3087"/>
      <c r="T534" s="3087"/>
      <c r="U534" s="3080"/>
      <c r="W534" s="702"/>
      <c r="X534" s="702"/>
    </row>
    <row r="535" spans="1:24" s="1105" customFormat="1" hidden="1">
      <c r="A535" s="1989"/>
      <c r="B535" s="3145" t="str">
        <f t="shared" si="89"/>
        <v>2.3</v>
      </c>
      <c r="C535" s="2296" t="str">
        <f t="shared" si="89"/>
        <v>Use of Recycled Materials as Structural Materials</v>
      </c>
      <c r="D535" s="2296"/>
      <c r="E535" s="2297"/>
      <c r="F535" s="2297"/>
      <c r="G535" s="2297"/>
      <c r="H535" s="2297"/>
      <c r="I535" s="3087"/>
      <c r="J535" s="3087"/>
      <c r="K535" s="3087"/>
      <c r="L535" s="3087"/>
      <c r="M535" s="3087"/>
      <c r="N535" s="3087"/>
      <c r="O535" s="3087"/>
      <c r="P535" s="3087"/>
      <c r="Q535" s="3087"/>
      <c r="R535" s="3087"/>
      <c r="S535" s="3087"/>
      <c r="T535" s="3087"/>
      <c r="U535" s="3080"/>
      <c r="W535" s="702"/>
      <c r="X535" s="702"/>
    </row>
    <row r="536" spans="1:24" s="1105" customFormat="1" ht="30.6" customHeight="1">
      <c r="A536" s="1989"/>
      <c r="B536" s="3145" t="str">
        <f t="shared" si="89"/>
        <v>2.4</v>
      </c>
      <c r="C536" s="3087" t="str">
        <f t="shared" si="89"/>
        <v>Use of Recycled Materials as Non-structural Materials</v>
      </c>
      <c r="D536" s="2296"/>
      <c r="E536" s="2297"/>
      <c r="F536" s="2297"/>
      <c r="G536" s="2297"/>
      <c r="H536" s="2297"/>
      <c r="I536" s="3915" t="str">
        <f>'LR2'!G95</f>
        <v>Designated green procurement items</v>
      </c>
      <c r="J536" s="3915"/>
      <c r="K536" s="3115">
        <f>'LR2'!I95</f>
        <v>0</v>
      </c>
      <c r="L536" s="3098"/>
      <c r="M536" s="3098" t="str">
        <f>'LR2'!G96</f>
        <v>Eco Mark products</v>
      </c>
      <c r="N536" s="3098"/>
      <c r="O536" s="3115">
        <f>'LR2'!I96</f>
        <v>0</v>
      </c>
      <c r="P536" s="3915" t="str">
        <f>'LR2'!G97</f>
        <v>Specific items designated by local governments, etc.</v>
      </c>
      <c r="Q536" s="3915"/>
      <c r="R536" s="3915"/>
      <c r="S536" s="3115">
        <f>'LR2'!I97</f>
        <v>0</v>
      </c>
      <c r="T536" s="3098"/>
      <c r="U536" s="3080"/>
      <c r="W536" s="702"/>
      <c r="X536" s="702"/>
    </row>
    <row r="537" spans="1:24" s="1105" customFormat="1" ht="19.899999999999999" customHeight="1">
      <c r="A537" s="1989"/>
      <c r="B537" s="3145" t="str">
        <f t="shared" si="89"/>
        <v>2.5</v>
      </c>
      <c r="C537" s="2296" t="str">
        <f t="shared" si="89"/>
        <v>Timber from Sustainable Forestry</v>
      </c>
      <c r="D537" s="2296"/>
      <c r="E537" s="2297"/>
      <c r="F537" s="2297"/>
      <c r="G537" s="2297"/>
      <c r="H537" s="2297"/>
      <c r="I537" s="3917" t="str">
        <f>'LR2'!F108</f>
        <v>Proportion of 
timber used</v>
      </c>
      <c r="J537" s="3917"/>
      <c r="K537" s="3105">
        <f>'LR2'!G108</f>
        <v>0</v>
      </c>
      <c r="L537" s="3087"/>
      <c r="M537" s="3087"/>
      <c r="N537" s="3087"/>
      <c r="O537" s="3087"/>
      <c r="P537" s="3087"/>
      <c r="Q537" s="3087"/>
      <c r="R537" s="3087"/>
      <c r="S537" s="3087"/>
      <c r="T537" s="3087"/>
      <c r="U537" s="3080"/>
      <c r="W537" s="702"/>
      <c r="X537" s="702"/>
    </row>
    <row r="538" spans="1:24" s="1105" customFormat="1" hidden="1">
      <c r="A538" s="1989"/>
      <c r="B538" s="3145" t="str">
        <f t="shared" si="89"/>
        <v>2.6</v>
      </c>
      <c r="C538" s="2296" t="str">
        <f t="shared" si="89"/>
        <v>Reusability of Components and Materials</v>
      </c>
      <c r="D538" s="2296"/>
      <c r="E538" s="2297"/>
      <c r="F538" s="2297"/>
      <c r="G538" s="2297"/>
      <c r="H538" s="2297"/>
      <c r="I538" s="3087"/>
      <c r="J538" s="3087"/>
      <c r="K538" s="3087"/>
      <c r="L538" s="3087"/>
      <c r="M538" s="3087"/>
      <c r="N538" s="3087"/>
      <c r="O538" s="3087"/>
      <c r="P538" s="3087"/>
      <c r="Q538" s="3087"/>
      <c r="R538" s="3087"/>
      <c r="S538" s="3087"/>
      <c r="T538" s="3087"/>
      <c r="U538" s="3080"/>
      <c r="W538" s="702"/>
      <c r="X538" s="702"/>
    </row>
    <row r="539" spans="1:24" s="1105" customFormat="1" hidden="1">
      <c r="A539" s="1989"/>
      <c r="B539" s="3145" t="str">
        <f t="shared" si="89"/>
        <v>2.6</v>
      </c>
      <c r="C539" s="2296">
        <f t="shared" si="89"/>
        <v>0</v>
      </c>
      <c r="D539" s="2296"/>
      <c r="E539" s="2297"/>
      <c r="F539" s="2297"/>
      <c r="G539" s="2297"/>
      <c r="H539" s="2297"/>
      <c r="I539" s="3087"/>
      <c r="J539" s="3087"/>
      <c r="K539" s="3087"/>
      <c r="L539" s="3087"/>
      <c r="M539" s="3087"/>
      <c r="N539" s="3087"/>
      <c r="O539" s="3087"/>
      <c r="P539" s="3087"/>
      <c r="Q539" s="3087"/>
      <c r="R539" s="3087"/>
      <c r="S539" s="3087"/>
      <c r="T539" s="3087"/>
      <c r="U539" s="3080"/>
      <c r="W539" s="702"/>
      <c r="X539" s="702"/>
    </row>
    <row r="540" spans="1:24" s="1105" customFormat="1" hidden="1">
      <c r="A540" s="1989"/>
      <c r="B540" s="3145" t="str">
        <f t="shared" si="89"/>
        <v>2.6.1</v>
      </c>
      <c r="C540" s="2296">
        <f t="shared" si="89"/>
        <v>0</v>
      </c>
      <c r="D540" s="2296"/>
      <c r="E540" s="2297"/>
      <c r="F540" s="2297"/>
      <c r="G540" s="2297"/>
      <c r="H540" s="2297"/>
      <c r="I540" s="3087"/>
      <c r="J540" s="3087"/>
      <c r="K540" s="3087"/>
      <c r="L540" s="3087"/>
      <c r="M540" s="3087"/>
      <c r="N540" s="3087"/>
      <c r="O540" s="3087"/>
      <c r="P540" s="3087"/>
      <c r="Q540" s="3087"/>
      <c r="R540" s="3087"/>
      <c r="S540" s="3087"/>
      <c r="T540" s="3087"/>
      <c r="U540" s="3080"/>
      <c r="W540" s="702"/>
      <c r="X540" s="702"/>
    </row>
    <row r="541" spans="1:24" s="1105" customFormat="1" hidden="1">
      <c r="A541" s="1989"/>
      <c r="B541" s="3145" t="str">
        <f t="shared" si="89"/>
        <v>2.6.2</v>
      </c>
      <c r="C541" s="2296">
        <f t="shared" si="89"/>
        <v>0</v>
      </c>
      <c r="D541" s="2296"/>
      <c r="E541" s="2297"/>
      <c r="F541" s="2297"/>
      <c r="G541" s="2297"/>
      <c r="H541" s="2297"/>
      <c r="I541" s="3087"/>
      <c r="J541" s="3087"/>
      <c r="K541" s="3087"/>
      <c r="L541" s="3087"/>
      <c r="M541" s="3087"/>
      <c r="N541" s="3087"/>
      <c r="O541" s="3087"/>
      <c r="P541" s="3087"/>
      <c r="Q541" s="3087"/>
      <c r="R541" s="3087"/>
      <c r="S541" s="3087"/>
      <c r="T541" s="3087"/>
      <c r="U541" s="3080"/>
      <c r="W541" s="702"/>
      <c r="X541" s="702"/>
    </row>
    <row r="542" spans="1:24" s="1105" customFormat="1" hidden="1">
      <c r="A542" s="1989"/>
      <c r="B542" s="3145" t="str">
        <f t="shared" si="89"/>
        <v>2.6.3</v>
      </c>
      <c r="C542" s="2296">
        <f t="shared" si="89"/>
        <v>0</v>
      </c>
      <c r="D542" s="2296"/>
      <c r="E542" s="2297"/>
      <c r="F542" s="2297"/>
      <c r="G542" s="2297"/>
      <c r="H542" s="2297"/>
      <c r="I542" s="3087"/>
      <c r="J542" s="3087"/>
      <c r="K542" s="3087"/>
      <c r="L542" s="3087"/>
      <c r="M542" s="3087"/>
      <c r="N542" s="3087"/>
      <c r="O542" s="3087"/>
      <c r="P542" s="3087"/>
      <c r="Q542" s="3087"/>
      <c r="R542" s="3087"/>
      <c r="S542" s="3087"/>
      <c r="T542" s="3087"/>
      <c r="U542" s="3080"/>
      <c r="W542" s="702"/>
      <c r="X542" s="702"/>
    </row>
    <row r="543" spans="1:24" s="1105" customFormat="1" hidden="1">
      <c r="A543" s="1989"/>
      <c r="B543" s="3145" t="str">
        <f t="shared" si="89"/>
        <v>2.6.4</v>
      </c>
      <c r="C543" s="2296">
        <f t="shared" si="89"/>
        <v>0</v>
      </c>
      <c r="D543" s="2296"/>
      <c r="E543" s="2297"/>
      <c r="F543" s="2297"/>
      <c r="G543" s="2297"/>
      <c r="H543" s="2297"/>
      <c r="I543" s="3087"/>
      <c r="J543" s="3087"/>
      <c r="K543" s="3087"/>
      <c r="L543" s="3087"/>
      <c r="M543" s="3087"/>
      <c r="N543" s="3087"/>
      <c r="O543" s="3087"/>
      <c r="P543" s="3087"/>
      <c r="Q543" s="3087"/>
      <c r="R543" s="3087"/>
      <c r="S543" s="3087"/>
      <c r="T543" s="3087"/>
      <c r="U543" s="3080"/>
      <c r="W543" s="702"/>
      <c r="X543" s="702"/>
    </row>
    <row r="544" spans="1:24" s="1105" customFormat="1" hidden="1">
      <c r="A544" s="1989"/>
      <c r="B544" s="3145" t="str">
        <f t="shared" si="89"/>
        <v>2.6.5</v>
      </c>
      <c r="C544" s="2296">
        <f t="shared" si="89"/>
        <v>0</v>
      </c>
      <c r="D544" s="2296"/>
      <c r="E544" s="2297"/>
      <c r="F544" s="2297"/>
      <c r="G544" s="2297"/>
      <c r="H544" s="2297"/>
      <c r="I544" s="3087"/>
      <c r="J544" s="3087"/>
      <c r="K544" s="3087"/>
      <c r="L544" s="3087"/>
      <c r="M544" s="3087"/>
      <c r="N544" s="3087"/>
      <c r="O544" s="3087"/>
      <c r="P544" s="3087"/>
      <c r="Q544" s="3087"/>
      <c r="R544" s="3087"/>
      <c r="S544" s="3087"/>
      <c r="T544" s="3087"/>
      <c r="U544" s="3080"/>
      <c r="W544" s="702"/>
      <c r="X544" s="702"/>
    </row>
    <row r="545" spans="1:24" s="1105" customFormat="1" hidden="1">
      <c r="A545" s="1989"/>
      <c r="B545" s="3145" t="str">
        <f t="shared" si="89"/>
        <v>2.6.6</v>
      </c>
      <c r="C545" s="2296">
        <f t="shared" si="89"/>
        <v>0</v>
      </c>
      <c r="D545" s="2296"/>
      <c r="E545" s="2297"/>
      <c r="F545" s="2297"/>
      <c r="G545" s="2297"/>
      <c r="H545" s="2297"/>
      <c r="I545" s="3087"/>
      <c r="J545" s="3087"/>
      <c r="K545" s="3087"/>
      <c r="L545" s="3087"/>
      <c r="M545" s="3087"/>
      <c r="N545" s="3087"/>
      <c r="O545" s="3087"/>
      <c r="P545" s="3087"/>
      <c r="Q545" s="3087"/>
      <c r="R545" s="3087"/>
      <c r="S545" s="3087"/>
      <c r="T545" s="3087"/>
      <c r="U545" s="3080"/>
      <c r="W545" s="702"/>
      <c r="X545" s="702"/>
    </row>
    <row r="546" spans="1:24" s="1105" customFormat="1" hidden="1">
      <c r="A546" s="1989"/>
      <c r="B546" s="3145">
        <f t="shared" si="89"/>
        <v>2.7</v>
      </c>
      <c r="C546" s="2296">
        <f t="shared" si="89"/>
        <v>0</v>
      </c>
      <c r="D546" s="2296"/>
      <c r="E546" s="2297"/>
      <c r="F546" s="2297"/>
      <c r="G546" s="2297"/>
      <c r="H546" s="2297"/>
      <c r="I546" s="3087"/>
      <c r="J546" s="3087"/>
      <c r="K546" s="3087"/>
      <c r="L546" s="3087"/>
      <c r="M546" s="3087"/>
      <c r="N546" s="3087"/>
      <c r="O546" s="3087"/>
      <c r="P546" s="3087"/>
      <c r="Q546" s="3087"/>
      <c r="R546" s="3087"/>
      <c r="S546" s="3087"/>
      <c r="T546" s="3087"/>
      <c r="U546" s="3080"/>
      <c r="W546" s="702"/>
      <c r="X546" s="702"/>
    </row>
    <row r="547" spans="1:24" s="1105" customFormat="1" hidden="1">
      <c r="A547" s="1989"/>
      <c r="B547" s="3145">
        <f t="shared" ref="B547:C566" si="90">B359</f>
        <v>3</v>
      </c>
      <c r="C547" s="2296" t="str">
        <f t="shared" si="90"/>
        <v>Avoiding the Use of Materials with Pollutant Content</v>
      </c>
      <c r="D547" s="2296"/>
      <c r="E547" s="2297"/>
      <c r="F547" s="2297"/>
      <c r="G547" s="2297"/>
      <c r="H547" s="2297"/>
      <c r="I547" s="3087"/>
      <c r="J547" s="3087"/>
      <c r="K547" s="3087"/>
      <c r="L547" s="3087"/>
      <c r="M547" s="3087"/>
      <c r="N547" s="3087"/>
      <c r="O547" s="3087"/>
      <c r="P547" s="3087"/>
      <c r="Q547" s="3087"/>
      <c r="R547" s="3087"/>
      <c r="S547" s="3087"/>
      <c r="T547" s="3087"/>
      <c r="U547" s="3080"/>
      <c r="W547" s="702"/>
      <c r="X547" s="702"/>
    </row>
    <row r="548" spans="1:24" s="1105" customFormat="1" hidden="1">
      <c r="A548" s="1989"/>
      <c r="B548" s="3145" t="str">
        <f t="shared" si="90"/>
        <v>3.1</v>
      </c>
      <c r="C548" s="2296" t="str">
        <f t="shared" si="90"/>
        <v>Use of Materials without Harmful Substances</v>
      </c>
      <c r="D548" s="2296"/>
      <c r="E548" s="2297"/>
      <c r="F548" s="2297"/>
      <c r="G548" s="2297"/>
      <c r="H548" s="2297"/>
      <c r="I548" s="3087"/>
      <c r="J548" s="3087"/>
      <c r="K548" s="3087"/>
      <c r="L548" s="3087"/>
      <c r="M548" s="3087"/>
      <c r="N548" s="3087"/>
      <c r="O548" s="3087"/>
      <c r="P548" s="3087"/>
      <c r="Q548" s="3087"/>
      <c r="R548" s="3087"/>
      <c r="S548" s="3087"/>
      <c r="T548" s="3087"/>
      <c r="U548" s="3080"/>
      <c r="W548" s="702"/>
      <c r="X548" s="702"/>
    </row>
    <row r="549" spans="1:24" s="1105" customFormat="1" hidden="1">
      <c r="A549" s="1989"/>
      <c r="B549" s="3145" t="str">
        <f t="shared" si="90"/>
        <v>3.2</v>
      </c>
      <c r="C549" s="2296" t="str">
        <f t="shared" si="90"/>
        <v>Avoidance of CFCs and Halons</v>
      </c>
      <c r="D549" s="2296"/>
      <c r="E549" s="2297"/>
      <c r="F549" s="2297"/>
      <c r="G549" s="2297"/>
      <c r="H549" s="2297"/>
      <c r="I549" s="3087"/>
      <c r="J549" s="3087"/>
      <c r="K549" s="3087"/>
      <c r="L549" s="3087"/>
      <c r="M549" s="3087"/>
      <c r="N549" s="3087"/>
      <c r="O549" s="3087"/>
      <c r="P549" s="3087"/>
      <c r="Q549" s="3087"/>
      <c r="R549" s="3087"/>
      <c r="S549" s="3087"/>
      <c r="T549" s="3087"/>
      <c r="U549" s="3080"/>
      <c r="W549" s="702"/>
      <c r="X549" s="702"/>
    </row>
    <row r="550" spans="1:24" s="1105" customFormat="1">
      <c r="A550" s="1989"/>
      <c r="B550" s="3145" t="str">
        <f t="shared" si="90"/>
        <v>3.2.1</v>
      </c>
      <c r="C550" s="2296" t="str">
        <f t="shared" si="90"/>
        <v>Fire Retardant</v>
      </c>
      <c r="D550" s="2296"/>
      <c r="E550" s="2297"/>
      <c r="F550" s="2297"/>
      <c r="G550" s="2297"/>
      <c r="H550" s="2297"/>
      <c r="I550" s="3098" t="s">
        <v>1047</v>
      </c>
      <c r="J550" s="3100"/>
      <c r="K550" s="3098"/>
      <c r="L550" s="3098" t="str">
        <f>IF('LR2'!G219="","",'LR2'!G219)</f>
        <v/>
      </c>
      <c r="M550" s="3098"/>
      <c r="N550" s="3098"/>
      <c r="O550" s="3098" t="s">
        <v>3009</v>
      </c>
      <c r="P550" s="3098" t="str">
        <f>IF('LR2'!I219="","",'LR2'!I219)</f>
        <v/>
      </c>
      <c r="Q550" s="3126"/>
      <c r="R550" s="3087"/>
      <c r="S550" s="3087"/>
      <c r="T550" s="3087"/>
      <c r="U550" s="3080"/>
      <c r="W550" s="702"/>
      <c r="X550" s="702"/>
    </row>
    <row r="551" spans="1:24" s="1105" customFormat="1">
      <c r="A551" s="1989"/>
      <c r="B551" s="3145" t="str">
        <f t="shared" si="90"/>
        <v>3.2.2</v>
      </c>
      <c r="C551" s="2296" t="str">
        <f t="shared" si="90"/>
        <v>Foaming Agents (Insulation Materials, etc.)</v>
      </c>
      <c r="D551" s="2296"/>
      <c r="E551" s="2297"/>
      <c r="F551" s="2297"/>
      <c r="G551" s="2297"/>
      <c r="H551" s="2297"/>
      <c r="I551" s="3119" t="s">
        <v>1047</v>
      </c>
      <c r="J551" s="3122"/>
      <c r="K551" s="3119"/>
      <c r="L551" s="3119" t="str">
        <f>IF('LR2'!G230="","",'LR2'!G230)</f>
        <v/>
      </c>
      <c r="M551" s="3098"/>
      <c r="N551" s="3119"/>
      <c r="O551" s="3098" t="s">
        <v>3009</v>
      </c>
      <c r="P551" s="3119" t="str">
        <f>IF('LR2'!I230="","",'LR2'!I230)</f>
        <v/>
      </c>
      <c r="Q551" s="3126"/>
      <c r="R551" s="3087"/>
      <c r="S551" s="3087"/>
      <c r="T551" s="3087"/>
      <c r="U551" s="3080"/>
      <c r="W551" s="702"/>
      <c r="X551" s="702"/>
    </row>
    <row r="552" spans="1:24" s="1105" customFormat="1">
      <c r="A552" s="1989"/>
      <c r="B552" s="3145" t="str">
        <f t="shared" si="90"/>
        <v>3.2.3</v>
      </c>
      <c r="C552" s="2296" t="str">
        <f t="shared" si="90"/>
        <v>Refrigerants</v>
      </c>
      <c r="D552" s="2296"/>
      <c r="E552" s="2297"/>
      <c r="F552" s="2297"/>
      <c r="G552" s="2297"/>
      <c r="H552" s="2297"/>
      <c r="I552" s="3098" t="s">
        <v>1047</v>
      </c>
      <c r="J552" s="3100"/>
      <c r="K552" s="3098"/>
      <c r="L552" s="3098" t="str">
        <f>IF('LR2'!G296="","",'LR2'!G296)</f>
        <v/>
      </c>
      <c r="M552" s="3098"/>
      <c r="N552" s="3098"/>
      <c r="O552" s="3098" t="s">
        <v>3009</v>
      </c>
      <c r="P552" s="3098" t="str">
        <f>IF('LR2'!I296="","",'LR2'!I296)</f>
        <v/>
      </c>
      <c r="Q552" s="3126"/>
      <c r="R552" s="3087"/>
      <c r="S552" s="3087"/>
      <c r="T552" s="3087"/>
      <c r="U552" s="3080"/>
      <c r="W552" s="702"/>
      <c r="X552" s="702"/>
    </row>
    <row r="553" spans="1:24" s="1105" customFormat="1">
      <c r="A553" s="1989"/>
      <c r="B553" s="3149" t="str">
        <f t="shared" si="90"/>
        <v>LR3</v>
      </c>
      <c r="C553" s="3095" t="str">
        <f t="shared" si="90"/>
        <v>Off-site Environment</v>
      </c>
      <c r="D553" s="2296"/>
      <c r="E553" s="2297"/>
      <c r="F553" s="2297"/>
      <c r="G553" s="2297"/>
      <c r="H553" s="2297"/>
      <c r="I553" s="3087"/>
      <c r="J553" s="3087"/>
      <c r="K553" s="3087"/>
      <c r="L553" s="3087"/>
      <c r="M553" s="3087"/>
      <c r="N553" s="3087"/>
      <c r="O553" s="3087"/>
      <c r="P553" s="3087"/>
      <c r="Q553" s="3126"/>
      <c r="R553" s="3087"/>
      <c r="S553" s="3087"/>
      <c r="T553" s="3087"/>
      <c r="U553" s="3080"/>
      <c r="W553" s="702"/>
      <c r="X553" s="702"/>
    </row>
    <row r="554" spans="1:24" s="1105" customFormat="1" hidden="1">
      <c r="A554" s="1989"/>
      <c r="B554" s="3145">
        <f t="shared" si="90"/>
        <v>1</v>
      </c>
      <c r="C554" s="2296" t="str">
        <f t="shared" si="90"/>
        <v>Consideration of Global Warming</v>
      </c>
      <c r="D554" s="2296"/>
      <c r="E554" s="2297"/>
      <c r="F554" s="2297"/>
      <c r="G554" s="2297"/>
      <c r="H554" s="2297"/>
      <c r="I554" s="3087"/>
      <c r="J554" s="3087"/>
      <c r="K554" s="3087"/>
      <c r="L554" s="3087"/>
      <c r="M554" s="3087"/>
      <c r="N554" s="3087"/>
      <c r="O554" s="3087"/>
      <c r="P554" s="3087"/>
      <c r="Q554" s="3087"/>
      <c r="R554" s="3087"/>
      <c r="S554" s="3087"/>
      <c r="T554" s="3087"/>
      <c r="U554" s="3080"/>
      <c r="W554" s="702"/>
      <c r="X554" s="702"/>
    </row>
    <row r="555" spans="1:24" s="1105" customFormat="1" hidden="1">
      <c r="A555" s="1989"/>
      <c r="B555" s="3145">
        <f t="shared" si="90"/>
        <v>2</v>
      </c>
      <c r="C555" s="2296" t="str">
        <f t="shared" si="90"/>
        <v>Consideration of Local Environment</v>
      </c>
      <c r="D555" s="2296"/>
      <c r="E555" s="2297"/>
      <c r="F555" s="2297"/>
      <c r="G555" s="2297"/>
      <c r="H555" s="2297"/>
      <c r="I555" s="3087"/>
      <c r="J555" s="3087"/>
      <c r="K555" s="3087"/>
      <c r="L555" s="3087"/>
      <c r="M555" s="3087"/>
      <c r="N555" s="3087"/>
      <c r="O555" s="3087"/>
      <c r="P555" s="3087"/>
      <c r="Q555" s="3087"/>
      <c r="R555" s="3087"/>
      <c r="S555" s="3087"/>
      <c r="T555" s="3087"/>
      <c r="U555" s="3080"/>
      <c r="W555" s="702"/>
      <c r="X555" s="702"/>
    </row>
    <row r="556" spans="1:24" s="1105" customFormat="1" hidden="1">
      <c r="A556" s="1989"/>
      <c r="B556" s="3145" t="str">
        <f t="shared" si="90"/>
        <v>2.1</v>
      </c>
      <c r="C556" s="2296" t="str">
        <f t="shared" si="90"/>
        <v>Air Pollution</v>
      </c>
      <c r="D556" s="2296"/>
      <c r="E556" s="2297"/>
      <c r="F556" s="2297"/>
      <c r="G556" s="2297"/>
      <c r="H556" s="2297"/>
      <c r="I556" s="3087"/>
      <c r="J556" s="3087"/>
      <c r="K556" s="3087"/>
      <c r="L556" s="3087"/>
      <c r="M556" s="3087"/>
      <c r="N556" s="3087"/>
      <c r="O556" s="3087"/>
      <c r="P556" s="3087"/>
      <c r="Q556" s="3087"/>
      <c r="R556" s="3087"/>
      <c r="S556" s="3087"/>
      <c r="T556" s="3087"/>
      <c r="U556" s="3080"/>
      <c r="W556" s="702"/>
      <c r="X556" s="702"/>
    </row>
    <row r="557" spans="1:24" s="1105" customFormat="1" ht="22.9" customHeight="1">
      <c r="A557" s="1989"/>
      <c r="B557" s="3145" t="str">
        <f t="shared" si="90"/>
        <v>2.2</v>
      </c>
      <c r="C557" s="2296" t="str">
        <f t="shared" si="90"/>
        <v>Heat Island Effect</v>
      </c>
      <c r="D557" s="2296"/>
      <c r="E557" s="2297"/>
      <c r="F557" s="2297"/>
      <c r="G557" s="2297"/>
      <c r="H557" s="2297"/>
      <c r="I557" s="3915" t="str">
        <f>'LR3'!F48</f>
        <v>Exposed area ratio</v>
      </c>
      <c r="J557" s="3915"/>
      <c r="K557" s="3127" t="e">
        <f>'LR3'!H48</f>
        <v>#DIV/0!</v>
      </c>
      <c r="L557" s="3910" t="str">
        <f>'LR3'!F49</f>
        <v>Building spacing index Rw</v>
      </c>
      <c r="M557" s="3910"/>
      <c r="N557" s="3128">
        <f>'LR3'!H49</f>
        <v>0</v>
      </c>
      <c r="O557" s="3087"/>
      <c r="P557" s="3087"/>
      <c r="Q557" s="3087"/>
      <c r="R557" s="3087"/>
      <c r="S557" s="3087"/>
      <c r="T557" s="3087"/>
      <c r="U557" s="3080"/>
      <c r="W557" s="702"/>
      <c r="X557" s="702"/>
    </row>
    <row r="558" spans="1:24" s="1105" customFormat="1" hidden="1">
      <c r="B558" s="3145" t="str">
        <f t="shared" si="90"/>
        <v>2.3</v>
      </c>
      <c r="C558" s="2296" t="str">
        <f t="shared" si="90"/>
        <v>Load on Local Infrastructure</v>
      </c>
      <c r="D558" s="2296"/>
      <c r="E558" s="2297"/>
      <c r="F558" s="2297"/>
      <c r="G558" s="2297"/>
      <c r="H558" s="2297"/>
      <c r="I558" s="3087"/>
      <c r="J558" s="3087"/>
      <c r="K558" s="3087"/>
      <c r="L558" s="3087"/>
      <c r="M558" s="3087"/>
      <c r="N558" s="3087"/>
      <c r="O558" s="3087"/>
      <c r="P558" s="3087"/>
      <c r="Q558" s="3087"/>
      <c r="R558" s="3087"/>
      <c r="S558" s="3087"/>
      <c r="T558" s="3087"/>
      <c r="U558" s="3080"/>
      <c r="W558" s="702"/>
      <c r="X558" s="702"/>
    </row>
    <row r="559" spans="1:24" s="1105" customFormat="1" hidden="1">
      <c r="B559" s="3145" t="str">
        <f t="shared" si="90"/>
        <v>2.3.1</v>
      </c>
      <c r="C559" s="2296" t="str">
        <f t="shared" si="90"/>
        <v>Reduction of Rainwater Discharge Loads</v>
      </c>
      <c r="D559" s="2296"/>
      <c r="E559" s="2297"/>
      <c r="F559" s="2297"/>
      <c r="G559" s="2297"/>
      <c r="H559" s="2297"/>
      <c r="I559" s="3087"/>
      <c r="J559" s="3087"/>
      <c r="K559" s="3087"/>
      <c r="L559" s="3087"/>
      <c r="M559" s="3087"/>
      <c r="N559" s="3087"/>
      <c r="O559" s="3087"/>
      <c r="P559" s="3087"/>
      <c r="Q559" s="3087"/>
      <c r="R559" s="3087"/>
      <c r="S559" s="3087"/>
      <c r="T559" s="3087"/>
      <c r="U559" s="3080"/>
      <c r="W559" s="702"/>
      <c r="X559" s="702"/>
    </row>
    <row r="560" spans="1:24" s="1105" customFormat="1" hidden="1">
      <c r="B560" s="3145" t="str">
        <f t="shared" si="90"/>
        <v>2.3.2</v>
      </c>
      <c r="C560" s="2296" t="str">
        <f t="shared" si="90"/>
        <v>Sewage Load Suppression</v>
      </c>
      <c r="D560" s="2296"/>
      <c r="E560" s="2297"/>
      <c r="F560" s="2297"/>
      <c r="G560" s="2297"/>
      <c r="H560" s="2297"/>
      <c r="I560" s="3087"/>
      <c r="J560" s="3087"/>
      <c r="K560" s="3087"/>
      <c r="L560" s="3087"/>
      <c r="M560" s="3087"/>
      <c r="N560" s="3087"/>
      <c r="O560" s="3087"/>
      <c r="P560" s="3087"/>
      <c r="Q560" s="3087"/>
      <c r="R560" s="3087"/>
      <c r="S560" s="3087"/>
      <c r="T560" s="3087"/>
      <c r="U560" s="3080"/>
      <c r="W560" s="702"/>
      <c r="X560" s="702"/>
    </row>
    <row r="561" spans="2:24" s="1105" customFormat="1" hidden="1">
      <c r="B561" s="3145" t="str">
        <f t="shared" si="90"/>
        <v>2.3.3</v>
      </c>
      <c r="C561" s="2296" t="str">
        <f t="shared" si="90"/>
        <v>Traffic Load Control</v>
      </c>
      <c r="D561" s="2296"/>
      <c r="E561" s="2297"/>
      <c r="F561" s="2297"/>
      <c r="G561" s="2297"/>
      <c r="H561" s="2297"/>
      <c r="I561" s="3087"/>
      <c r="J561" s="3087"/>
      <c r="K561" s="3087"/>
      <c r="L561" s="3087"/>
      <c r="M561" s="3087"/>
      <c r="N561" s="3087"/>
      <c r="O561" s="3087"/>
      <c r="P561" s="3087"/>
      <c r="Q561" s="3087"/>
      <c r="R561" s="3087"/>
      <c r="S561" s="3087"/>
      <c r="T561" s="3087"/>
      <c r="U561" s="3080"/>
      <c r="W561" s="702"/>
      <c r="X561" s="702"/>
    </row>
    <row r="562" spans="2:24" s="1105" customFormat="1" hidden="1">
      <c r="B562" s="3145" t="str">
        <f t="shared" si="90"/>
        <v>2.3.4</v>
      </c>
      <c r="C562" s="2296" t="str">
        <f t="shared" si="90"/>
        <v>Reduction of Waste Treatment Loads</v>
      </c>
      <c r="D562" s="2296"/>
      <c r="E562" s="2297"/>
      <c r="F562" s="2297"/>
      <c r="G562" s="2297"/>
      <c r="H562" s="2297"/>
      <c r="I562" s="3087"/>
      <c r="J562" s="3087"/>
      <c r="K562" s="3087"/>
      <c r="L562" s="3087"/>
      <c r="M562" s="3087"/>
      <c r="N562" s="3087"/>
      <c r="O562" s="3087"/>
      <c r="P562" s="3087"/>
      <c r="Q562" s="3087"/>
      <c r="R562" s="3087"/>
      <c r="S562" s="3087"/>
      <c r="T562" s="3087"/>
      <c r="U562" s="3080"/>
      <c r="W562" s="702"/>
      <c r="X562" s="702"/>
    </row>
    <row r="563" spans="2:24" s="1105" customFormat="1" hidden="1">
      <c r="B563" s="3145">
        <f t="shared" si="90"/>
        <v>0</v>
      </c>
      <c r="C563" s="2296">
        <f t="shared" si="90"/>
        <v>0</v>
      </c>
      <c r="D563" s="2296"/>
      <c r="E563" s="2297"/>
      <c r="F563" s="2297"/>
      <c r="G563" s="2297"/>
      <c r="H563" s="2297"/>
      <c r="I563" s="3087"/>
      <c r="J563" s="3087"/>
      <c r="K563" s="3087"/>
      <c r="L563" s="3087"/>
      <c r="M563" s="3087"/>
      <c r="N563" s="3087"/>
      <c r="O563" s="3087"/>
      <c r="P563" s="3087"/>
      <c r="Q563" s="3087"/>
      <c r="R563" s="3087"/>
      <c r="S563" s="3087"/>
      <c r="T563" s="3087"/>
      <c r="U563" s="3080"/>
      <c r="W563" s="702"/>
      <c r="X563" s="702"/>
    </row>
    <row r="564" spans="2:24" s="1105" customFormat="1" hidden="1">
      <c r="B564" s="3145">
        <f t="shared" si="90"/>
        <v>3</v>
      </c>
      <c r="C564" s="2296" t="str">
        <f t="shared" si="90"/>
        <v>Consideration of Surrounding Environment</v>
      </c>
      <c r="D564" s="2296"/>
      <c r="E564" s="2297"/>
      <c r="F564" s="2297"/>
      <c r="G564" s="2297"/>
      <c r="H564" s="2297"/>
      <c r="I564" s="3087"/>
      <c r="J564" s="3087"/>
      <c r="K564" s="3087"/>
      <c r="L564" s="3087"/>
      <c r="M564" s="3087"/>
      <c r="N564" s="3087"/>
      <c r="O564" s="3087"/>
      <c r="P564" s="3087"/>
      <c r="Q564" s="3087"/>
      <c r="R564" s="3087"/>
      <c r="S564" s="3087"/>
      <c r="T564" s="3087"/>
      <c r="U564" s="3080"/>
      <c r="W564" s="702"/>
      <c r="X564" s="702"/>
    </row>
    <row r="565" spans="2:24" s="1105" customFormat="1" hidden="1">
      <c r="B565" s="3145" t="str">
        <f t="shared" si="90"/>
        <v>3.1</v>
      </c>
      <c r="C565" s="2296" t="str">
        <f t="shared" si="90"/>
        <v>Noise, Vibration &amp; Odor</v>
      </c>
      <c r="D565" s="2296"/>
      <c r="E565" s="2297"/>
      <c r="F565" s="2297"/>
      <c r="G565" s="2297"/>
      <c r="H565" s="2297"/>
      <c r="I565" s="3087"/>
      <c r="J565" s="3087"/>
      <c r="K565" s="3087"/>
      <c r="L565" s="3087"/>
      <c r="M565" s="3087"/>
      <c r="N565" s="3087"/>
      <c r="O565" s="3087"/>
      <c r="P565" s="3087"/>
      <c r="Q565" s="3087"/>
      <c r="R565" s="3087"/>
      <c r="S565" s="3087"/>
      <c r="T565" s="3087"/>
      <c r="U565" s="3080"/>
      <c r="W565" s="702"/>
      <c r="X565" s="702"/>
    </row>
    <row r="566" spans="2:24" s="1105" customFormat="1" hidden="1">
      <c r="B566" s="3145" t="str">
        <f t="shared" si="90"/>
        <v>3.1.1</v>
      </c>
      <c r="C566" s="2296" t="str">
        <f t="shared" si="90"/>
        <v>Noise</v>
      </c>
      <c r="D566" s="2296"/>
      <c r="E566" s="2297"/>
      <c r="F566" s="2297"/>
      <c r="G566" s="2297"/>
      <c r="H566" s="2297"/>
      <c r="I566" s="3087"/>
      <c r="J566" s="3087"/>
      <c r="K566" s="3087"/>
      <c r="L566" s="3087"/>
      <c r="M566" s="3087"/>
      <c r="N566" s="3087"/>
      <c r="O566" s="3087"/>
      <c r="P566" s="3087"/>
      <c r="Q566" s="3087"/>
      <c r="R566" s="3087"/>
      <c r="S566" s="3087"/>
      <c r="T566" s="3087"/>
      <c r="U566" s="3080"/>
      <c r="W566" s="702"/>
      <c r="X566" s="702"/>
    </row>
    <row r="567" spans="2:24" s="1105" customFormat="1" hidden="1">
      <c r="B567" s="3145" t="str">
        <f t="shared" ref="B567:C575" si="91">B379</f>
        <v>3.1.2</v>
      </c>
      <c r="C567" s="2296" t="str">
        <f t="shared" si="91"/>
        <v>Vibration</v>
      </c>
      <c r="D567" s="2296"/>
      <c r="E567" s="2297"/>
      <c r="F567" s="2297"/>
      <c r="G567" s="2297"/>
      <c r="H567" s="2297"/>
      <c r="I567" s="3087"/>
      <c r="J567" s="3087"/>
      <c r="K567" s="3087"/>
      <c r="L567" s="3087"/>
      <c r="M567" s="3087"/>
      <c r="N567" s="3087"/>
      <c r="O567" s="3087"/>
      <c r="P567" s="3087"/>
      <c r="Q567" s="3087"/>
      <c r="R567" s="3087"/>
      <c r="S567" s="3087"/>
      <c r="T567" s="3087"/>
      <c r="U567" s="3080"/>
      <c r="W567" s="702"/>
      <c r="X567" s="702"/>
    </row>
    <row r="568" spans="2:24" s="1105" customFormat="1" hidden="1">
      <c r="B568" s="3145" t="str">
        <f t="shared" si="91"/>
        <v>3.1.3</v>
      </c>
      <c r="C568" s="2296" t="str">
        <f t="shared" si="91"/>
        <v>Odor</v>
      </c>
      <c r="D568" s="2296"/>
      <c r="E568" s="2297"/>
      <c r="F568" s="2297"/>
      <c r="G568" s="2297"/>
      <c r="H568" s="2297"/>
      <c r="I568" s="3087"/>
      <c r="J568" s="3087"/>
      <c r="K568" s="3087"/>
      <c r="L568" s="3087"/>
      <c r="M568" s="3087"/>
      <c r="N568" s="3087"/>
      <c r="O568" s="3087"/>
      <c r="P568" s="3087"/>
      <c r="Q568" s="3087"/>
      <c r="R568" s="3087"/>
      <c r="S568" s="3087"/>
      <c r="T568" s="3087"/>
      <c r="U568" s="3080"/>
      <c r="W568" s="702"/>
      <c r="X568" s="702"/>
    </row>
    <row r="569" spans="2:24" s="1105" customFormat="1" hidden="1">
      <c r="B569" s="3145" t="str">
        <f t="shared" si="91"/>
        <v>3.2</v>
      </c>
      <c r="C569" s="2296" t="str">
        <f t="shared" si="91"/>
        <v>Wind/Sand Damage &amp; Sunlight Obstruction</v>
      </c>
      <c r="D569" s="2296"/>
      <c r="E569" s="2297"/>
      <c r="F569" s="2297"/>
      <c r="G569" s="2297"/>
      <c r="H569" s="2297"/>
      <c r="I569" s="3087"/>
      <c r="J569" s="3087"/>
      <c r="K569" s="3087"/>
      <c r="L569" s="3087"/>
      <c r="M569" s="3087"/>
      <c r="N569" s="3087"/>
      <c r="O569" s="3087"/>
      <c r="P569" s="3087"/>
      <c r="Q569" s="3087"/>
      <c r="R569" s="3087"/>
      <c r="S569" s="3087"/>
      <c r="T569" s="3087"/>
      <c r="U569" s="3080"/>
      <c r="W569" s="702"/>
      <c r="X569" s="702"/>
    </row>
    <row r="570" spans="2:24" s="1105" customFormat="1" hidden="1">
      <c r="B570" s="3145" t="str">
        <f t="shared" si="91"/>
        <v>3.2.1</v>
      </c>
      <c r="C570" s="2296" t="str">
        <f t="shared" si="91"/>
        <v>Restriction of Wind Damage</v>
      </c>
      <c r="D570" s="2296"/>
      <c r="E570" s="2297"/>
      <c r="F570" s="2297"/>
      <c r="G570" s="2297"/>
      <c r="H570" s="2297"/>
      <c r="I570" s="3087"/>
      <c r="J570" s="3087"/>
      <c r="K570" s="3087"/>
      <c r="L570" s="3087"/>
      <c r="M570" s="3087"/>
      <c r="N570" s="3087"/>
      <c r="O570" s="3087"/>
      <c r="P570" s="3087"/>
      <c r="Q570" s="3087"/>
      <c r="R570" s="3087"/>
      <c r="S570" s="3087"/>
      <c r="T570" s="3087"/>
      <c r="U570" s="3080"/>
      <c r="W570" s="702"/>
      <c r="X570" s="702"/>
    </row>
    <row r="571" spans="2:24" s="1105" customFormat="1" hidden="1">
      <c r="B571" s="3145" t="str">
        <f t="shared" si="91"/>
        <v>3.2.2</v>
      </c>
      <c r="C571" s="2296" t="str">
        <f t="shared" si="91"/>
        <v>Control of Sand and Dust</v>
      </c>
      <c r="D571" s="2296"/>
      <c r="E571" s="2297"/>
      <c r="F571" s="2297"/>
      <c r="G571" s="2297"/>
      <c r="H571" s="2297"/>
      <c r="I571" s="3087"/>
      <c r="J571" s="3087"/>
      <c r="K571" s="3087"/>
      <c r="L571" s="3087"/>
      <c r="M571" s="3087"/>
      <c r="N571" s="3087"/>
      <c r="O571" s="3087"/>
      <c r="P571" s="3087"/>
      <c r="Q571" s="3087"/>
      <c r="R571" s="3087"/>
      <c r="S571" s="3087"/>
      <c r="T571" s="3087"/>
      <c r="U571" s="3080"/>
      <c r="W571" s="702"/>
      <c r="X571" s="702"/>
    </row>
    <row r="572" spans="2:24" s="1105" customFormat="1" hidden="1">
      <c r="B572" s="3145" t="str">
        <f t="shared" si="91"/>
        <v>3.2.3</v>
      </c>
      <c r="C572" s="2296" t="str">
        <f t="shared" si="91"/>
        <v>Restriction of Sunlight Obstruction</v>
      </c>
      <c r="D572" s="2296"/>
      <c r="E572" s="2297"/>
      <c r="F572" s="2297"/>
      <c r="G572" s="2297"/>
      <c r="H572" s="2297"/>
      <c r="I572" s="3087"/>
      <c r="J572" s="3087"/>
      <c r="K572" s="3087"/>
      <c r="L572" s="3087"/>
      <c r="M572" s="3087"/>
      <c r="N572" s="3087"/>
      <c r="O572" s="3087"/>
      <c r="P572" s="3087"/>
      <c r="Q572" s="3087"/>
      <c r="R572" s="3087"/>
      <c r="S572" s="3087"/>
      <c r="T572" s="3087"/>
      <c r="U572" s="3080"/>
      <c r="W572" s="702"/>
      <c r="X572" s="702"/>
    </row>
    <row r="573" spans="2:24" s="1105" customFormat="1" hidden="1">
      <c r="B573" s="3145" t="str">
        <f t="shared" si="91"/>
        <v>3.3</v>
      </c>
      <c r="C573" s="2296" t="str">
        <f t="shared" si="91"/>
        <v>Light Pollution</v>
      </c>
      <c r="D573" s="2296"/>
      <c r="E573" s="2297"/>
      <c r="F573" s="2297"/>
      <c r="G573" s="2297"/>
      <c r="H573" s="2297"/>
      <c r="I573" s="3087"/>
      <c r="J573" s="3087"/>
      <c r="K573" s="3087"/>
      <c r="L573" s="3087"/>
      <c r="M573" s="3087"/>
      <c r="N573" s="3087"/>
      <c r="O573" s="3087"/>
      <c r="P573" s="3087"/>
      <c r="Q573" s="3087"/>
      <c r="R573" s="3087"/>
      <c r="S573" s="3087"/>
      <c r="T573" s="3087"/>
      <c r="U573" s="3080"/>
      <c r="W573" s="702"/>
      <c r="X573" s="702"/>
    </row>
    <row r="574" spans="2:24" s="1105" customFormat="1" hidden="1">
      <c r="B574" s="3145" t="str">
        <f t="shared" si="91"/>
        <v>3.3.1</v>
      </c>
      <c r="C574" s="2296" t="str">
        <f t="shared" si="91"/>
        <v>Outdoor Illumination and Light that Spills from Interiors</v>
      </c>
      <c r="D574" s="2296"/>
      <c r="E574" s="2297"/>
      <c r="F574" s="2297"/>
      <c r="G574" s="2297"/>
      <c r="H574" s="2297"/>
      <c r="I574" s="3087"/>
      <c r="J574" s="3087"/>
      <c r="K574" s="3087"/>
      <c r="L574" s="3087"/>
      <c r="M574" s="3087"/>
      <c r="N574" s="3087"/>
      <c r="O574" s="3087"/>
      <c r="P574" s="3087"/>
      <c r="Q574" s="3087"/>
      <c r="R574" s="3087"/>
      <c r="S574" s="3087"/>
      <c r="T574" s="3087"/>
      <c r="U574" s="3080"/>
      <c r="W574" s="702"/>
      <c r="X574" s="702"/>
    </row>
    <row r="575" spans="2:24" s="1105" customFormat="1" hidden="1">
      <c r="B575" s="3145" t="str">
        <f t="shared" si="91"/>
        <v>3.3.2</v>
      </c>
      <c r="C575" s="2296" t="str">
        <f t="shared" si="91"/>
        <v>Measures for Reflected Solar Glare from Building Walls</v>
      </c>
      <c r="D575" s="2296"/>
      <c r="E575" s="2297"/>
      <c r="F575" s="2297"/>
      <c r="G575" s="2297"/>
      <c r="H575" s="2297"/>
      <c r="I575" s="3087"/>
      <c r="J575" s="3087"/>
      <c r="K575" s="3087"/>
      <c r="L575" s="3087"/>
      <c r="M575" s="3087"/>
      <c r="N575" s="3087"/>
      <c r="O575" s="3087"/>
      <c r="P575" s="3087"/>
      <c r="Q575" s="3087"/>
      <c r="R575" s="3087"/>
      <c r="S575" s="3087"/>
      <c r="T575" s="3087"/>
      <c r="U575" s="3080"/>
      <c r="W575" s="702"/>
      <c r="X575" s="702"/>
    </row>
    <row r="576" spans="2:24" s="1105" customFormat="1" ht="21.6" customHeight="1">
      <c r="B576" s="3145"/>
      <c r="C576" s="2296"/>
      <c r="D576" s="2296"/>
      <c r="E576" s="2297"/>
      <c r="F576" s="2297"/>
      <c r="G576" s="2297"/>
      <c r="H576" s="2297"/>
      <c r="I576" s="3915" t="str">
        <f>'LR3'!F51</f>
        <v xml:space="preserve">  appropriate ground surface</v>
      </c>
      <c r="J576" s="3915"/>
      <c r="K576" s="3098"/>
      <c r="L576" s="3129">
        <f>'LR3'!H51</f>
        <v>0</v>
      </c>
      <c r="M576" s="3098"/>
      <c r="N576" s="3915" t="str">
        <f>'LR3'!F52</f>
        <v xml:space="preserve">  appropriate roof top surface</v>
      </c>
      <c r="O576" s="3915"/>
      <c r="P576" s="3129" t="e">
        <f>'LR3'!H52</f>
        <v>#DIV/0!</v>
      </c>
      <c r="Q576" s="3910" t="str">
        <f>'LR3'!F53</f>
        <v xml:space="preserve">  appropriate exterior wall surface</v>
      </c>
      <c r="R576" s="3910"/>
      <c r="S576" s="3129" t="e">
        <f>'LR3'!H53</f>
        <v>#DIV/0!</v>
      </c>
      <c r="T576" s="3087"/>
      <c r="U576" s="3080"/>
      <c r="W576" s="702"/>
      <c r="X576" s="702"/>
    </row>
    <row r="577" spans="2:24" s="1105" customFormat="1" ht="30" customHeight="1">
      <c r="B577" s="3145"/>
      <c r="C577" s="2296"/>
      <c r="D577" s="2296"/>
      <c r="E577" s="2297"/>
      <c r="F577" s="2297"/>
      <c r="G577" s="2297"/>
      <c r="H577" s="2297"/>
      <c r="I577" s="3916" t="str">
        <f>'LR3'!I48</f>
        <v>Exposed area Sb</v>
      </c>
      <c r="J577" s="3916"/>
      <c r="K577" s="3131">
        <f>'LR3'!J48</f>
        <v>0</v>
      </c>
      <c r="L577" s="3119"/>
      <c r="M577" s="3916" t="str">
        <f>'LR3'!K48</f>
        <v>Ws: Maximum width of the site perpendicular to the prevailing wind direction</v>
      </c>
      <c r="N577" s="3916"/>
      <c r="O577" s="3916"/>
      <c r="P577" s="3119">
        <f>'LR3'!M48</f>
        <v>0</v>
      </c>
      <c r="Q577" s="3119" t="s">
        <v>1067</v>
      </c>
      <c r="R577" s="3102" t="str">
        <f>'LR3'!N48</f>
        <v>Hb: Standard height</v>
      </c>
      <c r="S577" s="3119">
        <f>'LR3'!O48</f>
        <v>0</v>
      </c>
      <c r="T577" s="3098" t="s">
        <v>1069</v>
      </c>
      <c r="U577" s="3080"/>
      <c r="W577" s="702"/>
      <c r="X577" s="702"/>
    </row>
    <row r="578" spans="2:24" s="1105" customFormat="1" ht="39.6" customHeight="1">
      <c r="B578" s="3145"/>
      <c r="C578" s="2296"/>
      <c r="D578" s="2296"/>
      <c r="E578" s="2297"/>
      <c r="F578" s="2297"/>
      <c r="G578" s="2297"/>
      <c r="H578" s="2297"/>
      <c r="I578" s="3130" t="str">
        <f>'LR3'!J54</f>
        <v>green area</v>
      </c>
      <c r="J578" s="3132">
        <f>'LR3'!J58</f>
        <v>0</v>
      </c>
      <c r="K578" s="3120" t="str">
        <f>'LR3'!K54</f>
        <v>water surface</v>
      </c>
      <c r="L578" s="3132">
        <f>'LR3'!K58</f>
        <v>0</v>
      </c>
      <c r="M578" s="3912" t="str">
        <f>'LR3'!L54</f>
        <v>evaporative material covered area</v>
      </c>
      <c r="N578" s="3912"/>
      <c r="O578" s="3133">
        <f>'LR3'!L58</f>
        <v>0</v>
      </c>
      <c r="P578" s="3153" t="str">
        <f>'LR3'!N54</f>
        <v>high solar reflectance material covered area</v>
      </c>
      <c r="Q578" s="3133">
        <f>'LR3'!N58</f>
        <v>0</v>
      </c>
      <c r="R578" s="3912" t="str">
        <f>'LR3'!O54</f>
        <v>retroreflective material covered area</v>
      </c>
      <c r="S578" s="3912"/>
      <c r="T578" s="3133">
        <f>'LR3'!O58</f>
        <v>0</v>
      </c>
      <c r="U578" s="3080"/>
      <c r="W578" s="702"/>
      <c r="X578" s="702"/>
    </row>
    <row r="579" spans="2:24" s="1105" customFormat="1" ht="5.25" customHeight="1" thickBot="1">
      <c r="B579" s="3088"/>
      <c r="C579" s="3089"/>
      <c r="D579" s="3089"/>
      <c r="E579" s="3134"/>
      <c r="F579" s="3134"/>
      <c r="G579" s="3134"/>
      <c r="H579" s="3134"/>
      <c r="I579" s="3134"/>
      <c r="J579" s="3134"/>
      <c r="K579" s="3134"/>
      <c r="L579" s="3134"/>
      <c r="M579" s="3134"/>
      <c r="N579" s="3134"/>
      <c r="O579" s="3134"/>
      <c r="P579" s="3134"/>
      <c r="Q579" s="3134"/>
      <c r="R579" s="3134"/>
      <c r="S579" s="3134"/>
      <c r="T579" s="3134"/>
      <c r="U579" s="3135"/>
      <c r="W579" s="702"/>
      <c r="X579" s="702"/>
    </row>
    <row r="580" spans="2:24" s="1105" customFormat="1">
      <c r="B580" s="2687"/>
      <c r="W580" s="702"/>
      <c r="X580" s="702"/>
    </row>
    <row r="581" spans="2:24"/>
  </sheetData>
  <sheetProtection algorithmName="SHA-512" hashValue="3s+927nhqUZxgqKMCZRKdNNxnW2+6MshvvbAt7vDitKT6GK0rA+uBz/mZVlHxuObHkqrEWR1mVyhHgU2M4JnUQ==" saltValue="bDpBVWwziFVziRsnwpRz5Q==" spinCount="100000" sheet="1" formatRows="0"/>
  <mergeCells count="183">
    <mergeCell ref="R512:T512"/>
    <mergeCell ref="P512:Q512"/>
    <mergeCell ref="M578:N578"/>
    <mergeCell ref="R578:S578"/>
    <mergeCell ref="I536:J536"/>
    <mergeCell ref="P536:R536"/>
    <mergeCell ref="I537:J537"/>
    <mergeCell ref="L557:M557"/>
    <mergeCell ref="I557:J557"/>
    <mergeCell ref="Q576:R576"/>
    <mergeCell ref="N576:O576"/>
    <mergeCell ref="I576:J576"/>
    <mergeCell ref="I577:J577"/>
    <mergeCell ref="M577:O577"/>
    <mergeCell ref="K500:M500"/>
    <mergeCell ref="O500:P500"/>
    <mergeCell ref="L504:N504"/>
    <mergeCell ref="R505:S505"/>
    <mergeCell ref="R506:S506"/>
    <mergeCell ref="R511:T511"/>
    <mergeCell ref="L405:N405"/>
    <mergeCell ref="I405:J405"/>
    <mergeCell ref="J407:K407"/>
    <mergeCell ref="M407:N407"/>
    <mergeCell ref="I437:K437"/>
    <mergeCell ref="I37:P37"/>
    <mergeCell ref="I27:P27"/>
    <mergeCell ref="I28:P28"/>
    <mergeCell ref="I29:P29"/>
    <mergeCell ref="I30:P30"/>
    <mergeCell ref="I61:P61"/>
    <mergeCell ref="I47:P47"/>
    <mergeCell ref="I38:P38"/>
    <mergeCell ref="I39:P39"/>
    <mergeCell ref="I41:P41"/>
    <mergeCell ref="I42:P42"/>
    <mergeCell ref="I45:P45"/>
    <mergeCell ref="I46:P46"/>
    <mergeCell ref="I60:P60"/>
    <mergeCell ref="I44:P44"/>
    <mergeCell ref="I43:P43"/>
    <mergeCell ref="I55:P55"/>
    <mergeCell ref="I56:P56"/>
    <mergeCell ref="I57:P57"/>
    <mergeCell ref="I58:P58"/>
    <mergeCell ref="E5:H5"/>
    <mergeCell ref="W5:X6"/>
    <mergeCell ref="I12:P12"/>
    <mergeCell ref="I13:P13"/>
    <mergeCell ref="I15:P15"/>
    <mergeCell ref="I16:P16"/>
    <mergeCell ref="I31:P31"/>
    <mergeCell ref="I33:P33"/>
    <mergeCell ref="I34:P34"/>
    <mergeCell ref="I23:P23"/>
    <mergeCell ref="I24:P24"/>
    <mergeCell ref="I25:P25"/>
    <mergeCell ref="I26:P26"/>
    <mergeCell ref="I17:P17"/>
    <mergeCell ref="I18:P18"/>
    <mergeCell ref="I19:P19"/>
    <mergeCell ref="I22:P22"/>
    <mergeCell ref="I11:P11"/>
    <mergeCell ref="Q6:R6"/>
    <mergeCell ref="S6:T6"/>
    <mergeCell ref="I6:P7"/>
    <mergeCell ref="E17:H17"/>
    <mergeCell ref="E18:H18"/>
    <mergeCell ref="I84:P84"/>
    <mergeCell ref="I85:P85"/>
    <mergeCell ref="I50:P50"/>
    <mergeCell ref="I51:P51"/>
    <mergeCell ref="I52:P52"/>
    <mergeCell ref="I53:P53"/>
    <mergeCell ref="I67:P67"/>
    <mergeCell ref="I69:P69"/>
    <mergeCell ref="I71:P71"/>
    <mergeCell ref="I72:P72"/>
    <mergeCell ref="I65:P65"/>
    <mergeCell ref="I66:P66"/>
    <mergeCell ref="I75:P75"/>
    <mergeCell ref="I76:P76"/>
    <mergeCell ref="I77:P77"/>
    <mergeCell ref="I80:P80"/>
    <mergeCell ref="I81:P81"/>
    <mergeCell ref="I83:P83"/>
    <mergeCell ref="I106:P106"/>
    <mergeCell ref="I95:P95"/>
    <mergeCell ref="I96:P96"/>
    <mergeCell ref="I97:P97"/>
    <mergeCell ref="I98:P98"/>
    <mergeCell ref="I94:P94"/>
    <mergeCell ref="I87:P87"/>
    <mergeCell ref="I88:P88"/>
    <mergeCell ref="I188:P188"/>
    <mergeCell ref="I172:P172"/>
    <mergeCell ref="I173:P173"/>
    <mergeCell ref="I156:P156"/>
    <mergeCell ref="I157:P157"/>
    <mergeCell ref="I175:P175"/>
    <mergeCell ref="I177:P177"/>
    <mergeCell ref="I158:P158"/>
    <mergeCell ref="I159:P159"/>
    <mergeCell ref="I169:P169"/>
    <mergeCell ref="I171:P171"/>
    <mergeCell ref="I152:P152"/>
    <mergeCell ref="I154:P154"/>
    <mergeCell ref="I155:P155"/>
    <mergeCell ref="I161:P161"/>
    <mergeCell ref="I162:P162"/>
    <mergeCell ref="I134:P134"/>
    <mergeCell ref="I196:P196"/>
    <mergeCell ref="I189:P189"/>
    <mergeCell ref="I191:P191"/>
    <mergeCell ref="I193:P193"/>
    <mergeCell ref="I195:P195"/>
    <mergeCell ref="I192:P192"/>
    <mergeCell ref="I187:P187"/>
    <mergeCell ref="I178:P178"/>
    <mergeCell ref="I180:P180"/>
    <mergeCell ref="I181:P181"/>
    <mergeCell ref="I182:P182"/>
    <mergeCell ref="I183:P183"/>
    <mergeCell ref="I142:P142"/>
    <mergeCell ref="I143:P143"/>
    <mergeCell ref="I103:P103"/>
    <mergeCell ref="I163:P163"/>
    <mergeCell ref="B3:H3"/>
    <mergeCell ref="I135:P135"/>
    <mergeCell ref="I136:P136"/>
    <mergeCell ref="I137:P137"/>
    <mergeCell ref="I146:P146"/>
    <mergeCell ref="I111:P111"/>
    <mergeCell ref="I113:P113"/>
    <mergeCell ref="I116:P116"/>
    <mergeCell ref="I118:P118"/>
    <mergeCell ref="I119:P119"/>
    <mergeCell ref="I123:P123"/>
    <mergeCell ref="I127:P127"/>
    <mergeCell ref="I128:P128"/>
    <mergeCell ref="I125:P125"/>
    <mergeCell ref="I126:P126"/>
    <mergeCell ref="I130:P130"/>
    <mergeCell ref="I131:P131"/>
    <mergeCell ref="I140:P140"/>
    <mergeCell ref="I141:P141"/>
    <mergeCell ref="I145:P145"/>
    <mergeCell ref="I132:P132"/>
    <mergeCell ref="I133:P133"/>
    <mergeCell ref="I104:P104"/>
    <mergeCell ref="I124:P124"/>
    <mergeCell ref="I129:P129"/>
    <mergeCell ref="I184:P184"/>
    <mergeCell ref="I70:P70"/>
    <mergeCell ref="I73:P73"/>
    <mergeCell ref="I99:P99"/>
    <mergeCell ref="I115:P115"/>
    <mergeCell ref="I164:P164"/>
    <mergeCell ref="I165:P165"/>
    <mergeCell ref="I166:P166"/>
    <mergeCell ref="I167:P167"/>
    <mergeCell ref="I149:P149"/>
    <mergeCell ref="I151:P151"/>
    <mergeCell ref="I107:P107"/>
    <mergeCell ref="I108:P108"/>
    <mergeCell ref="I109:P109"/>
    <mergeCell ref="I110:P110"/>
    <mergeCell ref="I120:P120"/>
    <mergeCell ref="I90:P90"/>
    <mergeCell ref="I91:P91"/>
    <mergeCell ref="I92:P92"/>
    <mergeCell ref="I86:P86"/>
    <mergeCell ref="I102:P102"/>
    <mergeCell ref="E196:H196"/>
    <mergeCell ref="E75:H75"/>
    <mergeCell ref="E84:H84"/>
    <mergeCell ref="E85:H85"/>
    <mergeCell ref="E86:H86"/>
    <mergeCell ref="E87:H87"/>
    <mergeCell ref="E88:H88"/>
    <mergeCell ref="D118:H118"/>
    <mergeCell ref="D119:H119"/>
    <mergeCell ref="E195:H195"/>
  </mergeCells>
  <phoneticPr fontId="35" type="noConversion"/>
  <conditionalFormatting sqref="I11:P13 I140:P143">
    <cfRule type="expression" dxfId="109" priority="5">
      <formula>OR($Z11&gt;3,$AB11&gt;3)</formula>
    </cfRule>
  </conditionalFormatting>
  <conditionalFormatting sqref="I15:P19 I22:P31 I33:P34 I37:P39 I41:P47 I50:P53 I55:P58 I60:P62 I65:P67 I69:P73 I75:P77 I80:P81 I83:P88 I90:P92 I94:P99 I102:P104 I106:P113 I115:P137 I145:P147 I149:P149 I151:P152 I154:P159 I161:P167 I169:P169 I171:P175 I177:P178 I180:P184 I187:P189 I191:P193 I195:P196">
    <cfRule type="expression" dxfId="108" priority="30">
      <formula>OR($Z15&gt;3,$AB15&gt;3)</formula>
    </cfRule>
  </conditionalFormatting>
  <conditionalFormatting sqref="Q10">
    <cfRule type="expression" dxfId="107" priority="311" stopIfTrue="1">
      <formula>AND(AF10=0)</formula>
    </cfRule>
  </conditionalFormatting>
  <conditionalFormatting sqref="Q10:Q61 Q123:Q146 S123:S146">
    <cfRule type="expression" dxfId="106" priority="35" stopIfTrue="1">
      <formula>AND(AF10&gt;0,Q10="")</formula>
    </cfRule>
  </conditionalFormatting>
  <conditionalFormatting sqref="Q11:Q61 Q123:Q146 S123:S146">
    <cfRule type="expression" dxfId="105" priority="36" stopIfTrue="1">
      <formula>(AF11=0)</formula>
    </cfRule>
  </conditionalFormatting>
  <conditionalFormatting sqref="Q63:Q111">
    <cfRule type="expression" dxfId="104" priority="27" stopIfTrue="1">
      <formula>AND(AF63&gt;0,Q63="")</formula>
    </cfRule>
    <cfRule type="expression" dxfId="103" priority="28" stopIfTrue="1">
      <formula>(AF63=0)</formula>
    </cfRule>
  </conditionalFormatting>
  <conditionalFormatting sqref="Q113:Q120">
    <cfRule type="expression" dxfId="102" priority="50" stopIfTrue="1">
      <formula>AND(AF113&gt;0,Q113="")</formula>
    </cfRule>
    <cfRule type="expression" dxfId="101" priority="51" stopIfTrue="1">
      <formula>(AF113=0)</formula>
    </cfRule>
  </conditionalFormatting>
  <conditionalFormatting sqref="Q175:Q196">
    <cfRule type="expression" dxfId="100" priority="1" stopIfTrue="1">
      <formula>AND(AF175&gt;0,Q175="")</formula>
    </cfRule>
    <cfRule type="expression" dxfId="99" priority="2" stopIfTrue="1">
      <formula>(AF175=0)</formula>
    </cfRule>
  </conditionalFormatting>
  <conditionalFormatting sqref="S10:S61">
    <cfRule type="expression" dxfId="98" priority="33" stopIfTrue="1">
      <formula>AND(AH10&gt;0,S10="")</formula>
    </cfRule>
  </conditionalFormatting>
  <conditionalFormatting sqref="S21:S34">
    <cfRule type="expression" dxfId="97" priority="34" stopIfTrue="1">
      <formula>(AH21=0)</formula>
    </cfRule>
  </conditionalFormatting>
  <conditionalFormatting sqref="S63 S78 S100 S10 S20 S35 S48">
    <cfRule type="expression" dxfId="96" priority="97" stopIfTrue="1">
      <formula>AND(AH10=0)</formula>
    </cfRule>
  </conditionalFormatting>
  <conditionalFormatting sqref="S63:S111 Q148:Q173">
    <cfRule type="expression" dxfId="95" priority="94" stopIfTrue="1">
      <formula>AND(AF63&gt;0,Q63="")</formula>
    </cfRule>
  </conditionalFormatting>
  <conditionalFormatting sqref="S64:S77 S79:S99 S101:S111 Q148:Q173 S11:S19 S36:S47 S49:S61">
    <cfRule type="expression" dxfId="94" priority="95" stopIfTrue="1">
      <formula>(AF11=0)</formula>
    </cfRule>
  </conditionalFormatting>
  <conditionalFormatting sqref="S113:S120">
    <cfRule type="expression" dxfId="93" priority="48" stopIfTrue="1">
      <formula>AND(AH113&gt;0,S113="")</formula>
    </cfRule>
    <cfRule type="expression" dxfId="92" priority="49" stopIfTrue="1">
      <formula>(AH113=0)</formula>
    </cfRule>
  </conditionalFormatting>
  <conditionalFormatting sqref="S148:S173">
    <cfRule type="expression" dxfId="91" priority="77" stopIfTrue="1">
      <formula>AND(AH148&gt;0,S148="")</formula>
    </cfRule>
    <cfRule type="expression" dxfId="90" priority="78" stopIfTrue="1">
      <formula>(AH148=0)</formula>
    </cfRule>
  </conditionalFormatting>
  <conditionalFormatting sqref="S175:S196">
    <cfRule type="expression" dxfId="89" priority="41" stopIfTrue="1">
      <formula>AND(AH175&gt;0,S175="")</formula>
    </cfRule>
    <cfRule type="expression" dxfId="88" priority="42" stopIfTrue="1">
      <formula>(AH175=0)</formula>
    </cfRule>
  </conditionalFormatting>
  <dataValidations xWindow="895" yWindow="482" count="1">
    <dataValidation allowBlank="1" showErrorMessage="1" sqref="Z194 AB194 Z168 AB168 Z150 Z185:Z186 Z170 AB170 Z190 AB190 AB32 Z176 AB185:AB186 Z179 AB100:AB101 Z10:AB10 AB93 AB78:AB79 AB105 AA118:AA196 AB148 AB150 Z93 Z100:Z101 Z105 Z117:AB117 AB179 Z138:Z139 Z148 AB14 AB74 Z74 Z144 Z82 Z78:Z79 Z68 Z63:Z64 Z59 Z54 Z48:Z49 Z40 Z35:Z36 Z20:Z21 Z14 Z160 AB82 AB63:AB64 AB59 AB54 AB48:AB49 AB20:AB21 AB40 AB35:AB36 Z89 AB89 AB144 AB68 Z153 AB160 Z114:AB114 AB176 Z32 AA115:AA116 Q10:S196 AB153 AB138:AB139 AA11:AA113" xr:uid="{00000000-0002-0000-0800-000000000000}"/>
  </dataValidations>
  <printOptions horizontalCentered="1"/>
  <pageMargins left="0.59055118110236227" right="0.59055118110236227" top="0.78740157480314965" bottom="0.59055118110236227" header="0.51181102362204722" footer="0.51181102362204722"/>
  <pageSetup paperSize="9" scale="72" fitToHeight="0" orientation="portrait" verticalDpi="4294967293" r:id="rId1"/>
  <headerFooter alignWithMargins="0">
    <oddHeader>&amp;L&amp;F&amp;R&amp;A</oddHeader>
    <oddFooter>&amp;C&amp;P/&amp;N</oddFooter>
  </headerFooter>
  <rowBreaks count="2" manualBreakCount="2">
    <brk id="99" max="20" man="1"/>
    <brk id="197" max="16383" man="1"/>
  </rowBreak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pageSetUpPr fitToPage="1"/>
  </sheetPr>
  <dimension ref="A1:AE107"/>
  <sheetViews>
    <sheetView showGridLines="0" workbookViewId="0">
      <selection activeCell="B5" sqref="B5"/>
    </sheetView>
  </sheetViews>
  <sheetFormatPr defaultColWidth="0" defaultRowHeight="14.25"/>
  <cols>
    <col min="1" max="1" width="1.25" style="1105" customWidth="1"/>
    <col min="2" max="2" width="5.875" style="1105" customWidth="1"/>
    <col min="3" max="3" width="30.375" style="1105" customWidth="1"/>
    <col min="4" max="4" width="15" style="1105" customWidth="1"/>
    <col min="5" max="6" width="13.125" style="1105" customWidth="1"/>
    <col min="7" max="7" width="3" style="1105" customWidth="1"/>
    <col min="8" max="8" width="4.125" style="1105" customWidth="1"/>
    <col min="9" max="9" width="29.375" style="1105" bestFit="1" customWidth="1"/>
    <col min="10" max="10" width="10.625" style="1105" customWidth="1"/>
    <col min="11" max="11" width="8.375" style="1105" customWidth="1"/>
    <col min="12" max="12" width="10.625" style="1105" customWidth="1"/>
    <col min="13" max="13" width="3.5" style="1105" customWidth="1"/>
    <col min="14" max="14" width="12.5" style="1105" customWidth="1"/>
    <col min="15" max="15" width="2.875" style="1105" customWidth="1"/>
    <col min="16" max="16" width="5.625" style="1105" hidden="1" customWidth="1"/>
    <col min="17" max="18" width="14.125" style="1105" hidden="1" customWidth="1"/>
    <col min="19" max="19" width="2.125" style="1105" hidden="1" customWidth="1"/>
    <col min="20" max="21" width="14.125" style="1105" hidden="1" customWidth="1"/>
    <col min="22" max="31" width="0" style="1105" hidden="1" customWidth="1"/>
    <col min="32" max="16384" width="8.875" style="1105" hidden="1"/>
  </cols>
  <sheetData>
    <row r="1" spans="2:31" ht="9.75" customHeight="1" thickBot="1"/>
    <row r="2" spans="2:31" s="1515" customFormat="1" ht="26.45" customHeight="1">
      <c r="B2" s="1873" t="s">
        <v>3441</v>
      </c>
      <c r="C2" s="1874"/>
      <c r="D2" s="1875"/>
      <c r="E2" s="1874"/>
      <c r="F2" s="1876"/>
      <c r="G2" s="1105"/>
      <c r="H2" s="3918" t="str">
        <f>'GHG data'!C104</f>
        <v>Examples of published emission factors by electricity supplier (for calculating greenhouse gas emissions by specified emitters) - FY2022 results - (August 29, 2024)</v>
      </c>
      <c r="I2" s="3919"/>
      <c r="J2" s="3919"/>
      <c r="K2" s="3919"/>
      <c r="L2" s="3919"/>
      <c r="M2" s="3919"/>
      <c r="N2" s="3920"/>
      <c r="O2" s="1105"/>
      <c r="P2" s="1105"/>
      <c r="Q2" s="1105"/>
      <c r="R2" s="1105"/>
      <c r="S2" s="1105"/>
      <c r="T2" s="1105"/>
      <c r="U2" s="1105"/>
      <c r="V2" s="1105"/>
      <c r="W2" s="1105"/>
      <c r="X2" s="1105"/>
      <c r="Y2" s="1105"/>
      <c r="Z2" s="1105"/>
      <c r="AA2" s="1105"/>
      <c r="AB2" s="1105"/>
      <c r="AC2" s="1105"/>
      <c r="AD2" s="1105"/>
      <c r="AE2" s="1105"/>
    </row>
    <row r="3" spans="2:31" s="1515" customFormat="1" ht="34.9" customHeight="1">
      <c r="B3" s="1877" t="s">
        <v>3442</v>
      </c>
      <c r="C3" s="1878"/>
      <c r="D3" s="1879"/>
      <c r="E3" s="1878"/>
      <c r="F3" s="1880" t="s">
        <v>2065</v>
      </c>
      <c r="G3" s="1105"/>
      <c r="H3" s="3924" t="s">
        <v>2074</v>
      </c>
      <c r="I3" s="3925"/>
      <c r="J3" s="3925"/>
      <c r="K3" s="3925"/>
      <c r="L3" s="3925"/>
      <c r="M3" s="3925"/>
      <c r="N3" s="3926"/>
      <c r="O3" s="1105"/>
      <c r="Q3" s="1883">
        <v>0</v>
      </c>
      <c r="R3" s="1105" t="s">
        <v>2066</v>
      </c>
      <c r="S3" s="1105"/>
      <c r="T3" s="1105"/>
      <c r="U3" s="1105"/>
      <c r="V3" s="1105"/>
      <c r="W3" s="1105"/>
      <c r="X3" s="1105"/>
      <c r="Y3" s="1105"/>
      <c r="Z3" s="1105"/>
      <c r="AA3" s="1105"/>
      <c r="AB3" s="1105"/>
      <c r="AC3" s="1105"/>
      <c r="AD3" s="1105"/>
      <c r="AE3" s="1105"/>
    </row>
    <row r="4" spans="2:31">
      <c r="B4" s="1884"/>
      <c r="C4" s="1821" t="s">
        <v>1939</v>
      </c>
      <c r="D4" s="1822" t="s">
        <v>2073</v>
      </c>
      <c r="E4" s="1136"/>
      <c r="F4" s="1885"/>
      <c r="H4" s="1881" t="s">
        <v>2082</v>
      </c>
      <c r="I4" s="1136" t="s">
        <v>2081</v>
      </c>
      <c r="J4" s="1136"/>
      <c r="K4" s="1136"/>
      <c r="L4" s="1909" t="s">
        <v>2075</v>
      </c>
      <c r="M4" s="1136"/>
      <c r="N4" s="1882"/>
    </row>
    <row r="5" spans="2:31" ht="18.75">
      <c r="B5" s="1884"/>
      <c r="C5" s="1886" t="str">
        <f>IF($Q$7=0,"Provide evidence",$Q$7)</f>
        <v>XXX</v>
      </c>
      <c r="D5" s="1887" t="str">
        <f>IF($R$7=0,Q9,$R$7)</f>
        <v>N.A.</v>
      </c>
      <c r="E5" s="1907" t="s">
        <v>2071</v>
      </c>
      <c r="F5" s="1885"/>
      <c r="H5" s="1881"/>
      <c r="I5" s="2327" t="s">
        <v>1941</v>
      </c>
      <c r="J5" s="1889">
        <f>'GHG data'!I106</f>
        <v>5.3300000000000005E-4</v>
      </c>
      <c r="K5" s="1136"/>
      <c r="L5" s="1889">
        <f>'GHG data'!K106</f>
        <v>5.3499999999999999E-4</v>
      </c>
      <c r="M5" s="1136"/>
      <c r="N5" s="1882"/>
    </row>
    <row r="6" spans="2:31">
      <c r="B6" s="1884"/>
      <c r="C6" s="2565" t="s">
        <v>2077</v>
      </c>
      <c r="D6" s="1136"/>
      <c r="E6" s="1136"/>
      <c r="F6" s="1885"/>
      <c r="H6" s="1881"/>
      <c r="I6" s="2327" t="s">
        <v>1942</v>
      </c>
      <c r="J6" s="1889">
        <f>'GHG data'!I107</f>
        <v>4.7699999999999999E-4</v>
      </c>
      <c r="K6" s="1881"/>
      <c r="L6" s="1889">
        <f>'GHG data'!K107</f>
        <v>4.6000000000000001E-4</v>
      </c>
      <c r="M6" s="1136"/>
      <c r="N6" s="1882"/>
      <c r="Q6" s="1105" t="s">
        <v>2067</v>
      </c>
      <c r="R6" s="1105" t="s">
        <v>2068</v>
      </c>
    </row>
    <row r="7" spans="2:31">
      <c r="B7" s="1884"/>
      <c r="C7" s="2566" t="s">
        <v>2076</v>
      </c>
      <c r="D7" s="1136"/>
      <c r="E7" s="1136"/>
      <c r="F7" s="1885"/>
      <c r="H7" s="1881"/>
      <c r="I7" s="2327" t="s">
        <v>1961</v>
      </c>
      <c r="J7" s="1889">
        <f>'GHG data'!I108</f>
        <v>4.57E-4</v>
      </c>
      <c r="K7" s="1881"/>
      <c r="L7" s="1889">
        <f>'GHG data'!K108</f>
        <v>3.7599999999999998E-4</v>
      </c>
      <c r="M7" s="1136"/>
      <c r="N7" s="1882"/>
      <c r="Q7" s="1105" t="str">
        <f>IF($Q$3=1,C10,IF($Q$3=2,C17,IF($Q$3=3,C21,IF($Q$3=4,C25,C29))))</f>
        <v>XXX</v>
      </c>
      <c r="R7" s="1105">
        <f>IF($Q$3=1,D10,IF($Q$3=2,D17,IF($Q$3=3,D21,IF($Q$3=4,D25,D29))))</f>
        <v>0</v>
      </c>
    </row>
    <row r="8" spans="2:31">
      <c r="B8" s="3801" t="s">
        <v>5022</v>
      </c>
      <c r="C8" s="1136"/>
      <c r="D8" s="1136"/>
      <c r="E8" s="1136"/>
      <c r="F8" s="1885"/>
      <c r="H8" s="1881"/>
      <c r="I8" s="2327" t="s">
        <v>1964</v>
      </c>
      <c r="J8" s="1889">
        <f>'GHG data'!I109</f>
        <v>4.3300000000000001E-4</v>
      </c>
      <c r="K8" s="1881"/>
      <c r="L8" s="1889">
        <f>'GHG data'!K109</f>
        <v>4.4000000000000002E-4</v>
      </c>
      <c r="M8" s="1136"/>
      <c r="N8" s="1882"/>
    </row>
    <row r="9" spans="2:31">
      <c r="B9" s="1884"/>
      <c r="C9" s="1821" t="s">
        <v>1939</v>
      </c>
      <c r="D9" s="1822" t="str">
        <f>D4</f>
        <v>emission factor</v>
      </c>
      <c r="E9" s="1136"/>
      <c r="F9" s="1885"/>
      <c r="H9" s="1881"/>
      <c r="I9" s="2327" t="s">
        <v>1962</v>
      </c>
      <c r="J9" s="1889">
        <f>'GHG data'!I110</f>
        <v>4.8700000000000002E-4</v>
      </c>
      <c r="K9" s="1881"/>
      <c r="L9" s="1889">
        <f>'GHG data'!K110</f>
        <v>4.9899999999999999E-4</v>
      </c>
      <c r="M9" s="1136"/>
      <c r="N9" s="1882"/>
      <c r="Q9" s="1105" t="s">
        <v>552</v>
      </c>
    </row>
    <row r="10" spans="2:31" ht="18.75">
      <c r="B10" s="1884"/>
      <c r="C10" s="1891" t="s">
        <v>1378</v>
      </c>
      <c r="D10" s="1887"/>
      <c r="E10" s="1136" t="s">
        <v>2069</v>
      </c>
      <c r="F10" s="1885"/>
      <c r="H10" s="1881"/>
      <c r="I10" s="2327" t="s">
        <v>1944</v>
      </c>
      <c r="J10" s="1889">
        <f>'GHG data'!I111</f>
        <v>3.6000000000000002E-4</v>
      </c>
      <c r="K10" s="1881"/>
      <c r="L10" s="1889">
        <f>'GHG data'!K111</f>
        <v>4.2000000000000002E-4</v>
      </c>
      <c r="M10" s="1136"/>
      <c r="N10" s="1882"/>
    </row>
    <row r="11" spans="2:31">
      <c r="B11" s="1884"/>
      <c r="C11" s="1136"/>
      <c r="D11" s="1136"/>
      <c r="E11" s="1136"/>
      <c r="F11" s="1885"/>
      <c r="H11" s="1881"/>
      <c r="I11" s="2327" t="s">
        <v>1948</v>
      </c>
      <c r="J11" s="1889">
        <f>'GHG data'!I112</f>
        <v>5.3700000000000004E-4</v>
      </c>
      <c r="K11" s="1881"/>
      <c r="L11" s="1889">
        <f>'GHG data'!K112</f>
        <v>5.44E-4</v>
      </c>
      <c r="M11" s="1136"/>
      <c r="N11" s="1882"/>
    </row>
    <row r="12" spans="2:31" ht="27" customHeight="1">
      <c r="B12" s="3921" t="s">
        <v>2078</v>
      </c>
      <c r="C12" s="3922"/>
      <c r="D12" s="3922"/>
      <c r="E12" s="3922"/>
      <c r="F12" s="3923"/>
      <c r="H12" s="1881"/>
      <c r="I12" s="2327" t="s">
        <v>1945</v>
      </c>
      <c r="J12" s="1889">
        <f>'GHG data'!I113</f>
        <v>3.6999999999999999E-4</v>
      </c>
      <c r="K12" s="1881"/>
      <c r="L12" s="1889">
        <f>'GHG data'!K113</f>
        <v>4.4700000000000002E-4</v>
      </c>
      <c r="M12" s="1136"/>
      <c r="N12" s="1882"/>
    </row>
    <row r="13" spans="2:31">
      <c r="B13" s="1892"/>
      <c r="C13" s="1890"/>
      <c r="D13" s="1893"/>
      <c r="E13" s="1893"/>
      <c r="F13" s="1885"/>
      <c r="H13" s="1881"/>
      <c r="I13" s="2327" t="s">
        <v>1946</v>
      </c>
      <c r="J13" s="1889">
        <f>'GHG data'!I114</f>
        <v>4.0700000000000003E-4</v>
      </c>
      <c r="K13" s="1881"/>
      <c r="L13" s="1889">
        <f>'GHG data'!K114</f>
        <v>4.6200000000000001E-4</v>
      </c>
      <c r="M13" s="1136"/>
      <c r="N13" s="1882"/>
    </row>
    <row r="14" spans="2:31">
      <c r="B14" s="1892" t="s">
        <v>1953</v>
      </c>
      <c r="C14" s="1894" t="s">
        <v>1952</v>
      </c>
      <c r="D14" s="1893"/>
      <c r="E14" s="1893"/>
      <c r="F14" s="1885"/>
      <c r="H14" s="1881"/>
      <c r="I14" s="2327" t="s">
        <v>1947</v>
      </c>
      <c r="J14" s="1889">
        <f>'GHG data'!I115</f>
        <v>7.1000000000000002E-4</v>
      </c>
      <c r="K14" s="1881"/>
      <c r="L14" s="1889">
        <f>'GHG data'!K115</f>
        <v>6.7500000000000004E-4</v>
      </c>
      <c r="M14" s="1136"/>
      <c r="N14" s="1882"/>
    </row>
    <row r="15" spans="2:31" hidden="1">
      <c r="B15" s="1892"/>
      <c r="C15" s="1895" t="s">
        <v>2070</v>
      </c>
      <c r="D15" s="1895" t="e">
        <f>VLOOKUP(C17,I5:L15,4,FALSE)</f>
        <v>#N/A</v>
      </c>
      <c r="E15" s="1895"/>
      <c r="F15" s="1885"/>
      <c r="H15" s="1881"/>
      <c r="I15" s="1878" t="str">
        <f>I17</f>
        <v>XXX Power Co., Inc. (Record in 2022)</v>
      </c>
      <c r="J15" s="1878" t="str">
        <f>J17</f>
        <v>XXX</v>
      </c>
      <c r="K15" s="1136"/>
      <c r="L15" s="1878" t="str">
        <f>L17</f>
        <v>XXX</v>
      </c>
      <c r="M15" s="1136"/>
      <c r="N15" s="1882"/>
    </row>
    <row r="16" spans="2:31" ht="15" thickBot="1">
      <c r="B16" s="1884"/>
      <c r="C16" s="1821" t="s">
        <v>1940</v>
      </c>
      <c r="D16" s="1822" t="str">
        <f>D9</f>
        <v>emission factor</v>
      </c>
      <c r="E16" s="1136"/>
      <c r="F16" s="1885"/>
      <c r="H16" s="1908" t="s">
        <v>2072</v>
      </c>
      <c r="I16" s="1136"/>
      <c r="J16" s="1136"/>
      <c r="K16" s="1136"/>
      <c r="L16" s="1136"/>
      <c r="M16" s="1136"/>
      <c r="N16" s="1882"/>
    </row>
    <row r="17" spans="2:14" ht="19.5" thickBot="1">
      <c r="B17" s="1884"/>
      <c r="C17" s="2328"/>
      <c r="D17" s="1887" t="e">
        <f>VLOOKUP(C17,I5:J17,2,FALSE)</f>
        <v>#N/A</v>
      </c>
      <c r="E17" s="1136" t="s">
        <v>2069</v>
      </c>
      <c r="F17" s="1885"/>
      <c r="H17" s="1881"/>
      <c r="I17" s="1897" t="s">
        <v>1949</v>
      </c>
      <c r="J17" s="1898" t="s">
        <v>116</v>
      </c>
      <c r="K17" s="1136"/>
      <c r="L17" s="1898" t="s">
        <v>116</v>
      </c>
      <c r="M17" s="1136"/>
      <c r="N17" s="1882"/>
    </row>
    <row r="18" spans="2:14" ht="15" customHeight="1">
      <c r="B18" s="1884"/>
      <c r="C18" s="1136"/>
      <c r="D18" s="1136"/>
      <c r="E18" s="1136"/>
      <c r="F18" s="1885"/>
      <c r="H18" s="1881" t="s">
        <v>2080</v>
      </c>
      <c r="I18" s="1136" t="s">
        <v>2079</v>
      </c>
      <c r="J18" s="1136"/>
      <c r="K18" s="1136"/>
      <c r="L18" s="1136"/>
      <c r="M18" s="1136"/>
      <c r="N18" s="1882"/>
    </row>
    <row r="19" spans="2:14" ht="15" customHeight="1">
      <c r="B19" s="1892" t="s">
        <v>1954</v>
      </c>
      <c r="C19" s="1136" t="s">
        <v>1951</v>
      </c>
      <c r="D19" s="1136"/>
      <c r="E19" s="1136"/>
      <c r="F19" s="1885"/>
      <c r="H19" s="1881"/>
      <c r="I19" s="1888" t="str">
        <f>'GHG data'!D117</f>
        <v>Alternative coefficient value</v>
      </c>
      <c r="J19" s="1889">
        <f>'GHG data'!I117</f>
        <v>4.2900000000000002E-4</v>
      </c>
      <c r="K19" s="1136" t="s">
        <v>2069</v>
      </c>
      <c r="L19" s="1136"/>
      <c r="M19" s="1136"/>
      <c r="N19" s="1882"/>
    </row>
    <row r="20" spans="2:14">
      <c r="B20" s="1884"/>
      <c r="C20" s="1821" t="s">
        <v>1939</v>
      </c>
      <c r="D20" s="1822" t="str">
        <f>D16</f>
        <v>emission factor</v>
      </c>
      <c r="E20" s="1136"/>
      <c r="F20" s="1885"/>
      <c r="H20" s="1881"/>
      <c r="I20" s="1136"/>
      <c r="J20" s="1136"/>
      <c r="K20" s="1136"/>
      <c r="L20" s="1136"/>
      <c r="M20" s="1136"/>
      <c r="N20" s="1882"/>
    </row>
    <row r="21" spans="2:14" ht="15" customHeight="1">
      <c r="B21" s="1884"/>
      <c r="C21" s="1891" t="s">
        <v>1378</v>
      </c>
      <c r="D21" s="1896"/>
      <c r="E21" s="1136" t="s">
        <v>2069</v>
      </c>
      <c r="F21" s="1885"/>
      <c r="H21" s="1881"/>
      <c r="I21" s="1136"/>
      <c r="J21" s="1136"/>
      <c r="K21" s="1136"/>
      <c r="L21" s="1136"/>
      <c r="M21" s="1136"/>
      <c r="N21" s="1882"/>
    </row>
    <row r="22" spans="2:14" ht="15" customHeight="1">
      <c r="B22" s="1884"/>
      <c r="C22" s="1136"/>
      <c r="D22" s="1136"/>
      <c r="E22" s="1136"/>
      <c r="F22" s="1885"/>
      <c r="H22" s="1881"/>
      <c r="I22" s="1136"/>
      <c r="J22" s="1136"/>
      <c r="K22" s="1136"/>
      <c r="L22" s="1136"/>
      <c r="M22" s="1136"/>
      <c r="N22" s="1882"/>
    </row>
    <row r="23" spans="2:14" ht="15" customHeight="1">
      <c r="B23" s="1892" t="s">
        <v>1955</v>
      </c>
      <c r="C23" s="1136" t="str">
        <f>I18</f>
        <v>Alternative emission factor</v>
      </c>
      <c r="D23" s="1136"/>
      <c r="E23" s="1136"/>
      <c r="F23" s="1885"/>
      <c r="H23" s="1881"/>
      <c r="I23" s="1136"/>
      <c r="J23" s="1136"/>
      <c r="K23" s="1136"/>
      <c r="L23" s="1136"/>
      <c r="M23" s="1136"/>
      <c r="N23" s="1882"/>
    </row>
    <row r="24" spans="2:14">
      <c r="B24" s="1892"/>
      <c r="C24" s="1821" t="s">
        <v>1939</v>
      </c>
      <c r="D24" s="1822" t="str">
        <f>D20</f>
        <v>emission factor</v>
      </c>
      <c r="E24" s="1136"/>
      <c r="F24" s="1885"/>
      <c r="H24" s="1881"/>
      <c r="I24" s="1136"/>
      <c r="J24" s="1136"/>
      <c r="K24" s="1136"/>
      <c r="L24" s="1136"/>
      <c r="M24" s="1136"/>
      <c r="N24" s="1882"/>
    </row>
    <row r="25" spans="2:14" ht="15" customHeight="1">
      <c r="B25" s="1884"/>
      <c r="C25" s="1899" t="str">
        <f>C23</f>
        <v>Alternative emission factor</v>
      </c>
      <c r="D25" s="1900" t="str">
        <f>IF($Q$3=4,J19,"")</f>
        <v/>
      </c>
      <c r="E25" s="1136" t="s">
        <v>2069</v>
      </c>
      <c r="F25" s="1885"/>
      <c r="H25" s="1881"/>
      <c r="I25" s="1136"/>
      <c r="J25" s="1136"/>
      <c r="K25" s="1136"/>
      <c r="L25" s="1136"/>
      <c r="M25" s="1136"/>
      <c r="N25" s="1882"/>
    </row>
    <row r="26" spans="2:14" ht="15" customHeight="1">
      <c r="B26" s="1884"/>
      <c r="C26" s="1136"/>
      <c r="D26" s="1136"/>
      <c r="E26" s="1136"/>
      <c r="F26" s="1885"/>
      <c r="H26" s="1881"/>
      <c r="I26" s="1136"/>
      <c r="J26" s="1136"/>
      <c r="K26" s="1136"/>
      <c r="L26" s="1136"/>
      <c r="M26" s="1136"/>
      <c r="N26" s="1882"/>
    </row>
    <row r="27" spans="2:14" ht="15" customHeight="1">
      <c r="B27" s="1884" t="s">
        <v>1950</v>
      </c>
      <c r="C27" s="1136"/>
      <c r="D27" s="1136"/>
      <c r="E27" s="1136"/>
      <c r="F27" s="1885"/>
      <c r="H27" s="1881"/>
      <c r="I27" s="1136"/>
      <c r="J27" s="1136"/>
      <c r="K27" s="1136"/>
      <c r="L27" s="1136"/>
      <c r="M27" s="1136"/>
      <c r="N27" s="1882"/>
    </row>
    <row r="28" spans="2:14">
      <c r="B28" s="1884"/>
      <c r="C28" s="1821" t="s">
        <v>1939</v>
      </c>
      <c r="D28" s="1822" t="str">
        <f>D24</f>
        <v>emission factor</v>
      </c>
      <c r="E28" s="1136"/>
      <c r="F28" s="1885"/>
      <c r="H28" s="1881"/>
      <c r="I28" s="1136"/>
      <c r="J28" s="1136"/>
      <c r="K28" s="1136"/>
      <c r="L28" s="1136"/>
      <c r="M28" s="1136"/>
      <c r="N28" s="1882"/>
    </row>
    <row r="29" spans="2:14" ht="15" customHeight="1">
      <c r="B29" s="1884"/>
      <c r="C29" s="1891" t="s">
        <v>1378</v>
      </c>
      <c r="D29" s="1896"/>
      <c r="E29" s="1136" t="s">
        <v>2069</v>
      </c>
      <c r="F29" s="1885"/>
      <c r="H29" s="1881"/>
      <c r="I29" s="1136"/>
      <c r="J29" s="1136"/>
      <c r="K29" s="1136"/>
      <c r="L29" s="1136"/>
      <c r="M29" s="1136"/>
      <c r="N29" s="1882"/>
    </row>
    <row r="30" spans="2:14">
      <c r="B30" s="1884"/>
      <c r="C30" s="1136"/>
      <c r="D30" s="1136"/>
      <c r="E30" s="1136"/>
      <c r="F30" s="1885"/>
      <c r="H30" s="1881"/>
      <c r="I30" s="1136"/>
      <c r="J30" s="1136"/>
      <c r="K30" s="1136"/>
      <c r="L30" s="1136"/>
      <c r="M30" s="1136"/>
      <c r="N30" s="1882"/>
    </row>
    <row r="31" spans="2:14" ht="15" thickBot="1">
      <c r="B31" s="1901"/>
      <c r="C31" s="1902"/>
      <c r="D31" s="1902"/>
      <c r="E31" s="1902"/>
      <c r="F31" s="1903"/>
      <c r="H31" s="1904"/>
      <c r="I31" s="1905"/>
      <c r="J31" s="1905"/>
      <c r="K31" s="1905"/>
      <c r="L31" s="1905"/>
      <c r="M31" s="1905"/>
      <c r="N31" s="1906"/>
    </row>
    <row r="33" spans="3:3">
      <c r="C33" s="1845"/>
    </row>
    <row r="34" spans="3:3">
      <c r="C34" s="1845"/>
    </row>
    <row r="35" spans="3:3">
      <c r="C35" s="1845"/>
    </row>
    <row r="36" spans="3:3">
      <c r="C36" s="1845"/>
    </row>
    <row r="37" spans="3:3">
      <c r="C37" s="1845"/>
    </row>
    <row r="38" spans="3:3">
      <c r="C38" s="1845"/>
    </row>
    <row r="39" spans="3:3">
      <c r="C39" s="1845"/>
    </row>
    <row r="40" spans="3:3">
      <c r="C40" s="1845"/>
    </row>
    <row r="41" spans="3:3">
      <c r="C41" s="1845"/>
    </row>
    <row r="42" spans="3:3">
      <c r="C42" s="1845"/>
    </row>
    <row r="43" spans="3:3">
      <c r="C43" s="1845"/>
    </row>
    <row r="44" spans="3:3">
      <c r="C44" s="1845"/>
    </row>
    <row r="45" spans="3:3">
      <c r="C45" s="1845"/>
    </row>
    <row r="46" spans="3:3">
      <c r="C46" s="1845"/>
    </row>
    <row r="47" spans="3:3">
      <c r="C47" s="1845"/>
    </row>
    <row r="48" spans="3:3">
      <c r="C48" s="1845"/>
    </row>
    <row r="49" spans="3:3">
      <c r="C49" s="1845"/>
    </row>
    <row r="50" spans="3:3">
      <c r="C50" s="1845"/>
    </row>
    <row r="51" spans="3:3">
      <c r="C51" s="1845"/>
    </row>
    <row r="52" spans="3:3">
      <c r="C52" s="1845"/>
    </row>
    <row r="53" spans="3:3">
      <c r="C53" s="1845"/>
    </row>
    <row r="54" spans="3:3">
      <c r="C54" s="1845"/>
    </row>
    <row r="55" spans="3:3">
      <c r="C55" s="1845"/>
    </row>
    <row r="56" spans="3:3">
      <c r="C56" s="1845"/>
    </row>
    <row r="57" spans="3:3">
      <c r="C57" s="1845"/>
    </row>
    <row r="58" spans="3:3">
      <c r="C58" s="1845"/>
    </row>
    <row r="59" spans="3:3">
      <c r="C59" s="1845"/>
    </row>
    <row r="60" spans="3:3">
      <c r="C60" s="1845"/>
    </row>
    <row r="61" spans="3:3">
      <c r="C61" s="1845"/>
    </row>
    <row r="62" spans="3:3">
      <c r="C62" s="1845"/>
    </row>
    <row r="63" spans="3:3">
      <c r="C63" s="1845"/>
    </row>
    <row r="64" spans="3:3">
      <c r="C64" s="1845"/>
    </row>
    <row r="65" spans="3:3">
      <c r="C65" s="1845"/>
    </row>
    <row r="66" spans="3:3">
      <c r="C66" s="1845"/>
    </row>
    <row r="67" spans="3:3">
      <c r="C67" s="1845"/>
    </row>
    <row r="68" spans="3:3">
      <c r="C68" s="1845"/>
    </row>
    <row r="69" spans="3:3">
      <c r="C69" s="1845"/>
    </row>
    <row r="70" spans="3:3">
      <c r="C70" s="1845"/>
    </row>
    <row r="71" spans="3:3">
      <c r="C71" s="1845"/>
    </row>
    <row r="72" spans="3:3">
      <c r="C72" s="1845"/>
    </row>
    <row r="73" spans="3:3">
      <c r="C73" s="1845"/>
    </row>
    <row r="74" spans="3:3">
      <c r="C74" s="1845"/>
    </row>
    <row r="75" spans="3:3">
      <c r="C75" s="1845"/>
    </row>
    <row r="76" spans="3:3">
      <c r="C76" s="1845"/>
    </row>
    <row r="77" spans="3:3">
      <c r="C77" s="1845"/>
    </row>
    <row r="78" spans="3:3">
      <c r="C78" s="1845"/>
    </row>
    <row r="79" spans="3:3">
      <c r="C79" s="1845"/>
    </row>
    <row r="80" spans="3:3">
      <c r="C80" s="1845"/>
    </row>
    <row r="81" spans="3:3">
      <c r="C81" s="1845"/>
    </row>
    <row r="82" spans="3:3">
      <c r="C82" s="1845"/>
    </row>
    <row r="83" spans="3:3">
      <c r="C83" s="1845"/>
    </row>
    <row r="84" spans="3:3">
      <c r="C84" s="1845"/>
    </row>
    <row r="85" spans="3:3">
      <c r="C85" s="1845"/>
    </row>
    <row r="86" spans="3:3">
      <c r="C86" s="1845"/>
    </row>
    <row r="87" spans="3:3">
      <c r="C87" s="1845"/>
    </row>
    <row r="88" spans="3:3">
      <c r="C88" s="1845"/>
    </row>
    <row r="89" spans="3:3">
      <c r="C89" s="1845"/>
    </row>
    <row r="90" spans="3:3">
      <c r="C90" s="1845"/>
    </row>
    <row r="91" spans="3:3">
      <c r="C91" s="1845"/>
    </row>
    <row r="92" spans="3:3">
      <c r="C92" s="1845"/>
    </row>
    <row r="93" spans="3:3">
      <c r="C93" s="1845"/>
    </row>
    <row r="94" spans="3:3">
      <c r="C94" s="1845"/>
    </row>
    <row r="95" spans="3:3">
      <c r="C95" s="1845"/>
    </row>
    <row r="96" spans="3:3">
      <c r="C96" s="1845"/>
    </row>
    <row r="97" spans="3:3">
      <c r="C97" s="1845"/>
    </row>
    <row r="98" spans="3:3">
      <c r="C98" s="1845"/>
    </row>
    <row r="99" spans="3:3">
      <c r="C99" s="1845"/>
    </row>
    <row r="100" spans="3:3">
      <c r="C100" s="1845"/>
    </row>
    <row r="101" spans="3:3">
      <c r="C101" s="1845"/>
    </row>
    <row r="102" spans="3:3">
      <c r="C102" s="1845"/>
    </row>
    <row r="103" spans="3:3">
      <c r="C103" s="1845"/>
    </row>
    <row r="104" spans="3:3">
      <c r="C104" s="1845"/>
    </row>
    <row r="105" spans="3:3">
      <c r="C105" s="1845"/>
    </row>
    <row r="106" spans="3:3">
      <c r="C106" s="1845"/>
    </row>
    <row r="107" spans="3:3">
      <c r="C107" s="1845"/>
    </row>
  </sheetData>
  <sheetProtection algorithmName="SHA-512" hashValue="Wp2WyqhANHBBc37VKbv30m+nDQYaAt7cHXVePtTBesk6lirDejWpuZwjQKGcoLsMdFkqPt/4z08VAVf8uqXgyA==" saltValue="WnO9RURNf4EtYINR1cZeZg==" spinCount="100000" sheet="1" objects="1" scenarios="1"/>
  <mergeCells count="3">
    <mergeCell ref="H2:N2"/>
    <mergeCell ref="B12:F12"/>
    <mergeCell ref="H3:N3"/>
  </mergeCells>
  <phoneticPr fontId="26"/>
  <conditionalFormatting sqref="C17">
    <cfRule type="expression" dxfId="87" priority="3" stopIfTrue="1">
      <formula>$Q$3=2</formula>
    </cfRule>
  </conditionalFormatting>
  <conditionalFormatting sqref="C10:D10">
    <cfRule type="expression" dxfId="86" priority="4" stopIfTrue="1">
      <formula>$Q$3=1</formula>
    </cfRule>
  </conditionalFormatting>
  <conditionalFormatting sqref="C21:D21">
    <cfRule type="expression" dxfId="85" priority="2" stopIfTrue="1">
      <formula>$Q$3=3</formula>
    </cfRule>
  </conditionalFormatting>
  <conditionalFormatting sqref="C29:D29">
    <cfRule type="expression" dxfId="84" priority="6" stopIfTrue="1">
      <formula>$Q$3=5</formula>
    </cfRule>
  </conditionalFormatting>
  <dataValidations count="1">
    <dataValidation type="list" allowBlank="1" showInputMessage="1" showErrorMessage="1" sqref="C17" xr:uid="{00000000-0002-0000-0600-000000000000}">
      <formula1>$I$5:$I$15</formula1>
    </dataValidation>
  </dataValidations>
  <pageMargins left="0.75" right="0.75" top="1" bottom="1" header="0.51200000000000001" footer="0.51200000000000001"/>
  <pageSetup paperSize="9" scale="55" orientation="portrait" verticalDpi="360" r:id="rId1"/>
  <headerFooter alignWithMargins="0">
    <oddHeader>&amp;L&amp;F&amp;R&amp;A</oddHeader>
    <oddFooter>&amp;C&amp;P/&amp;N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3073" r:id="rId4" name="Option Button 1">
              <controlPr defaultSize="0" autoFill="0" autoLine="0" autoPict="0">
                <anchor moveWithCells="1" sizeWithCells="1">
                  <from>
                    <xdr:col>1</xdr:col>
                    <xdr:colOff>190500</xdr:colOff>
                    <xdr:row>8</xdr:row>
                    <xdr:rowOff>152400</xdr:rowOff>
                  </from>
                  <to>
                    <xdr:col>2</xdr:col>
                    <xdr:colOff>0</xdr:colOff>
                    <xdr:row>9</xdr:row>
                    <xdr:rowOff>152400</xdr:rowOff>
                  </to>
                </anchor>
              </controlPr>
            </control>
          </mc:Choice>
        </mc:AlternateContent>
        <mc:AlternateContent xmlns:mc="http://schemas.openxmlformats.org/markup-compatibility/2006">
          <mc:Choice Requires="x14">
            <control shapeId="3074" r:id="rId5" name="Option Button 2">
              <controlPr defaultSize="0" autoFill="0" autoLine="0" autoPict="0">
                <anchor moveWithCells="1" sizeWithCells="1">
                  <from>
                    <xdr:col>1</xdr:col>
                    <xdr:colOff>190500</xdr:colOff>
                    <xdr:row>15</xdr:row>
                    <xdr:rowOff>123825</xdr:rowOff>
                  </from>
                  <to>
                    <xdr:col>2</xdr:col>
                    <xdr:colOff>0</xdr:colOff>
                    <xdr:row>17</xdr:row>
                    <xdr:rowOff>19050</xdr:rowOff>
                  </to>
                </anchor>
              </controlPr>
            </control>
          </mc:Choice>
        </mc:AlternateContent>
        <mc:AlternateContent xmlns:mc="http://schemas.openxmlformats.org/markup-compatibility/2006">
          <mc:Choice Requires="x14">
            <control shapeId="3075" r:id="rId6" name="Option Button 3">
              <controlPr defaultSize="0" autoFill="0" autoLine="0" autoPict="0">
                <anchor moveWithCells="1" sizeWithCells="1">
                  <from>
                    <xdr:col>1</xdr:col>
                    <xdr:colOff>190500</xdr:colOff>
                    <xdr:row>19</xdr:row>
                    <xdr:rowOff>66675</xdr:rowOff>
                  </from>
                  <to>
                    <xdr:col>2</xdr:col>
                    <xdr:colOff>0</xdr:colOff>
                    <xdr:row>21</xdr:row>
                    <xdr:rowOff>114300</xdr:rowOff>
                  </to>
                </anchor>
              </controlPr>
            </control>
          </mc:Choice>
        </mc:AlternateContent>
        <mc:AlternateContent xmlns:mc="http://schemas.openxmlformats.org/markup-compatibility/2006">
          <mc:Choice Requires="x14">
            <control shapeId="3076" r:id="rId7" name="Option Button 4">
              <controlPr defaultSize="0" autoFill="0" autoLine="0" autoPict="0">
                <anchor moveWithCells="1" sizeWithCells="1">
                  <from>
                    <xdr:col>1</xdr:col>
                    <xdr:colOff>190500</xdr:colOff>
                    <xdr:row>23</xdr:row>
                    <xdr:rowOff>180975</xdr:rowOff>
                  </from>
                  <to>
                    <xdr:col>2</xdr:col>
                    <xdr:colOff>0</xdr:colOff>
                    <xdr:row>25</xdr:row>
                    <xdr:rowOff>0</xdr:rowOff>
                  </to>
                </anchor>
              </controlPr>
            </control>
          </mc:Choice>
        </mc:AlternateContent>
        <mc:AlternateContent xmlns:mc="http://schemas.openxmlformats.org/markup-compatibility/2006">
          <mc:Choice Requires="x14">
            <control shapeId="3077" r:id="rId8" name="Option Button 5">
              <controlPr defaultSize="0" autoFill="0" autoLine="0" autoPict="0">
                <anchor moveWithCells="1" sizeWithCells="1">
                  <from>
                    <xdr:col>1</xdr:col>
                    <xdr:colOff>190500</xdr:colOff>
                    <xdr:row>27</xdr:row>
                    <xdr:rowOff>142875</xdr:rowOff>
                  </from>
                  <to>
                    <xdr:col>2</xdr:col>
                    <xdr:colOff>0</xdr:colOff>
                    <xdr:row>29</xdr:row>
                    <xdr:rowOff>0</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71">
    <pageSetUpPr autoPageBreaks="0" fitToPage="1"/>
  </sheetPr>
  <dimension ref="A1:AA503"/>
  <sheetViews>
    <sheetView showGridLines="0" zoomScaleNormal="100" workbookViewId="0">
      <selection activeCell="F14" sqref="F14"/>
    </sheetView>
  </sheetViews>
  <sheetFormatPr defaultColWidth="0" defaultRowHeight="14.25" zeroHeight="1"/>
  <cols>
    <col min="1" max="1" width="2.625" style="1105" customWidth="1"/>
    <col min="2" max="3" width="6" style="1105" hidden="1" customWidth="1"/>
    <col min="4" max="4" width="5" style="2687" customWidth="1"/>
    <col min="5" max="5" width="1.375" style="1105" customWidth="1"/>
    <col min="6" max="15" width="10.625" style="1105" customWidth="1"/>
    <col min="16" max="16" width="2.5" style="1105" customWidth="1"/>
    <col min="17" max="17" width="9.75" style="1105" hidden="1" customWidth="1"/>
    <col min="18" max="18" width="16.25" style="1105" hidden="1" customWidth="1"/>
    <col min="19" max="19" width="3.375" style="1105" hidden="1" customWidth="1"/>
    <col min="20" max="20" width="10.25" style="1105" hidden="1" customWidth="1"/>
    <col min="21" max="21" width="13" style="1105" hidden="1" customWidth="1"/>
    <col min="22" max="22" width="9.75" style="1105" hidden="1" customWidth="1"/>
    <col min="23" max="23" width="13.75" style="1105" hidden="1" customWidth="1"/>
    <col min="24" max="26" width="9" style="1105" hidden="1" customWidth="1"/>
    <col min="27" max="27" width="10.125" style="1105" hidden="1" customWidth="1"/>
    <col min="28" max="16384" width="9" style="1105" hidden="1"/>
  </cols>
  <sheetData>
    <row r="1" spans="2:15" ht="15.75">
      <c r="D1" s="393"/>
      <c r="E1" s="1529"/>
      <c r="F1" s="1529"/>
      <c r="G1" s="1529"/>
      <c r="H1" s="1529"/>
      <c r="I1" s="1529"/>
      <c r="J1" s="1529"/>
      <c r="K1" s="1529"/>
      <c r="L1" s="1529"/>
      <c r="M1" s="1516" t="s">
        <v>1517</v>
      </c>
      <c r="N1" s="2564" t="str">
        <f>Main!C11</f>
        <v>XXX Building</v>
      </c>
      <c r="O1" s="2564"/>
    </row>
    <row r="2" spans="2:15" ht="15.75" hidden="1">
      <c r="D2" s="395"/>
      <c r="E2" s="119"/>
      <c r="F2" s="1105">
        <v>1</v>
      </c>
      <c r="G2" s="1105" t="s">
        <v>3048</v>
      </c>
      <c r="H2" s="1105" t="s">
        <v>3049</v>
      </c>
      <c r="I2" s="119"/>
      <c r="J2" s="119"/>
      <c r="K2" s="119"/>
      <c r="L2" s="119"/>
      <c r="M2" s="119"/>
      <c r="N2" s="119"/>
      <c r="O2" s="119"/>
    </row>
    <row r="3" spans="2:15" ht="15.75" hidden="1">
      <c r="D3" s="395"/>
      <c r="E3" s="119"/>
      <c r="F3" s="1105">
        <v>2</v>
      </c>
      <c r="G3" s="1105" t="s">
        <v>3050</v>
      </c>
      <c r="H3" s="1105" t="s">
        <v>3051</v>
      </c>
      <c r="I3" s="119"/>
      <c r="J3" s="119"/>
      <c r="K3" s="1105" t="s">
        <v>3052</v>
      </c>
      <c r="L3" s="1105" t="s">
        <v>2829</v>
      </c>
      <c r="M3" s="1105" t="s">
        <v>2418</v>
      </c>
      <c r="N3" s="1105" t="s">
        <v>2832</v>
      </c>
      <c r="O3" s="1105" t="str">
        <f>Main!I37</f>
        <v>Preliminary design stage</v>
      </c>
    </row>
    <row r="4" spans="2:15" ht="15.75" hidden="1">
      <c r="D4" s="395"/>
      <c r="E4" s="119"/>
      <c r="F4" s="1105">
        <v>3</v>
      </c>
      <c r="G4" s="1105" t="s">
        <v>3053</v>
      </c>
      <c r="H4" s="1105" t="s">
        <v>3054</v>
      </c>
      <c r="I4" s="119"/>
      <c r="J4" s="119"/>
      <c r="K4" s="119"/>
      <c r="N4" s="1105" t="s">
        <v>2833</v>
      </c>
      <c r="O4" s="1105" t="str">
        <f>Main!I38</f>
        <v>Execution design stage</v>
      </c>
    </row>
    <row r="5" spans="2:15" ht="15.75" hidden="1">
      <c r="D5" s="395"/>
      <c r="E5" s="119"/>
      <c r="F5" s="1105">
        <v>4</v>
      </c>
      <c r="G5" s="1105" t="s">
        <v>3055</v>
      </c>
      <c r="H5" s="1105" t="s">
        <v>3056</v>
      </c>
      <c r="I5" s="119"/>
      <c r="J5" s="119"/>
      <c r="K5" s="119"/>
      <c r="O5" s="1105" t="str">
        <f>Main!I39</f>
        <v>Construction completion stage</v>
      </c>
    </row>
    <row r="6" spans="2:15" ht="15.75" hidden="1">
      <c r="D6" s="395"/>
      <c r="E6" s="119"/>
      <c r="F6" s="1105">
        <v>5</v>
      </c>
      <c r="G6" s="1105" t="s">
        <v>3057</v>
      </c>
      <c r="H6" s="1105" t="s">
        <v>3058</v>
      </c>
      <c r="I6" s="119"/>
      <c r="J6" s="119"/>
      <c r="K6" s="119"/>
      <c r="M6" s="1105" t="s">
        <v>2418</v>
      </c>
      <c r="O6" s="1105">
        <f>Main!Q42</f>
        <v>0</v>
      </c>
    </row>
    <row r="7" spans="2:15" ht="15.75" hidden="1">
      <c r="D7" s="395"/>
      <c r="E7" s="119"/>
      <c r="F7" s="1105">
        <v>0</v>
      </c>
      <c r="G7" s="1105" t="s">
        <v>3059</v>
      </c>
      <c r="H7" s="1105" t="s">
        <v>3059</v>
      </c>
      <c r="I7" s="119"/>
      <c r="J7" s="119"/>
      <c r="K7" s="119"/>
      <c r="L7" s="119"/>
      <c r="M7" s="119" t="s">
        <v>2831</v>
      </c>
      <c r="N7" s="119"/>
      <c r="O7" s="119"/>
    </row>
    <row r="8" spans="2:15" ht="16.5" thickBot="1">
      <c r="D8" s="395"/>
      <c r="E8" s="119"/>
      <c r="I8" s="119"/>
      <c r="J8" s="119"/>
      <c r="K8" s="119"/>
      <c r="L8" s="119"/>
      <c r="M8" s="119"/>
      <c r="N8" s="119"/>
      <c r="O8" s="119"/>
    </row>
    <row r="9" spans="2:15" ht="18.75" thickBot="1">
      <c r="D9" s="409" t="s">
        <v>3060</v>
      </c>
      <c r="E9" s="2685"/>
      <c r="F9" s="119"/>
      <c r="G9" s="119"/>
      <c r="H9" s="119"/>
      <c r="I9" s="2686"/>
      <c r="J9" s="53" t="s">
        <v>2520</v>
      </c>
      <c r="K9" s="28"/>
      <c r="L9" s="28"/>
      <c r="M9" s="119"/>
      <c r="N9" s="119"/>
      <c r="O9" s="2567" t="str">
        <f>IF(Main!E39=0,"",Main!E39)</f>
        <v>Execution design stage</v>
      </c>
    </row>
    <row r="10" spans="2:15" ht="18">
      <c r="D10" s="395"/>
      <c r="E10" s="2685"/>
      <c r="F10" s="119"/>
      <c r="G10" s="119"/>
      <c r="H10" s="119"/>
      <c r="I10" s="119"/>
      <c r="J10" s="2568"/>
      <c r="K10" s="119"/>
      <c r="L10" s="119"/>
      <c r="M10" s="119"/>
      <c r="N10" s="119"/>
      <c r="O10" s="2569" t="s">
        <v>3044</v>
      </c>
    </row>
    <row r="11" spans="2:15" ht="15.75">
      <c r="D11" s="393">
        <v>1</v>
      </c>
      <c r="E11" s="13" t="s">
        <v>2517</v>
      </c>
      <c r="F11" s="13"/>
      <c r="G11" s="13"/>
      <c r="H11" s="9"/>
      <c r="I11" s="9"/>
      <c r="J11" s="9"/>
      <c r="K11" s="9"/>
      <c r="L11" s="9"/>
      <c r="M11" s="9"/>
      <c r="N11" s="9"/>
      <c r="O11" s="9"/>
    </row>
    <row r="12" spans="2:15" ht="15.75">
      <c r="D12" s="393">
        <v>1.1000000000000001</v>
      </c>
      <c r="E12" s="395" t="s">
        <v>2521</v>
      </c>
      <c r="F12" s="13"/>
      <c r="G12" s="13"/>
      <c r="H12" s="9"/>
      <c r="J12" s="1105" t="str">
        <f>IF(OR(F14=0,AND(J13=0,O13=0)),$L$3,"")</f>
        <v/>
      </c>
      <c r="L12" s="9"/>
      <c r="M12" s="9"/>
      <c r="N12" s="9"/>
      <c r="O12" s="2567" t="s">
        <v>444</v>
      </c>
    </row>
    <row r="13" spans="2:15" ht="24.6" customHeight="1" thickBot="1">
      <c r="E13" s="28"/>
      <c r="F13" s="2843" t="s">
        <v>2613</v>
      </c>
      <c r="G13" s="2688"/>
      <c r="H13" s="2689"/>
      <c r="I13" s="2842" t="s">
        <v>2629</v>
      </c>
      <c r="J13" s="2846">
        <f>Weight!M11</f>
        <v>0.4</v>
      </c>
      <c r="K13" s="2691"/>
      <c r="L13" s="2844" t="s">
        <v>2615</v>
      </c>
      <c r="M13" s="2688"/>
      <c r="N13" s="2842" t="s">
        <v>3261</v>
      </c>
      <c r="O13" s="2845">
        <f>Weight!N11</f>
        <v>0</v>
      </c>
    </row>
    <row r="14" spans="2:15" ht="58.9" customHeight="1" thickBot="1">
      <c r="E14" s="28"/>
      <c r="F14" s="2693">
        <v>3</v>
      </c>
      <c r="G14" s="2849" t="s">
        <v>3263</v>
      </c>
      <c r="H14" s="2694" t="s">
        <v>5012</v>
      </c>
      <c r="I14" s="2695" t="s">
        <v>3262</v>
      </c>
      <c r="J14" s="2696" t="s">
        <v>3264</v>
      </c>
      <c r="K14" s="2570" t="s">
        <v>3265</v>
      </c>
      <c r="L14" s="2693">
        <v>3</v>
      </c>
      <c r="M14" s="2572" t="s">
        <v>2522</v>
      </c>
      <c r="N14" s="2697"/>
      <c r="O14" s="2698"/>
    </row>
    <row r="15" spans="2:15" ht="41.45" customHeight="1">
      <c r="B15" s="2014">
        <v>1</v>
      </c>
      <c r="C15" s="2014">
        <v>1</v>
      </c>
      <c r="E15" s="28"/>
      <c r="F15" s="2699" t="str">
        <f>IF(F14=$F$7,$G$2,IF(ROUNDDOWN(F14,0)=$F$2,$H$2,$G$2))</f>
        <v>　Level 1</v>
      </c>
      <c r="G15" s="2573" t="s">
        <v>2523</v>
      </c>
      <c r="H15" s="2573" t="s">
        <v>2524</v>
      </c>
      <c r="I15" s="2573" t="s">
        <v>2525</v>
      </c>
      <c r="J15" s="2573" t="s">
        <v>2526</v>
      </c>
      <c r="K15" s="2573" t="s">
        <v>2527</v>
      </c>
      <c r="L15" s="2699" t="str">
        <f>IF(L14=$F$7,$G$2,IF(ROUNDDOWN(L14,0)=$F$2,$H$2,$G$2))</f>
        <v>　Level 1</v>
      </c>
      <c r="M15" s="2582" t="s">
        <v>2524</v>
      </c>
      <c r="N15" s="2700"/>
      <c r="O15" s="2701"/>
    </row>
    <row r="16" spans="2:15" ht="41.45" customHeight="1">
      <c r="B16" s="2014">
        <v>2</v>
      </c>
      <c r="C16" s="2014" t="s">
        <v>512</v>
      </c>
      <c r="E16" s="28"/>
      <c r="F16" s="2702" t="str">
        <f>IF(F14=$F$7,$G$3,IF(ROUNDDOWN(F14,0)=$F$3,$H$3,$G$3))</f>
        <v>　Level 2</v>
      </c>
      <c r="G16" s="2574" t="s">
        <v>2528</v>
      </c>
      <c r="H16" s="2574" t="s">
        <v>2528</v>
      </c>
      <c r="I16" s="2575" t="s">
        <v>2528</v>
      </c>
      <c r="J16" s="2575" t="s">
        <v>2528</v>
      </c>
      <c r="K16" s="2576" t="s">
        <v>2529</v>
      </c>
      <c r="L16" s="2702" t="str">
        <f>IF(L14=$F$7,$G$3,IF(ROUNDDOWN(L14,0)=$F$3,$H$3,$G$3))</f>
        <v>　Level 2</v>
      </c>
      <c r="M16" s="2583" t="s">
        <v>2528</v>
      </c>
      <c r="N16" s="2333"/>
      <c r="O16" s="2703"/>
    </row>
    <row r="17" spans="2:15" ht="41.45" customHeight="1">
      <c r="B17" s="2014">
        <v>3</v>
      </c>
      <c r="C17" s="2014">
        <v>3</v>
      </c>
      <c r="E17" s="28"/>
      <c r="F17" s="2702" t="str">
        <f>IF(F14=$F$7,$G$4,IF(ROUNDDOWN(F14,0)=$F$4,$H$4,$G$4))</f>
        <v>■Level 3</v>
      </c>
      <c r="G17" s="2576" t="s">
        <v>2530</v>
      </c>
      <c r="H17" s="2576" t="s">
        <v>2531</v>
      </c>
      <c r="I17" s="2576" t="s">
        <v>2532</v>
      </c>
      <c r="J17" s="2577" t="s">
        <v>2533</v>
      </c>
      <c r="K17" s="2576" t="s">
        <v>2530</v>
      </c>
      <c r="L17" s="2702" t="str">
        <f>IF(L14=$F$7,$G$4,IF(ROUNDDOWN(L14,0)=$F$4,$H$4,$G$4))</f>
        <v>■Level 3</v>
      </c>
      <c r="M17" s="2583" t="s">
        <v>2540</v>
      </c>
      <c r="N17" s="2333"/>
      <c r="O17" s="2703"/>
    </row>
    <row r="18" spans="2:15" ht="41.45" customHeight="1">
      <c r="B18" s="2014">
        <v>4</v>
      </c>
      <c r="C18" s="2014">
        <v>4</v>
      </c>
      <c r="E18" s="28"/>
      <c r="F18" s="2702" t="str">
        <f>IF(F14=$F$7,$G$5,IF(ROUNDDOWN(F14,0)=$F$5,$H$5,$G$5))</f>
        <v>　Level 4</v>
      </c>
      <c r="G18" s="2578" t="s">
        <v>2531</v>
      </c>
      <c r="H18" s="2574" t="s">
        <v>2533</v>
      </c>
      <c r="I18" s="2575" t="s">
        <v>2530</v>
      </c>
      <c r="J18" s="2575" t="s">
        <v>2534</v>
      </c>
      <c r="K18" s="2578" t="s">
        <v>2535</v>
      </c>
      <c r="L18" s="2702" t="str">
        <f>IF(L14=$F$7,$G$5,IF(ROUNDDOWN(L14,0)=$F$5,$H$5,$G$5))</f>
        <v>　Level 4</v>
      </c>
      <c r="M18" s="2583" t="s">
        <v>2541</v>
      </c>
      <c r="N18" s="2333"/>
      <c r="O18" s="2703"/>
    </row>
    <row r="19" spans="2:15" ht="41.45" customHeight="1">
      <c r="B19" s="2014">
        <v>5</v>
      </c>
      <c r="C19" s="2014">
        <v>5</v>
      </c>
      <c r="E19" s="28"/>
      <c r="F19" s="2704" t="str">
        <f>IF(F14=$F$7,$G$6,IF(ROUNDDOWN(F14,0)=$F$6,$H$6,$G$6))</f>
        <v>　Level 5</v>
      </c>
      <c r="G19" s="2579" t="s">
        <v>2536</v>
      </c>
      <c r="H19" s="2580" t="s">
        <v>2537</v>
      </c>
      <c r="I19" s="2581" t="s">
        <v>2538</v>
      </c>
      <c r="J19" s="2581" t="s">
        <v>2539</v>
      </c>
      <c r="K19" s="2579" t="s">
        <v>2537</v>
      </c>
      <c r="L19" s="2704" t="str">
        <f>IF(L14=$F$7,$G$6,IF(ROUNDDOWN(L14,0)=$F$6,$H$6,$G$6))</f>
        <v>　Level 5</v>
      </c>
      <c r="M19" s="2584" t="s">
        <v>2542</v>
      </c>
      <c r="N19" s="2705"/>
      <c r="O19" s="2706"/>
    </row>
    <row r="20" spans="2:15">
      <c r="B20" s="2850">
        <v>0</v>
      </c>
      <c r="C20" s="2850">
        <v>0</v>
      </c>
      <c r="E20" s="28"/>
      <c r="F20" s="2067" t="s">
        <v>3045</v>
      </c>
      <c r="G20" s="2708"/>
      <c r="H20" s="2709"/>
      <c r="I20" s="2709"/>
      <c r="J20" s="2710"/>
      <c r="K20" s="2711"/>
    </row>
    <row r="21" spans="2:15" hidden="1">
      <c r="B21" s="2712"/>
      <c r="C21" s="2712"/>
      <c r="E21" s="28"/>
      <c r="F21" s="2585" t="s">
        <v>2543</v>
      </c>
      <c r="G21" s="2586"/>
      <c r="H21" s="2586"/>
      <c r="I21" s="2586"/>
      <c r="J21" s="2586"/>
      <c r="K21" s="2586"/>
      <c r="L21" s="2586"/>
      <c r="M21" s="2586"/>
      <c r="N21" s="2586"/>
      <c r="O21" s="2586"/>
    </row>
    <row r="22" spans="2:15" hidden="1">
      <c r="E22" s="28"/>
      <c r="F22" s="2587" t="s">
        <v>2544</v>
      </c>
      <c r="G22" s="2588">
        <v>20</v>
      </c>
      <c r="H22" s="2588">
        <v>25</v>
      </c>
      <c r="I22" s="2588">
        <v>30</v>
      </c>
      <c r="J22" s="2588">
        <v>35</v>
      </c>
      <c r="K22" s="2588">
        <v>40</v>
      </c>
      <c r="L22" s="2588">
        <v>45</v>
      </c>
      <c r="M22" s="2588">
        <v>50</v>
      </c>
      <c r="N22" s="2588">
        <v>55</v>
      </c>
      <c r="O22" s="2588">
        <v>60</v>
      </c>
    </row>
    <row r="23" spans="2:15" hidden="1">
      <c r="E23" s="28"/>
      <c r="F23" s="2587" t="s">
        <v>2545</v>
      </c>
      <c r="G23" s="2456" t="s">
        <v>2546</v>
      </c>
      <c r="H23" s="2456" t="s">
        <v>2547</v>
      </c>
      <c r="I23" s="2456" t="s">
        <v>2548</v>
      </c>
      <c r="J23" s="2456" t="s">
        <v>2549</v>
      </c>
      <c r="K23" s="2456" t="s">
        <v>2550</v>
      </c>
      <c r="L23" s="2456" t="s">
        <v>2551</v>
      </c>
      <c r="M23" s="2456" t="s">
        <v>2552</v>
      </c>
      <c r="N23" s="2456" t="s">
        <v>2553</v>
      </c>
      <c r="O23" s="2456" t="s">
        <v>2554</v>
      </c>
    </row>
    <row r="24" spans="2:15" hidden="1">
      <c r="E24" s="28"/>
      <c r="F24" s="2589" t="s">
        <v>2555</v>
      </c>
      <c r="G24" s="2590" t="s">
        <v>2556</v>
      </c>
      <c r="H24" s="2591" t="s">
        <v>2557</v>
      </c>
      <c r="I24" s="2591"/>
      <c r="J24" s="2591"/>
      <c r="K24" s="2591" t="s">
        <v>2558</v>
      </c>
      <c r="L24" s="2591"/>
      <c r="M24" s="2592" t="s">
        <v>2559</v>
      </c>
      <c r="N24" s="2591" t="s">
        <v>2560</v>
      </c>
      <c r="O24" s="2593"/>
    </row>
    <row r="25" spans="2:15" ht="13.15" hidden="1" customHeight="1">
      <c r="E25" s="28"/>
      <c r="F25" s="2594" t="s">
        <v>2561</v>
      </c>
      <c r="G25" s="2595"/>
      <c r="H25" s="2596"/>
      <c r="I25" s="2597" t="s">
        <v>2562</v>
      </c>
      <c r="J25" s="2597"/>
      <c r="K25" s="2598" t="s">
        <v>2563</v>
      </c>
      <c r="L25" s="2596"/>
      <c r="M25" s="2598" t="s">
        <v>2564</v>
      </c>
      <c r="N25" s="2596"/>
      <c r="O25" s="2599" t="s">
        <v>2565</v>
      </c>
    </row>
    <row r="26" spans="2:15" ht="22.5" hidden="1">
      <c r="E26" s="28"/>
      <c r="F26" s="2600" t="s">
        <v>2566</v>
      </c>
      <c r="G26" s="2601"/>
      <c r="H26" s="2602"/>
      <c r="I26" s="2603"/>
      <c r="J26" s="2602"/>
      <c r="K26" s="2604" t="s">
        <v>2567</v>
      </c>
      <c r="L26" s="2605" t="s">
        <v>2568</v>
      </c>
      <c r="M26" s="2604" t="s">
        <v>2569</v>
      </c>
      <c r="N26" s="2605" t="s">
        <v>2568</v>
      </c>
      <c r="O26" s="2606" t="s">
        <v>2570</v>
      </c>
    </row>
    <row r="27" spans="2:15" hidden="1">
      <c r="E27" s="28"/>
      <c r="F27" s="2607" t="s">
        <v>2571</v>
      </c>
      <c r="G27" s="2596" t="s">
        <v>2572</v>
      </c>
      <c r="H27" s="2596" t="s">
        <v>2573</v>
      </c>
      <c r="I27" s="2596" t="s">
        <v>2574</v>
      </c>
      <c r="J27" s="2596" t="s">
        <v>2575</v>
      </c>
      <c r="K27" s="2596" t="s">
        <v>5006</v>
      </c>
      <c r="L27" s="2596" t="s">
        <v>2576</v>
      </c>
      <c r="M27" s="2596"/>
      <c r="N27" s="2596"/>
      <c r="O27" s="2608"/>
    </row>
    <row r="28" spans="2:15" ht="24" hidden="1">
      <c r="E28" s="28"/>
      <c r="F28" s="2609" t="s">
        <v>2577</v>
      </c>
      <c r="G28" s="2468"/>
      <c r="H28" s="2468" t="s">
        <v>2578</v>
      </c>
      <c r="I28" s="2468"/>
      <c r="J28" s="2468"/>
      <c r="K28" s="2298"/>
      <c r="L28" s="2610"/>
      <c r="M28" s="2468"/>
      <c r="N28" s="2468"/>
      <c r="O28" s="2611"/>
    </row>
    <row r="29" spans="2:15" hidden="1">
      <c r="E29" s="28"/>
      <c r="F29" s="2609" t="s">
        <v>1981</v>
      </c>
      <c r="G29" s="2468"/>
      <c r="H29" s="2468" t="s">
        <v>2579</v>
      </c>
      <c r="I29" s="2468" t="s">
        <v>2580</v>
      </c>
      <c r="J29" s="2468" t="s">
        <v>2581</v>
      </c>
      <c r="K29" s="2468" t="s">
        <v>2582</v>
      </c>
      <c r="L29" s="2468"/>
      <c r="M29" s="2468" t="s">
        <v>2583</v>
      </c>
      <c r="N29" s="2468"/>
      <c r="O29" s="2611"/>
    </row>
    <row r="30" spans="2:15" hidden="1">
      <c r="E30" s="28"/>
      <c r="F30" s="2609" t="s">
        <v>2584</v>
      </c>
      <c r="G30" s="2468"/>
      <c r="H30" s="2468"/>
      <c r="I30" s="2468"/>
      <c r="J30" s="2468"/>
      <c r="K30" s="2468" t="s">
        <v>2585</v>
      </c>
      <c r="L30" s="2468"/>
      <c r="M30" s="2468"/>
      <c r="N30" s="2468"/>
      <c r="O30" s="2611"/>
    </row>
    <row r="31" spans="2:15" hidden="1">
      <c r="E31" s="28"/>
      <c r="F31" s="2609" t="s">
        <v>2586</v>
      </c>
      <c r="G31" s="2468"/>
      <c r="H31" s="2468" t="s">
        <v>2587</v>
      </c>
      <c r="I31" s="2468" t="s">
        <v>2588</v>
      </c>
      <c r="J31" s="2298" t="s">
        <v>2589</v>
      </c>
      <c r="K31" s="2468" t="s">
        <v>2590</v>
      </c>
      <c r="L31" s="2468" t="s">
        <v>2591</v>
      </c>
      <c r="M31" s="2610" t="s">
        <v>2592</v>
      </c>
      <c r="N31" s="2610"/>
      <c r="O31" s="2611"/>
    </row>
    <row r="32" spans="2:15" ht="24" hidden="1">
      <c r="E32" s="28"/>
      <c r="F32" s="2609" t="s">
        <v>2576</v>
      </c>
      <c r="G32" s="2468"/>
      <c r="H32" s="2468" t="s">
        <v>2593</v>
      </c>
      <c r="I32" s="2468"/>
      <c r="J32" s="2468"/>
      <c r="K32" s="2468"/>
      <c r="L32" s="2468"/>
      <c r="M32" s="2468"/>
      <c r="N32" s="2298"/>
      <c r="O32" s="2612"/>
    </row>
    <row r="33" spans="5:15" ht="24" hidden="1">
      <c r="E33" s="28"/>
      <c r="F33" s="2609" t="s">
        <v>2594</v>
      </c>
      <c r="G33" s="2468"/>
      <c r="H33" s="2468"/>
      <c r="I33" s="2468"/>
      <c r="J33" s="2468" t="s">
        <v>2595</v>
      </c>
      <c r="K33" s="2468" t="s">
        <v>2596</v>
      </c>
      <c r="L33" s="2468" t="s">
        <v>2597</v>
      </c>
      <c r="M33" s="2468" t="s">
        <v>2598</v>
      </c>
      <c r="N33" s="2468"/>
      <c r="O33" s="2611"/>
    </row>
    <row r="34" spans="5:15" ht="24" hidden="1">
      <c r="E34" s="28"/>
      <c r="F34" s="2613" t="s">
        <v>2599</v>
      </c>
      <c r="G34" s="2468"/>
      <c r="H34" s="2468"/>
      <c r="I34" s="2468"/>
      <c r="J34" s="2468" t="s">
        <v>2600</v>
      </c>
      <c r="K34" s="2614" t="s">
        <v>2601</v>
      </c>
      <c r="L34" s="2468" t="s">
        <v>2602</v>
      </c>
      <c r="M34" s="2610"/>
      <c r="N34" s="2610"/>
      <c r="O34" s="2615" t="s">
        <v>2603</v>
      </c>
    </row>
    <row r="35" spans="5:15" ht="24" hidden="1">
      <c r="E35" s="28"/>
      <c r="F35" s="2616" t="s">
        <v>2604</v>
      </c>
      <c r="G35" s="2602"/>
      <c r="H35" s="2602"/>
      <c r="I35" s="2602"/>
      <c r="J35" s="2602" t="s">
        <v>2605</v>
      </c>
      <c r="K35" s="2617"/>
      <c r="L35" s="2617"/>
      <c r="M35" s="2602"/>
      <c r="N35" s="2602"/>
      <c r="O35" s="2618"/>
    </row>
    <row r="36" spans="5:15" hidden="1">
      <c r="E36" s="28"/>
      <c r="F36" s="119"/>
      <c r="G36" s="2619"/>
      <c r="H36" s="2619"/>
      <c r="I36" s="2619"/>
      <c r="J36" s="2619"/>
      <c r="K36" s="2619"/>
      <c r="L36" s="2619"/>
      <c r="M36" s="2619"/>
      <c r="N36" s="2619"/>
      <c r="O36" s="1516" t="s">
        <v>2606</v>
      </c>
    </row>
    <row r="37" spans="5:15" hidden="1">
      <c r="E37" s="28"/>
      <c r="F37" s="119"/>
      <c r="G37" s="2713"/>
      <c r="H37" s="2713"/>
      <c r="I37" s="2713"/>
      <c r="J37" s="2713"/>
      <c r="K37" s="2713"/>
      <c r="L37" s="2713"/>
      <c r="M37" s="2713"/>
      <c r="N37" s="2713"/>
      <c r="O37" s="2713"/>
    </row>
    <row r="38" spans="5:15" ht="15" hidden="1">
      <c r="E38" s="28"/>
      <c r="F38" s="547" t="s">
        <v>563</v>
      </c>
      <c r="G38" s="2672"/>
      <c r="H38" s="2714"/>
      <c r="I38" s="2715"/>
      <c r="J38" s="2674" t="str">
        <f>IF(OR(F40=0,AND(J39=0,O39=0)),$L$3,"")</f>
        <v>&lt;N.A.&gt;</v>
      </c>
      <c r="K38" s="2715"/>
      <c r="L38" s="2672"/>
      <c r="M38" s="2714"/>
      <c r="N38" s="2715"/>
      <c r="O38" s="2674"/>
    </row>
    <row r="39" spans="5:15" ht="15" hidden="1" thickBot="1">
      <c r="E39" s="28"/>
      <c r="F39" s="2655" t="s">
        <v>2613</v>
      </c>
      <c r="G39" s="2688"/>
      <c r="H39" s="2689"/>
      <c r="I39" s="2690" t="s">
        <v>2629</v>
      </c>
      <c r="J39" s="2692">
        <f>Weight!M13</f>
        <v>0</v>
      </c>
      <c r="K39" s="2655" t="s">
        <v>2615</v>
      </c>
      <c r="L39" s="2688"/>
      <c r="M39" s="2689"/>
      <c r="N39" s="2690" t="s">
        <v>2629</v>
      </c>
      <c r="O39" s="2692">
        <f>Weight!N13</f>
        <v>0</v>
      </c>
    </row>
    <row r="40" spans="5:15" ht="15" hidden="1" thickBot="1">
      <c r="E40" s="28"/>
      <c r="F40" s="2716">
        <f>IF(J39=0,0,F51)</f>
        <v>0</v>
      </c>
      <c r="G40" s="2697" t="s">
        <v>4119</v>
      </c>
      <c r="H40" s="2697"/>
      <c r="I40" s="4014" t="s">
        <v>4091</v>
      </c>
      <c r="J40" s="4015"/>
      <c r="K40" s="2716">
        <f>IF(O39=0,0,IF(O51+K63=0,0,ROUND(G51*O51/(O51+K63)+G63*K63/(O51+K63),0)))</f>
        <v>0</v>
      </c>
      <c r="L40" s="2717" t="s">
        <v>4079</v>
      </c>
      <c r="M40" s="2718" t="s">
        <v>4080</v>
      </c>
      <c r="N40" s="4012" t="s">
        <v>3061</v>
      </c>
      <c r="O40" s="4013"/>
    </row>
    <row r="41" spans="5:15" ht="56.25" hidden="1">
      <c r="E41" s="28"/>
      <c r="F41" s="2702" t="str">
        <f>IF(F40=$F$7,$G$2,IF(ROUNDDOWN(F40,0)=$F$2,$H$2,$G$2))</f>
        <v>　Level 1</v>
      </c>
      <c r="G41" s="3948" t="s">
        <v>3062</v>
      </c>
      <c r="H41" s="3989"/>
      <c r="I41" s="3948" t="s">
        <v>3062</v>
      </c>
      <c r="J41" s="3989"/>
      <c r="K41" s="2702" t="str">
        <f>IF(K40=$F$7,$G$2,IF(ROUNDDOWN(K40,0)=$F$2,$H$2,$G$2))</f>
        <v>　Level 1</v>
      </c>
      <c r="L41" s="2720" t="s">
        <v>3062</v>
      </c>
      <c r="M41" s="2720" t="s">
        <v>3062</v>
      </c>
      <c r="N41" s="3948" t="s">
        <v>3062</v>
      </c>
      <c r="O41" s="3950"/>
    </row>
    <row r="42" spans="5:15" ht="57" hidden="1">
      <c r="E42" s="28"/>
      <c r="F42" s="2702" t="str">
        <f>IF(F40=$F$7,$G$3,IF(ROUNDDOWN(F40,0)=$F$3,$H$3,$G$3))</f>
        <v>　Level 2</v>
      </c>
      <c r="G42" s="3808" t="s">
        <v>3063</v>
      </c>
      <c r="H42" s="3943"/>
      <c r="I42" s="3808" t="s">
        <v>3064</v>
      </c>
      <c r="J42" s="3943"/>
      <c r="K42" s="2702" t="str">
        <f>IF(K40=$F$7,$G$3,IF(ROUNDDOWN(K40,0)=$F$3,$H$3,$G$3))</f>
        <v>　Level 2</v>
      </c>
      <c r="L42" s="2721" t="s">
        <v>3063</v>
      </c>
      <c r="M42" s="2721" t="s">
        <v>3064</v>
      </c>
      <c r="N42" s="3808"/>
      <c r="O42" s="3944"/>
    </row>
    <row r="43" spans="5:15" ht="57" hidden="1">
      <c r="E43" s="28"/>
      <c r="F43" s="2702" t="str">
        <f>IF(F40=$F$7,$G$4,IF(ROUNDDOWN(F40,0)=$F$4,$H$4,$G$4))</f>
        <v>　Level 3</v>
      </c>
      <c r="G43" s="3808" t="s">
        <v>3065</v>
      </c>
      <c r="H43" s="3943"/>
      <c r="I43" s="3808" t="s">
        <v>3066</v>
      </c>
      <c r="J43" s="3943"/>
      <c r="K43" s="2702" t="str">
        <f>IF(K40=$F$7,$G$4,IF(ROUNDDOWN(K40,0)=$F$4,$H$4,$G$4))</f>
        <v>　Level 3</v>
      </c>
      <c r="L43" s="2721" t="s">
        <v>3065</v>
      </c>
      <c r="M43" s="2721" t="s">
        <v>3066</v>
      </c>
      <c r="N43" s="3808" t="s">
        <v>3067</v>
      </c>
      <c r="O43" s="3944"/>
    </row>
    <row r="44" spans="5:15" ht="57" hidden="1">
      <c r="E44" s="28"/>
      <c r="F44" s="2702" t="str">
        <f>IF(F40=$F$7,$G$5,IF(ROUNDDOWN(F40,0)=$F$5,$H$5,$G$5))</f>
        <v>　Level 4</v>
      </c>
      <c r="G44" s="3808" t="s">
        <v>3068</v>
      </c>
      <c r="H44" s="3943"/>
      <c r="I44" s="3808" t="s">
        <v>3069</v>
      </c>
      <c r="J44" s="3943"/>
      <c r="K44" s="2702" t="str">
        <f>IF(K40=$F$7,$G$5,IF(ROUNDDOWN(K40,0)=$F$5,$H$5,$G$5))</f>
        <v>　Level 4</v>
      </c>
      <c r="L44" s="2721" t="s">
        <v>3068</v>
      </c>
      <c r="M44" s="2721" t="s">
        <v>3069</v>
      </c>
      <c r="N44" s="3808"/>
      <c r="O44" s="3944"/>
    </row>
    <row r="45" spans="5:15" ht="56.25" hidden="1">
      <c r="E45" s="1529"/>
      <c r="F45" s="2704" t="str">
        <f>IF(F40=$F$7,$G$6,IF(ROUNDDOWN(F40,0)=$F$6,$H$6,$G$6))</f>
        <v>　Level 5</v>
      </c>
      <c r="G45" s="3937" t="s">
        <v>3070</v>
      </c>
      <c r="H45" s="3938"/>
      <c r="I45" s="3937" t="s">
        <v>3070</v>
      </c>
      <c r="J45" s="3938"/>
      <c r="K45" s="2704" t="str">
        <f>IF(K40=$F$7,$G$6,IF(ROUNDDOWN(K40,0)=$F$6,$H$6,$G$6))</f>
        <v>　Level 5</v>
      </c>
      <c r="L45" s="2722" t="s">
        <v>3070</v>
      </c>
      <c r="M45" s="2722" t="s">
        <v>3070</v>
      </c>
      <c r="N45" s="3937" t="s">
        <v>3070</v>
      </c>
      <c r="O45" s="3939"/>
    </row>
    <row r="46" spans="5:15" ht="15" hidden="1" thickBot="1">
      <c r="E46" s="2723"/>
      <c r="F46" s="2724" t="s">
        <v>4062</v>
      </c>
      <c r="G46" s="2725"/>
      <c r="H46" s="2725"/>
      <c r="I46" s="2725"/>
      <c r="J46" s="2725"/>
      <c r="K46" s="2726"/>
      <c r="L46" s="2726"/>
      <c r="M46" s="2725"/>
      <c r="N46" s="2725"/>
      <c r="O46" s="2725"/>
    </row>
    <row r="47" spans="5:15" ht="15" hidden="1" thickBot="1">
      <c r="E47" s="2723"/>
      <c r="F47" s="2727"/>
      <c r="G47" s="2726" t="s">
        <v>3071</v>
      </c>
      <c r="H47" s="2726"/>
      <c r="I47" s="2728"/>
      <c r="J47" s="2726"/>
      <c r="K47" s="2726"/>
      <c r="L47" s="2726"/>
      <c r="M47" s="2726"/>
      <c r="N47" s="2726"/>
      <c r="O47" s="2726"/>
    </row>
    <row r="48" spans="5:15" ht="15.75" hidden="1">
      <c r="E48" s="397"/>
      <c r="F48" s="397"/>
      <c r="G48" s="398"/>
      <c r="H48" s="398"/>
      <c r="I48" s="398"/>
      <c r="J48" s="2725"/>
      <c r="K48" s="2726"/>
      <c r="L48" s="2726"/>
      <c r="M48" s="2726"/>
      <c r="N48" s="2726"/>
      <c r="O48" s="2726"/>
    </row>
    <row r="49" spans="2:15" ht="15" hidden="1" thickBot="1">
      <c r="E49" s="2723"/>
      <c r="F49" s="2729" t="s">
        <v>2614</v>
      </c>
      <c r="G49" s="2730" t="s">
        <v>2615</v>
      </c>
      <c r="H49" s="2726"/>
      <c r="I49" s="2726"/>
      <c r="J49" s="2725"/>
      <c r="K49" s="2726"/>
      <c r="L49" s="2726"/>
      <c r="M49" s="2726"/>
      <c r="N49" s="2726"/>
      <c r="O49" s="2726"/>
    </row>
    <row r="50" spans="2:15" ht="15" hidden="1" thickBot="1">
      <c r="E50" s="2723"/>
      <c r="F50" s="2656">
        <v>0</v>
      </c>
      <c r="G50" s="2656">
        <v>0</v>
      </c>
      <c r="H50" s="2731" t="s">
        <v>3072</v>
      </c>
      <c r="I50" s="2732" t="s">
        <v>702</v>
      </c>
      <c r="J50" s="2726"/>
      <c r="K50" s="2725"/>
      <c r="L50" s="2726"/>
      <c r="M50" s="2726"/>
      <c r="N50" s="2726"/>
      <c r="O50" s="2726"/>
    </row>
    <row r="51" spans="2:15" ht="15" hidden="1" thickBot="1">
      <c r="B51" s="2014">
        <v>1</v>
      </c>
      <c r="C51" s="2014">
        <v>1</v>
      </c>
      <c r="E51" s="2723"/>
      <c r="F51" s="2696">
        <f>IF(I50=N4,F50,IF(AND(M51&lt;2000,F47=M3),IF($F$60&lt;1,1,IF($F$60&lt;2,2,IF($F$60&lt;3,3,IF($F$60&lt;4,4,5)))),IF($F$60&lt;2,1,IF($F$60&lt;4,2,IF($F$60&lt;6,3,IF($F$60&lt;8,4,5))))))</f>
        <v>1</v>
      </c>
      <c r="G51" s="2696">
        <f>IF(I50=N4,G50,IF(AND(M51&lt;2000,F47=M3),IF($G$60&lt;1,1,IF($G$60&lt;2,2,IF($G$60&lt;3,3,IF($G$60&lt;4,4,5)))),IF($G$60&lt;2,1,IF($G$60&lt;4,2,IF($G$60&lt;6,3,IF($G$60&lt;8,4,5))))))</f>
        <v>1</v>
      </c>
      <c r="H51" s="2697" t="s">
        <v>3073</v>
      </c>
      <c r="I51" s="2689"/>
      <c r="J51" s="2733" t="s">
        <v>3074</v>
      </c>
      <c r="K51" s="2734"/>
      <c r="L51" s="2735" t="s">
        <v>3075</v>
      </c>
      <c r="M51" s="2736">
        <f>Main!C19</f>
        <v>7000</v>
      </c>
      <c r="N51" s="2737" t="s">
        <v>2616</v>
      </c>
      <c r="O51" s="2738">
        <f>Main!L69-Main!L67</f>
        <v>0</v>
      </c>
    </row>
    <row r="52" spans="2:15" hidden="1">
      <c r="B52" s="2014">
        <v>2</v>
      </c>
      <c r="C52" s="2014">
        <v>2</v>
      </c>
      <c r="E52" s="28"/>
      <c r="F52" s="2739" t="s">
        <v>3076</v>
      </c>
      <c r="G52" s="2739" t="s">
        <v>3076</v>
      </c>
      <c r="H52" s="4020" t="s">
        <v>3077</v>
      </c>
      <c r="I52" s="4021"/>
      <c r="J52" s="4016" t="s">
        <v>3078</v>
      </c>
      <c r="K52" s="4006"/>
      <c r="L52" s="2586"/>
      <c r="M52" s="2586"/>
      <c r="N52" s="2586"/>
      <c r="O52" s="2586"/>
    </row>
    <row r="53" spans="2:15" hidden="1">
      <c r="B53" s="2014">
        <v>3</v>
      </c>
      <c r="C53" s="2014">
        <v>3</v>
      </c>
      <c r="E53" s="28"/>
      <c r="F53" s="2740" t="s">
        <v>3079</v>
      </c>
      <c r="G53" s="2740" t="s">
        <v>3079</v>
      </c>
      <c r="H53" s="2741" t="s">
        <v>3080</v>
      </c>
      <c r="I53" s="2742"/>
      <c r="J53" s="2743" t="s">
        <v>3081</v>
      </c>
      <c r="K53" s="2742"/>
      <c r="L53" s="2586"/>
      <c r="M53" s="2586"/>
      <c r="N53" s="2586"/>
      <c r="O53" s="2586"/>
    </row>
    <row r="54" spans="2:15" hidden="1">
      <c r="B54" s="2014">
        <v>4</v>
      </c>
      <c r="C54" s="2014">
        <v>4</v>
      </c>
      <c r="E54" s="28"/>
      <c r="F54" s="2740" t="s">
        <v>3076</v>
      </c>
      <c r="G54" s="2740" t="s">
        <v>3079</v>
      </c>
      <c r="H54" s="2741" t="s">
        <v>3082</v>
      </c>
      <c r="I54" s="2742"/>
      <c r="J54" s="2743" t="s">
        <v>3083</v>
      </c>
      <c r="K54" s="2742"/>
      <c r="L54" s="2689" t="s">
        <v>4063</v>
      </c>
      <c r="M54" s="2689"/>
      <c r="N54" s="2689"/>
      <c r="O54" s="2744"/>
    </row>
    <row r="55" spans="2:15" hidden="1">
      <c r="B55" s="2014">
        <v>5</v>
      </c>
      <c r="C55" s="2014">
        <v>5</v>
      </c>
      <c r="E55" s="28"/>
      <c r="F55" s="2740" t="s">
        <v>3079</v>
      </c>
      <c r="G55" s="2740" t="s">
        <v>3076</v>
      </c>
      <c r="H55" s="2741" t="s">
        <v>3084</v>
      </c>
      <c r="I55" s="2742"/>
      <c r="J55" s="2743" t="s">
        <v>3085</v>
      </c>
      <c r="K55" s="2742"/>
      <c r="L55" s="2697" t="s">
        <v>3073</v>
      </c>
      <c r="M55" s="2698"/>
      <c r="N55" s="2745" t="s">
        <v>3074</v>
      </c>
      <c r="O55" s="2734"/>
    </row>
    <row r="56" spans="2:15" hidden="1">
      <c r="B56" s="2707">
        <v>0</v>
      </c>
      <c r="C56" s="2707">
        <v>0</v>
      </c>
      <c r="E56" s="28"/>
      <c r="F56" s="2740" t="s">
        <v>3079</v>
      </c>
      <c r="G56" s="2740" t="s">
        <v>3076</v>
      </c>
      <c r="H56" s="2741" t="s">
        <v>3086</v>
      </c>
      <c r="I56" s="2742"/>
      <c r="J56" s="4016" t="s">
        <v>3087</v>
      </c>
      <c r="K56" s="4021"/>
      <c r="L56" s="4005" t="s">
        <v>3088</v>
      </c>
      <c r="M56" s="4021"/>
      <c r="N56" s="4016" t="s">
        <v>3089</v>
      </c>
      <c r="O56" s="4006"/>
    </row>
    <row r="57" spans="2:15" hidden="1">
      <c r="E57" s="28"/>
      <c r="F57" s="2740" t="s">
        <v>3079</v>
      </c>
      <c r="G57" s="2740" t="s">
        <v>3076</v>
      </c>
      <c r="H57" s="2741" t="s">
        <v>3084</v>
      </c>
      <c r="I57" s="2742"/>
      <c r="J57" s="4016" t="s">
        <v>4075</v>
      </c>
      <c r="K57" s="4017"/>
      <c r="L57" s="4005" t="s">
        <v>3090</v>
      </c>
      <c r="M57" s="4006"/>
      <c r="N57" s="4016" t="s">
        <v>4076</v>
      </c>
      <c r="O57" s="4006"/>
    </row>
    <row r="58" spans="2:15" hidden="1">
      <c r="E58" s="28"/>
      <c r="F58" s="2740" t="s">
        <v>3076</v>
      </c>
      <c r="G58" s="2740" t="s">
        <v>3079</v>
      </c>
      <c r="H58" s="2741" t="s">
        <v>3091</v>
      </c>
      <c r="I58" s="2742"/>
      <c r="J58" s="2743" t="s">
        <v>3092</v>
      </c>
      <c r="K58" s="2742"/>
      <c r="L58" s="4005" t="s">
        <v>3093</v>
      </c>
      <c r="M58" s="4006"/>
      <c r="N58" s="4016" t="s">
        <v>3094</v>
      </c>
      <c r="O58" s="4006"/>
    </row>
    <row r="59" spans="2:15" ht="15" hidden="1" thickBot="1">
      <c r="E59" s="28"/>
      <c r="F59" s="2746" t="s">
        <v>3079</v>
      </c>
      <c r="G59" s="2746" t="s">
        <v>3079</v>
      </c>
      <c r="H59" s="2741" t="s">
        <v>3095</v>
      </c>
      <c r="I59" s="2742"/>
      <c r="J59" s="2743" t="s">
        <v>3096</v>
      </c>
      <c r="K59" s="2742"/>
      <c r="L59" s="4005" t="s">
        <v>3097</v>
      </c>
      <c r="M59" s="4006"/>
      <c r="N59" s="4016" t="s">
        <v>3098</v>
      </c>
      <c r="O59" s="4006"/>
    </row>
    <row r="60" spans="2:15" hidden="1">
      <c r="E60" s="28"/>
      <c r="F60" s="2747">
        <f>IF(F47=M3,COUNTIF(F56:F59,M3),COUNTIF(F52:F59,M3))</f>
        <v>0</v>
      </c>
      <c r="G60" s="2748">
        <f>IF(F47=M3,COUNTIF(G56:G59,M3),COUNTIF(G52:G59,M3))</f>
        <v>0</v>
      </c>
      <c r="H60" s="2586" t="s">
        <v>3099</v>
      </c>
      <c r="I60" s="2749"/>
      <c r="J60" s="2749"/>
      <c r="K60" s="2749"/>
      <c r="L60" s="2726"/>
      <c r="M60" s="2726"/>
      <c r="N60" s="2726"/>
      <c r="O60" s="2726"/>
    </row>
    <row r="61" spans="2:15" ht="15" hidden="1" thickBot="1">
      <c r="E61" s="28"/>
      <c r="F61" s="1529"/>
      <c r="G61" s="2750" t="s">
        <v>3100</v>
      </c>
      <c r="H61" s="2586"/>
      <c r="I61" s="2749"/>
      <c r="J61" s="2749"/>
      <c r="K61" s="2726"/>
      <c r="L61" s="2726"/>
      <c r="M61" s="2726"/>
      <c r="N61" s="2726"/>
      <c r="O61" s="2726"/>
    </row>
    <row r="62" spans="2:15" ht="16.5" hidden="1" thickBot="1">
      <c r="E62" s="395"/>
      <c r="F62" s="1529"/>
      <c r="G62" s="2656">
        <v>0</v>
      </c>
      <c r="H62" s="2731" t="s">
        <v>3072</v>
      </c>
      <c r="I62" s="2732" t="s">
        <v>702</v>
      </c>
      <c r="J62" s="2726"/>
      <c r="K62" s="2726"/>
      <c r="L62" s="2586"/>
      <c r="M62" s="2586"/>
      <c r="N62" s="2586"/>
      <c r="O62" s="2586"/>
    </row>
    <row r="63" spans="2:15" ht="15.75" hidden="1">
      <c r="B63" s="2014">
        <v>1</v>
      </c>
      <c r="C63" s="2014">
        <v>1</v>
      </c>
      <c r="E63" s="395"/>
      <c r="F63" s="2751"/>
      <c r="G63" s="4023">
        <f>IF(I62=N4,G62,IF($G$70&lt;2,1,IF($G$70&lt;2,2,IF($G$70&lt;4,3,IF($G$70&lt;5,4,5)))))</f>
        <v>1</v>
      </c>
      <c r="H63" s="2752" t="s">
        <v>3101</v>
      </c>
      <c r="I63" s="2752"/>
      <c r="J63" s="2752" t="s">
        <v>2616</v>
      </c>
      <c r="K63" s="2738">
        <f>Main!L67</f>
        <v>0</v>
      </c>
      <c r="L63" s="2726"/>
      <c r="M63" s="2726"/>
      <c r="N63" s="2726"/>
      <c r="O63" s="2726"/>
    </row>
    <row r="64" spans="2:15" ht="16.5" hidden="1" thickBot="1">
      <c r="B64" s="2014">
        <v>2</v>
      </c>
      <c r="C64" s="2014">
        <v>2</v>
      </c>
      <c r="E64" s="395"/>
      <c r="F64" s="2751"/>
      <c r="G64" s="4023"/>
      <c r="H64" s="2697" t="s">
        <v>3073</v>
      </c>
      <c r="I64" s="2697"/>
      <c r="J64" s="2745" t="s">
        <v>3074</v>
      </c>
      <c r="K64" s="2734"/>
      <c r="L64" s="2726"/>
      <c r="M64" s="2726"/>
      <c r="N64" s="2726"/>
      <c r="O64" s="2726"/>
    </row>
    <row r="65" spans="2:15" ht="15.75" hidden="1">
      <c r="B65" s="2014">
        <v>3</v>
      </c>
      <c r="C65" s="2014">
        <v>3</v>
      </c>
      <c r="E65" s="395"/>
      <c r="F65" s="1529"/>
      <c r="G65" s="2739" t="s">
        <v>3079</v>
      </c>
      <c r="H65" s="4020" t="s">
        <v>3102</v>
      </c>
      <c r="I65" s="4006"/>
      <c r="J65" s="4016" t="s">
        <v>3103</v>
      </c>
      <c r="K65" s="4006"/>
      <c r="L65" s="2586"/>
      <c r="M65" s="2586"/>
      <c r="N65" s="2586"/>
      <c r="O65" s="2586"/>
    </row>
    <row r="66" spans="2:15" ht="15.75" hidden="1">
      <c r="B66" s="2014">
        <v>4</v>
      </c>
      <c r="C66" s="2014">
        <v>4</v>
      </c>
      <c r="E66" s="395"/>
      <c r="F66" s="1529"/>
      <c r="G66" s="2740" t="s">
        <v>3079</v>
      </c>
      <c r="H66" s="2741" t="s">
        <v>3104</v>
      </c>
      <c r="I66" s="2742"/>
      <c r="J66" s="4016" t="s">
        <v>3105</v>
      </c>
      <c r="K66" s="4006"/>
      <c r="L66" s="2586"/>
      <c r="M66" s="2586"/>
      <c r="N66" s="2586"/>
      <c r="O66" s="2586"/>
    </row>
    <row r="67" spans="2:15" ht="15.75" hidden="1">
      <c r="B67" s="2014">
        <v>5</v>
      </c>
      <c r="C67" s="2014">
        <v>5</v>
      </c>
      <c r="E67" s="395"/>
      <c r="F67" s="1529"/>
      <c r="G67" s="2740"/>
      <c r="H67" s="2741" t="s">
        <v>3106</v>
      </c>
      <c r="I67" s="2742"/>
      <c r="J67" s="4016" t="s">
        <v>3107</v>
      </c>
      <c r="K67" s="4006"/>
      <c r="L67" s="2586"/>
      <c r="M67" s="2586"/>
      <c r="N67" s="2586"/>
      <c r="O67" s="2586"/>
    </row>
    <row r="68" spans="2:15" ht="15.75" hidden="1">
      <c r="B68" s="2707">
        <v>0</v>
      </c>
      <c r="C68" s="2707">
        <v>0</v>
      </c>
      <c r="E68" s="395"/>
      <c r="F68" s="1529"/>
      <c r="G68" s="2740" t="s">
        <v>3076</v>
      </c>
      <c r="H68" s="2741" t="s">
        <v>3108</v>
      </c>
      <c r="I68" s="2742"/>
      <c r="J68" s="4016" t="s">
        <v>3109</v>
      </c>
      <c r="K68" s="4006"/>
      <c r="L68" s="2586"/>
      <c r="M68" s="2586"/>
      <c r="N68" s="2586"/>
      <c r="O68" s="2586"/>
    </row>
    <row r="69" spans="2:15" ht="16.5" hidden="1" thickBot="1">
      <c r="E69" s="395"/>
      <c r="F69" s="1529"/>
      <c r="G69" s="2746" t="s">
        <v>3079</v>
      </c>
      <c r="H69" s="2741" t="s">
        <v>3110</v>
      </c>
      <c r="I69" s="2742"/>
      <c r="J69" s="4016" t="s">
        <v>3107</v>
      </c>
      <c r="K69" s="4006"/>
      <c r="L69" s="2586"/>
      <c r="M69" s="2586"/>
      <c r="N69" s="2586"/>
      <c r="O69" s="2586"/>
    </row>
    <row r="70" spans="2:15" ht="15.75" hidden="1">
      <c r="E70" s="395"/>
      <c r="F70" s="1529"/>
      <c r="G70" s="2748">
        <f>COUNTIF(G65:G69,M3)</f>
        <v>0</v>
      </c>
      <c r="H70" s="2586" t="s">
        <v>3099</v>
      </c>
      <c r="I70" s="399"/>
      <c r="J70" s="2586"/>
      <c r="K70" s="2586"/>
      <c r="L70" s="2586"/>
      <c r="M70" s="2586"/>
      <c r="N70" s="2586"/>
      <c r="O70" s="2586"/>
    </row>
    <row r="71" spans="2:15" ht="15.75">
      <c r="E71" s="395"/>
    </row>
    <row r="72" spans="2:15" ht="15.75">
      <c r="D72" s="393">
        <v>1.2</v>
      </c>
      <c r="E72" s="395" t="s">
        <v>2610</v>
      </c>
    </row>
    <row r="73" spans="2:15" ht="15.75">
      <c r="D73" s="393"/>
      <c r="E73" s="1529"/>
      <c r="F73" s="396" t="s">
        <v>2609</v>
      </c>
    </row>
    <row r="74" spans="2:15" ht="24.6" customHeight="1" thickBot="1">
      <c r="D74" s="395"/>
      <c r="E74" s="119"/>
      <c r="F74" s="2843" t="s">
        <v>2613</v>
      </c>
      <c r="G74" s="2688"/>
      <c r="H74" s="2689"/>
      <c r="I74" s="2842" t="s">
        <v>2629</v>
      </c>
      <c r="J74" s="2845">
        <f>Weight!M15</f>
        <v>0.6</v>
      </c>
      <c r="K74" s="2843" t="s">
        <v>2615</v>
      </c>
      <c r="L74" s="2688"/>
      <c r="M74" s="2689"/>
      <c r="N74" s="2842" t="s">
        <v>2629</v>
      </c>
      <c r="O74" s="2845">
        <f>Weight!N15</f>
        <v>0</v>
      </c>
    </row>
    <row r="75" spans="2:15" ht="27" customHeight="1" thickBot="1">
      <c r="D75" s="395"/>
      <c r="E75" s="119"/>
      <c r="F75" s="2693">
        <v>3</v>
      </c>
      <c r="G75" s="2753" t="s">
        <v>2619</v>
      </c>
      <c r="H75" s="2697"/>
      <c r="I75" s="2697"/>
      <c r="J75" s="2698"/>
      <c r="K75" s="2693">
        <v>0</v>
      </c>
      <c r="L75" s="2753" t="s">
        <v>2617</v>
      </c>
      <c r="M75" s="2697"/>
      <c r="N75" s="2697"/>
      <c r="O75" s="2698"/>
    </row>
    <row r="76" spans="2:15" ht="15.75" hidden="1">
      <c r="B76" s="2014">
        <v>1</v>
      </c>
      <c r="C76" s="2014">
        <v>1</v>
      </c>
      <c r="D76" s="395"/>
      <c r="E76" s="119"/>
      <c r="F76" s="2754"/>
      <c r="G76" s="2753" t="s">
        <v>3111</v>
      </c>
      <c r="H76" s="2697"/>
      <c r="I76" s="2697"/>
      <c r="J76" s="2698"/>
      <c r="K76" s="2754"/>
      <c r="L76" s="2753" t="s">
        <v>3111</v>
      </c>
      <c r="M76" s="2697"/>
      <c r="N76" s="2697"/>
      <c r="O76" s="2698"/>
    </row>
    <row r="77" spans="2:15" ht="15.75" hidden="1">
      <c r="B77" s="2014" t="s">
        <v>703</v>
      </c>
      <c r="C77" s="2014" t="s">
        <v>49</v>
      </c>
      <c r="D77" s="395"/>
      <c r="E77" s="119"/>
      <c r="F77" s="2702" t="str">
        <f>IF(F75=$F$7,$G$2,IF(AND($O$9=$O$3,ROUNDDOWN(F75,0)=$F$2),$H$2,$G$2))</f>
        <v>　Level 1</v>
      </c>
      <c r="G77" s="2755" t="s">
        <v>3112</v>
      </c>
      <c r="H77" s="2700"/>
      <c r="I77" s="2700"/>
      <c r="J77" s="2701"/>
      <c r="K77" s="2702" t="str">
        <f>IF(K75=$F$7,$G$2,IF(AND($O$9=$O$3,ROUNDDOWN(K75,0)=$F$2),$H$2,$G$2))</f>
        <v>　Level 1</v>
      </c>
      <c r="L77" s="2755" t="s">
        <v>3113</v>
      </c>
      <c r="M77" s="2700"/>
      <c r="N77" s="2700"/>
      <c r="O77" s="2701"/>
    </row>
    <row r="78" spans="2:15" ht="15.75" hidden="1">
      <c r="B78" s="2014">
        <v>3</v>
      </c>
      <c r="C78" s="2014">
        <v>3</v>
      </c>
      <c r="D78" s="395"/>
      <c r="E78" s="119"/>
      <c r="F78" s="2702" t="str">
        <f>IF(F75=$F$7,$G$3,IF(AND($O$9=$O$3,ROUNDDOWN(F75,0)=$F$3),$H$3,$G$3))</f>
        <v>　Level 2</v>
      </c>
      <c r="G78" s="1170"/>
      <c r="H78" s="2333"/>
      <c r="I78" s="2333"/>
      <c r="J78" s="2703"/>
      <c r="K78" s="2702" t="str">
        <f>IF(K75=$F$7,$G$3,IF(AND($O$9=$O$3,ROUNDDOWN(K75,0)=$F$3),$H$3,$G$3))</f>
        <v>　Level 2</v>
      </c>
      <c r="L78" s="1170"/>
      <c r="M78" s="2333"/>
      <c r="N78" s="2333"/>
      <c r="O78" s="2703"/>
    </row>
    <row r="79" spans="2:15" ht="15.75" hidden="1">
      <c r="B79" s="2014" t="s">
        <v>703</v>
      </c>
      <c r="C79" s="2014" t="s">
        <v>703</v>
      </c>
      <c r="D79" s="395"/>
      <c r="E79" s="119"/>
      <c r="F79" s="2702" t="str">
        <f>IF(F75=$F$7,$G$4,IF(AND($O$9=$O$3,ROUNDDOWN(F75,0)=$F$4),$H$4,$G$4))</f>
        <v>　Level 3</v>
      </c>
      <c r="G79" s="1170" t="s">
        <v>3114</v>
      </c>
      <c r="H79" s="2333"/>
      <c r="I79" s="2333"/>
      <c r="J79" s="2703"/>
      <c r="K79" s="2702" t="str">
        <f>IF(K75=$F$7,$G$4,IF(AND($O$9=$O$3,ROUNDDOWN(K75,0)=$F$4),$H$4,$G$4))</f>
        <v>　Level 3</v>
      </c>
      <c r="L79" s="1170" t="s">
        <v>3115</v>
      </c>
      <c r="M79" s="2333"/>
      <c r="N79" s="2333"/>
      <c r="O79" s="2703"/>
    </row>
    <row r="80" spans="2:15" ht="15.75" hidden="1">
      <c r="B80" s="2014">
        <v>5</v>
      </c>
      <c r="C80" s="2014">
        <v>5</v>
      </c>
      <c r="D80" s="395"/>
      <c r="E80" s="119"/>
      <c r="F80" s="2702" t="str">
        <f>IF(F75=$F$7,$G$5,IF(AND($O$9=$O$3,ROUNDDOWN(F75,0)=$F$5),$H$5,$G$5))</f>
        <v>　Level 4</v>
      </c>
      <c r="G80" s="1170"/>
      <c r="H80" s="2333"/>
      <c r="I80" s="2333"/>
      <c r="J80" s="2703"/>
      <c r="K80" s="2702" t="str">
        <f>IF(K75=$F$7,$G$5,IF(AND($O$9=$O$3,ROUNDDOWN(K75,0)=$F$5),$H$5,$G$5))</f>
        <v>　Level 4</v>
      </c>
      <c r="L80" s="1170"/>
      <c r="M80" s="2333"/>
      <c r="N80" s="2333"/>
      <c r="O80" s="2703"/>
    </row>
    <row r="81" spans="2:15" ht="15.75" hidden="1">
      <c r="B81" s="2850">
        <v>0</v>
      </c>
      <c r="C81" s="2850">
        <v>0</v>
      </c>
      <c r="D81" s="395"/>
      <c r="E81" s="119"/>
      <c r="F81" s="2704" t="str">
        <f>IF(F75=$F$7,$G$6,IF(AND($O$9=$O$3,ROUNDDOWN(F75,0)=$F$6),$H$6,$G$6))</f>
        <v>　Level 5</v>
      </c>
      <c r="G81" s="2756" t="s">
        <v>3116</v>
      </c>
      <c r="H81" s="2705"/>
      <c r="I81" s="2705"/>
      <c r="J81" s="2706"/>
      <c r="K81" s="2704" t="str">
        <f>IF(K75=$F$7,$G$6,IF(AND($O$9=$O$3,ROUNDDOWN(K75,0)=$F$6),$H$6,$G$6))</f>
        <v>　Level 5</v>
      </c>
      <c r="L81" s="2756" t="s">
        <v>3117</v>
      </c>
      <c r="M81" s="2705"/>
      <c r="N81" s="2705"/>
      <c r="O81" s="2706"/>
    </row>
    <row r="82" spans="2:15" ht="15.75" hidden="1">
      <c r="D82" s="395"/>
      <c r="E82" s="28"/>
      <c r="F82" s="2753"/>
      <c r="G82" s="2753" t="s">
        <v>4124</v>
      </c>
      <c r="H82" s="2697"/>
      <c r="I82" s="2697"/>
      <c r="J82" s="2698"/>
      <c r="K82" s="2757"/>
      <c r="L82" s="2753" t="s">
        <v>4124</v>
      </c>
      <c r="M82" s="2697"/>
      <c r="N82" s="2697"/>
      <c r="O82" s="2698"/>
    </row>
    <row r="83" spans="2:15" ht="15.75">
      <c r="D83" s="395"/>
      <c r="E83" s="28"/>
      <c r="F83" s="2758" t="str">
        <f>IF(F75=$F$7,$G$2,IF(AND($O$9&lt;&gt;$O$3,ROUNDDOWN(F75,0)=$F$2),$H$2,$G$2))</f>
        <v>　Level 1</v>
      </c>
      <c r="G83" s="2582" t="s">
        <v>2607</v>
      </c>
      <c r="H83" s="2700"/>
      <c r="I83" s="2700"/>
      <c r="J83" s="2701"/>
      <c r="K83" s="2758" t="str">
        <f>IF(K75=$F$7,$G$2,IF(AND($O$9&lt;&gt;$O$3,ROUNDDOWN(K75,0)=$F$2),$H$2,$G$2))</f>
        <v>　Level 1</v>
      </c>
      <c r="L83" s="2582" t="s">
        <v>2611</v>
      </c>
      <c r="M83" s="2700"/>
      <c r="N83" s="2700"/>
      <c r="O83" s="2701"/>
    </row>
    <row r="84" spans="2:15" ht="15.75">
      <c r="D84" s="395"/>
      <c r="E84" s="28"/>
      <c r="F84" s="2702" t="str">
        <f>IF(F75=$F$7,$G$3,IF(AND($O$9&lt;&gt;$O$3,ROUNDDOWN(F75,0)=$F$3),$H$3,$G$3))</f>
        <v>　Level 2</v>
      </c>
      <c r="G84" s="2583" t="s">
        <v>2528</v>
      </c>
      <c r="H84" s="2333"/>
      <c r="I84" s="2333"/>
      <c r="J84" s="2703"/>
      <c r="K84" s="2702" t="str">
        <f>IF(K75=$F$7,$G$3,IF(AND($O$9&lt;&gt;$O$3,ROUNDDOWN(K75,0)=$F$3),$H$3,$G$3))</f>
        <v>　Level 2</v>
      </c>
      <c r="L84" s="2583" t="s">
        <v>2528</v>
      </c>
      <c r="M84" s="2333"/>
      <c r="N84" s="2333"/>
      <c r="O84" s="2703"/>
    </row>
    <row r="85" spans="2:15" ht="15.75">
      <c r="D85" s="395"/>
      <c r="E85" s="28"/>
      <c r="F85" s="2702" t="str">
        <f>IF(F75=$F$7,$G$4,IF(AND($O$9&lt;&gt;$O$3,ROUNDDOWN(F75,0)=$F$4),$H$4,$G$4))</f>
        <v>■Level 3</v>
      </c>
      <c r="G85" s="2583" t="s">
        <v>2608</v>
      </c>
      <c r="H85" s="2333"/>
      <c r="I85" s="2333"/>
      <c r="J85" s="2703"/>
      <c r="K85" s="2702" t="str">
        <f>IF(K75=$F$7,$G$4,IF(AND($O$9&lt;&gt;$O$3,ROUNDDOWN(K75,0)=$F$4),$H$4,$G$4))</f>
        <v>　Level 3</v>
      </c>
      <c r="L85" s="2583" t="s">
        <v>2608</v>
      </c>
      <c r="M85" s="2333"/>
      <c r="N85" s="2333"/>
      <c r="O85" s="2703"/>
    </row>
    <row r="86" spans="2:15" ht="15.75">
      <c r="D86" s="395"/>
      <c r="E86" s="28"/>
      <c r="F86" s="2702" t="str">
        <f>IF(F75=$F$7,$G$5,IF(AND($O$9&lt;&gt;$O$3,ROUNDDOWN(F75,0)=$F$5),$H$5,$G$5))</f>
        <v>　Level 4</v>
      </c>
      <c r="G86" s="2583" t="s">
        <v>2528</v>
      </c>
      <c r="H86" s="2333"/>
      <c r="I86" s="2333"/>
      <c r="J86" s="2703"/>
      <c r="K86" s="2702" t="str">
        <f>IF(K75=$F$7,$G$5,IF(AND($O$9&lt;&gt;$O$3,ROUNDDOWN(K75,0)=$F$5),$H$5,$G$5))</f>
        <v>　Level 4</v>
      </c>
      <c r="L86" s="2583" t="s">
        <v>2528</v>
      </c>
      <c r="M86" s="2333"/>
      <c r="N86" s="2333"/>
      <c r="O86" s="2703"/>
    </row>
    <row r="87" spans="2:15" ht="15.75">
      <c r="D87" s="395"/>
      <c r="E87" s="28"/>
      <c r="F87" s="2704" t="str">
        <f>IF(F75=$F$7,$G$6,IF(AND($O$9&lt;&gt;$O$3,ROUNDDOWN(F75,0)=$F$6),$H$6,$G$6))</f>
        <v>　Level 5</v>
      </c>
      <c r="G87" s="2584" t="s">
        <v>3445</v>
      </c>
      <c r="H87" s="2705"/>
      <c r="I87" s="2705"/>
      <c r="J87" s="2706"/>
      <c r="K87" s="2704" t="str">
        <f>IF(K75=$F$7,$G$6,IF(AND($O$9&lt;&gt;$O$3,ROUNDDOWN(K75,0)=$F$6),$H$6,$G$6))</f>
        <v>　Level 5</v>
      </c>
      <c r="L87" s="2584" t="s">
        <v>2612</v>
      </c>
      <c r="M87" s="2705"/>
      <c r="N87" s="2705"/>
      <c r="O87" s="2706"/>
    </row>
    <row r="88" spans="2:15" ht="15.75">
      <c r="D88" s="395"/>
      <c r="E88" s="28"/>
      <c r="F88" s="2067" t="s">
        <v>3045</v>
      </c>
      <c r="G88" s="2708"/>
      <c r="H88" s="2759"/>
      <c r="I88" s="2709"/>
      <c r="J88" s="2710"/>
      <c r="K88" s="2711"/>
    </row>
    <row r="89" spans="2:15">
      <c r="D89" s="1105"/>
    </row>
    <row r="90" spans="2:15" ht="15.75">
      <c r="D90" s="393"/>
      <c r="E90" s="1529"/>
      <c r="F90" s="396" t="s">
        <v>2620</v>
      </c>
    </row>
    <row r="91" spans="2:15" ht="24.6" customHeight="1" thickBot="1">
      <c r="D91" s="395"/>
      <c r="E91" s="119"/>
      <c r="F91" s="2843" t="s">
        <v>2613</v>
      </c>
      <c r="G91" s="2688"/>
      <c r="H91" s="2689"/>
      <c r="I91" s="2842" t="s">
        <v>2629</v>
      </c>
      <c r="J91" s="2845">
        <f>Weight!M16</f>
        <v>0.4</v>
      </c>
      <c r="K91" s="2843" t="s">
        <v>2615</v>
      </c>
      <c r="L91" s="2688"/>
      <c r="M91" s="2689"/>
      <c r="N91" s="2842" t="s">
        <v>2629</v>
      </c>
      <c r="O91" s="2845">
        <f>Weight!N16</f>
        <v>0</v>
      </c>
    </row>
    <row r="92" spans="2:15" ht="27" customHeight="1" thickBot="1">
      <c r="D92" s="395"/>
      <c r="E92" s="119"/>
      <c r="F92" s="2693">
        <v>3</v>
      </c>
      <c r="G92" s="2571" t="s">
        <v>2627</v>
      </c>
      <c r="H92" s="2697"/>
      <c r="I92" s="2753" t="s">
        <v>2628</v>
      </c>
      <c r="J92" s="2698"/>
      <c r="K92" s="2693">
        <v>3</v>
      </c>
      <c r="L92" s="2753" t="s">
        <v>2522</v>
      </c>
      <c r="M92" s="2698"/>
      <c r="N92" s="2753"/>
      <c r="O92" s="2760"/>
    </row>
    <row r="93" spans="2:15" ht="15.75" hidden="1">
      <c r="B93" s="2014">
        <v>1</v>
      </c>
      <c r="C93" s="2014">
        <v>1</v>
      </c>
      <c r="D93" s="395"/>
      <c r="E93" s="119"/>
      <c r="F93" s="2754"/>
      <c r="G93" s="2697" t="s">
        <v>3111</v>
      </c>
      <c r="H93" s="2697"/>
      <c r="I93" s="2697"/>
      <c r="J93" s="2698"/>
      <c r="K93" s="2754"/>
      <c r="L93" s="2697" t="s">
        <v>3111</v>
      </c>
      <c r="M93" s="2697"/>
      <c r="N93" s="2697"/>
      <c r="O93" s="2698"/>
    </row>
    <row r="94" spans="2:15" ht="30" hidden="1" customHeight="1">
      <c r="B94" s="2014">
        <v>2</v>
      </c>
      <c r="C94" s="2014">
        <v>2</v>
      </c>
      <c r="D94" s="395"/>
      <c r="E94" s="119"/>
      <c r="F94" s="2702" t="str">
        <f>IF(F92=$F$7,$G$2,IF(AND($O$9=$O$3,ROUNDDOWN(F92,0)=$F$2),$H$2,$G$2))</f>
        <v>　Level 1</v>
      </c>
      <c r="G94" s="2761" t="s">
        <v>3118</v>
      </c>
      <c r="H94" s="2762"/>
      <c r="I94" s="2761" t="s">
        <v>4084</v>
      </c>
      <c r="J94" s="2762"/>
      <c r="K94" s="2702" t="str">
        <f>IF(K92=$F$7,$G$2,IF(AND($O$9=$O$3,ROUNDDOWN(K92,0)=$F$2),$H$2,$G$2))</f>
        <v>　Level 1</v>
      </c>
      <c r="L94" s="4022" t="s">
        <v>4085</v>
      </c>
      <c r="M94" s="3976"/>
      <c r="N94" s="3948" t="s">
        <v>3119</v>
      </c>
      <c r="O94" s="3950"/>
    </row>
    <row r="95" spans="2:15" ht="30" hidden="1" customHeight="1">
      <c r="B95" s="2014">
        <v>3</v>
      </c>
      <c r="C95" s="2014">
        <v>3</v>
      </c>
      <c r="D95" s="395"/>
      <c r="E95" s="119"/>
      <c r="F95" s="2702" t="str">
        <f>IF(F92=$F$7,$G$3,IF(AND($O$9=$O$3,ROUNDDOWN(F92,0)=$F$3),$H$3,$G$3))</f>
        <v>　Level 2</v>
      </c>
      <c r="G95" s="1170"/>
      <c r="H95" s="2333"/>
      <c r="I95" s="1170"/>
      <c r="J95" s="2333"/>
      <c r="K95" s="2702" t="str">
        <f>IF(K92=$F$7,$G$3,IF(AND($O$9=$O$3,ROUNDDOWN(K92,0)=$F$3),$H$3,$G$3))</f>
        <v>　Level 2</v>
      </c>
      <c r="L95" s="2675"/>
      <c r="M95" s="2677"/>
      <c r="N95" s="2721"/>
      <c r="O95" s="2677"/>
    </row>
    <row r="96" spans="2:15" ht="30" hidden="1" customHeight="1">
      <c r="B96" s="2014">
        <v>4</v>
      </c>
      <c r="C96" s="2014">
        <v>4</v>
      </c>
      <c r="D96" s="395"/>
      <c r="E96" s="119"/>
      <c r="F96" s="2702" t="str">
        <f>IF(F92=$F$7,$G$4,IF(AND($O$9=$O$3,ROUNDDOWN(F92,0)=$F$4),$H$4,$G$4))</f>
        <v>　Level 3</v>
      </c>
      <c r="G96" s="1170" t="s">
        <v>3120</v>
      </c>
      <c r="H96" s="2333"/>
      <c r="I96" s="1170" t="s">
        <v>4086</v>
      </c>
      <c r="J96" s="2333"/>
      <c r="K96" s="2702" t="str">
        <f>IF(K92=$F$7,$G$4,IF(AND($O$9=$O$3,ROUNDDOWN(K92,0)=$F$4),$H$4,$G$4))</f>
        <v>　Level 3</v>
      </c>
      <c r="L96" s="4007" t="s">
        <v>4087</v>
      </c>
      <c r="M96" s="3944"/>
      <c r="N96" s="3808" t="s">
        <v>3121</v>
      </c>
      <c r="O96" s="3944"/>
    </row>
    <row r="97" spans="2:15" ht="30" hidden="1" customHeight="1">
      <c r="B97" s="2014">
        <v>5</v>
      </c>
      <c r="C97" s="2014">
        <v>5</v>
      </c>
      <c r="D97" s="395"/>
      <c r="E97" s="119"/>
      <c r="F97" s="2702" t="str">
        <f>IF(F92=$F$7,$G$5,IF(AND($O$9=$O$3,ROUNDDOWN(F92,0)=$F$5),$H$5,$G$5))</f>
        <v>　Level 4</v>
      </c>
      <c r="G97" s="1170" t="s">
        <v>3122</v>
      </c>
      <c r="H97" s="2333"/>
      <c r="I97" s="1170" t="s">
        <v>3122</v>
      </c>
      <c r="J97" s="2333"/>
      <c r="K97" s="2702" t="str">
        <f>IF(K92=$F$7,$G$5,IF(AND($O$9=$O$3,ROUNDDOWN(K92,0)=$F$5),$H$5,$G$5))</f>
        <v>　Level 4</v>
      </c>
      <c r="L97" s="2675"/>
      <c r="M97" s="2677"/>
      <c r="N97" s="2721"/>
      <c r="O97" s="2677"/>
    </row>
    <row r="98" spans="2:15" ht="30" hidden="1" customHeight="1">
      <c r="B98" s="2850">
        <v>0</v>
      </c>
      <c r="C98" s="2850">
        <v>0</v>
      </c>
      <c r="D98" s="395"/>
      <c r="E98" s="119"/>
      <c r="F98" s="2704" t="str">
        <f>IF(F92=$F$7,$G$6,IF(AND($O$9=$O$3,ROUNDDOWN(F92,0)=$F$6),$H$6,$G$6))</f>
        <v>　Level 5</v>
      </c>
      <c r="G98" s="2756" t="s">
        <v>3123</v>
      </c>
      <c r="H98" s="2705"/>
      <c r="I98" s="2756" t="s">
        <v>4088</v>
      </c>
      <c r="J98" s="2705"/>
      <c r="K98" s="2704" t="str">
        <f>IF(K92=$F$7,$G$6,IF(AND($O$9=$O$3,ROUNDDOWN(K92,0)=$F$6),$H$6,$G$6))</f>
        <v>　Level 5</v>
      </c>
      <c r="L98" s="4008" t="s">
        <v>4089</v>
      </c>
      <c r="M98" s="3939"/>
      <c r="N98" s="3937" t="s">
        <v>3124</v>
      </c>
      <c r="O98" s="3939"/>
    </row>
    <row r="99" spans="2:15" ht="15.75" hidden="1">
      <c r="D99" s="395"/>
      <c r="E99" s="119"/>
      <c r="F99" s="2757"/>
      <c r="G99" s="2753" t="s">
        <v>4124</v>
      </c>
      <c r="H99" s="2697"/>
      <c r="I99" s="2697"/>
      <c r="J99" s="2698"/>
      <c r="K99" s="2757"/>
      <c r="L99" s="2753" t="s">
        <v>4124</v>
      </c>
      <c r="M99" s="2697"/>
      <c r="N99" s="2697"/>
      <c r="O99" s="2698"/>
    </row>
    <row r="100" spans="2:15" ht="15.75">
      <c r="D100" s="395"/>
      <c r="E100" s="119"/>
      <c r="F100" s="2758" t="str">
        <f>IF(F92=$F$7,$G$2,IF(AND($O$9&lt;&gt;$O$3,ROUNDDOWN(F92,0)=$F$2),$H$2,$G$2))</f>
        <v>　Level 1</v>
      </c>
      <c r="G100" s="2582" t="s">
        <v>2622</v>
      </c>
      <c r="H100" s="2620"/>
      <c r="I100" s="2582" t="s">
        <v>2623</v>
      </c>
      <c r="J100" s="2700"/>
      <c r="K100" s="2758" t="str">
        <f>IF(K92=$F$7,$G$2,IF(AND($O$9&lt;&gt;$O$3,ROUNDDOWN(K92,0)=$F$2),$H$2,$G$2))</f>
        <v>　Level 1</v>
      </c>
      <c r="L100" s="2626" t="s">
        <v>2630</v>
      </c>
      <c r="M100" s="2700"/>
      <c r="N100" s="2700"/>
      <c r="O100" s="2701"/>
    </row>
    <row r="101" spans="2:15" ht="15.75">
      <c r="D101" s="395"/>
      <c r="E101" s="119"/>
      <c r="F101" s="2702" t="str">
        <f>IF(F92=$F$7,$G$3,IF(AND($O$9&lt;&gt;$O$3,ROUNDDOWN(F92,0)=$F$3),$H$3,$G$3))</f>
        <v>　Level 2</v>
      </c>
      <c r="G101" s="2583" t="s">
        <v>636</v>
      </c>
      <c r="H101" s="2621"/>
      <c r="I101" s="2583" t="s">
        <v>2624</v>
      </c>
      <c r="J101" s="2333"/>
      <c r="K101" s="2702" t="str">
        <f>IF(K92=$F$7,$G$3,IF(AND($O$9&lt;&gt;$O$3,ROUNDDOWN(K92,0)=$F$3),$H$3,$G$3))</f>
        <v>　Level 2</v>
      </c>
      <c r="L101" s="2627" t="s">
        <v>638</v>
      </c>
      <c r="M101" s="2333"/>
      <c r="N101" s="2333"/>
      <c r="O101" s="2703"/>
    </row>
    <row r="102" spans="2:15" ht="15.75">
      <c r="D102" s="395"/>
      <c r="E102" s="119"/>
      <c r="F102" s="2702" t="str">
        <f>IF(F92=$F$7,$G$4,IF(AND($O$9&lt;&gt;$O$3,ROUNDDOWN(F92,0)=$F$4),$H$4,$G$4))</f>
        <v>■Level 3</v>
      </c>
      <c r="G102" s="2583" t="s">
        <v>637</v>
      </c>
      <c r="H102" s="2621"/>
      <c r="I102" s="2583" t="s">
        <v>2625</v>
      </c>
      <c r="J102" s="2333"/>
      <c r="K102" s="2702" t="str">
        <f>IF(K92=$F$7,$G$4,IF(AND($O$9&lt;&gt;$O$3,ROUNDDOWN(K92,0)=$F$4),$H$4,$G$4))</f>
        <v>■Level 3</v>
      </c>
      <c r="L102" s="2627" t="s">
        <v>451</v>
      </c>
      <c r="M102" s="2333"/>
      <c r="N102" s="2333"/>
      <c r="O102" s="2703"/>
    </row>
    <row r="103" spans="2:15" ht="15.75">
      <c r="D103" s="395"/>
      <c r="E103" s="119"/>
      <c r="F103" s="2702" t="str">
        <f>IF(F92=$F$7,$G$5,IF(AND($O$9&lt;&gt;$O$3,ROUNDDOWN(F92,0)=$F$5),$H$5,$G$5))</f>
        <v>　Level 4</v>
      </c>
      <c r="G103" s="2583" t="s">
        <v>638</v>
      </c>
      <c r="H103" s="2621"/>
      <c r="I103" s="2583" t="s">
        <v>2626</v>
      </c>
      <c r="J103" s="2333"/>
      <c r="K103" s="2702" t="str">
        <f>IF(K92=$F$7,$G$5,IF(AND($O$9&lt;&gt;$O$3,ROUNDDOWN(K92,0)=$F$5),$H$5,$G$5))</f>
        <v>　Level 4</v>
      </c>
      <c r="L103" s="2627" t="s">
        <v>2631</v>
      </c>
      <c r="M103" s="2333"/>
      <c r="N103" s="2333"/>
      <c r="O103" s="2703"/>
    </row>
    <row r="104" spans="2:15" ht="15.75">
      <c r="D104" s="395"/>
      <c r="E104" s="119"/>
      <c r="F104" s="2704" t="str">
        <f>IF(F92=$F$7,$G$6,IF(AND($O$9&lt;&gt;$O$3,ROUNDDOWN(F92,0)=$F$6),$H$6,$G$6))</f>
        <v>　Level 5</v>
      </c>
      <c r="G104" s="2584" t="s">
        <v>3446</v>
      </c>
      <c r="H104" s="2622"/>
      <c r="I104" s="2584" t="s">
        <v>3447</v>
      </c>
      <c r="J104" s="2705"/>
      <c r="K104" s="2704" t="str">
        <f>IF(K92=$F$7,$G$6,IF(AND($O$9&lt;&gt;$O$3,ROUNDDOWN(K92,0)=$F$6),$H$6,$G$6))</f>
        <v>　Level 5</v>
      </c>
      <c r="L104" s="2628" t="s">
        <v>3448</v>
      </c>
      <c r="M104" s="2705"/>
      <c r="N104" s="2705"/>
      <c r="O104" s="2706"/>
    </row>
    <row r="105" spans="2:15" ht="15.75">
      <c r="D105" s="395"/>
      <c r="E105" s="119"/>
      <c r="F105" s="2067" t="s">
        <v>3045</v>
      </c>
      <c r="G105" s="2708"/>
      <c r="H105" s="2759"/>
      <c r="I105" s="2709"/>
      <c r="J105" s="2710"/>
      <c r="K105" s="2711"/>
    </row>
    <row r="106" spans="2:15" ht="15.75">
      <c r="D106" s="395"/>
      <c r="E106" s="119"/>
      <c r="F106" s="119"/>
    </row>
    <row r="107" spans="2:15" ht="15.75">
      <c r="D107" s="393"/>
      <c r="E107" s="1529"/>
      <c r="F107" s="396" t="s">
        <v>2621</v>
      </c>
      <c r="O107" s="1105" t="str">
        <f>IF(OR(F109=0,AND(J108=0,O108=0)),$L$3,"")</f>
        <v>&lt;N.A.&gt;</v>
      </c>
    </row>
    <row r="108" spans="2:15" ht="24.6" customHeight="1" thickBot="1">
      <c r="D108" s="395"/>
      <c r="E108" s="1173"/>
      <c r="F108" s="2843" t="s">
        <v>2613</v>
      </c>
      <c r="G108" s="2688"/>
      <c r="H108" s="2689"/>
      <c r="I108" s="2842" t="s">
        <v>2629</v>
      </c>
      <c r="J108" s="2845">
        <f>Weight!M17</f>
        <v>0</v>
      </c>
      <c r="K108" s="2843" t="s">
        <v>2615</v>
      </c>
      <c r="L108" s="2688"/>
      <c r="M108" s="2689"/>
      <c r="N108" s="2842" t="s">
        <v>2629</v>
      </c>
      <c r="O108" s="2845">
        <f>Weight!N17</f>
        <v>0</v>
      </c>
    </row>
    <row r="109" spans="2:15" ht="27" customHeight="1" thickBot="1">
      <c r="D109" s="395"/>
      <c r="E109" s="1173"/>
      <c r="F109" s="2693">
        <v>3</v>
      </c>
      <c r="G109" s="3172" t="s">
        <v>2840</v>
      </c>
      <c r="H109" s="2697"/>
      <c r="I109" s="2697"/>
      <c r="J109" s="2698"/>
      <c r="K109" s="2693">
        <v>3</v>
      </c>
      <c r="L109" s="2753" t="s">
        <v>2617</v>
      </c>
      <c r="M109" s="2697"/>
      <c r="N109" s="2697"/>
      <c r="O109" s="2698"/>
    </row>
    <row r="110" spans="2:15" ht="15.75" hidden="1">
      <c r="B110" s="2014">
        <v>1</v>
      </c>
      <c r="C110" s="2014">
        <v>1</v>
      </c>
      <c r="D110" s="395"/>
      <c r="E110" s="1173"/>
      <c r="F110" s="2754"/>
      <c r="G110" s="2753" t="s">
        <v>3111</v>
      </c>
      <c r="H110" s="2697"/>
      <c r="I110" s="2697"/>
      <c r="J110" s="2698"/>
      <c r="K110" s="2754"/>
      <c r="L110" s="2753" t="s">
        <v>3111</v>
      </c>
      <c r="M110" s="2697"/>
      <c r="N110" s="2697"/>
      <c r="O110" s="2698"/>
    </row>
    <row r="111" spans="2:15" ht="15.75" hidden="1">
      <c r="B111" s="2014">
        <v>2</v>
      </c>
      <c r="C111" s="2014">
        <v>2</v>
      </c>
      <c r="D111" s="395"/>
      <c r="E111" s="2763"/>
      <c r="F111" s="2702" t="str">
        <f>IF(F109=$F$7,$G$2,IF(AND($O$9=$O$3,ROUNDDOWN(F109,0)=$F$2),$H$2,$G$2))</f>
        <v>　Level 1</v>
      </c>
      <c r="G111" s="2755" t="s">
        <v>4064</v>
      </c>
      <c r="H111" s="2700"/>
      <c r="I111" s="2700"/>
      <c r="J111" s="2701"/>
      <c r="K111" s="2702" t="str">
        <f>IF(K109=$F$7,$G$2,IF(AND($O$9=$O$3,ROUNDDOWN(K109,0)=$F$2),$H$2,$G$2))</f>
        <v>　Level 1</v>
      </c>
      <c r="L111" s="2755" t="s">
        <v>4065</v>
      </c>
      <c r="M111" s="2700"/>
      <c r="N111" s="2700"/>
      <c r="O111" s="2701"/>
    </row>
    <row r="112" spans="2:15" ht="15.75" hidden="1">
      <c r="B112" s="2014">
        <v>3</v>
      </c>
      <c r="C112" s="2014">
        <v>3</v>
      </c>
      <c r="D112" s="395"/>
      <c r="E112" s="2763"/>
      <c r="F112" s="2702" t="str">
        <f>IF(F109=$F$7,$G$3,IF(AND($O$9=$O$3,ROUNDDOWN(F109,0)=$F$3),$H$3,$G$3))</f>
        <v>　Level 2</v>
      </c>
      <c r="G112" s="1170"/>
      <c r="H112" s="2333"/>
      <c r="I112" s="2333"/>
      <c r="J112" s="2703"/>
      <c r="K112" s="2702" t="str">
        <f>IF(K109=$F$7,$G$3,IF(AND($O$9=$O$3,ROUNDDOWN(K109,0)=$F$3),$H$3,$G$3))</f>
        <v>　Level 2</v>
      </c>
      <c r="L112" s="1170"/>
      <c r="M112" s="2333"/>
      <c r="N112" s="2333"/>
      <c r="O112" s="2703"/>
    </row>
    <row r="113" spans="2:15" ht="15.75" hidden="1">
      <c r="B113" s="2014">
        <v>4</v>
      </c>
      <c r="C113" s="2014">
        <v>4</v>
      </c>
      <c r="D113" s="395"/>
      <c r="E113" s="2763"/>
      <c r="F113" s="2702" t="str">
        <f>IF(F109=$F$7,$G$4,IF(AND($O$9=$O$3,ROUNDDOWN(F109,0)=$F$4),$H$4,$G$4))</f>
        <v>　Level 3</v>
      </c>
      <c r="G113" s="1170" t="s">
        <v>4065</v>
      </c>
      <c r="H113" s="2333"/>
      <c r="I113" s="2333"/>
      <c r="J113" s="2703"/>
      <c r="K113" s="2702" t="str">
        <f>IF(K109=$F$7,$G$4,IF(AND($O$9=$O$3,ROUNDDOWN(K109,0)=$F$4),$H$4,$G$4))</f>
        <v>　Level 3</v>
      </c>
      <c r="L113" s="1170" t="s">
        <v>4066</v>
      </c>
      <c r="M113" s="2333"/>
      <c r="N113" s="2333"/>
      <c r="O113" s="2703"/>
    </row>
    <row r="114" spans="2:15" ht="15.75" hidden="1">
      <c r="B114" s="2014">
        <v>5</v>
      </c>
      <c r="C114" s="2014">
        <v>5</v>
      </c>
      <c r="D114" s="395"/>
      <c r="E114" s="2763"/>
      <c r="F114" s="2702" t="str">
        <f>IF(F109=$F$7,$G$5,IF(AND($O$9=$O$3,ROUNDDOWN(F109,0)=$F$5),$H$5,$G$5))</f>
        <v>　Level 4</v>
      </c>
      <c r="G114" s="1170"/>
      <c r="H114" s="2333"/>
      <c r="I114" s="2333"/>
      <c r="J114" s="2703"/>
      <c r="K114" s="2702" t="str">
        <f>IF(K109=$F$7,$G$5,IF(AND($O$9=$O$3,ROUNDDOWN(K109,0)=$F$5),$H$5,$G$5))</f>
        <v>　Level 4</v>
      </c>
      <c r="L114" s="1170"/>
      <c r="M114" s="2333"/>
      <c r="N114" s="2333"/>
      <c r="O114" s="2703"/>
    </row>
    <row r="115" spans="2:15" ht="15.75" hidden="1">
      <c r="B115" s="2850">
        <v>0</v>
      </c>
      <c r="C115" s="2850">
        <v>0</v>
      </c>
      <c r="D115" s="395"/>
      <c r="E115" s="2763"/>
      <c r="F115" s="2704" t="str">
        <f>IF(F109=$F$7,$G$6,IF(AND($O$9=$O$3,ROUNDDOWN(F109,0)=$F$6),$H$6,$G$6))</f>
        <v>　Level 5</v>
      </c>
      <c r="G115" s="2756" t="s">
        <v>4067</v>
      </c>
      <c r="H115" s="2705"/>
      <c r="I115" s="2705"/>
      <c r="J115" s="2706"/>
      <c r="K115" s="2704" t="str">
        <f>IF(K109=$F$7,$G$6,IF(AND($O$9=$O$3,ROUNDDOWN(K109,0)=$F$6),$H$6,$G$6))</f>
        <v>　Level 5</v>
      </c>
      <c r="L115" s="2756" t="s">
        <v>4068</v>
      </c>
      <c r="M115" s="2705"/>
      <c r="N115" s="2705"/>
      <c r="O115" s="2706"/>
    </row>
    <row r="116" spans="2:15" ht="15.75" hidden="1">
      <c r="D116" s="395"/>
      <c r="E116" s="119"/>
      <c r="F116" s="2757"/>
      <c r="G116" s="2753" t="s">
        <v>4124</v>
      </c>
      <c r="H116" s="2697"/>
      <c r="I116" s="2697"/>
      <c r="J116" s="2698"/>
      <c r="K116" s="2757"/>
      <c r="L116" s="2753" t="s">
        <v>4124</v>
      </c>
      <c r="M116" s="2697"/>
      <c r="N116" s="2697"/>
      <c r="O116" s="2698"/>
    </row>
    <row r="117" spans="2:15" ht="15.75">
      <c r="D117" s="395"/>
      <c r="E117" s="119"/>
      <c r="F117" s="2758" t="str">
        <f>IF(F109=$F$7,$G$2,IF(AND($O$9&lt;&gt;$O$3,ROUNDDOWN(F109,0)=$F$2),$H$2,$G$2))</f>
        <v>　Level 1</v>
      </c>
      <c r="G117" s="2582" t="s">
        <v>2632</v>
      </c>
      <c r="H117" s="2700"/>
      <c r="I117" s="2700"/>
      <c r="J117" s="2701"/>
      <c r="K117" s="2758" t="str">
        <f>IF(K109=$F$7,$G$2,IF(AND($O$9&lt;&gt;$O$3,ROUNDDOWN(K109,0)=$F$2),$H$2,$G$2))</f>
        <v>　Level 1</v>
      </c>
      <c r="L117" s="2582" t="s">
        <v>2637</v>
      </c>
      <c r="M117" s="2700"/>
      <c r="N117" s="2700"/>
      <c r="O117" s="2701"/>
    </row>
    <row r="118" spans="2:15" ht="15.75">
      <c r="D118" s="395"/>
      <c r="E118" s="119"/>
      <c r="F118" s="2702" t="str">
        <f>IF(F109=$F$7,$G$3,IF(AND($O$9&lt;&gt;$O$3,ROUNDDOWN(F109,0)=$F$3),$H$3,$G$3))</f>
        <v>　Level 2</v>
      </c>
      <c r="G118" s="2583" t="s">
        <v>2633</v>
      </c>
      <c r="H118" s="2333"/>
      <c r="I118" s="2333"/>
      <c r="J118" s="2703"/>
      <c r="K118" s="2702" t="str">
        <f>IF(K109=$F$7,$G$3,IF(AND($O$9&lt;&gt;$O$3,ROUNDDOWN(K109,0)=$F$3),$H$3,$G$3))</f>
        <v>　Level 2</v>
      </c>
      <c r="L118" s="2583" t="s">
        <v>2635</v>
      </c>
      <c r="M118" s="2333"/>
      <c r="N118" s="2333"/>
      <c r="O118" s="2703"/>
    </row>
    <row r="119" spans="2:15" ht="15.75">
      <c r="D119" s="395"/>
      <c r="E119" s="119"/>
      <c r="F119" s="2702" t="str">
        <f>IF(F109=$F$7,$G$4,IF(AND($O$9&lt;&gt;$O$3,ROUNDDOWN(F109,0)=$F$4),$H$4,$G$4))</f>
        <v>■Level 3</v>
      </c>
      <c r="G119" s="2583" t="s">
        <v>2634</v>
      </c>
      <c r="H119" s="2333"/>
      <c r="I119" s="2333"/>
      <c r="J119" s="2703"/>
      <c r="K119" s="2702" t="str">
        <f>IF(K109=$F$7,$G$4,IF(AND($O$9&lt;&gt;$O$3,ROUNDDOWN(K109,0)=$F$4),$H$4,$G$4))</f>
        <v>■Level 3</v>
      </c>
      <c r="L119" s="2583" t="s">
        <v>2638</v>
      </c>
      <c r="M119" s="2333"/>
      <c r="N119" s="2333"/>
      <c r="O119" s="2703"/>
    </row>
    <row r="120" spans="2:15" ht="15.75">
      <c r="D120" s="395"/>
      <c r="E120" s="119"/>
      <c r="F120" s="2702" t="str">
        <f>IF(F109=$F$7,$G$5,IF(AND($O$9&lt;&gt;$O$3,ROUNDDOWN(F109,0)=$F$5),$H$5,$G$5))</f>
        <v>　Level 4</v>
      </c>
      <c r="G120" s="2583" t="s">
        <v>2635</v>
      </c>
      <c r="H120" s="2333"/>
      <c r="I120" s="2333"/>
      <c r="J120" s="2703"/>
      <c r="K120" s="2702" t="str">
        <f>IF(K109=$F$7,$G$5,IF(AND($O$9&lt;&gt;$O$3,ROUNDDOWN(K109,0)=$F$5),$H$5,$G$5))</f>
        <v>　Level 4</v>
      </c>
      <c r="L120" s="2583" t="s">
        <v>2639</v>
      </c>
      <c r="M120" s="2333"/>
      <c r="N120" s="2333"/>
      <c r="O120" s="2703"/>
    </row>
    <row r="121" spans="2:15" ht="15.75">
      <c r="D121" s="395"/>
      <c r="E121" s="119"/>
      <c r="F121" s="2704" t="str">
        <f>IF(F109=$F$7,$G$6,IF(AND($O$9&lt;&gt;$O$3,ROUNDDOWN(F109,0)=$F$6),$H$6,$G$6))</f>
        <v>　Level 5</v>
      </c>
      <c r="G121" s="2584" t="s">
        <v>2636</v>
      </c>
      <c r="H121" s="2705"/>
      <c r="I121" s="2705"/>
      <c r="J121" s="2706"/>
      <c r="K121" s="2704" t="str">
        <f>IF(K109=$F$7,$G$6,IF(AND($O$9&lt;&gt;$O$3,ROUNDDOWN(K109,0)=$F$6),$H$6,$G$6))</f>
        <v>　Level 5</v>
      </c>
      <c r="L121" s="2584" t="s">
        <v>2640</v>
      </c>
      <c r="M121" s="2705"/>
      <c r="N121" s="2705"/>
      <c r="O121" s="2706"/>
    </row>
    <row r="122" spans="2:15" ht="15.75">
      <c r="D122" s="395"/>
      <c r="E122" s="119"/>
      <c r="F122" s="2067" t="s">
        <v>3045</v>
      </c>
      <c r="G122" s="2708"/>
      <c r="H122" s="2759"/>
      <c r="I122" s="2709"/>
      <c r="J122" s="2710"/>
      <c r="K122" s="2711"/>
    </row>
    <row r="123" spans="2:15" ht="15.75">
      <c r="D123" s="395"/>
      <c r="E123" s="119"/>
      <c r="F123" s="119"/>
    </row>
    <row r="124" spans="2:15" ht="15.75">
      <c r="D124" s="393"/>
      <c r="E124" s="28"/>
      <c r="F124" s="396" t="s">
        <v>2641</v>
      </c>
      <c r="O124" s="1105" t="str">
        <f>IF(OR(F126=0,AND(J125=0,O125=0)),$L$3,"")</f>
        <v>&lt;N.A.&gt;</v>
      </c>
    </row>
    <row r="125" spans="2:15" ht="24.6" customHeight="1" thickBot="1">
      <c r="D125" s="395"/>
      <c r="E125" s="119"/>
      <c r="F125" s="2843" t="s">
        <v>2613</v>
      </c>
      <c r="G125" s="2688"/>
      <c r="H125" s="2689"/>
      <c r="I125" s="2842" t="s">
        <v>2629</v>
      </c>
      <c r="J125" s="2845">
        <f>Weight!M18</f>
        <v>0</v>
      </c>
      <c r="K125" s="2843" t="s">
        <v>2615</v>
      </c>
      <c r="L125" s="2688"/>
      <c r="M125" s="2689"/>
      <c r="N125" s="2842" t="s">
        <v>2629</v>
      </c>
      <c r="O125" s="2845">
        <f>Weight!N18</f>
        <v>0</v>
      </c>
    </row>
    <row r="126" spans="2:15" ht="27" customHeight="1" thickBot="1">
      <c r="D126" s="395"/>
      <c r="E126" s="119"/>
      <c r="F126" s="2693">
        <v>3</v>
      </c>
      <c r="G126" s="3172" t="s">
        <v>2840</v>
      </c>
      <c r="H126" s="2697"/>
      <c r="I126" s="2697"/>
      <c r="J126" s="2698"/>
      <c r="K126" s="2693">
        <v>3</v>
      </c>
      <c r="L126" s="2753" t="s">
        <v>2617</v>
      </c>
      <c r="M126" s="2697"/>
      <c r="N126" s="2697"/>
      <c r="O126" s="2698"/>
    </row>
    <row r="127" spans="2:15" ht="15.75" hidden="1">
      <c r="B127" s="2014">
        <v>1</v>
      </c>
      <c r="C127" s="2014">
        <v>1</v>
      </c>
      <c r="D127" s="395"/>
      <c r="E127" s="119"/>
      <c r="F127" s="2754"/>
      <c r="G127" s="2753" t="s">
        <v>3111</v>
      </c>
      <c r="H127" s="2697"/>
      <c r="I127" s="2697"/>
      <c r="J127" s="2698"/>
      <c r="K127" s="2754"/>
      <c r="L127" s="2753" t="s">
        <v>3111</v>
      </c>
      <c r="M127" s="2697"/>
      <c r="N127" s="2697"/>
      <c r="O127" s="2698"/>
    </row>
    <row r="128" spans="2:15" ht="15.75" hidden="1">
      <c r="B128" s="2014">
        <v>2</v>
      </c>
      <c r="C128" s="2014">
        <v>2</v>
      </c>
      <c r="D128" s="395"/>
      <c r="E128" s="119"/>
      <c r="F128" s="2702" t="str">
        <f>IF(F126=$F$7,$G$2,IF(AND($O$9=$O$3,ROUNDDOWN(F126,0)=$F$2),$H$2,$G$2))</f>
        <v>　Level 1</v>
      </c>
      <c r="G128" s="2755" t="s">
        <v>3125</v>
      </c>
      <c r="H128" s="2700"/>
      <c r="I128" s="2700"/>
      <c r="J128" s="2701"/>
      <c r="K128" s="2702" t="str">
        <f>IF(K126=$F$7,$G$2,IF(AND($O$9=$O$3,ROUNDDOWN(K126,0)=$F$2),$H$2,$G$2))</f>
        <v>　Level 1</v>
      </c>
      <c r="L128" s="2755" t="s">
        <v>3126</v>
      </c>
      <c r="M128" s="2700"/>
      <c r="N128" s="2700"/>
      <c r="O128" s="2701"/>
    </row>
    <row r="129" spans="2:15" ht="15.75" hidden="1">
      <c r="B129" s="2014">
        <v>3</v>
      </c>
      <c r="C129" s="2014">
        <v>3</v>
      </c>
      <c r="D129" s="395"/>
      <c r="E129" s="119"/>
      <c r="F129" s="2702" t="str">
        <f>IF(F126=$F$7,$G$3,IF(AND($O$9=$O$3,ROUNDDOWN(F126,0)=$F$3),$H$3,$G$3))</f>
        <v>　Level 2</v>
      </c>
      <c r="G129" s="1170"/>
      <c r="H129" s="2333"/>
      <c r="I129" s="2333"/>
      <c r="J129" s="2703"/>
      <c r="K129" s="2702" t="str">
        <f>IF(K126=$F$7,$G$3,IF(AND($O$9=$O$3,ROUNDDOWN(K126,0)=$F$3),$H$3,$G$3))</f>
        <v>　Level 2</v>
      </c>
      <c r="L129" s="1170"/>
      <c r="M129" s="2333"/>
      <c r="N129" s="2333"/>
      <c r="O129" s="2703"/>
    </row>
    <row r="130" spans="2:15" ht="15.75" hidden="1">
      <c r="B130" s="2014">
        <v>4</v>
      </c>
      <c r="C130" s="2014">
        <v>4</v>
      </c>
      <c r="D130" s="395"/>
      <c r="E130" s="119"/>
      <c r="F130" s="2702" t="str">
        <f>IF(F126=$F$7,$G$4,IF(AND($O$9=$O$3,ROUNDDOWN(F126,0)=$F$4),$H$4,$G$4))</f>
        <v>　Level 3</v>
      </c>
      <c r="G130" s="1170" t="s">
        <v>3127</v>
      </c>
      <c r="H130" s="2333"/>
      <c r="I130" s="2333"/>
      <c r="J130" s="2703"/>
      <c r="K130" s="2702" t="str">
        <f>IF(K126=$F$7,$G$4,IF(AND($O$9=$O$3,ROUNDDOWN(K126,0)=$F$4),$H$4,$G$4))</f>
        <v>　Level 3</v>
      </c>
      <c r="L130" s="1170" t="s">
        <v>3128</v>
      </c>
      <c r="M130" s="2333"/>
      <c r="N130" s="2333"/>
      <c r="O130" s="2703"/>
    </row>
    <row r="131" spans="2:15" ht="15.75" hidden="1">
      <c r="B131" s="2014">
        <v>5</v>
      </c>
      <c r="C131" s="2014">
        <v>5</v>
      </c>
      <c r="D131" s="395"/>
      <c r="E131" s="119"/>
      <c r="F131" s="2702" t="str">
        <f>IF(F126=$F$7,$G$5,IF(AND($O$9=$O$3,ROUNDDOWN(F126,0)=$F$5),$H$5,$G$5))</f>
        <v>　Level 4</v>
      </c>
      <c r="G131" s="1170"/>
      <c r="H131" s="2333"/>
      <c r="I131" s="2333"/>
      <c r="J131" s="2703"/>
      <c r="K131" s="2702" t="str">
        <f>IF(K126=$F$7,$G$5,IF(AND($O$9=$O$3,ROUNDDOWN(K126,0)=$F$5),$H$5,$G$5))</f>
        <v>　Level 4</v>
      </c>
      <c r="L131" s="1170"/>
      <c r="M131" s="2333"/>
      <c r="N131" s="2333"/>
      <c r="O131" s="2703"/>
    </row>
    <row r="132" spans="2:15" ht="15.75" hidden="1">
      <c r="B132" s="2850">
        <v>0</v>
      </c>
      <c r="C132" s="2850">
        <v>0</v>
      </c>
      <c r="D132" s="395"/>
      <c r="E132" s="119"/>
      <c r="F132" s="2704" t="str">
        <f>IF(F126=$F$7,$G$6,IF(AND($O$9=$O$3,ROUNDDOWN(F126,0)=$F$6),$H$6,$G$6))</f>
        <v>　Level 5</v>
      </c>
      <c r="G132" s="2756" t="s">
        <v>3129</v>
      </c>
      <c r="H132" s="2705"/>
      <c r="I132" s="2705"/>
      <c r="J132" s="2706"/>
      <c r="K132" s="2704" t="str">
        <f>IF(K126=$F$7,$G$6,IF(AND($O$9=$O$3,ROUNDDOWN(K126,0)=$F$6),$H$6,$G$6))</f>
        <v>　Level 5</v>
      </c>
      <c r="L132" s="2756" t="s">
        <v>3130</v>
      </c>
      <c r="M132" s="2705"/>
      <c r="N132" s="2705"/>
      <c r="O132" s="2706"/>
    </row>
    <row r="133" spans="2:15" ht="15.75" hidden="1">
      <c r="D133" s="395"/>
      <c r="E133" s="119"/>
      <c r="F133" s="2757"/>
      <c r="G133" s="2753" t="s">
        <v>4124</v>
      </c>
      <c r="H133" s="2697"/>
      <c r="I133" s="2697"/>
      <c r="J133" s="2698"/>
      <c r="K133" s="2757"/>
      <c r="L133" s="2753" t="s">
        <v>4124</v>
      </c>
      <c r="M133" s="2697"/>
      <c r="N133" s="2697"/>
      <c r="O133" s="2698"/>
    </row>
    <row r="134" spans="2:15" ht="15.75">
      <c r="D134" s="395"/>
      <c r="E134" s="119"/>
      <c r="F134" s="2758" t="str">
        <f>IF(F126=$F$7,$G$2,IF(AND($O$9&lt;&gt;$O$3,ROUNDDOWN(F126,0)=$F$2),$H$2,$G$2))</f>
        <v>　Level 1</v>
      </c>
      <c r="G134" s="2582" t="s">
        <v>2632</v>
      </c>
      <c r="H134" s="2700"/>
      <c r="I134" s="2700"/>
      <c r="J134" s="2701"/>
      <c r="K134" s="2758" t="str">
        <f>IF(K126=$F$7,$G$2,IF(AND($O$9&lt;&gt;$O$3,ROUNDDOWN(K126,0)=$F$2),$H$2,$G$2))</f>
        <v>　Level 1</v>
      </c>
      <c r="L134" s="2582" t="s">
        <v>2642</v>
      </c>
      <c r="M134" s="2700"/>
      <c r="N134" s="2700"/>
      <c r="O134" s="2701"/>
    </row>
    <row r="135" spans="2:15" ht="15.75">
      <c r="D135" s="395"/>
      <c r="E135" s="119"/>
      <c r="F135" s="2702" t="str">
        <f>IF(F126=$F$7,$G$3,IF(AND($O$9&lt;&gt;$O$3,ROUNDDOWN(F126,0)=$F$3),$H$3,$G$3))</f>
        <v>　Level 2</v>
      </c>
      <c r="G135" s="2583" t="s">
        <v>2633</v>
      </c>
      <c r="H135" s="2333"/>
      <c r="I135" s="2333"/>
      <c r="J135" s="2703"/>
      <c r="K135" s="2702" t="str">
        <f>IF(K126=$F$7,$G$3,IF(AND($O$9&lt;&gt;$O$3,ROUNDDOWN(K126,0)=$F$3),$H$3,$G$3))</f>
        <v>　Level 2</v>
      </c>
      <c r="L135" s="2583" t="s">
        <v>2634</v>
      </c>
      <c r="M135" s="2333"/>
      <c r="N135" s="2333"/>
      <c r="O135" s="2703"/>
    </row>
    <row r="136" spans="2:15" ht="15.75">
      <c r="D136" s="395"/>
      <c r="E136" s="119"/>
      <c r="F136" s="2702" t="str">
        <f>IF(F126=$F$7,$G$4,IF(AND($O$9&lt;&gt;$O$3,ROUNDDOWN(F126,0)=$F$4),$H$4,$G$4))</f>
        <v>■Level 3</v>
      </c>
      <c r="G136" s="2583" t="s">
        <v>2634</v>
      </c>
      <c r="H136" s="2333"/>
      <c r="I136" s="2333"/>
      <c r="J136" s="2703"/>
      <c r="K136" s="2702" t="str">
        <f>IF(K126=$F$7,$G$4,IF(AND($O$9&lt;&gt;$O$3,ROUNDDOWN(K126,0)=$F$4),$H$4,$G$4))</f>
        <v>■Level 3</v>
      </c>
      <c r="L136" s="2583" t="s">
        <v>2635</v>
      </c>
      <c r="M136" s="2333"/>
      <c r="N136" s="2333"/>
      <c r="O136" s="2703"/>
    </row>
    <row r="137" spans="2:15" ht="15.75">
      <c r="D137" s="395"/>
      <c r="E137" s="119"/>
      <c r="F137" s="2702" t="str">
        <f>IF(F126=$F$7,$G$5,IF(AND($O$9&lt;&gt;$O$3,ROUNDDOWN(F126,0)=$F$5),$H$5,$G$5))</f>
        <v>　Level 4</v>
      </c>
      <c r="G137" s="2583" t="s">
        <v>2635</v>
      </c>
      <c r="H137" s="2333"/>
      <c r="I137" s="2333"/>
      <c r="J137" s="2703"/>
      <c r="K137" s="2702" t="str">
        <f>IF(K126=$F$7,$G$5,IF(AND($O$9&lt;&gt;$O$3,ROUNDDOWN(K126,0)=$F$5),$H$5,$G$5))</f>
        <v>　Level 4</v>
      </c>
      <c r="L137" s="2583" t="s">
        <v>2638</v>
      </c>
      <c r="M137" s="2333"/>
      <c r="N137" s="2333"/>
      <c r="O137" s="2703"/>
    </row>
    <row r="138" spans="2:15" ht="15.75">
      <c r="D138" s="395"/>
      <c r="E138" s="119"/>
      <c r="F138" s="2704" t="str">
        <f>IF(F126=$F$7,$G$6,IF(AND($O$9&lt;&gt;$O$3,ROUNDDOWN(F126,0)=$F$6),$H$6,$G$6))</f>
        <v>　Level 5</v>
      </c>
      <c r="G138" s="2584" t="s">
        <v>2636</v>
      </c>
      <c r="H138" s="2705"/>
      <c r="I138" s="2705"/>
      <c r="J138" s="2706"/>
      <c r="K138" s="2704" t="str">
        <f>IF(K126=$F$7,$G$6,IF(AND($O$9&lt;&gt;$O$3,ROUNDDOWN(K126,0)=$F$6),$H$6,$G$6))</f>
        <v>　Level 5</v>
      </c>
      <c r="L138" s="2584" t="s">
        <v>2643</v>
      </c>
      <c r="M138" s="2705"/>
      <c r="N138" s="2705"/>
      <c r="O138" s="2706"/>
    </row>
    <row r="139" spans="2:15" ht="15.75">
      <c r="D139" s="395"/>
      <c r="E139" s="119"/>
      <c r="F139" s="2067" t="s">
        <v>3045</v>
      </c>
      <c r="G139" s="2708"/>
      <c r="H139" s="2759"/>
      <c r="I139" s="2709"/>
      <c r="J139" s="2710"/>
      <c r="K139" s="2711"/>
    </row>
    <row r="140" spans="2:15" ht="15.75">
      <c r="D140" s="395"/>
      <c r="E140" s="119"/>
      <c r="F140" s="119"/>
    </row>
    <row r="141" spans="2:15" ht="15.75">
      <c r="D141" s="393">
        <v>1.3</v>
      </c>
      <c r="E141" s="13" t="s">
        <v>2644</v>
      </c>
      <c r="F141" s="396"/>
      <c r="J141" s="1105" t="str">
        <f>IF(OR(F143=0,AND(J142=0,O142=0)),$L$3,"")</f>
        <v/>
      </c>
    </row>
    <row r="142" spans="2:15" ht="24.6" customHeight="1" thickBot="1">
      <c r="D142" s="395"/>
      <c r="E142" s="1529"/>
      <c r="F142" s="2843" t="s">
        <v>2613</v>
      </c>
      <c r="G142" s="2688"/>
      <c r="H142" s="2689"/>
      <c r="I142" s="2842" t="s">
        <v>2629</v>
      </c>
      <c r="J142" s="2845">
        <f>Weight!M19</f>
        <v>0.2</v>
      </c>
      <c r="K142" s="2843" t="s">
        <v>2615</v>
      </c>
      <c r="L142" s="2688"/>
      <c r="M142" s="2689"/>
      <c r="N142" s="2842" t="s">
        <v>2629</v>
      </c>
      <c r="O142" s="2845">
        <f>Weight!N19</f>
        <v>0</v>
      </c>
    </row>
    <row r="143" spans="2:15" ht="27" customHeight="1" thickBot="1">
      <c r="D143" s="395"/>
      <c r="E143" s="1529"/>
      <c r="F143" s="2693">
        <v>3</v>
      </c>
      <c r="G143" s="2753" t="s">
        <v>2645</v>
      </c>
      <c r="H143" s="2697"/>
      <c r="I143" s="2697"/>
      <c r="J143" s="2698"/>
      <c r="K143" s="2693">
        <v>3</v>
      </c>
      <c r="L143" s="2753" t="s">
        <v>2646</v>
      </c>
      <c r="M143" s="2697"/>
      <c r="N143" s="2697"/>
      <c r="O143" s="2698"/>
    </row>
    <row r="144" spans="2:15" ht="15.75">
      <c r="B144" s="2014">
        <v>1</v>
      </c>
      <c r="C144" s="2014">
        <v>1</v>
      </c>
      <c r="D144" s="395"/>
      <c r="E144" s="1529"/>
      <c r="F144" s="2699" t="str">
        <f>IF(F143=$F$7,$G$2,IF(ROUNDDOWN(F143,0)=$F$2,$H$2,$G$2))</f>
        <v>　Level 1</v>
      </c>
      <c r="G144" s="2582" t="s">
        <v>2647</v>
      </c>
      <c r="H144" s="2700"/>
      <c r="I144" s="2700"/>
      <c r="J144" s="2701"/>
      <c r="K144" s="2699" t="str">
        <f>IF(K143=$F$7,$G$2,IF(ROUNDDOWN(K143,0)=$F$2,$H$2,$G$2))</f>
        <v>　Level 1</v>
      </c>
      <c r="L144" s="2582" t="str">
        <f>G144</f>
        <v>Sound absorbing materials are not used</v>
      </c>
      <c r="M144" s="2700"/>
      <c r="N144" s="2700"/>
      <c r="O144" s="2701"/>
    </row>
    <row r="145" spans="2:15" ht="15.75">
      <c r="B145" s="2014" t="s">
        <v>512</v>
      </c>
      <c r="C145" s="2014" t="s">
        <v>49</v>
      </c>
      <c r="D145" s="395"/>
      <c r="E145" s="1529"/>
      <c r="F145" s="2702" t="str">
        <f>IF(F143=$F$7,$G$3,IF(ROUNDDOWN(F143,0)=$F$3,$H$3,$G$3))</f>
        <v>　Level 2</v>
      </c>
      <c r="G145" s="2583" t="s">
        <v>2528</v>
      </c>
      <c r="H145" s="2333"/>
      <c r="I145" s="2333"/>
      <c r="J145" s="2703"/>
      <c r="K145" s="2702" t="str">
        <f>IF(K143=$F$7,$G$3,IF(ROUNDDOWN(K143,0)=$F$3,$H$3,$G$3))</f>
        <v>　Level 2</v>
      </c>
      <c r="L145" s="2583" t="str">
        <f t="shared" ref="L145:L148" si="0">G145</f>
        <v>(No corresponding level)</v>
      </c>
      <c r="M145" s="2333"/>
      <c r="N145" s="2333"/>
      <c r="O145" s="2703"/>
    </row>
    <row r="146" spans="2:15" ht="28.15" customHeight="1">
      <c r="B146" s="2014">
        <v>3</v>
      </c>
      <c r="C146" s="2014">
        <v>3</v>
      </c>
      <c r="D146" s="395"/>
      <c r="E146" s="1529"/>
      <c r="F146" s="2702" t="str">
        <f>IF(F143=$F$7,$G$4,IF(ROUNDDOWN(F143,0)=$F$4,$H$4,$G$4))</f>
        <v>■Level 3</v>
      </c>
      <c r="G146" s="3927" t="s">
        <v>3449</v>
      </c>
      <c r="H146" s="3935"/>
      <c r="I146" s="3935"/>
      <c r="J146" s="3936"/>
      <c r="K146" s="2702" t="str">
        <f>IF(K143=$F$7,$G$4,IF(ROUNDDOWN(K143,0)=$F$4,$H$4,$G$4))</f>
        <v>■Level 3</v>
      </c>
      <c r="L146" s="3927" t="str">
        <f t="shared" si="0"/>
        <v>Sound absorbing materials are used in one of the following areas (walls, floor or ceiling)</v>
      </c>
      <c r="M146" s="3935"/>
      <c r="N146" s="3935"/>
      <c r="O146" s="3936"/>
    </row>
    <row r="147" spans="2:15" ht="28.15" customHeight="1">
      <c r="B147" s="2014">
        <v>4</v>
      </c>
      <c r="C147" s="2014">
        <v>4</v>
      </c>
      <c r="D147" s="395"/>
      <c r="E147" s="1529"/>
      <c r="F147" s="2702" t="str">
        <f>IF(F143=$F$7,$G$5,IF(ROUNDDOWN(F143,0)=$F$5,$H$5,$G$5))</f>
        <v>　Level 4</v>
      </c>
      <c r="G147" s="3927" t="s">
        <v>3450</v>
      </c>
      <c r="H147" s="3935"/>
      <c r="I147" s="3935"/>
      <c r="J147" s="3936"/>
      <c r="K147" s="2702" t="str">
        <f>IF(K143=$F$7,$G$5,IF(ROUNDDOWN(K143,0)=$F$5,$H$5,$G$5))</f>
        <v>　Level 4</v>
      </c>
      <c r="L147" s="3927" t="str">
        <f t="shared" si="0"/>
        <v>Sound absorbing materials are used in two of the following areas (walls, floor or ceiling)</v>
      </c>
      <c r="M147" s="4009"/>
      <c r="N147" s="4009"/>
      <c r="O147" s="3977"/>
    </row>
    <row r="148" spans="2:15" ht="28.15" customHeight="1">
      <c r="B148" s="2014">
        <v>5</v>
      </c>
      <c r="C148" s="2014">
        <v>5</v>
      </c>
      <c r="D148" s="395"/>
      <c r="E148" s="1529"/>
      <c r="F148" s="2704" t="str">
        <f>IF(F143=$F$7,$G$6,IF(ROUNDDOWN(F143,0)=$F$6,$H$6,$G$6))</f>
        <v>　Level 5</v>
      </c>
      <c r="G148" s="3927" t="s">
        <v>3451</v>
      </c>
      <c r="H148" s="3935"/>
      <c r="I148" s="3935"/>
      <c r="J148" s="3936"/>
      <c r="K148" s="2704" t="str">
        <f>IF(K143=$F$7,$G$6,IF(ROUNDDOWN(K143,0)=$F$6,$H$6,$G$6))</f>
        <v>　Level 5</v>
      </c>
      <c r="L148" s="3930" t="str">
        <f t="shared" si="0"/>
        <v>Sound absorbing materials are used in all of the following areas (walls, floor or ceiling)</v>
      </c>
      <c r="M148" s="4010"/>
      <c r="N148" s="4010"/>
      <c r="O148" s="4011"/>
    </row>
    <row r="149" spans="2:15" ht="15.75">
      <c r="B149" s="2850">
        <v>0</v>
      </c>
      <c r="C149" s="2850">
        <v>0</v>
      </c>
      <c r="D149" s="395"/>
      <c r="E149" s="119"/>
      <c r="F149" s="2067" t="s">
        <v>3045</v>
      </c>
      <c r="G149" s="2708"/>
      <c r="H149" s="2759"/>
      <c r="I149" s="2709"/>
      <c r="J149" s="2710"/>
      <c r="K149" s="2711"/>
    </row>
    <row r="150" spans="2:15">
      <c r="D150" s="1105"/>
    </row>
    <row r="151" spans="2:15" ht="15.75">
      <c r="D151" s="393">
        <v>2</v>
      </c>
      <c r="E151" s="395" t="s">
        <v>2648</v>
      </c>
      <c r="F151" s="9"/>
    </row>
    <row r="152" spans="2:15" ht="15.75">
      <c r="D152" s="393">
        <v>2.1</v>
      </c>
      <c r="E152" s="395" t="s">
        <v>2649</v>
      </c>
      <c r="F152" s="9"/>
    </row>
    <row r="153" spans="2:15" ht="15.75">
      <c r="D153" s="395"/>
      <c r="E153" s="28"/>
      <c r="F153" s="400" t="s">
        <v>2650</v>
      </c>
      <c r="J153" s="1105" t="str">
        <f>IF(OR(F155=0,AND(J154=0,O154=0)),$L$3,"")</f>
        <v/>
      </c>
    </row>
    <row r="154" spans="2:15" ht="24.6" customHeight="1" thickBot="1">
      <c r="D154" s="395"/>
      <c r="E154" s="28"/>
      <c r="F154" s="2843" t="s">
        <v>2613</v>
      </c>
      <c r="G154" s="2688"/>
      <c r="H154" s="2689"/>
      <c r="I154" s="2842" t="s">
        <v>2629</v>
      </c>
      <c r="J154" s="2848">
        <f>Weight!M22</f>
        <v>0.37499999999999994</v>
      </c>
      <c r="K154" s="2764"/>
      <c r="L154" s="2766"/>
      <c r="M154" s="4018" t="s">
        <v>2615</v>
      </c>
      <c r="N154" s="4019"/>
      <c r="O154" s="2847">
        <f>Weight!N22</f>
        <v>0</v>
      </c>
    </row>
    <row r="155" spans="2:15" ht="45.6" customHeight="1" thickBot="1">
      <c r="D155" s="395"/>
      <c r="E155" s="28"/>
      <c r="F155" s="2693">
        <v>3</v>
      </c>
      <c r="G155" s="3173" t="s">
        <v>3458</v>
      </c>
      <c r="H155" s="3173" t="s">
        <v>4127</v>
      </c>
      <c r="I155" s="3173" t="s">
        <v>2628</v>
      </c>
      <c r="J155" s="3174" t="s">
        <v>3453</v>
      </c>
      <c r="K155" s="3174" t="s">
        <v>3456</v>
      </c>
      <c r="L155" s="3175" t="s">
        <v>3459</v>
      </c>
      <c r="M155" s="2693">
        <v>3</v>
      </c>
      <c r="N155" s="3176" t="s">
        <v>2959</v>
      </c>
      <c r="O155" s="3177" t="s">
        <v>2433</v>
      </c>
    </row>
    <row r="156" spans="2:15" ht="15.75" hidden="1">
      <c r="B156" s="2014">
        <v>1</v>
      </c>
      <c r="C156" s="2014">
        <v>1</v>
      </c>
      <c r="D156" s="395"/>
      <c r="E156" s="28"/>
      <c r="F156" s="2754"/>
      <c r="G156" s="2753" t="s">
        <v>3111</v>
      </c>
      <c r="H156" s="2697"/>
      <c r="I156" s="2697"/>
      <c r="J156" s="2697"/>
      <c r="K156" s="2697"/>
      <c r="L156" s="2697"/>
      <c r="M156" s="2754"/>
      <c r="N156" s="2697" t="s">
        <v>3111</v>
      </c>
      <c r="O156" s="2760"/>
    </row>
    <row r="157" spans="2:15" ht="45" hidden="1" customHeight="1">
      <c r="B157" s="2014">
        <v>2</v>
      </c>
      <c r="C157" s="2014">
        <v>2</v>
      </c>
      <c r="D157" s="395"/>
      <c r="E157" s="28"/>
      <c r="F157" s="2702" t="str">
        <f>IF(F155=$F$7,$G$2,IF(AND($O$9=$O$3,ROUNDDOWN(F155,0)=$F$2),$H$2,$G$2))</f>
        <v>　Level 1</v>
      </c>
      <c r="G157" s="2768" t="s">
        <v>3131</v>
      </c>
      <c r="H157" s="2719" t="s">
        <v>3132</v>
      </c>
      <c r="I157" s="2719" t="s">
        <v>3133</v>
      </c>
      <c r="J157" s="2719" t="s">
        <v>3134</v>
      </c>
      <c r="K157" s="1170" t="s">
        <v>3135</v>
      </c>
      <c r="L157" s="2719" t="s">
        <v>3136</v>
      </c>
      <c r="M157" s="2702" t="str">
        <f>IF(M155=$F$7,$G$2,IF(AND($O$9=$O$3,ROUNDDOWN(M155,0)=$F$2),$H$2,$G$2))</f>
        <v>　Level 1</v>
      </c>
      <c r="N157" s="2720" t="s">
        <v>3132</v>
      </c>
      <c r="O157" s="2769" t="s">
        <v>3137</v>
      </c>
    </row>
    <row r="158" spans="2:15" ht="33.75" hidden="1" customHeight="1">
      <c r="B158" s="2014">
        <v>3</v>
      </c>
      <c r="C158" s="2014">
        <v>3</v>
      </c>
      <c r="D158" s="395"/>
      <c r="E158" s="28"/>
      <c r="F158" s="2702" t="str">
        <f>IF(F155=$F$7,$G$3,IF(AND($O$9=$O$3,ROUNDDOWN(F155,0)=$F$3),$H$3,$G$3))</f>
        <v>　Level 2</v>
      </c>
      <c r="G158" s="2721" t="s">
        <v>3138</v>
      </c>
      <c r="H158" s="2721"/>
      <c r="I158" s="2721"/>
      <c r="J158" s="2721"/>
      <c r="K158" s="1170" t="s">
        <v>3135</v>
      </c>
      <c r="L158" s="2721"/>
      <c r="M158" s="2702" t="str">
        <f>IF(M155=$F$7,$G$3,IF(AND($O$9=$O$3,ROUNDDOWN(M155,0)=$F$3),$H$3,$G$3))</f>
        <v>　Level 2</v>
      </c>
      <c r="N158" s="2770"/>
      <c r="O158" s="2660"/>
    </row>
    <row r="159" spans="2:15" ht="45" hidden="1" customHeight="1">
      <c r="B159" s="2014">
        <v>4</v>
      </c>
      <c r="C159" s="2014">
        <v>4</v>
      </c>
      <c r="D159" s="395"/>
      <c r="E159" s="28"/>
      <c r="F159" s="2702" t="str">
        <f>IF(F155=$F$7,$G$4,IF(AND($O$9=$O$3,ROUNDDOWN(F155,0)=$F$4),$H$4,$G$4))</f>
        <v>　Level 3</v>
      </c>
      <c r="G159" s="2675" t="s">
        <v>3139</v>
      </c>
      <c r="H159" s="2675" t="s">
        <v>3139</v>
      </c>
      <c r="I159" s="2675" t="s">
        <v>3140</v>
      </c>
      <c r="J159" s="2771" t="s">
        <v>3141</v>
      </c>
      <c r="K159" s="2771" t="s">
        <v>3142</v>
      </c>
      <c r="L159" s="2675" t="s">
        <v>3143</v>
      </c>
      <c r="M159" s="2702" t="str">
        <f>IF(M155=$F$7,$G$4,IF(AND($O$9=$O$3,ROUNDDOWN(M155,0)=$F$4),$H$4,$G$4))</f>
        <v>　Level 3</v>
      </c>
      <c r="N159" s="2721" t="s">
        <v>3139</v>
      </c>
      <c r="O159" s="2772" t="s">
        <v>3144</v>
      </c>
    </row>
    <row r="160" spans="2:15" ht="33.75" hidden="1" customHeight="1">
      <c r="B160" s="2014">
        <v>5</v>
      </c>
      <c r="C160" s="2014">
        <v>5</v>
      </c>
      <c r="D160" s="395"/>
      <c r="E160" s="28"/>
      <c r="F160" s="2702" t="str">
        <f>IF(F155=$F$7,$G$5,IF(AND($O$9=$O$3,ROUNDDOWN(F155,0)=$F$5),$H$5,$G$5))</f>
        <v>　Level 4</v>
      </c>
      <c r="G160" s="2721"/>
      <c r="H160" s="2721"/>
      <c r="I160" s="2721"/>
      <c r="J160" s="2772"/>
      <c r="K160" s="2772" t="s">
        <v>3145</v>
      </c>
      <c r="L160" s="2721"/>
      <c r="M160" s="2702" t="str">
        <f>IF(M155=$F$7,$G$5,IF(AND($O$9=$O$3,ROUNDDOWN(M155,0)=$F$5),$H$5,$G$5))</f>
        <v>　Level 4</v>
      </c>
      <c r="N160" s="2721"/>
      <c r="O160" s="2772"/>
    </row>
    <row r="161" spans="2:15" ht="67.5" hidden="1" customHeight="1">
      <c r="B161" s="2850">
        <v>0</v>
      </c>
      <c r="C161" s="2850">
        <v>0</v>
      </c>
      <c r="D161" s="395"/>
      <c r="E161" s="28"/>
      <c r="F161" s="2704" t="str">
        <f>IF(F155=$F$7,$G$6,IF(AND($O$9=$O$3,ROUNDDOWN(F155,0)=$F$6),$H$6,$G$6))</f>
        <v>　Level 5</v>
      </c>
      <c r="G161" s="3940" t="s">
        <v>3146</v>
      </c>
      <c r="H161" s="4003"/>
      <c r="I161" s="4003"/>
      <c r="J161" s="4004"/>
      <c r="K161" s="2663" t="s">
        <v>3147</v>
      </c>
      <c r="L161" s="2722" t="s">
        <v>3148</v>
      </c>
      <c r="M161" s="2704" t="str">
        <f>IF(M155=$F$7,$G$6,IF(AND($O$9=$O$3,ROUNDDOWN(M155,0)=$F$6),$H$6,$G$6))</f>
        <v>　Level 5</v>
      </c>
      <c r="N161" s="2722" t="s">
        <v>3146</v>
      </c>
      <c r="O161" s="2663" t="s">
        <v>3149</v>
      </c>
    </row>
    <row r="162" spans="2:15" ht="15.75" hidden="1">
      <c r="D162" s="395"/>
      <c r="E162" s="28"/>
      <c r="F162" s="2757"/>
      <c r="G162" s="2753" t="s">
        <v>4124</v>
      </c>
      <c r="H162" s="2697"/>
      <c r="I162" s="2765"/>
      <c r="J162" s="2765"/>
      <c r="K162" s="2765"/>
      <c r="L162" s="2765"/>
      <c r="M162" s="2757"/>
      <c r="N162" s="2753" t="s">
        <v>4124</v>
      </c>
      <c r="O162" s="2760"/>
    </row>
    <row r="163" spans="2:15" ht="205.15" customHeight="1">
      <c r="D163" s="395"/>
      <c r="E163" s="28"/>
      <c r="F163" s="2758" t="str">
        <f>IF(F155=$F$7,$G$2,IF(AND($O$9&lt;&gt;$O$3,ROUNDDOWN(F155,0)=$F$2),$H$2,$G$2))</f>
        <v>　Level 1</v>
      </c>
      <c r="G163" s="2629" t="s">
        <v>2651</v>
      </c>
      <c r="H163" s="2629" t="s">
        <v>3457</v>
      </c>
      <c r="I163" s="2629" t="s">
        <v>3452</v>
      </c>
      <c r="J163" s="2629" t="s">
        <v>2653</v>
      </c>
      <c r="K163" s="2583" t="s">
        <v>2762</v>
      </c>
      <c r="L163" s="2629" t="s">
        <v>2654</v>
      </c>
      <c r="M163" s="2758" t="str">
        <f>IF(M155=$F$7,$G$2,IF(AND($O$9&lt;&gt;$O$3,ROUNDDOWN(M155,0)=$F$2),$H$2,$G$2))</f>
        <v>　Level 1</v>
      </c>
      <c r="N163" s="2623" t="s">
        <v>2652</v>
      </c>
      <c r="O163" s="2630" t="s">
        <v>2654</v>
      </c>
    </row>
    <row r="164" spans="2:15" ht="151.15" customHeight="1">
      <c r="D164" s="395"/>
      <c r="E164" s="28"/>
      <c r="F164" s="2702" t="str">
        <f>IF(F155=$F$7,$G$3,IF(AND($O$9&lt;&gt;$O$3,ROUNDDOWN(F155,0)=$F$3),$H$3,$G$3))</f>
        <v>　Level 2</v>
      </c>
      <c r="G164" s="2624" t="s">
        <v>2655</v>
      </c>
      <c r="H164" s="2624"/>
      <c r="I164" s="2624"/>
      <c r="J164" s="2624"/>
      <c r="K164" s="2631" t="s">
        <v>2528</v>
      </c>
      <c r="L164" s="2624"/>
      <c r="M164" s="2702" t="str">
        <f>IF(M155=$F$7,$G$3,IF(AND($O$9&lt;&gt;$O$3,ROUNDDOWN(M155,0)=$F$3),$H$3,$G$3))</f>
        <v>　Level 2</v>
      </c>
      <c r="N164" s="2633"/>
      <c r="O164" s="2634"/>
    </row>
    <row r="165" spans="2:15" ht="143.44999999999999" customHeight="1">
      <c r="D165" s="395"/>
      <c r="E165" s="28"/>
      <c r="F165" s="2702" t="str">
        <f>IF(F155=$F$7,$G$4,IF(AND($O$9&lt;&gt;$O$3,ROUNDDOWN(F155,0)=$F$4),$H$4,$G$4))</f>
        <v>■Level 3</v>
      </c>
      <c r="G165" s="2631" t="s">
        <v>2659</v>
      </c>
      <c r="H165" s="2631" t="s">
        <v>2659</v>
      </c>
      <c r="I165" s="2631" t="s">
        <v>2664</v>
      </c>
      <c r="J165" s="2635" t="s">
        <v>2656</v>
      </c>
      <c r="K165" s="2635" t="s">
        <v>2657</v>
      </c>
      <c r="L165" s="2631" t="s">
        <v>2658</v>
      </c>
      <c r="M165" s="2702" t="str">
        <f>IF(M155=$F$7,$G$4,IF(AND($O$9&lt;&gt;$O$3,ROUNDDOWN(M155,0)=$F$4),$H$4,$G$4))</f>
        <v>■Level 3</v>
      </c>
      <c r="N165" s="3927" t="s">
        <v>2659</v>
      </c>
      <c r="O165" s="3936"/>
    </row>
    <row r="166" spans="2:15" ht="150" customHeight="1">
      <c r="D166" s="395"/>
      <c r="E166" s="28"/>
      <c r="F166" s="2702" t="str">
        <f>IF(F155=$F$7,$G$5,IF(AND($O$9&lt;&gt;$O$3,ROUNDDOWN(F155,0)=$F$5),$H$5,$G$5))</f>
        <v>　Level 4</v>
      </c>
      <c r="G166" s="2624"/>
      <c r="H166" s="2624"/>
      <c r="I166" s="2624"/>
      <c r="J166" s="2636"/>
      <c r="K166" s="2636" t="s">
        <v>2660</v>
      </c>
      <c r="L166" s="2624"/>
      <c r="M166" s="2702" t="str">
        <f>IF(M155=$F$7,$G$5,IF(AND($O$9&lt;&gt;$O$3,ROUNDDOWN(M155,0)=$F$5),$H$5,$G$5))</f>
        <v>　Level 4</v>
      </c>
      <c r="N166" s="3927"/>
      <c r="O166" s="3936"/>
    </row>
    <row r="167" spans="2:15" ht="155.44999999999999" customHeight="1">
      <c r="D167" s="395"/>
      <c r="E167" s="28"/>
      <c r="F167" s="2704" t="str">
        <f>IF(F155=$F$7,$G$6,IF(AND($O$9&lt;&gt;$O$3,ROUNDDOWN(F155,0)=$F$6),$H$6,$G$6))</f>
        <v>　Level 5</v>
      </c>
      <c r="G167" s="3930" t="s">
        <v>2661</v>
      </c>
      <c r="H167" s="3933"/>
      <c r="I167" s="3933"/>
      <c r="J167" s="3934"/>
      <c r="K167" s="2625" t="s">
        <v>5007</v>
      </c>
      <c r="L167" s="2625" t="s">
        <v>2662</v>
      </c>
      <c r="M167" s="2704" t="str">
        <f>IF(M155=$F$7,$G$6,IF(AND($O$9&lt;&gt;$O$3,ROUNDDOWN(M155,0)=$F$6),$H$6,$G$6))</f>
        <v>　Level 5</v>
      </c>
      <c r="N167" s="3930" t="s">
        <v>2663</v>
      </c>
      <c r="O167" s="3934"/>
    </row>
    <row r="168" spans="2:15" ht="15.75" hidden="1">
      <c r="D168" s="395"/>
      <c r="E168" s="28"/>
      <c r="F168" s="28"/>
      <c r="G168" s="2773"/>
      <c r="H168" s="2773"/>
      <c r="I168" s="2773"/>
      <c r="J168" s="2773"/>
      <c r="K168" s="2773"/>
      <c r="L168" s="2773"/>
      <c r="M168" s="2773"/>
      <c r="N168" s="2773"/>
      <c r="O168" s="2773"/>
    </row>
    <row r="169" spans="2:15" ht="15.75" hidden="1">
      <c r="D169" s="395"/>
      <c r="E169" s="28"/>
      <c r="F169" s="547" t="s">
        <v>562</v>
      </c>
      <c r="G169" s="2672"/>
      <c r="H169" s="2673"/>
      <c r="I169" s="2586"/>
      <c r="J169" s="2674" t="str">
        <f>IF(OR(F171=0,J170=0),$L$3,"")</f>
        <v>&lt;N.A.&gt;</v>
      </c>
      <c r="K169" s="2773"/>
      <c r="L169" s="2773"/>
      <c r="M169" s="2773"/>
      <c r="N169" s="2773"/>
      <c r="O169" s="2773"/>
    </row>
    <row r="170" spans="2:15" ht="15.75" hidden="1">
      <c r="D170" s="395"/>
      <c r="E170" s="28"/>
      <c r="F170" s="2655" t="s">
        <v>2613</v>
      </c>
      <c r="G170" s="2688"/>
      <c r="H170" s="2689"/>
      <c r="I170" s="2690" t="s">
        <v>2629</v>
      </c>
      <c r="J170" s="2692">
        <f>Weight!M23</f>
        <v>0</v>
      </c>
      <c r="K170" s="2773"/>
      <c r="L170" s="2773"/>
      <c r="M170" s="2773"/>
      <c r="N170" s="2773"/>
      <c r="O170" s="2773"/>
    </row>
    <row r="171" spans="2:15" ht="16.5" hidden="1" thickBot="1">
      <c r="D171" s="395"/>
      <c r="E171" s="28"/>
      <c r="F171" s="2656">
        <v>0</v>
      </c>
      <c r="G171" s="2774" t="s">
        <v>4092</v>
      </c>
      <c r="H171" s="2697"/>
      <c r="I171" s="2697"/>
      <c r="J171" s="2698"/>
      <c r="K171" s="2773"/>
      <c r="L171" s="2773"/>
      <c r="M171" s="2773"/>
      <c r="N171" s="2773"/>
      <c r="O171" s="2773"/>
    </row>
    <row r="172" spans="2:15" ht="15.75" hidden="1">
      <c r="B172" s="2014">
        <v>1</v>
      </c>
      <c r="C172" s="2014">
        <v>1</v>
      </c>
      <c r="D172" s="395"/>
      <c r="E172" s="28"/>
      <c r="F172" s="2699" t="str">
        <f>IF(F171=$F$7,$G$2,IF(ROUNDDOWN(F171,0)=$F$2,$H$2,$G$2))</f>
        <v>　Level 1</v>
      </c>
      <c r="G172" s="2755" t="s">
        <v>3150</v>
      </c>
      <c r="H172" s="2700"/>
      <c r="I172" s="2700"/>
      <c r="J172" s="2701"/>
      <c r="K172" s="2773"/>
      <c r="L172" s="2773"/>
      <c r="M172" s="2773"/>
      <c r="N172" s="2773"/>
      <c r="O172" s="2773"/>
    </row>
    <row r="173" spans="2:15" ht="15.75" hidden="1">
      <c r="B173" s="2014">
        <v>2</v>
      </c>
      <c r="C173" s="2014">
        <v>2</v>
      </c>
      <c r="D173" s="395"/>
      <c r="E173" s="28"/>
      <c r="F173" s="2702" t="str">
        <f>IF(F171=$F$7,$G$3,IF(ROUNDDOWN(F171,0)=$F$3,$H$3,$G$3))</f>
        <v>　Level 2</v>
      </c>
      <c r="G173" s="1170"/>
      <c r="H173" s="2333"/>
      <c r="I173" s="2333"/>
      <c r="J173" s="2703"/>
      <c r="K173" s="2773"/>
      <c r="L173" s="2773"/>
      <c r="M173" s="2773"/>
      <c r="N173" s="2773"/>
      <c r="O173" s="2773"/>
    </row>
    <row r="174" spans="2:15" ht="15.75" hidden="1">
      <c r="B174" s="2014">
        <v>3</v>
      </c>
      <c r="C174" s="2014">
        <v>3</v>
      </c>
      <c r="D174" s="395"/>
      <c r="E174" s="28"/>
      <c r="F174" s="2702" t="str">
        <f>IF(F171=$F$7,$G$4,IF(ROUNDDOWN(F171,0)=$F$4,$H$4,$G$4))</f>
        <v>　Level 3</v>
      </c>
      <c r="G174" s="1170" t="s">
        <v>3151</v>
      </c>
      <c r="H174" s="2333"/>
      <c r="I174" s="2333"/>
      <c r="J174" s="2703"/>
      <c r="K174" s="2773"/>
      <c r="L174" s="2773"/>
      <c r="M174" s="2773"/>
      <c r="N174" s="2773"/>
      <c r="O174" s="2773"/>
    </row>
    <row r="175" spans="2:15" ht="15.75" hidden="1">
      <c r="B175" s="2014">
        <v>4</v>
      </c>
      <c r="C175" s="2014">
        <v>4</v>
      </c>
      <c r="D175" s="395"/>
      <c r="E175" s="28"/>
      <c r="F175" s="2702" t="str">
        <f>IF(F171=$F$7,$G$5,IF(ROUNDDOWN(F171,0)=$F$5,$H$5,$G$5))</f>
        <v>　Level 4</v>
      </c>
      <c r="G175" s="1170"/>
      <c r="H175" s="2333"/>
      <c r="I175" s="2333"/>
      <c r="J175" s="2703"/>
      <c r="K175" s="2773"/>
      <c r="L175" s="2773"/>
      <c r="M175" s="2773"/>
      <c r="N175" s="2773"/>
      <c r="O175" s="2773"/>
    </row>
    <row r="176" spans="2:15" ht="15.75" hidden="1">
      <c r="B176" s="2014">
        <v>5</v>
      </c>
      <c r="C176" s="2014">
        <v>5</v>
      </c>
      <c r="D176" s="395"/>
      <c r="E176" s="28"/>
      <c r="F176" s="2704" t="str">
        <f>IF(F171=$F$7,$G$6,IF(ROUNDDOWN(F171,0)=$F$6,$H$6,$G$6))</f>
        <v>　Level 5</v>
      </c>
      <c r="G176" s="2756" t="s">
        <v>3152</v>
      </c>
      <c r="H176" s="2705"/>
      <c r="I176" s="2705"/>
      <c r="J176" s="2706"/>
      <c r="K176" s="2773"/>
      <c r="L176" s="2773"/>
      <c r="M176" s="2773"/>
      <c r="N176" s="2773"/>
      <c r="O176" s="2773"/>
    </row>
    <row r="177" spans="2:15" ht="15.75">
      <c r="B177" s="2707">
        <v>0</v>
      </c>
      <c r="C177" s="2707">
        <v>0</v>
      </c>
      <c r="D177" s="395"/>
      <c r="E177" s="28"/>
      <c r="F177" s="2067" t="s">
        <v>3045</v>
      </c>
      <c r="G177" s="2708"/>
      <c r="H177" s="2759"/>
      <c r="I177" s="2709"/>
      <c r="J177" s="2710"/>
      <c r="K177" s="2711"/>
    </row>
    <row r="178" spans="2:15" ht="15.75">
      <c r="B178" s="2712"/>
      <c r="C178" s="2712"/>
      <c r="D178" s="395"/>
      <c r="E178" s="28"/>
      <c r="F178" s="120"/>
    </row>
    <row r="179" spans="2:15" ht="15.75">
      <c r="D179" s="395"/>
      <c r="E179" s="28"/>
      <c r="F179" s="396" t="s">
        <v>2665</v>
      </c>
      <c r="J179" s="1105" t="str">
        <f>IF(OR(F181=0,AND(J180=0,O180=0)),$L$3,"")</f>
        <v/>
      </c>
    </row>
    <row r="180" spans="2:15" ht="24.6" customHeight="1" thickBot="1">
      <c r="D180" s="395"/>
      <c r="E180" s="1173"/>
      <c r="F180" s="2843" t="s">
        <v>2613</v>
      </c>
      <c r="G180" s="2688"/>
      <c r="H180" s="2689"/>
      <c r="I180" s="2842" t="s">
        <v>2629</v>
      </c>
      <c r="J180" s="2845">
        <f>Weight!M24</f>
        <v>0.25</v>
      </c>
      <c r="K180" s="2843" t="s">
        <v>2615</v>
      </c>
      <c r="L180" s="2688"/>
      <c r="M180" s="2689"/>
      <c r="N180" s="2842" t="s">
        <v>2629</v>
      </c>
      <c r="O180" s="2845">
        <f>Weight!N24</f>
        <v>0</v>
      </c>
    </row>
    <row r="181" spans="2:15" ht="27" customHeight="1" thickBot="1">
      <c r="D181" s="395"/>
      <c r="E181" s="1173"/>
      <c r="F181" s="2693">
        <v>3</v>
      </c>
      <c r="G181" s="2753" t="s">
        <v>2619</v>
      </c>
      <c r="H181" s="2697"/>
      <c r="I181" s="2697"/>
      <c r="J181" s="2698"/>
      <c r="K181" s="2693">
        <v>3</v>
      </c>
      <c r="L181" s="2753" t="s">
        <v>2959</v>
      </c>
      <c r="M181" s="2698"/>
      <c r="N181" s="2753" t="s">
        <v>1679</v>
      </c>
      <c r="O181" s="2698"/>
    </row>
    <row r="182" spans="2:15" ht="15.75" hidden="1">
      <c r="B182" s="2014">
        <v>1</v>
      </c>
      <c r="C182" s="2014">
        <v>1</v>
      </c>
      <c r="D182" s="395"/>
      <c r="E182" s="1173"/>
      <c r="F182" s="2775"/>
      <c r="G182" s="2753" t="s">
        <v>3111</v>
      </c>
      <c r="H182" s="2697"/>
      <c r="I182" s="2697"/>
      <c r="J182" s="2698"/>
      <c r="K182" s="2775"/>
      <c r="L182" s="2697" t="s">
        <v>3111</v>
      </c>
      <c r="M182" s="2698"/>
      <c r="N182" s="2697"/>
      <c r="O182" s="2698"/>
    </row>
    <row r="183" spans="2:15" ht="60" hidden="1" customHeight="1">
      <c r="B183" s="2014">
        <v>2</v>
      </c>
      <c r="C183" s="2014">
        <v>2</v>
      </c>
      <c r="D183" s="395"/>
      <c r="E183" s="2763"/>
      <c r="F183" s="2702" t="str">
        <f>IF(F181=$F$7,$G$2,IF(AND($O$9=$O$3,ROUNDDOWN(F181,0)=$F$2),$H$2,$G$2))</f>
        <v>　Level 1</v>
      </c>
      <c r="G183" s="3948" t="s">
        <v>3153</v>
      </c>
      <c r="H183" s="3949"/>
      <c r="I183" s="3949"/>
      <c r="J183" s="3950"/>
      <c r="K183" s="2702" t="str">
        <f>IF(K181=$F$7,$G$2,IF(AND($O$9=$O$3,ROUNDDOWN(K181,0)=$F$2),$H$2,$G$2))</f>
        <v>　Level 1</v>
      </c>
      <c r="L183" s="3808" t="s">
        <v>3154</v>
      </c>
      <c r="M183" s="3944"/>
      <c r="N183" s="3808" t="s">
        <v>3155</v>
      </c>
      <c r="O183" s="3944"/>
    </row>
    <row r="184" spans="2:15" ht="60" hidden="1" customHeight="1">
      <c r="B184" s="2014">
        <v>3</v>
      </c>
      <c r="C184" s="2014">
        <v>3</v>
      </c>
      <c r="D184" s="395"/>
      <c r="E184" s="2763"/>
      <c r="F184" s="2702" t="str">
        <f>IF(F181=$F$7,$G$3,IF(AND($O$9=$O$3,ROUNDDOWN(F181,0)=$F$3),$H$3,$G$3))</f>
        <v>　Level 2</v>
      </c>
      <c r="G184" s="1170"/>
      <c r="H184" s="2676"/>
      <c r="I184" s="2776"/>
      <c r="J184" s="2677"/>
      <c r="K184" s="2702" t="str">
        <f>IF(K181=$F$7,$G$3,IF(AND($O$9=$O$3,ROUNDDOWN(K181,0)=$F$3),$H$3,$G$3))</f>
        <v>　Level 2</v>
      </c>
      <c r="L184" s="3808"/>
      <c r="M184" s="3944"/>
      <c r="N184" s="3808" t="s">
        <v>3156</v>
      </c>
      <c r="O184" s="3944"/>
    </row>
    <row r="185" spans="2:15" ht="60" hidden="1" customHeight="1">
      <c r="B185" s="2014">
        <v>4</v>
      </c>
      <c r="C185" s="2014">
        <v>4</v>
      </c>
      <c r="D185" s="395"/>
      <c r="E185" s="2763"/>
      <c r="F185" s="2702" t="str">
        <f>IF(F181=$F$7,$G$4,IF(AND($O$9=$O$3,ROUNDDOWN(F181,0)=$F$4),$H$4,$G$4))</f>
        <v>　Level 3</v>
      </c>
      <c r="G185" s="3808" t="s">
        <v>3157</v>
      </c>
      <c r="H185" s="3928"/>
      <c r="I185" s="3928"/>
      <c r="J185" s="3929"/>
      <c r="K185" s="2702" t="str">
        <f>IF(K181=$F$7,$G$4,IF(AND($O$9=$O$3,ROUNDDOWN(K181,0)=$F$4),$H$4,$G$4))</f>
        <v>　Level 3</v>
      </c>
      <c r="L185" s="3808" t="s">
        <v>3158</v>
      </c>
      <c r="M185" s="3944"/>
      <c r="N185" s="3808" t="s">
        <v>3159</v>
      </c>
      <c r="O185" s="3944"/>
    </row>
    <row r="186" spans="2:15" ht="45" hidden="1" customHeight="1">
      <c r="B186" s="2014">
        <v>5</v>
      </c>
      <c r="C186" s="2014">
        <v>5</v>
      </c>
      <c r="D186" s="395"/>
      <c r="E186" s="2763"/>
      <c r="F186" s="2702" t="str">
        <f>IF(F181=$F$7,$G$5,IF(AND($O$9=$O$3,ROUNDDOWN(F181,0)=$F$5),$H$5,$G$5))</f>
        <v>　Level 4</v>
      </c>
      <c r="G186" s="1170"/>
      <c r="H186" s="2676"/>
      <c r="I186" s="2776"/>
      <c r="J186" s="2777"/>
      <c r="K186" s="2702" t="str">
        <f>IF(K181=$F$7,$G$5,IF(AND($O$9=$O$3,ROUNDDOWN(K181,0)=$F$5),$H$5,$G$5))</f>
        <v>　Level 4</v>
      </c>
      <c r="L186" s="3808"/>
      <c r="M186" s="3944"/>
      <c r="N186" s="3808" t="s">
        <v>3135</v>
      </c>
      <c r="O186" s="3944"/>
    </row>
    <row r="187" spans="2:15" ht="60" hidden="1" customHeight="1">
      <c r="B187" s="2850">
        <v>0</v>
      </c>
      <c r="C187" s="2850">
        <v>0</v>
      </c>
      <c r="D187" s="395"/>
      <c r="E187" s="2763"/>
      <c r="F187" s="2704" t="str">
        <f>IF(F181=$F$7,$G$6,IF(AND($O$9=$O$3,ROUNDDOWN(F181,0)=$F$6),$H$6,$G$6))</f>
        <v>　Level 5</v>
      </c>
      <c r="G187" s="3937" t="s">
        <v>3160</v>
      </c>
      <c r="H187" s="3931"/>
      <c r="I187" s="3931"/>
      <c r="J187" s="3932"/>
      <c r="K187" s="2704" t="str">
        <f>IF(K181=$F$7,$G$6,IF(AND($O$9=$O$3,ROUNDDOWN(K181,0)=$F$6),$H$6,$G$6))</f>
        <v>　Level 5</v>
      </c>
      <c r="L187" s="3808" t="s">
        <v>3161</v>
      </c>
      <c r="M187" s="3944"/>
      <c r="N187" s="3808" t="s">
        <v>3162</v>
      </c>
      <c r="O187" s="3944"/>
    </row>
    <row r="188" spans="2:15" ht="15.75" hidden="1">
      <c r="D188" s="395"/>
      <c r="E188" s="2763"/>
      <c r="F188" s="2757"/>
      <c r="G188" s="2697" t="s">
        <v>4124</v>
      </c>
      <c r="H188" s="2765"/>
      <c r="I188" s="2765"/>
      <c r="J188" s="2765"/>
      <c r="K188" s="2757"/>
      <c r="L188" s="2765" t="s">
        <v>4124</v>
      </c>
      <c r="M188" s="2765"/>
      <c r="N188" s="2765"/>
      <c r="O188" s="2778"/>
    </row>
    <row r="189" spans="2:15" ht="139.15" customHeight="1">
      <c r="D189" s="395"/>
      <c r="E189" s="2763"/>
      <c r="F189" s="2758" t="str">
        <f>IF(F181=$F$7,$G$2,IF(AND($O$9&lt;&gt;$O$3,ROUNDDOWN(F181,0)=$F$2),$H$2,$G$2))</f>
        <v>　Level 1</v>
      </c>
      <c r="G189" s="3967" t="s">
        <v>2678</v>
      </c>
      <c r="H189" s="3989"/>
      <c r="I189" s="3989"/>
      <c r="J189" s="3976"/>
      <c r="K189" s="2758" t="str">
        <f>IF(K181=$F$7,$G$2,IF(AND($O$9&lt;&gt;$O$3,ROUNDDOWN(K181,0)=$F$2),$H$2,$G$2))</f>
        <v>　Level 1</v>
      </c>
      <c r="L189" s="3967" t="s">
        <v>2679</v>
      </c>
      <c r="M189" s="3968"/>
      <c r="N189" s="3948" t="s">
        <v>2666</v>
      </c>
      <c r="O189" s="3950"/>
    </row>
    <row r="190" spans="2:15" ht="81.599999999999994" customHeight="1">
      <c r="D190" s="395"/>
      <c r="E190" s="2763"/>
      <c r="F190" s="2702" t="str">
        <f>IF(F181=$F$7,$G$3,IF(AND($O$9&lt;&gt;$O$3,ROUNDDOWN(F181,0)=$F$3),$H$3,$G$3))</f>
        <v>　Level 2</v>
      </c>
      <c r="G190" s="3927"/>
      <c r="H190" s="3943"/>
      <c r="I190" s="3943"/>
      <c r="J190" s="3944"/>
      <c r="K190" s="2702" t="str">
        <f>IF(K181=$F$7,$G$3,IF(AND($O$9&lt;&gt;$O$3,ROUNDDOWN(K181,0)=$F$3),$H$3,$G$3))</f>
        <v>　Level 2</v>
      </c>
      <c r="L190" s="2583"/>
      <c r="M190" s="2638"/>
      <c r="N190" s="3808" t="s">
        <v>2667</v>
      </c>
      <c r="O190" s="3810"/>
    </row>
    <row r="191" spans="2:15" ht="161.44999999999999" customHeight="1">
      <c r="D191" s="395"/>
      <c r="E191" s="2763"/>
      <c r="F191" s="2702" t="str">
        <f>IF(F181=$F$7,$G$4,IF(AND($O$9&lt;&gt;$O$3,ROUNDDOWN(F181,0)=$F$4),$H$4,$G$4))</f>
        <v>■Level 3</v>
      </c>
      <c r="G191" s="3927" t="s">
        <v>2680</v>
      </c>
      <c r="H191" s="3943"/>
      <c r="I191" s="3943"/>
      <c r="J191" s="3944"/>
      <c r="K191" s="2702" t="str">
        <f>IF(K181=$F$7,$G$4,IF(AND($O$9&lt;&gt;$O$3,ROUNDDOWN(K181,0)=$F$4),$H$4,$G$4))</f>
        <v>■Level 3</v>
      </c>
      <c r="L191" s="3927" t="s">
        <v>2681</v>
      </c>
      <c r="M191" s="3929"/>
      <c r="N191" s="3808" t="s">
        <v>2668</v>
      </c>
      <c r="O191" s="3810"/>
    </row>
    <row r="192" spans="2:15" ht="76.900000000000006" customHeight="1">
      <c r="D192" s="395"/>
      <c r="E192" s="2763"/>
      <c r="F192" s="2702" t="str">
        <f>IF(F181=$F$7,$G$5,IF(AND($O$9&lt;&gt;$O$3,ROUNDDOWN(F181,0)=$F$5),$H$5,$G$5))</f>
        <v>　Level 4</v>
      </c>
      <c r="G192" s="3927"/>
      <c r="H192" s="3943"/>
      <c r="I192" s="3943"/>
      <c r="J192" s="3944"/>
      <c r="K192" s="2702" t="str">
        <f>IF(K181=$F$7,$G$5,IF(AND($O$9&lt;&gt;$O$3,ROUNDDOWN(K181,0)=$F$5),$H$5,$G$5))</f>
        <v>　Level 4</v>
      </c>
      <c r="L192" s="2583"/>
      <c r="M192" s="2638"/>
      <c r="N192" s="3808" t="s">
        <v>2669</v>
      </c>
      <c r="O192" s="3810"/>
    </row>
    <row r="193" spans="2:15" ht="175.15" customHeight="1">
      <c r="D193" s="395"/>
      <c r="E193" s="2763"/>
      <c r="F193" s="2704" t="str">
        <f>IF(F181=$F$7,$G$6,IF(AND($O$9&lt;&gt;$O$3,ROUNDDOWN(F181,0)=$F$6),$H$6,$G$6))</f>
        <v>　Level 5</v>
      </c>
      <c r="G193" s="3930" t="s">
        <v>2682</v>
      </c>
      <c r="H193" s="3938"/>
      <c r="I193" s="3938"/>
      <c r="J193" s="3939"/>
      <c r="K193" s="2704" t="str">
        <f>IF(K181=$F$7,$G$6,IF(AND($O$9&lt;&gt;$O$3,ROUNDDOWN(K181,0)=$F$6),$H$6,$G$6))</f>
        <v>　Level 5</v>
      </c>
      <c r="L193" s="3930" t="s">
        <v>2683</v>
      </c>
      <c r="M193" s="3932"/>
      <c r="N193" s="3937" t="s">
        <v>5008</v>
      </c>
      <c r="O193" s="3990"/>
    </row>
    <row r="194" spans="2:15" ht="15.75">
      <c r="D194" s="395"/>
      <c r="E194" s="2763"/>
      <c r="F194" s="2067" t="s">
        <v>3045</v>
      </c>
      <c r="G194" s="2708" t="s">
        <v>5009</v>
      </c>
      <c r="H194" s="2759"/>
      <c r="I194" s="2709"/>
      <c r="J194" s="2710"/>
      <c r="K194" s="2779"/>
    </row>
    <row r="195" spans="2:15" ht="15.75">
      <c r="D195" s="395"/>
      <c r="E195" s="2763"/>
      <c r="F195" s="1516" t="s">
        <v>2670</v>
      </c>
      <c r="G195" s="2780"/>
      <c r="I195" s="1516" t="s">
        <v>3454</v>
      </c>
      <c r="J195" s="2780"/>
    </row>
    <row r="196" spans="2:15" ht="15.75">
      <c r="D196" s="395"/>
      <c r="E196" s="2763"/>
      <c r="F196" s="1516" t="s">
        <v>2677</v>
      </c>
      <c r="G196" s="2323" t="s">
        <v>2674</v>
      </c>
      <c r="H196" s="2781"/>
      <c r="I196" s="1516" t="s">
        <v>2673</v>
      </c>
      <c r="J196" s="2781"/>
      <c r="K196" s="1516" t="s">
        <v>2671</v>
      </c>
      <c r="L196" s="2781"/>
      <c r="M196" s="1516" t="s">
        <v>2672</v>
      </c>
      <c r="N196" s="2781"/>
    </row>
    <row r="197" spans="2:15" ht="22.5">
      <c r="D197" s="395"/>
      <c r="E197" s="2763"/>
      <c r="F197" s="1516" t="s">
        <v>3455</v>
      </c>
      <c r="G197" s="3178" t="s">
        <v>2675</v>
      </c>
      <c r="H197" s="2780"/>
      <c r="I197" s="3178" t="s">
        <v>2676</v>
      </c>
      <c r="J197" s="2780"/>
      <c r="K197" s="1516" t="s">
        <v>1084</v>
      </c>
      <c r="L197" s="2780"/>
      <c r="M197" s="1516" t="s">
        <v>1086</v>
      </c>
      <c r="N197" s="2780"/>
    </row>
    <row r="198" spans="2:15">
      <c r="D198" s="1105"/>
      <c r="F198" s="2782"/>
      <c r="G198" s="411"/>
      <c r="H198" s="2783"/>
      <c r="I198" s="4002"/>
      <c r="J198" s="4002"/>
      <c r="K198" s="4002"/>
      <c r="L198" s="4002"/>
      <c r="M198" s="4002"/>
      <c r="N198" s="4002"/>
      <c r="O198" s="4002"/>
    </row>
    <row r="199" spans="2:15">
      <c r="D199" s="1105"/>
      <c r="F199" s="2784"/>
      <c r="G199" s="2784"/>
      <c r="H199" s="2784"/>
      <c r="I199" s="2784"/>
    </row>
    <row r="200" spans="2:15" ht="15.75">
      <c r="D200" s="395"/>
      <c r="E200" s="28"/>
      <c r="F200" s="28"/>
    </row>
    <row r="201" spans="2:15" ht="15.75">
      <c r="D201" s="395"/>
      <c r="E201" s="2763"/>
      <c r="F201" s="400" t="s">
        <v>2684</v>
      </c>
      <c r="J201" s="1105" t="str">
        <f>IF(OR(F203=0,J202=0),$L$3,"")</f>
        <v/>
      </c>
    </row>
    <row r="202" spans="2:15" ht="24.6" customHeight="1" thickBot="1">
      <c r="D202" s="395"/>
      <c r="E202" s="2763"/>
      <c r="F202" s="2843" t="s">
        <v>2613</v>
      </c>
      <c r="G202" s="2688"/>
      <c r="H202" s="2689"/>
      <c r="I202" s="2842" t="s">
        <v>2629</v>
      </c>
      <c r="J202" s="2848">
        <f>Weight!M25</f>
        <v>0.37499999999999994</v>
      </c>
      <c r="K202" s="2764"/>
      <c r="L202" s="2766"/>
      <c r="M202" s="2642" t="s">
        <v>2693</v>
      </c>
      <c r="N202" s="2643"/>
      <c r="O202" s="3180" t="s">
        <v>3272</v>
      </c>
    </row>
    <row r="203" spans="2:15" ht="27" customHeight="1" thickBot="1">
      <c r="D203" s="395"/>
      <c r="E203" s="2763"/>
      <c r="F203" s="2693">
        <v>3</v>
      </c>
      <c r="G203" s="2697" t="s">
        <v>4120</v>
      </c>
      <c r="H203" s="2697"/>
      <c r="I203" s="2698"/>
      <c r="J203" s="2753" t="s">
        <v>4121</v>
      </c>
      <c r="K203" s="2697"/>
      <c r="L203" s="2697"/>
      <c r="M203" s="2644"/>
      <c r="N203" s="2645"/>
      <c r="O203" s="2785"/>
    </row>
    <row r="204" spans="2:15" ht="77.45" customHeight="1">
      <c r="B204" s="2014">
        <v>1</v>
      </c>
      <c r="C204" s="2014">
        <v>1</v>
      </c>
      <c r="D204" s="395"/>
      <c r="E204" s="2763"/>
      <c r="F204" s="2699" t="str">
        <f>IF(F203=$F$7,$G$2,IF(ROUNDDOWN(F203,0)=$F$2,$H$2,$G$2))</f>
        <v>　Level 1</v>
      </c>
      <c r="G204" s="3967" t="s">
        <v>2685</v>
      </c>
      <c r="H204" s="3999"/>
      <c r="I204" s="3968"/>
      <c r="J204" s="3967" t="s">
        <v>2686</v>
      </c>
      <c r="K204" s="3999"/>
      <c r="L204" s="4000"/>
      <c r="M204" s="4001" t="s">
        <v>2694</v>
      </c>
      <c r="N204" s="3969"/>
      <c r="O204" s="3179" t="s">
        <v>4979</v>
      </c>
    </row>
    <row r="205" spans="2:15" ht="15.75">
      <c r="B205" s="2014">
        <v>2</v>
      </c>
      <c r="C205" s="2014">
        <v>2</v>
      </c>
      <c r="D205" s="395"/>
      <c r="E205" s="2763"/>
      <c r="F205" s="2702" t="str">
        <f>IF(F203=$F$7,$G$3,IF(ROUNDDOWN(F203,0)=$F$3,$H$3,$G$3))</f>
        <v>　Level 2</v>
      </c>
      <c r="G205" s="2639"/>
      <c r="H205" s="2640"/>
      <c r="I205" s="2641"/>
      <c r="J205" s="2583"/>
      <c r="K205" s="2621"/>
      <c r="L205" s="2621"/>
      <c r="M205" s="2646"/>
      <c r="N205" s="2647"/>
      <c r="O205" s="2787"/>
    </row>
    <row r="206" spans="2:15" ht="89.45" customHeight="1">
      <c r="B206" s="2014">
        <v>3</v>
      </c>
      <c r="C206" s="2014">
        <v>3</v>
      </c>
      <c r="D206" s="395"/>
      <c r="E206" s="2763"/>
      <c r="F206" s="2702" t="str">
        <f>IF(F203=$F$7,$G$4,IF(ROUNDDOWN(F203,0)=$F$4,$H$4,$G$4))</f>
        <v>■Level 3</v>
      </c>
      <c r="G206" s="3927" t="s">
        <v>2687</v>
      </c>
      <c r="H206" s="3935"/>
      <c r="I206" s="3936"/>
      <c r="J206" s="3927" t="s">
        <v>2688</v>
      </c>
      <c r="K206" s="3935"/>
      <c r="L206" s="3995"/>
      <c r="M206" s="3996" t="s">
        <v>2695</v>
      </c>
      <c r="N206" s="3929"/>
      <c r="O206" s="2787"/>
    </row>
    <row r="207" spans="2:15" ht="79.900000000000006" customHeight="1">
      <c r="B207" s="2014">
        <v>4</v>
      </c>
      <c r="C207" s="2014">
        <v>4</v>
      </c>
      <c r="D207" s="395"/>
      <c r="E207" s="2763"/>
      <c r="F207" s="2702" t="str">
        <f>IF(F203=$F$7,$G$5,IF(ROUNDDOWN(F203,0)=$F$5,$H$5,$G$5))</f>
        <v>　Level 4</v>
      </c>
      <c r="G207" s="3927" t="s">
        <v>2689</v>
      </c>
      <c r="H207" s="3935"/>
      <c r="I207" s="3936"/>
      <c r="J207" s="3927" t="s">
        <v>2690</v>
      </c>
      <c r="K207" s="3935"/>
      <c r="L207" s="3995"/>
      <c r="M207" s="3996" t="s">
        <v>2696</v>
      </c>
      <c r="N207" s="3929"/>
      <c r="O207" s="2787"/>
    </row>
    <row r="208" spans="2:15" ht="88.15" customHeight="1">
      <c r="B208" s="2014">
        <v>5</v>
      </c>
      <c r="C208" s="2014">
        <v>5</v>
      </c>
      <c r="D208" s="395"/>
      <c r="E208" s="2763"/>
      <c r="F208" s="2704" t="str">
        <f>IF(F203=$F$7,$G$6,IF(ROUNDDOWN(F203,0)=$F$6,$H$6,$G$6))</f>
        <v>　Level 5</v>
      </c>
      <c r="G208" s="3930" t="s">
        <v>2691</v>
      </c>
      <c r="H208" s="3933"/>
      <c r="I208" s="3934"/>
      <c r="J208" s="3930" t="s">
        <v>2692</v>
      </c>
      <c r="K208" s="3933"/>
      <c r="L208" s="3997"/>
      <c r="M208" s="3998" t="s">
        <v>2697</v>
      </c>
      <c r="N208" s="3932"/>
      <c r="O208" s="2788"/>
    </row>
    <row r="209" spans="2:15" ht="15.75" hidden="1">
      <c r="B209" s="2850">
        <v>0</v>
      </c>
      <c r="C209" s="2850">
        <v>0</v>
      </c>
      <c r="D209" s="395"/>
      <c r="E209" s="119"/>
      <c r="F209" s="119"/>
      <c r="G209" s="2713"/>
      <c r="H209" s="2713"/>
      <c r="I209" s="2713"/>
      <c r="J209" s="2713"/>
      <c r="K209" s="2773"/>
      <c r="L209" s="2773"/>
      <c r="M209" s="2773"/>
      <c r="N209" s="2773"/>
      <c r="O209" s="2773"/>
    </row>
    <row r="210" spans="2:15" ht="15.75" hidden="1">
      <c r="D210" s="395"/>
      <c r="E210" s="1173"/>
      <c r="F210" s="396" t="s">
        <v>418</v>
      </c>
      <c r="G210" s="2672"/>
      <c r="H210" s="2673"/>
      <c r="I210" s="2586"/>
      <c r="J210" s="2674" t="str">
        <f>IF(OR(F212=0,AND(J211=0,O211=0)),$L$3,"")</f>
        <v>&lt;N.A.&gt;</v>
      </c>
      <c r="K210" s="2713"/>
      <c r="L210" s="2672"/>
      <c r="M210" s="2673"/>
      <c r="N210" s="2586"/>
      <c r="O210" s="2586"/>
    </row>
    <row r="211" spans="2:15" ht="15.75" hidden="1">
      <c r="D211" s="395"/>
      <c r="E211" s="1173"/>
      <c r="F211" s="2655" t="s">
        <v>2613</v>
      </c>
      <c r="G211" s="2688"/>
      <c r="H211" s="2689"/>
      <c r="I211" s="2690" t="s">
        <v>2629</v>
      </c>
      <c r="J211" s="2692">
        <f>Weight!M26</f>
        <v>0</v>
      </c>
      <c r="K211" s="2655" t="s">
        <v>2615</v>
      </c>
      <c r="L211" s="2688"/>
      <c r="M211" s="2689"/>
      <c r="N211" s="2690" t="s">
        <v>2629</v>
      </c>
      <c r="O211" s="2692">
        <f>Weight!N26</f>
        <v>0</v>
      </c>
    </row>
    <row r="212" spans="2:15" ht="16.5" hidden="1" thickBot="1">
      <c r="D212" s="395"/>
      <c r="E212" s="1173"/>
      <c r="F212" s="2656">
        <v>0</v>
      </c>
      <c r="G212" s="2774" t="s">
        <v>2619</v>
      </c>
      <c r="H212" s="2697"/>
      <c r="I212" s="2697"/>
      <c r="J212" s="2697"/>
      <c r="K212" s="2656">
        <v>0</v>
      </c>
      <c r="L212" s="2753" t="s">
        <v>4079</v>
      </c>
      <c r="M212" s="2698"/>
      <c r="N212" s="2753"/>
      <c r="O212" s="2760"/>
    </row>
    <row r="213" spans="2:15" ht="15.75" hidden="1" customHeight="1">
      <c r="B213" s="2014">
        <v>1</v>
      </c>
      <c r="C213" s="2014">
        <v>1</v>
      </c>
      <c r="D213" s="395"/>
      <c r="E213" s="2763"/>
      <c r="F213" s="2699" t="str">
        <f>IF(F212=$F$7,$G$2,IF(ROUNDDOWN(F212,0)=$F$2,$H$2,$G$2))</f>
        <v>　Level 1</v>
      </c>
      <c r="G213" s="3948" t="s">
        <v>3164</v>
      </c>
      <c r="H213" s="3949"/>
      <c r="I213" s="3949"/>
      <c r="J213" s="3950"/>
      <c r="K213" s="2699" t="str">
        <f>IF(K212=$F$7,$G$2,IF(ROUNDDOWN(K212,0)=$F$2,$H$2,$G$2))</f>
        <v>　Level 1</v>
      </c>
      <c r="L213" s="3948" t="s">
        <v>3164</v>
      </c>
      <c r="M213" s="3949"/>
      <c r="N213" s="3949"/>
      <c r="O213" s="3950"/>
    </row>
    <row r="214" spans="2:15" ht="15.75" hidden="1" customHeight="1">
      <c r="B214" s="2014">
        <v>2</v>
      </c>
      <c r="C214" s="2014">
        <v>2</v>
      </c>
      <c r="D214" s="395"/>
      <c r="E214" s="2763"/>
      <c r="F214" s="2702" t="str">
        <f>IF(F212=$F$7,$G$3,IF(ROUNDDOWN(F212,0)=$F$3,$H$3,$G$3))</f>
        <v>　Level 2</v>
      </c>
      <c r="G214" s="3808" t="s">
        <v>3165</v>
      </c>
      <c r="H214" s="3943"/>
      <c r="I214" s="3943"/>
      <c r="J214" s="3944"/>
      <c r="K214" s="2702" t="str">
        <f>IF(K212=$F$7,$G$3,IF(ROUNDDOWN(K212,0)=$F$3,$H$3,$G$3))</f>
        <v>　Level 2</v>
      </c>
      <c r="L214" s="3945" t="s">
        <v>3165</v>
      </c>
      <c r="M214" s="3946"/>
      <c r="N214" s="3946"/>
      <c r="O214" s="3947"/>
    </row>
    <row r="215" spans="2:15" ht="15.75" hidden="1" customHeight="1">
      <c r="B215" s="2014">
        <v>3</v>
      </c>
      <c r="C215" s="2014">
        <v>3</v>
      </c>
      <c r="D215" s="395"/>
      <c r="E215" s="2763"/>
      <c r="F215" s="2702" t="str">
        <f>IF(F212=$F$7,$G$4,IF(ROUNDDOWN(F212,0)=$F$4,$H$4,$G$4))</f>
        <v>　Level 3</v>
      </c>
      <c r="G215" s="3808" t="s">
        <v>3166</v>
      </c>
      <c r="H215" s="3943"/>
      <c r="I215" s="3943"/>
      <c r="J215" s="3944"/>
      <c r="K215" s="2702" t="str">
        <f>IF(K212=$F$7,$G$4,IF(ROUNDDOWN(K212,0)=$F$4,$H$4,$G$4))</f>
        <v>　Level 3</v>
      </c>
      <c r="L215" s="3945" t="s">
        <v>3167</v>
      </c>
      <c r="M215" s="3946"/>
      <c r="N215" s="3946"/>
      <c r="O215" s="3947"/>
    </row>
    <row r="216" spans="2:15" ht="15.75" hidden="1">
      <c r="B216" s="2014">
        <v>4</v>
      </c>
      <c r="C216" s="2014">
        <v>4</v>
      </c>
      <c r="D216" s="395"/>
      <c r="E216" s="2763"/>
      <c r="F216" s="2702" t="str">
        <f>IF(F212=$F$7,$G$5,IF(ROUNDDOWN(F212,0)=$F$5,$H$5,$G$5))</f>
        <v>　Level 4</v>
      </c>
      <c r="G216" s="2789"/>
      <c r="H216" s="2790"/>
      <c r="I216" s="2791"/>
      <c r="J216" s="2792"/>
      <c r="K216" s="2702" t="str">
        <f>IF(K212=$F$7,$G$5,IF(ROUNDDOWN(K212,0)=$F$5,$H$5,$G$5))</f>
        <v>　Level 4</v>
      </c>
      <c r="L216" s="3945"/>
      <c r="M216" s="3946"/>
      <c r="N216" s="3946"/>
      <c r="O216" s="3947"/>
    </row>
    <row r="217" spans="2:15" ht="15.75" hidden="1" customHeight="1">
      <c r="B217" s="2014">
        <v>5</v>
      </c>
      <c r="C217" s="2014">
        <v>5</v>
      </c>
      <c r="D217" s="395"/>
      <c r="E217" s="2763"/>
      <c r="F217" s="2704" t="str">
        <f>IF(F212=$F$7,$G$6,IF(ROUNDDOWN(F212,0)=$F$6,$H$6,$G$6))</f>
        <v>　Level 5</v>
      </c>
      <c r="G217" s="3992" t="s">
        <v>3168</v>
      </c>
      <c r="H217" s="3993"/>
      <c r="I217" s="3993"/>
      <c r="J217" s="3994"/>
      <c r="K217" s="2704" t="str">
        <f>IF(K212=$F$7,$G$6,IF(ROUNDDOWN(K212,0)=$F$6,$H$6,$G$6))</f>
        <v>　Level 5</v>
      </c>
      <c r="L217" s="3992" t="s">
        <v>3169</v>
      </c>
      <c r="M217" s="3993"/>
      <c r="N217" s="3993"/>
      <c r="O217" s="3994"/>
    </row>
    <row r="218" spans="2:15" ht="15.75" hidden="1">
      <c r="B218" s="2707">
        <v>0</v>
      </c>
      <c r="C218" s="2707">
        <v>0</v>
      </c>
      <c r="D218" s="395"/>
      <c r="E218" s="2763"/>
      <c r="F218" s="2793"/>
      <c r="G218" s="2794"/>
      <c r="H218" s="2795"/>
      <c r="I218" s="2795"/>
      <c r="J218" s="2795"/>
      <c r="K218" s="2794"/>
      <c r="L218" s="2794"/>
      <c r="M218" s="2794"/>
      <c r="N218" s="2794"/>
      <c r="O218" s="2713"/>
    </row>
    <row r="219" spans="2:15" ht="15.75" hidden="1">
      <c r="D219" s="395"/>
      <c r="E219" s="2763"/>
      <c r="F219" s="396" t="s">
        <v>419</v>
      </c>
      <c r="G219" s="2672"/>
      <c r="H219" s="2673"/>
      <c r="I219" s="2586"/>
      <c r="J219" s="2674" t="str">
        <f>IF(OR(F221=0,J220=0),$L$3,"")</f>
        <v>&lt;N.A.&gt;</v>
      </c>
      <c r="K219" s="2794"/>
      <c r="L219" s="2794"/>
      <c r="M219" s="2794"/>
      <c r="N219" s="2794"/>
      <c r="O219" s="2713"/>
    </row>
    <row r="220" spans="2:15" ht="15.75" hidden="1">
      <c r="D220" s="395"/>
      <c r="E220" s="2763"/>
      <c r="F220" s="2655" t="s">
        <v>2615</v>
      </c>
      <c r="G220" s="2688"/>
      <c r="H220" s="2689"/>
      <c r="I220" s="2690" t="s">
        <v>2629</v>
      </c>
      <c r="J220" s="2692">
        <f>Weight!N27</f>
        <v>0</v>
      </c>
      <c r="K220" s="2794"/>
      <c r="L220" s="2794"/>
      <c r="M220" s="2794"/>
      <c r="N220" s="2794"/>
      <c r="O220" s="2713"/>
    </row>
    <row r="221" spans="2:15" ht="16.5" hidden="1" thickBot="1">
      <c r="D221" s="395"/>
      <c r="E221" s="2763"/>
      <c r="F221" s="2656">
        <v>0</v>
      </c>
      <c r="G221" s="3988" t="s">
        <v>4079</v>
      </c>
      <c r="H221" s="3991"/>
      <c r="I221" s="3991" t="s">
        <v>2433</v>
      </c>
      <c r="J221" s="3991"/>
      <c r="K221" s="2794"/>
      <c r="L221" s="2794"/>
      <c r="M221" s="2794"/>
      <c r="N221" s="2794"/>
      <c r="O221" s="2713"/>
    </row>
    <row r="222" spans="2:15" ht="15.75" hidden="1" customHeight="1">
      <c r="B222" s="2014">
        <v>1</v>
      </c>
      <c r="C222" s="2014">
        <v>1</v>
      </c>
      <c r="D222" s="395"/>
      <c r="E222" s="2763"/>
      <c r="F222" s="2699" t="str">
        <f>IF(F221=$F$7,$G$2,IF(ROUNDDOWN(F221,0)=$F$2,$H$2,$G$2))</f>
        <v>　Level 1</v>
      </c>
      <c r="G222" s="3948" t="s">
        <v>3170</v>
      </c>
      <c r="H222" s="3950"/>
      <c r="I222" s="3948" t="s">
        <v>3171</v>
      </c>
      <c r="J222" s="3976"/>
      <c r="K222" s="2794"/>
      <c r="L222" s="2794"/>
      <c r="M222" s="2794"/>
      <c r="N222" s="2794"/>
      <c r="O222" s="2713"/>
    </row>
    <row r="223" spans="2:15" ht="15.75" hidden="1">
      <c r="B223" s="2014">
        <v>2</v>
      </c>
      <c r="C223" s="2014">
        <v>2</v>
      </c>
      <c r="D223" s="395"/>
      <c r="E223" s="2763"/>
      <c r="F223" s="2702" t="str">
        <f>IF(F221=$F$7,$G$3,IF(ROUNDDOWN(F221,0)=$F$3,$H$3,$G$3))</f>
        <v>　Level 2</v>
      </c>
      <c r="G223" s="2721"/>
      <c r="H223" s="2777"/>
      <c r="I223" s="2721"/>
      <c r="J223" s="2777"/>
      <c r="K223" s="2794"/>
      <c r="L223" s="2794"/>
      <c r="M223" s="2794"/>
      <c r="N223" s="2794"/>
      <c r="O223" s="2713"/>
    </row>
    <row r="224" spans="2:15" ht="15.75" hidden="1" customHeight="1">
      <c r="B224" s="2014">
        <v>3</v>
      </c>
      <c r="C224" s="2014">
        <v>3</v>
      </c>
      <c r="D224" s="395"/>
      <c r="E224" s="2763"/>
      <c r="F224" s="2702" t="str">
        <f>IF(F221=$F$7,$G$4,IF(ROUNDDOWN(F221,0)=$F$4,$H$4,$G$4))</f>
        <v>　Level 3</v>
      </c>
      <c r="G224" s="3808" t="s">
        <v>3172</v>
      </c>
      <c r="H224" s="3810"/>
      <c r="I224" s="3808" t="s">
        <v>3173</v>
      </c>
      <c r="J224" s="3944"/>
      <c r="K224" s="2794"/>
      <c r="L224" s="2794"/>
      <c r="M224" s="2794"/>
      <c r="N224" s="2794"/>
      <c r="O224" s="2713"/>
    </row>
    <row r="225" spans="2:15" ht="15.75" hidden="1">
      <c r="B225" s="2014">
        <v>4</v>
      </c>
      <c r="C225" s="2014">
        <v>4</v>
      </c>
      <c r="D225" s="395"/>
      <c r="E225" s="2763"/>
      <c r="F225" s="2702" t="str">
        <f>IF(F221=$F$7,$G$5,IF(ROUNDDOWN(F221,0)=$F$5,$H$5,$G$5))</f>
        <v>　Level 4</v>
      </c>
      <c r="G225" s="2721"/>
      <c r="H225" s="2777"/>
      <c r="I225" s="2721"/>
      <c r="J225" s="2777"/>
      <c r="K225" s="2794"/>
      <c r="L225" s="2794"/>
      <c r="M225" s="2794"/>
      <c r="N225" s="2794"/>
      <c r="O225" s="2713"/>
    </row>
    <row r="226" spans="2:15" ht="15.75" hidden="1" customHeight="1">
      <c r="B226" s="2014">
        <v>5</v>
      </c>
      <c r="C226" s="2014">
        <v>5</v>
      </c>
      <c r="D226" s="395"/>
      <c r="E226" s="2763"/>
      <c r="F226" s="2704" t="str">
        <f>IF(F221=$F$7,$G$6,IF(ROUNDDOWN(F221,0)=$F$6,$H$6,$G$6))</f>
        <v>　Level 5</v>
      </c>
      <c r="G226" s="3937" t="s">
        <v>3174</v>
      </c>
      <c r="H226" s="3990"/>
      <c r="I226" s="3937" t="s">
        <v>3175</v>
      </c>
      <c r="J226" s="3939"/>
      <c r="K226" s="2794"/>
      <c r="L226" s="2794"/>
      <c r="M226" s="2794"/>
      <c r="N226" s="2794"/>
      <c r="O226" s="2713"/>
    </row>
    <row r="227" spans="2:15" ht="15.75" hidden="1">
      <c r="B227" s="2707">
        <v>0</v>
      </c>
      <c r="C227" s="2707">
        <v>0</v>
      </c>
      <c r="D227" s="395"/>
      <c r="E227" s="2763"/>
      <c r="F227" s="2793"/>
      <c r="G227" s="2794"/>
      <c r="H227" s="2795"/>
      <c r="I227" s="2795"/>
      <c r="J227" s="2795"/>
      <c r="K227" s="2794"/>
      <c r="L227" s="2794"/>
      <c r="M227" s="2794"/>
      <c r="N227" s="2794"/>
      <c r="O227" s="2713"/>
    </row>
    <row r="228" spans="2:15" ht="15.75" hidden="1">
      <c r="D228" s="395"/>
      <c r="E228" s="1173"/>
      <c r="F228" s="396" t="s">
        <v>68</v>
      </c>
      <c r="G228" s="2672"/>
      <c r="H228" s="2673"/>
      <c r="I228" s="2586"/>
      <c r="J228" s="2674" t="str">
        <f>IF(OR(F230=0,J229=0),$L$3,"")</f>
        <v>&lt;N.A.&gt;</v>
      </c>
      <c r="K228" s="401" t="s">
        <v>420</v>
      </c>
      <c r="L228" s="2672"/>
      <c r="M228" s="2673"/>
      <c r="N228" s="2586"/>
      <c r="O228" s="2674" t="str">
        <f>IF(OR(K230=0,O229=0),$L$3,"")</f>
        <v>&lt;N.A.&gt;</v>
      </c>
    </row>
    <row r="229" spans="2:15" ht="15.75" hidden="1">
      <c r="D229" s="395"/>
      <c r="E229" s="1173"/>
      <c r="F229" s="2655" t="s">
        <v>2613</v>
      </c>
      <c r="G229" s="2688"/>
      <c r="H229" s="2689"/>
      <c r="I229" s="2690" t="s">
        <v>2629</v>
      </c>
      <c r="J229" s="2692">
        <f>Weight!M28</f>
        <v>0</v>
      </c>
      <c r="K229" s="2655" t="s">
        <v>2613</v>
      </c>
      <c r="L229" s="2688"/>
      <c r="M229" s="2689"/>
      <c r="N229" s="2690" t="s">
        <v>2629</v>
      </c>
      <c r="O229" s="2692">
        <f>Weight!M29</f>
        <v>0</v>
      </c>
    </row>
    <row r="230" spans="2:15" ht="16.5" hidden="1" thickBot="1">
      <c r="D230" s="395"/>
      <c r="E230" s="1173"/>
      <c r="F230" s="2656">
        <v>0</v>
      </c>
      <c r="G230" s="2774" t="s">
        <v>4093</v>
      </c>
      <c r="H230" s="2697"/>
      <c r="I230" s="2697"/>
      <c r="J230" s="2698"/>
      <c r="K230" s="2656">
        <v>0</v>
      </c>
      <c r="L230" s="2753" t="s">
        <v>4069</v>
      </c>
      <c r="M230" s="2698"/>
      <c r="N230" s="2753"/>
      <c r="O230" s="2760"/>
    </row>
    <row r="231" spans="2:15" ht="15.75" hidden="1" customHeight="1">
      <c r="B231" s="2014">
        <v>1</v>
      </c>
      <c r="C231" s="2014">
        <v>1</v>
      </c>
      <c r="D231" s="395"/>
      <c r="E231" s="2763"/>
      <c r="F231" s="2699" t="str">
        <f>IF(F230=$F$7,$G$2,IF(ROUNDDOWN(F230,0)=$F$2,$H$2,$G$2))</f>
        <v>　Level 1</v>
      </c>
      <c r="G231" s="3948" t="s">
        <v>3176</v>
      </c>
      <c r="H231" s="3989"/>
      <c r="I231" s="3989"/>
      <c r="J231" s="3976"/>
      <c r="K231" s="2699" t="str">
        <f>IF(K230=$F$7,$G$2,IF(ROUNDDOWN(K230,0)=$F$2,$H$2,$G$2))</f>
        <v>　Level 1</v>
      </c>
      <c r="L231" s="3948" t="s">
        <v>3177</v>
      </c>
      <c r="M231" s="3949"/>
      <c r="N231" s="3949"/>
      <c r="O231" s="3950"/>
    </row>
    <row r="232" spans="2:15" ht="15.75" hidden="1">
      <c r="B232" s="2014">
        <v>2</v>
      </c>
      <c r="C232" s="2014">
        <v>2</v>
      </c>
      <c r="D232" s="395"/>
      <c r="E232" s="2763"/>
      <c r="F232" s="2702" t="str">
        <f>IF(F230=$F$7,$G$3,IF(ROUNDDOWN(F230,0)=$F$3,$H$3,$G$3))</f>
        <v>　Level 2</v>
      </c>
      <c r="G232" s="3808"/>
      <c r="H232" s="3943"/>
      <c r="I232" s="3943"/>
      <c r="J232" s="3944"/>
      <c r="K232" s="2702" t="str">
        <f>IF(K230=$F$7,$G$3,IF(ROUNDDOWN(K230,0)=$F$3,$H$3,$G$3))</f>
        <v>　Level 2</v>
      </c>
      <c r="L232" s="3945"/>
      <c r="M232" s="3946"/>
      <c r="N232" s="3946"/>
      <c r="O232" s="3947"/>
    </row>
    <row r="233" spans="2:15" ht="15.75" hidden="1" customHeight="1">
      <c r="B233" s="2014">
        <v>3</v>
      </c>
      <c r="C233" s="2014">
        <v>3</v>
      </c>
      <c r="D233" s="395"/>
      <c r="E233" s="2763"/>
      <c r="F233" s="2702" t="str">
        <f>IF(F230=$F$7,$G$4,IF(ROUNDDOWN(F230,0)=$F$4,$H$4,$G$4))</f>
        <v>　Level 3</v>
      </c>
      <c r="G233" s="3808" t="s">
        <v>3178</v>
      </c>
      <c r="H233" s="3943"/>
      <c r="I233" s="3943"/>
      <c r="J233" s="3944"/>
      <c r="K233" s="2702" t="str">
        <f>IF(K230=$F$7,$G$4,IF(ROUNDDOWN(K230,0)=$F$4,$H$4,$G$4))</f>
        <v>　Level 3</v>
      </c>
      <c r="L233" s="3945" t="s">
        <v>3179</v>
      </c>
      <c r="M233" s="3946"/>
      <c r="N233" s="3946"/>
      <c r="O233" s="3947"/>
    </row>
    <row r="234" spans="2:15" ht="15.75" hidden="1">
      <c r="B234" s="2014">
        <v>4</v>
      </c>
      <c r="C234" s="2014">
        <v>4</v>
      </c>
      <c r="D234" s="395"/>
      <c r="E234" s="2763"/>
      <c r="F234" s="2702" t="str">
        <f>IF(F230=$F$7,$G$5,IF(ROUNDDOWN(F230,0)=$F$5,$H$5,$G$5))</f>
        <v>　Level 4</v>
      </c>
      <c r="G234" s="3808"/>
      <c r="H234" s="3943"/>
      <c r="I234" s="3943"/>
      <c r="J234" s="3944"/>
      <c r="K234" s="2702" t="str">
        <f>IF(K230=$F$7,$G$5,IF(ROUNDDOWN(K230,0)=$F$5,$H$5,$G$5))</f>
        <v>　Level 4</v>
      </c>
      <c r="L234" s="3945"/>
      <c r="M234" s="3946"/>
      <c r="N234" s="3946"/>
      <c r="O234" s="3947"/>
    </row>
    <row r="235" spans="2:15" ht="18" hidden="1" customHeight="1">
      <c r="B235" s="2014">
        <v>5</v>
      </c>
      <c r="C235" s="2014">
        <v>5</v>
      </c>
      <c r="D235" s="395"/>
      <c r="E235" s="2763"/>
      <c r="F235" s="2704" t="str">
        <f>IF(F230=$F$7,$G$6,IF(ROUNDDOWN(F230,0)=$F$6,$H$6,$G$6))</f>
        <v>　Level 5</v>
      </c>
      <c r="G235" s="3937" t="s">
        <v>3180</v>
      </c>
      <c r="H235" s="3938"/>
      <c r="I235" s="3938"/>
      <c r="J235" s="3939"/>
      <c r="K235" s="2704" t="str">
        <f>IF(K230=$F$7,$G$6,IF(ROUNDDOWN(K230,0)=$F$6,$H$6,$G$6))</f>
        <v>　Level 5</v>
      </c>
      <c r="L235" s="3940" t="s">
        <v>3181</v>
      </c>
      <c r="M235" s="3941"/>
      <c r="N235" s="3941"/>
      <c r="O235" s="3942"/>
    </row>
    <row r="236" spans="2:15" ht="15.75">
      <c r="B236" s="2707">
        <v>0</v>
      </c>
      <c r="C236" s="2707">
        <v>0</v>
      </c>
      <c r="D236" s="395"/>
      <c r="E236" s="119"/>
      <c r="F236" s="2067" t="s">
        <v>3045</v>
      </c>
      <c r="G236" s="2708"/>
      <c r="H236" s="2759"/>
      <c r="I236" s="2709"/>
      <c r="J236" s="2710"/>
      <c r="K236" s="2711"/>
    </row>
    <row r="237" spans="2:15" ht="15.75">
      <c r="B237" s="2712"/>
      <c r="C237" s="2712"/>
      <c r="D237" s="395"/>
      <c r="E237" s="119"/>
      <c r="F237" s="119"/>
    </row>
    <row r="238" spans="2:15" ht="15.75">
      <c r="D238" s="393">
        <v>2.2000000000000002</v>
      </c>
      <c r="E238" s="13" t="s">
        <v>2698</v>
      </c>
      <c r="F238" s="396"/>
      <c r="J238" s="1105" t="str">
        <f>IF(OR(F240=0,AND(J239=0,O239=0)),$L$3,"")</f>
        <v>&lt;N.A.&gt;</v>
      </c>
    </row>
    <row r="239" spans="2:15" ht="24.6" customHeight="1" thickBot="1">
      <c r="D239" s="402"/>
      <c r="E239" s="13"/>
      <c r="F239" s="2843" t="s">
        <v>2613</v>
      </c>
      <c r="G239" s="2688"/>
      <c r="H239" s="2689"/>
      <c r="I239" s="2842" t="s">
        <v>2629</v>
      </c>
      <c r="J239" s="2845">
        <f>Weight!M30</f>
        <v>0.2</v>
      </c>
      <c r="K239" s="2843" t="s">
        <v>2615</v>
      </c>
      <c r="L239" s="2688"/>
      <c r="M239" s="2689"/>
      <c r="N239" s="2842" t="s">
        <v>2629</v>
      </c>
      <c r="O239" s="2845">
        <f>Weight!N30</f>
        <v>0</v>
      </c>
    </row>
    <row r="240" spans="2:15" ht="27" customHeight="1" thickBot="1">
      <c r="D240" s="402"/>
      <c r="E240" s="13"/>
      <c r="F240" s="2693">
        <v>0</v>
      </c>
      <c r="G240" s="2767" t="s">
        <v>4122</v>
      </c>
      <c r="H240" s="2835"/>
      <c r="I240" s="3218" t="s">
        <v>4081</v>
      </c>
      <c r="J240" s="3216" t="s">
        <v>4030</v>
      </c>
      <c r="K240" s="2693">
        <v>3</v>
      </c>
      <c r="L240" s="2753" t="s">
        <v>2959</v>
      </c>
      <c r="M240" s="2698"/>
      <c r="N240" s="2753" t="s">
        <v>1679</v>
      </c>
      <c r="O240" s="2760"/>
    </row>
    <row r="241" spans="2:15" ht="15.75" hidden="1">
      <c r="B241" s="2014">
        <v>1</v>
      </c>
      <c r="C241" s="2014">
        <v>1</v>
      </c>
      <c r="D241" s="402"/>
      <c r="E241" s="13"/>
      <c r="F241" s="2754"/>
      <c r="G241" s="2753" t="s">
        <v>3111</v>
      </c>
      <c r="H241" s="2698"/>
      <c r="I241" s="2697"/>
      <c r="J241" s="2698"/>
      <c r="K241" s="2754"/>
      <c r="L241" s="2753" t="s">
        <v>3111</v>
      </c>
      <c r="M241" s="2698"/>
      <c r="N241" s="2753"/>
      <c r="O241" s="2698"/>
    </row>
    <row r="242" spans="2:15" ht="15.75" hidden="1">
      <c r="B242" s="2014">
        <v>2</v>
      </c>
      <c r="C242" s="2014">
        <v>2</v>
      </c>
      <c r="D242" s="402"/>
      <c r="E242" s="13"/>
      <c r="F242" s="2702" t="str">
        <f>IF(F240=$F$7,$G$2,IF(AND($O$9=$O$3,ROUNDDOWN(F240,0)=$F$2),$H$2,$G$2))</f>
        <v>　Level 1</v>
      </c>
      <c r="G242" s="3948" t="s">
        <v>3182</v>
      </c>
      <c r="H242" s="3976"/>
      <c r="I242" s="2798" t="s">
        <v>3182</v>
      </c>
      <c r="J242" s="2798" t="s">
        <v>3182</v>
      </c>
      <c r="K242" s="2702" t="str">
        <f>IF(K240=$F$7,$G$2,IF(AND($O$9=$O$3,ROUNDDOWN(K240,0)=$F$2),$H$2,$G$2))</f>
        <v>　Level 1</v>
      </c>
      <c r="L242" s="3948" t="s">
        <v>3182</v>
      </c>
      <c r="M242" s="3976"/>
      <c r="N242" s="3948" t="s">
        <v>3183</v>
      </c>
      <c r="O242" s="3976"/>
    </row>
    <row r="243" spans="2:15" ht="15.75" hidden="1" customHeight="1">
      <c r="B243" s="2014">
        <v>3</v>
      </c>
      <c r="C243" s="2014">
        <v>3</v>
      </c>
      <c r="D243" s="402"/>
      <c r="E243" s="13"/>
      <c r="F243" s="2702" t="str">
        <f>IF(F240=$F$7,$G$3,IF(AND($O$9=$O$3,ROUNDDOWN(F240,0)=$F$3),$H$3,$G$3))</f>
        <v>　Level 2</v>
      </c>
      <c r="G243" s="3808"/>
      <c r="H243" s="3944"/>
      <c r="I243" s="2721"/>
      <c r="J243" s="2721"/>
      <c r="K243" s="2702" t="str">
        <f>IF(K240=$F$7,$G$3,IF(AND($O$9=$O$3,ROUNDDOWN(K240,0)=$F$3),$H$3,$G$3))</f>
        <v>　Level 2</v>
      </c>
      <c r="L243" s="3808"/>
      <c r="M243" s="3944"/>
      <c r="N243" s="3808" t="s">
        <v>3135</v>
      </c>
      <c r="O243" s="3944"/>
    </row>
    <row r="244" spans="2:15" ht="77.25" hidden="1" customHeight="1">
      <c r="B244" s="2014">
        <v>4</v>
      </c>
      <c r="C244" s="2014">
        <v>4</v>
      </c>
      <c r="D244" s="402"/>
      <c r="E244" s="13"/>
      <c r="F244" s="2702" t="str">
        <f>IF(F240=$F$7,$G$4,IF(AND($O$9=$O$3,ROUNDDOWN(F240,0)=$F$4),$H$4,$G$4))</f>
        <v>　Level 3</v>
      </c>
      <c r="G244" s="3808" t="s">
        <v>3184</v>
      </c>
      <c r="H244" s="3944"/>
      <c r="I244" s="2721" t="s">
        <v>3185</v>
      </c>
      <c r="J244" s="2721" t="s">
        <v>3186</v>
      </c>
      <c r="K244" s="2702" t="str">
        <f>IF(K240=$F$7,$G$4,IF(AND($O$9=$O$3,ROUNDDOWN(K240,0)=$F$4),$H$4,$G$4))</f>
        <v>　Level 3</v>
      </c>
      <c r="L244" s="3808" t="s">
        <v>3184</v>
      </c>
      <c r="M244" s="3944"/>
      <c r="N244" s="3808" t="s">
        <v>3187</v>
      </c>
      <c r="O244" s="3944"/>
    </row>
    <row r="245" spans="2:15" ht="50.25" hidden="1" customHeight="1">
      <c r="B245" s="2014">
        <v>5</v>
      </c>
      <c r="C245" s="2014">
        <v>5</v>
      </c>
      <c r="D245" s="402"/>
      <c r="E245" s="13"/>
      <c r="F245" s="2702" t="str">
        <f>IF(F240=$F$7,$G$5,IF(AND($O$9=$O$3,ROUNDDOWN(F240,0)=$F$5),$H$5,$G$5))</f>
        <v>　Level 4</v>
      </c>
      <c r="G245" s="3808"/>
      <c r="H245" s="3944"/>
      <c r="I245" s="2721"/>
      <c r="J245" s="2721"/>
      <c r="K245" s="2702" t="str">
        <f>IF(K240=$F$7,$G$5,IF(AND($O$9=$O$3,ROUNDDOWN(K240,0)=$F$5),$H$5,$G$5))</f>
        <v>　Level 4</v>
      </c>
      <c r="L245" s="3808"/>
      <c r="M245" s="3944"/>
      <c r="N245" s="3808" t="s">
        <v>3188</v>
      </c>
      <c r="O245" s="3944"/>
    </row>
    <row r="246" spans="2:15" ht="73.5" hidden="1" customHeight="1">
      <c r="B246" s="2850">
        <v>0</v>
      </c>
      <c r="C246" s="2850">
        <v>0</v>
      </c>
      <c r="D246" s="402"/>
      <c r="E246" s="13"/>
      <c r="F246" s="2704" t="str">
        <f>IF(F240=$F$7,$G$6,IF(AND($O$9=$O$3,ROUNDDOWN(F240,0)=$F$6),$H$6,$G$6))</f>
        <v>　Level 5</v>
      </c>
      <c r="G246" s="3937" t="s">
        <v>3189</v>
      </c>
      <c r="H246" s="3939"/>
      <c r="I246" s="2722" t="s">
        <v>3190</v>
      </c>
      <c r="J246" s="2722" t="s">
        <v>3190</v>
      </c>
      <c r="K246" s="2704" t="str">
        <f>IF(K240=$F$7,$G$6,IF(AND($O$9=$O$3,ROUNDDOWN(K240,0)=$F$6),$H$6,$G$6))</f>
        <v>　Level 5</v>
      </c>
      <c r="L246" s="3937" t="s">
        <v>3189</v>
      </c>
      <c r="M246" s="3939"/>
      <c r="N246" s="3937" t="s">
        <v>3191</v>
      </c>
      <c r="O246" s="3939"/>
    </row>
    <row r="247" spans="2:15" ht="15.75" hidden="1">
      <c r="D247" s="395"/>
      <c r="E247" s="119"/>
      <c r="F247" s="2757"/>
      <c r="G247" s="2765" t="s">
        <v>4124</v>
      </c>
      <c r="H247" s="2765"/>
      <c r="I247" s="2765"/>
      <c r="J247" s="2778"/>
      <c r="K247" s="2757"/>
      <c r="L247" s="2765" t="s">
        <v>4124</v>
      </c>
      <c r="M247" s="2765"/>
      <c r="N247" s="2765"/>
      <c r="O247" s="2778"/>
    </row>
    <row r="248" spans="2:15" ht="33.6" customHeight="1">
      <c r="D248" s="395"/>
      <c r="E248" s="119"/>
      <c r="F248" s="2758" t="str">
        <f>IF(F240=$F$7,$G$2,IF(AND($O$9&lt;&gt;$O$3,ROUNDDOWN(F240,0)=$F$2),$H$2,$G$2))</f>
        <v>　Level 1</v>
      </c>
      <c r="G248" s="2626" t="s">
        <v>2699</v>
      </c>
      <c r="H248" s="2648"/>
      <c r="I248" s="2623" t="s">
        <v>2699</v>
      </c>
      <c r="J248" s="2623" t="s">
        <v>2699</v>
      </c>
      <c r="K248" s="2758" t="str">
        <f>IF(K240=$F$7,$G$2,IF(AND($O$9&lt;&gt;$O$3,ROUNDDOWN(K240,0)=$F$2),$H$2,$G$2))</f>
        <v>　Level 1</v>
      </c>
      <c r="L248" s="2626" t="s">
        <v>2699</v>
      </c>
      <c r="M248" s="2648"/>
      <c r="N248" s="2626" t="s">
        <v>2704</v>
      </c>
      <c r="O248" s="2648"/>
    </row>
    <row r="249" spans="2:15" ht="21" customHeight="1">
      <c r="D249" s="395"/>
      <c r="E249" s="119"/>
      <c r="F249" s="2702" t="str">
        <f>IF(F240=$F$7,$G$3,IF(AND($O$9&lt;&gt;$O$3,ROUNDDOWN(F240,0)=$F$3),$H$3,$G$3))</f>
        <v>　Level 2</v>
      </c>
      <c r="G249" s="2624"/>
      <c r="H249" s="2649"/>
      <c r="I249" s="2624"/>
      <c r="J249" s="2624"/>
      <c r="K249" s="2702" t="str">
        <f>IF(K240=$F$7,$G$3,IF(AND($O$9&lt;&gt;$O$3,ROUNDDOWN(K240,0)=$F$3),$H$3,$G$3))</f>
        <v>　Level 2</v>
      </c>
      <c r="L249" s="2624"/>
      <c r="M249" s="2649"/>
      <c r="N249" s="2627" t="s">
        <v>2528</v>
      </c>
      <c r="O249" s="2649"/>
    </row>
    <row r="250" spans="2:15" ht="179.45" customHeight="1">
      <c r="D250" s="395"/>
      <c r="E250" s="119"/>
      <c r="F250" s="2702" t="str">
        <f>IF(F240=$F$7,$G$4,IF(AND($O$9&lt;&gt;$O$3,ROUNDDOWN(F240,0)=$F$4),$H$4,$G$4))</f>
        <v>　Level 3</v>
      </c>
      <c r="G250" s="3927" t="s">
        <v>2709</v>
      </c>
      <c r="H250" s="3936"/>
      <c r="I250" s="2624" t="s">
        <v>2700</v>
      </c>
      <c r="J250" s="2624" t="s">
        <v>2701</v>
      </c>
      <c r="K250" s="2702" t="str">
        <f>IF(K240=$F$7,$G$4,IF(AND($O$9&lt;&gt;$O$3,ROUNDDOWN(K240,0)=$F$4),$H$4,$G$4))</f>
        <v>■Level 3</v>
      </c>
      <c r="L250" s="3927" t="s">
        <v>2705</v>
      </c>
      <c r="M250" s="3936"/>
      <c r="N250" s="3927" t="s">
        <v>2706</v>
      </c>
      <c r="O250" s="3936"/>
    </row>
    <row r="251" spans="2:15" ht="115.9" customHeight="1">
      <c r="D251" s="395"/>
      <c r="E251" s="119"/>
      <c r="F251" s="2702" t="str">
        <f>IF(F240=$F$7,$G$5,IF(AND($O$9&lt;&gt;$O$3,ROUNDDOWN(F240,0)=$F$5),$H$5,$G$5))</f>
        <v>　Level 4</v>
      </c>
      <c r="G251" s="2624"/>
      <c r="H251" s="2649"/>
      <c r="I251" s="2624"/>
      <c r="J251" s="2624"/>
      <c r="K251" s="2702" t="str">
        <f>IF(K240=$F$7,$G$5,IF(AND($O$9&lt;&gt;$O$3,ROUNDDOWN(K240,0)=$F$5),$H$5,$G$5))</f>
        <v>　Level 4</v>
      </c>
      <c r="L251" s="2624"/>
      <c r="M251" s="2649"/>
      <c r="N251" s="3927" t="s">
        <v>2707</v>
      </c>
      <c r="O251" s="3936"/>
    </row>
    <row r="252" spans="2:15" ht="166.15" customHeight="1">
      <c r="D252" s="395"/>
      <c r="E252" s="119"/>
      <c r="F252" s="2704" t="str">
        <f>IF(F240=$F$7,$G$6,IF(AND($O$9&lt;&gt;$O$3,ROUNDDOWN(F240,0)=$F$6),$H$6,$G$6))</f>
        <v>　Level 5</v>
      </c>
      <c r="G252" s="3930" t="s">
        <v>2710</v>
      </c>
      <c r="H252" s="3934"/>
      <c r="I252" s="2625" t="s">
        <v>2702</v>
      </c>
      <c r="J252" s="2625" t="s">
        <v>2703</v>
      </c>
      <c r="K252" s="2704" t="str">
        <f>IF(K240=$F$7,$G$6,IF(AND($O$9&lt;&gt;$O$3,ROUNDDOWN(K240,0)=$F$6),$H$6,$G$6))</f>
        <v>　Level 5</v>
      </c>
      <c r="L252" s="3930" t="s">
        <v>2702</v>
      </c>
      <c r="M252" s="3934"/>
      <c r="N252" s="3930" t="s">
        <v>2708</v>
      </c>
      <c r="O252" s="3934"/>
    </row>
    <row r="253" spans="2:15" ht="13.5" customHeight="1">
      <c r="D253" s="395"/>
      <c r="E253" s="119"/>
      <c r="F253" s="2067" t="s">
        <v>3045</v>
      </c>
      <c r="G253" s="2708"/>
      <c r="H253" s="2759"/>
      <c r="I253" s="2709"/>
      <c r="J253" s="2710"/>
      <c r="K253" s="2711"/>
    </row>
    <row r="254" spans="2:15" ht="15.75">
      <c r="D254" s="395"/>
      <c r="E254" s="119"/>
      <c r="F254" s="119"/>
    </row>
    <row r="255" spans="2:15" ht="15.75">
      <c r="D255" s="393">
        <v>2.2999999999999998</v>
      </c>
      <c r="E255" s="13" t="s">
        <v>2711</v>
      </c>
      <c r="F255" s="396"/>
      <c r="J255" s="1105" t="str">
        <f>IF(OR(F257=0,AND(J256=0,O256=0)),$L$3,"")</f>
        <v/>
      </c>
    </row>
    <row r="256" spans="2:15" ht="24.6" customHeight="1" thickBot="1">
      <c r="D256" s="402"/>
      <c r="E256" s="13"/>
      <c r="F256" s="2843" t="s">
        <v>2613</v>
      </c>
      <c r="G256" s="2688"/>
      <c r="H256" s="2689"/>
      <c r="I256" s="2842" t="s">
        <v>2629</v>
      </c>
      <c r="J256" s="2845">
        <f>Weight!M31</f>
        <v>0.3</v>
      </c>
      <c r="K256" s="2843" t="s">
        <v>2615</v>
      </c>
      <c r="L256" s="2688"/>
      <c r="M256" s="2689"/>
      <c r="N256" s="2842" t="s">
        <v>2629</v>
      </c>
      <c r="O256" s="2845">
        <f>Weight!N31</f>
        <v>0</v>
      </c>
    </row>
    <row r="257" spans="2:15" ht="27" customHeight="1" thickBot="1">
      <c r="D257" s="402"/>
      <c r="E257" s="13"/>
      <c r="F257" s="2693">
        <v>3</v>
      </c>
      <c r="G257" s="3987" t="s">
        <v>4123</v>
      </c>
      <c r="H257" s="3988"/>
      <c r="I257" s="2797" t="s">
        <v>4082</v>
      </c>
      <c r="J257" s="2698"/>
      <c r="K257" s="2693">
        <v>3</v>
      </c>
      <c r="L257" s="2753" t="s">
        <v>2959</v>
      </c>
      <c r="M257" s="2698"/>
      <c r="N257" s="2652" t="s">
        <v>2433</v>
      </c>
      <c r="O257" s="2760"/>
    </row>
    <row r="258" spans="2:15" ht="15.75" hidden="1">
      <c r="B258" s="2014">
        <v>1</v>
      </c>
      <c r="C258" s="2014">
        <v>1</v>
      </c>
      <c r="D258" s="402"/>
      <c r="E258" s="13"/>
      <c r="F258" s="2775"/>
      <c r="G258" s="2753" t="s">
        <v>3111</v>
      </c>
      <c r="H258" s="2697"/>
      <c r="I258" s="2753"/>
      <c r="J258" s="2698"/>
      <c r="K258" s="2775"/>
      <c r="L258" s="2697" t="s">
        <v>3111</v>
      </c>
      <c r="M258" s="2697"/>
      <c r="N258" s="2697"/>
      <c r="O258" s="2698"/>
    </row>
    <row r="259" spans="2:15" ht="122.45" customHeight="1">
      <c r="B259" s="2014">
        <v>2</v>
      </c>
      <c r="C259" s="2014">
        <v>2</v>
      </c>
      <c r="D259" s="402"/>
      <c r="E259" s="13"/>
      <c r="F259" s="2702" t="str">
        <f>IF(F257=$F$7,$G$2,IF(AND($O$9=$O$3,ROUNDDOWN(F257,0)=$F$2),$H$2,$G$2))</f>
        <v>　Level 1</v>
      </c>
      <c r="G259" s="3967" t="s">
        <v>2712</v>
      </c>
      <c r="H259" s="3968"/>
      <c r="I259" s="3967" t="s">
        <v>2713</v>
      </c>
      <c r="J259" s="3969"/>
      <c r="K259" s="2702" t="str">
        <f>IF(K257=$F$7,$G$2,IF(AND($O$9=$O$3,ROUNDDOWN(K257,0)=$F$2),$H$2,$G$2))</f>
        <v>　Level 1</v>
      </c>
      <c r="L259" s="3967" t="s">
        <v>2712</v>
      </c>
      <c r="M259" s="3969"/>
      <c r="N259" s="3967" t="s">
        <v>2715</v>
      </c>
      <c r="O259" s="3969"/>
    </row>
    <row r="260" spans="2:15" ht="15.75">
      <c r="B260" s="2014">
        <v>3</v>
      </c>
      <c r="C260" s="2014">
        <v>3</v>
      </c>
      <c r="D260" s="402"/>
      <c r="E260" s="13"/>
      <c r="F260" s="2702" t="str">
        <f>IF(F257=$F$7,$G$3,IF(AND($O$9=$O$3,ROUNDDOWN(F257,0)=$F$3),$H$3,$G$3))</f>
        <v>　Level 2</v>
      </c>
      <c r="G260" s="2624"/>
      <c r="H260" s="2650"/>
      <c r="I260" s="2624"/>
      <c r="J260" s="2649"/>
      <c r="K260" s="2702" t="str">
        <f>IF(K257=$F$7,$G$3,IF(AND($O$9=$O$3,ROUNDDOWN(K257,0)=$F$3),$H$3,$G$3))</f>
        <v>　Level 2</v>
      </c>
      <c r="L260" s="2624"/>
      <c r="M260" s="2649"/>
      <c r="N260" s="2627"/>
      <c r="O260" s="2649"/>
    </row>
    <row r="261" spans="2:15" ht="123.6" customHeight="1">
      <c r="B261" s="2014">
        <v>4</v>
      </c>
      <c r="C261" s="2014">
        <v>4</v>
      </c>
      <c r="D261" s="402"/>
      <c r="E261" s="13"/>
      <c r="F261" s="2702" t="str">
        <f>IF(F257=$F$7,$G$4,IF(AND($O$9=$O$3,ROUNDDOWN(F257,0)=$F$4),$H$4,$G$4))</f>
        <v>　Level 3</v>
      </c>
      <c r="G261" s="3927" t="s">
        <v>2714</v>
      </c>
      <c r="H261" s="3929"/>
      <c r="I261" s="3927" t="s">
        <v>5010</v>
      </c>
      <c r="J261" s="3929"/>
      <c r="K261" s="2702" t="str">
        <f>IF(K257=$F$7,$G$4,IF(AND($O$9=$O$3,ROUNDDOWN(K257,0)=$F$4),$H$4,$G$4))</f>
        <v>　Level 3</v>
      </c>
      <c r="L261" s="3927" t="s">
        <v>2714</v>
      </c>
      <c r="M261" s="3936"/>
      <c r="N261" s="3927" t="s">
        <v>2716</v>
      </c>
      <c r="O261" s="3929"/>
    </row>
    <row r="262" spans="2:15" ht="15.75">
      <c r="B262" s="2014">
        <v>5</v>
      </c>
      <c r="C262" s="2014">
        <v>5</v>
      </c>
      <c r="D262" s="402"/>
      <c r="E262" s="13"/>
      <c r="F262" s="2702" t="str">
        <f>IF(F257=$F$7,$G$5,IF(AND($O$9=$O$3,ROUNDDOWN(F257,0)=$F$5),$H$5,$G$5))</f>
        <v>　Level 4</v>
      </c>
      <c r="G262" s="2624"/>
      <c r="H262" s="2650"/>
      <c r="I262" s="2624"/>
      <c r="J262" s="2649"/>
      <c r="K262" s="2702" t="str">
        <f>IF(K257=$F$7,$G$5,IF(AND($O$9=$O$3,ROUNDDOWN(K257,0)=$F$5),$H$5,$G$5))</f>
        <v>　Level 4</v>
      </c>
      <c r="L262" s="2624"/>
      <c r="M262" s="2649"/>
      <c r="N262" s="3927"/>
      <c r="O262" s="3929"/>
    </row>
    <row r="263" spans="2:15" ht="108.6" customHeight="1">
      <c r="B263" s="2850">
        <v>0</v>
      </c>
      <c r="C263" s="2850">
        <v>0</v>
      </c>
      <c r="D263" s="402"/>
      <c r="E263" s="13"/>
      <c r="F263" s="2704" t="str">
        <f>IF(F257=$F$7,$G$6,IF(AND($O$9=$O$3,ROUNDDOWN(F257,0)=$F$6),$H$6,$G$6))</f>
        <v>　Level 5</v>
      </c>
      <c r="G263" s="3930" t="s">
        <v>3463</v>
      </c>
      <c r="H263" s="3932"/>
      <c r="I263" s="3930" t="s">
        <v>3462</v>
      </c>
      <c r="J263" s="3932"/>
      <c r="K263" s="2704" t="str">
        <f>IF(K257=$F$7,$G$6,IF(AND($O$9=$O$3,ROUNDDOWN(K257,0)=$F$6),$H$6,$G$6))</f>
        <v>　Level 5</v>
      </c>
      <c r="L263" s="3930" t="s">
        <v>3461</v>
      </c>
      <c r="M263" s="3932"/>
      <c r="N263" s="3930" t="s">
        <v>2717</v>
      </c>
      <c r="O263" s="3932"/>
    </row>
    <row r="264" spans="2:15" ht="15.75" hidden="1">
      <c r="D264" s="402"/>
      <c r="E264" s="13"/>
      <c r="F264" s="2799"/>
      <c r="G264" s="2800" t="s">
        <v>4124</v>
      </c>
      <c r="H264" s="2765"/>
      <c r="I264" s="2765"/>
      <c r="J264" s="2778"/>
      <c r="K264" s="2757"/>
      <c r="L264" s="2765" t="s">
        <v>4124</v>
      </c>
      <c r="M264" s="2765"/>
      <c r="N264" s="2765"/>
      <c r="O264" s="2778"/>
    </row>
    <row r="265" spans="2:15" ht="15.75" hidden="1">
      <c r="D265" s="402"/>
      <c r="E265" s="13"/>
      <c r="F265" s="2758" t="str">
        <f>IF(F257=$F$7,$G$2,IF(AND($O$9&lt;&gt;$O$3,ROUNDDOWN(F257,0)=$F$2),$H$2,$G$2))</f>
        <v>　Level 1</v>
      </c>
      <c r="G265" s="3984" t="s">
        <v>3192</v>
      </c>
      <c r="H265" s="3985"/>
      <c r="I265" s="3984" t="s">
        <v>3192</v>
      </c>
      <c r="J265" s="3986"/>
      <c r="K265" s="2801" t="str">
        <f>IF(K257=$F$7,$G$2,IF(AND($O$9&lt;&gt;$O$3,ROUNDDOWN(K257,0)=$F$2),$H$2,$G$2))</f>
        <v>　Level 1</v>
      </c>
      <c r="L265" s="3984" t="s">
        <v>3192</v>
      </c>
      <c r="M265" s="3986"/>
      <c r="N265" s="3984" t="s">
        <v>3193</v>
      </c>
      <c r="O265" s="3985"/>
    </row>
    <row r="266" spans="2:15" ht="15.75" hidden="1">
      <c r="D266" s="402"/>
      <c r="E266" s="13"/>
      <c r="F266" s="2702" t="str">
        <f>IF(F257=$F$7,$G$3,IF(AND($O$9&lt;&gt;$O$3,ROUNDDOWN(F257,0)=$F$3),$H$3,$G$3))</f>
        <v>　Level 2</v>
      </c>
      <c r="G266" s="2802"/>
      <c r="H266" s="2803"/>
      <c r="I266" s="2802"/>
      <c r="J266" s="2804"/>
      <c r="K266" s="2805" t="str">
        <f>IF(K257=$F$7,$G$3,IF(AND($O$9&lt;&gt;$O$3,ROUNDDOWN(K257,0)=$F$3),$H$3,$G$3))</f>
        <v>　Level 2</v>
      </c>
      <c r="L266" s="2802"/>
      <c r="M266" s="2804"/>
      <c r="N266" s="2802"/>
      <c r="O266" s="2804"/>
    </row>
    <row r="267" spans="2:15" ht="15.75" hidden="1">
      <c r="D267" s="402"/>
      <c r="E267" s="13"/>
      <c r="F267" s="2702" t="str">
        <f>IF(F257=$F$7,$G$4,IF(AND($O$9&lt;&gt;$O$3,ROUNDDOWN(F257,0)=$F$4),$H$4,$G$4))</f>
        <v>■Level 3</v>
      </c>
      <c r="G267" s="3978" t="s">
        <v>3194</v>
      </c>
      <c r="H267" s="3979"/>
      <c r="I267" s="3978" t="s">
        <v>3195</v>
      </c>
      <c r="J267" s="3983"/>
      <c r="K267" s="2805" t="str">
        <f>IF(K257=$F$7,$G$4,IF(AND($O$9&lt;&gt;$O$3,ROUNDDOWN(K257,0)=$F$4),$H$4,$G$4))</f>
        <v>■Level 3</v>
      </c>
      <c r="L267" s="3978" t="s">
        <v>3194</v>
      </c>
      <c r="M267" s="3983"/>
      <c r="N267" s="3978" t="s">
        <v>3196</v>
      </c>
      <c r="O267" s="3979"/>
    </row>
    <row r="268" spans="2:15" ht="15.75" hidden="1">
      <c r="D268" s="402"/>
      <c r="E268" s="13"/>
      <c r="F268" s="2702" t="str">
        <f>IF(F257=$F$7,$G$5,IF(AND($O$9&lt;&gt;$O$3,ROUNDDOWN(F257,0)=$F$5),$H$5,$G$5))</f>
        <v>　Level 4</v>
      </c>
      <c r="G268" s="2802"/>
      <c r="H268" s="2803"/>
      <c r="I268" s="2802"/>
      <c r="J268" s="2804"/>
      <c r="K268" s="2805" t="str">
        <f>IF(K257=$F$7,$G$5,IF(AND($O$9&lt;&gt;$O$3,ROUNDDOWN(K257,0)=$F$5),$H$5,$G$5))</f>
        <v>　Level 4</v>
      </c>
      <c r="L268" s="2802"/>
      <c r="M268" s="2804"/>
      <c r="N268" s="3978"/>
      <c r="O268" s="3979"/>
    </row>
    <row r="269" spans="2:15" ht="15.75" hidden="1">
      <c r="D269" s="402"/>
      <c r="E269" s="13"/>
      <c r="F269" s="2704" t="str">
        <f>IF(F257=$F$7,$G$6,IF(AND($O$9&lt;&gt;$O$3,ROUNDDOWN(F257,0)=$F$6),$H$6,$G$6))</f>
        <v>　Level 5</v>
      </c>
      <c r="G269" s="3980" t="s">
        <v>3197</v>
      </c>
      <c r="H269" s="3981"/>
      <c r="I269" s="3980" t="s">
        <v>3198</v>
      </c>
      <c r="J269" s="3982"/>
      <c r="K269" s="2806" t="str">
        <f>IF(K257=$F$7,$G$6,IF(AND($O$9&lt;&gt;$O$3,ROUNDDOWN(K257,0)=$F$6),$H$6,$G$6))</f>
        <v>　Level 5</v>
      </c>
      <c r="L269" s="3980" t="s">
        <v>3199</v>
      </c>
      <c r="M269" s="3982"/>
      <c r="N269" s="3980" t="s">
        <v>3200</v>
      </c>
      <c r="O269" s="3981"/>
    </row>
    <row r="270" spans="2:15" ht="15.75" hidden="1">
      <c r="D270" s="395"/>
      <c r="E270" s="2763"/>
      <c r="F270" s="2763"/>
      <c r="G270" s="2773" t="s">
        <v>3201</v>
      </c>
      <c r="H270" s="2807"/>
      <c r="I270" s="2807"/>
      <c r="J270" s="2807"/>
      <c r="K270" s="2807"/>
      <c r="L270" s="2807"/>
      <c r="M270" s="2807"/>
      <c r="N270" s="2807"/>
      <c r="O270" s="2807"/>
    </row>
    <row r="271" spans="2:15" ht="15.75" hidden="1">
      <c r="D271" s="395"/>
      <c r="E271" s="2763"/>
      <c r="F271" s="2763"/>
      <c r="G271" s="2773"/>
      <c r="H271" s="2807"/>
      <c r="I271" s="2807"/>
      <c r="J271" s="2807"/>
      <c r="K271" s="2807"/>
      <c r="L271" s="2807"/>
      <c r="M271" s="2807"/>
      <c r="N271" s="2807"/>
      <c r="O271" s="2807"/>
    </row>
    <row r="272" spans="2:15" ht="15.75" hidden="1">
      <c r="D272" s="395"/>
      <c r="E272" s="2763"/>
      <c r="F272" s="396" t="s">
        <v>560</v>
      </c>
      <c r="G272" s="2672"/>
      <c r="H272" s="2673"/>
      <c r="I272" s="2586"/>
      <c r="J272" s="2674" t="str">
        <f>IF(OR(F274=0,J273=0),$L$3,"")</f>
        <v>&lt;N.A.&gt;</v>
      </c>
      <c r="K272" s="401" t="s">
        <v>561</v>
      </c>
      <c r="L272" s="2672"/>
      <c r="M272" s="2673"/>
      <c r="N272" s="2586"/>
      <c r="O272" s="2674" t="str">
        <f>IF(OR(K274=0,O273=0),$L$3,"")</f>
        <v>&lt;N.A.&gt;</v>
      </c>
    </row>
    <row r="273" spans="2:15" ht="16.5" hidden="1" thickBot="1">
      <c r="D273" s="395"/>
      <c r="E273" s="2763"/>
      <c r="F273" s="2655" t="s">
        <v>2613</v>
      </c>
      <c r="G273" s="2688"/>
      <c r="H273" s="2689"/>
      <c r="I273" s="2690" t="s">
        <v>2629</v>
      </c>
      <c r="J273" s="2692">
        <f>Weight!M33</f>
        <v>0</v>
      </c>
      <c r="K273" s="2655" t="s">
        <v>2613</v>
      </c>
      <c r="L273" s="2688"/>
      <c r="M273" s="2689"/>
      <c r="N273" s="2690" t="s">
        <v>2629</v>
      </c>
      <c r="O273" s="2692">
        <f>Weight!M34</f>
        <v>0</v>
      </c>
    </row>
    <row r="274" spans="2:15" ht="16.5" hidden="1" thickBot="1">
      <c r="D274" s="395"/>
      <c r="E274" s="2763"/>
      <c r="F274" s="2656">
        <v>0</v>
      </c>
      <c r="G274" s="2774" t="s">
        <v>4094</v>
      </c>
      <c r="H274" s="2697"/>
      <c r="I274" s="2697"/>
      <c r="J274" s="2797"/>
      <c r="K274" s="2656">
        <v>0</v>
      </c>
      <c r="L274" s="2774" t="s">
        <v>4094</v>
      </c>
      <c r="M274" s="2697"/>
      <c r="N274" s="2697"/>
      <c r="O274" s="2797"/>
    </row>
    <row r="275" spans="2:15" ht="15.75" hidden="1">
      <c r="B275" s="2014">
        <v>1</v>
      </c>
      <c r="C275" s="2014">
        <v>1</v>
      </c>
      <c r="D275" s="395"/>
      <c r="E275" s="2763"/>
      <c r="F275" s="2699" t="str">
        <f>IF(F274=$F$7,$G$2,IF(ROUNDDOWN(F274,0)=$F$2,$H$2,$G$2))</f>
        <v>　Level 1</v>
      </c>
      <c r="G275" s="3948" t="s">
        <v>3202</v>
      </c>
      <c r="H275" s="3949"/>
      <c r="I275" s="3949"/>
      <c r="J275" s="3950"/>
      <c r="K275" s="2699" t="str">
        <f>IF(K274=$F$7,$G$2,IF(ROUNDDOWN(K274,0)=$F$2,$H$2,$G$2))</f>
        <v>　Level 1</v>
      </c>
      <c r="L275" s="3948" t="s">
        <v>3203</v>
      </c>
      <c r="M275" s="3949"/>
      <c r="N275" s="3949"/>
      <c r="O275" s="3950"/>
    </row>
    <row r="276" spans="2:15" ht="15.75" hidden="1">
      <c r="B276" s="2014">
        <v>2</v>
      </c>
      <c r="C276" s="2014">
        <v>2</v>
      </c>
      <c r="D276" s="395"/>
      <c r="E276" s="2763"/>
      <c r="F276" s="2702" t="str">
        <f>IF(F274=$F$7,$G$3,IF(ROUNDDOWN(F274,0)=$F$3,$H$3,$G$3))</f>
        <v>　Level 2</v>
      </c>
      <c r="G276" s="3808"/>
      <c r="H276" s="3943"/>
      <c r="I276" s="3943"/>
      <c r="J276" s="3944"/>
      <c r="K276" s="2702" t="str">
        <f>IF(K274=$F$7,$G$3,IF(ROUNDDOWN(K274,0)=$F$3,$H$3,$G$3))</f>
        <v>　Level 2</v>
      </c>
      <c r="L276" s="3808" t="s">
        <v>3204</v>
      </c>
      <c r="M276" s="3943"/>
      <c r="N276" s="3943"/>
      <c r="O276" s="3944"/>
    </row>
    <row r="277" spans="2:15" ht="15.75" hidden="1">
      <c r="B277" s="2014">
        <v>3</v>
      </c>
      <c r="C277" s="2014">
        <v>3</v>
      </c>
      <c r="D277" s="395"/>
      <c r="E277" s="2763"/>
      <c r="F277" s="2702" t="str">
        <f>IF(F274=$F$7,$G$4,IF(ROUNDDOWN(F274,0)=$F$4,$H$4,$G$4))</f>
        <v>　Level 3</v>
      </c>
      <c r="G277" s="3808" t="s">
        <v>3205</v>
      </c>
      <c r="H277" s="3943"/>
      <c r="I277" s="3943"/>
      <c r="J277" s="3944"/>
      <c r="K277" s="2702" t="str">
        <f>IF(K274=$F$7,$G$4,IF(ROUNDDOWN(K274,0)=$F$4,$H$4,$G$4))</f>
        <v>　Level 3</v>
      </c>
      <c r="L277" s="3808" t="s">
        <v>3206</v>
      </c>
      <c r="M277" s="3943"/>
      <c r="N277" s="3943"/>
      <c r="O277" s="3944"/>
    </row>
    <row r="278" spans="2:15" ht="15.75" hidden="1">
      <c r="B278" s="2014">
        <v>4</v>
      </c>
      <c r="C278" s="2014">
        <v>4</v>
      </c>
      <c r="D278" s="395"/>
      <c r="E278" s="2763"/>
      <c r="F278" s="2702" t="str">
        <f>IF(F274=$F$7,$G$5,IF(ROUNDDOWN(F274,0)=$F$5,$H$5,$G$5))</f>
        <v>　Level 4</v>
      </c>
      <c r="G278" s="3808"/>
      <c r="H278" s="3943"/>
      <c r="I278" s="3943"/>
      <c r="J278" s="3944"/>
      <c r="K278" s="2702" t="str">
        <f>IF(K274=$F$7,$G$5,IF(ROUNDDOWN(K274,0)=$F$5,$H$5,$G$5))</f>
        <v>　Level 4</v>
      </c>
      <c r="L278" s="3808" t="s">
        <v>3207</v>
      </c>
      <c r="M278" s="3943"/>
      <c r="N278" s="3943"/>
      <c r="O278" s="3944"/>
    </row>
    <row r="279" spans="2:15" ht="15.75" hidden="1">
      <c r="B279" s="2014">
        <v>5</v>
      </c>
      <c r="C279" s="2014">
        <v>5</v>
      </c>
      <c r="D279" s="395"/>
      <c r="E279" s="2763"/>
      <c r="F279" s="2704" t="str">
        <f>IF(F274=$F$7,$G$6,IF(ROUNDDOWN(F274,0)=$F$6,$H$6,$G$6))</f>
        <v>　Level 5</v>
      </c>
      <c r="G279" s="3937" t="s">
        <v>3208</v>
      </c>
      <c r="H279" s="3938"/>
      <c r="I279" s="3938"/>
      <c r="J279" s="3939"/>
      <c r="K279" s="2704" t="str">
        <f>IF(K274=$F$7,$G$6,IF(ROUNDDOWN(K274,0)=$F$6,$H$6,$G$6))</f>
        <v>　Level 5</v>
      </c>
      <c r="L279" s="3937" t="s">
        <v>3209</v>
      </c>
      <c r="M279" s="3938"/>
      <c r="N279" s="3938"/>
      <c r="O279" s="3939"/>
    </row>
    <row r="280" spans="2:15" ht="15.75">
      <c r="B280" s="2707">
        <v>0</v>
      </c>
      <c r="C280" s="2707">
        <v>0</v>
      </c>
      <c r="D280" s="395"/>
      <c r="E280" s="2763"/>
      <c r="F280" s="2067" t="s">
        <v>3045</v>
      </c>
      <c r="G280" s="2708"/>
      <c r="H280" s="2759"/>
      <c r="I280" s="2709"/>
      <c r="J280" s="2710"/>
      <c r="K280" s="2711"/>
    </row>
    <row r="281" spans="2:15" ht="15.75">
      <c r="B281" s="2712"/>
      <c r="C281" s="2712"/>
      <c r="D281" s="395"/>
      <c r="E281" s="2763"/>
      <c r="F281" s="2763"/>
    </row>
    <row r="282" spans="2:15" ht="15.75">
      <c r="D282" s="393">
        <v>3</v>
      </c>
      <c r="E282" s="395" t="s">
        <v>2718</v>
      </c>
      <c r="F282" s="9"/>
    </row>
    <row r="283" spans="2:15" ht="15.75">
      <c r="D283" s="393">
        <v>3.1</v>
      </c>
      <c r="E283" s="395" t="s">
        <v>2719</v>
      </c>
      <c r="F283" s="9"/>
    </row>
    <row r="284" spans="2:15" ht="15.75">
      <c r="D284" s="395"/>
      <c r="E284" s="28"/>
      <c r="F284" s="396" t="s">
        <v>2720</v>
      </c>
      <c r="J284" s="1105" t="str">
        <f>IF(OR(F286=0,AND(J285=0,O285=0)),$L$3,"")</f>
        <v/>
      </c>
    </row>
    <row r="285" spans="2:15" ht="24.6" customHeight="1" thickBot="1">
      <c r="D285" s="395"/>
      <c r="E285" s="28"/>
      <c r="F285" s="2843" t="s">
        <v>2613</v>
      </c>
      <c r="G285" s="2688"/>
      <c r="H285" s="2689"/>
      <c r="I285" s="2842" t="s">
        <v>2629</v>
      </c>
      <c r="J285" s="2845">
        <f>Weight!M37</f>
        <v>0.6</v>
      </c>
      <c r="K285" s="2843" t="s">
        <v>2615</v>
      </c>
      <c r="L285" s="2688"/>
      <c r="M285" s="2689"/>
      <c r="N285" s="2842" t="s">
        <v>2629</v>
      </c>
      <c r="O285" s="2845">
        <f>Weight!N37</f>
        <v>0</v>
      </c>
    </row>
    <row r="286" spans="2:15" ht="27" customHeight="1" thickBot="1">
      <c r="D286" s="395"/>
      <c r="E286" s="28"/>
      <c r="F286" s="2693">
        <v>3</v>
      </c>
      <c r="G286" s="2753" t="s">
        <v>4109</v>
      </c>
      <c r="H286" s="2697"/>
      <c r="I286" s="2697"/>
      <c r="J286" s="2698"/>
      <c r="K286" s="2693">
        <v>3</v>
      </c>
      <c r="L286" s="2753" t="s">
        <v>2959</v>
      </c>
      <c r="M286" s="2698"/>
      <c r="N286" s="2652" t="s">
        <v>2433</v>
      </c>
      <c r="O286" s="2698"/>
    </row>
    <row r="287" spans="2:15" ht="15.6" customHeight="1">
      <c r="B287" s="2014">
        <v>1</v>
      </c>
      <c r="C287" s="2014">
        <v>1</v>
      </c>
      <c r="D287" s="395"/>
      <c r="E287" s="28"/>
      <c r="F287" s="2699" t="str">
        <f>IF(F286=$F$7,$G$2,IF(ROUNDDOWN(F286,0)=$F$2,$H$2,$G$2))</f>
        <v>　Level 1</v>
      </c>
      <c r="G287" s="2626" t="s">
        <v>2721</v>
      </c>
      <c r="H287" s="2808"/>
      <c r="I287" s="2808"/>
      <c r="J287" s="2809"/>
      <c r="K287" s="2699" t="str">
        <f>IF(K286=$F$7,$G$2,IF(ROUNDDOWN(K286,0)=$F$2,$H$2,$G$2))</f>
        <v>　Level 1</v>
      </c>
      <c r="L287" s="2626" t="s">
        <v>2726</v>
      </c>
      <c r="M287" s="2648"/>
      <c r="N287" s="2626" t="s">
        <v>2726</v>
      </c>
      <c r="O287" s="2648"/>
    </row>
    <row r="288" spans="2:15" ht="30" customHeight="1">
      <c r="B288" s="2014">
        <v>2</v>
      </c>
      <c r="C288" s="2014">
        <v>2</v>
      </c>
      <c r="D288" s="395"/>
      <c r="E288" s="28"/>
      <c r="F288" s="2702" t="str">
        <f>IF(F286=$F$7,$G$3,IF(ROUNDDOWN(F286,0)=$F$3,$H$3,$G$3))</f>
        <v>　Level 2</v>
      </c>
      <c r="G288" s="2627" t="s">
        <v>2722</v>
      </c>
      <c r="H288" s="2776"/>
      <c r="I288" s="2776"/>
      <c r="J288" s="2777"/>
      <c r="K288" s="2702" t="str">
        <f>IF(K286=$F$7,$G$3,IF(ROUNDDOWN(K286,0)=$F$3,$H$3,$G$3))</f>
        <v>　Level 2</v>
      </c>
      <c r="L288" s="3927" t="s">
        <v>2727</v>
      </c>
      <c r="M288" s="3936"/>
      <c r="N288" s="3927" t="s">
        <v>2728</v>
      </c>
      <c r="O288" s="3977"/>
    </row>
    <row r="289" spans="2:15" ht="30" customHeight="1">
      <c r="B289" s="2014">
        <v>3</v>
      </c>
      <c r="C289" s="2014">
        <v>3</v>
      </c>
      <c r="D289" s="395"/>
      <c r="E289" s="28"/>
      <c r="F289" s="2702" t="str">
        <f>IF(F286=$F$7,$G$4,IF(ROUNDDOWN(F286,0)=$F$4,$H$4,$G$4))</f>
        <v>■Level 3</v>
      </c>
      <c r="G289" s="2627" t="s">
        <v>2723</v>
      </c>
      <c r="H289" s="2776"/>
      <c r="I289" s="2776"/>
      <c r="J289" s="2777"/>
      <c r="K289" s="2702" t="str">
        <f>IF(K286=$F$7,$G$4,IF(ROUNDDOWN(K286,0)=$F$4,$H$4,$G$4))</f>
        <v>■Level 3</v>
      </c>
      <c r="L289" s="3927" t="s">
        <v>2729</v>
      </c>
      <c r="M289" s="3977"/>
      <c r="N289" s="3927" t="s">
        <v>2722</v>
      </c>
      <c r="O289" s="3977"/>
    </row>
    <row r="290" spans="2:15" ht="30" customHeight="1">
      <c r="B290" s="2014">
        <v>4</v>
      </c>
      <c r="C290" s="2014">
        <v>4</v>
      </c>
      <c r="D290" s="395"/>
      <c r="E290" s="28"/>
      <c r="F290" s="2702" t="str">
        <f>IF(F286=$F$7,$G$5,IF(ROUNDDOWN(F286,0)=$F$5,$H$5,$G$5))</f>
        <v>　Level 4</v>
      </c>
      <c r="G290" s="2627" t="s">
        <v>2724</v>
      </c>
      <c r="H290" s="2776"/>
      <c r="I290" s="2776"/>
      <c r="J290" s="2777"/>
      <c r="K290" s="2702" t="str">
        <f>IF(K286=$F$7,$G$5,IF(ROUNDDOWN(K286,0)=$F$5,$H$5,$G$5))</f>
        <v>　Level 4</v>
      </c>
      <c r="L290" s="3927" t="s">
        <v>2730</v>
      </c>
      <c r="M290" s="3977"/>
      <c r="N290" s="3927" t="s">
        <v>2723</v>
      </c>
      <c r="O290" s="3977"/>
    </row>
    <row r="291" spans="2:15" ht="15.6" customHeight="1">
      <c r="B291" s="2014">
        <v>5</v>
      </c>
      <c r="C291" s="2014">
        <v>5</v>
      </c>
      <c r="D291" s="395"/>
      <c r="E291" s="28"/>
      <c r="F291" s="2704" t="str">
        <f>IF(F286=$F$7,$G$6,IF(ROUNDDOWN(F286,0)=$F$6,$H$6,$G$6))</f>
        <v>　Level 5</v>
      </c>
      <c r="G291" s="2628" t="s">
        <v>2725</v>
      </c>
      <c r="H291" s="2810"/>
      <c r="I291" s="2810"/>
      <c r="J291" s="2811"/>
      <c r="K291" s="2704" t="str">
        <f>IF(K286=$F$7,$G$6,IF(ROUNDDOWN(K286,0)=$F$6,$H$6,$G$6))</f>
        <v>　Level 5</v>
      </c>
      <c r="L291" s="2628" t="s">
        <v>2731</v>
      </c>
      <c r="M291" s="2651"/>
      <c r="N291" s="2628" t="s">
        <v>2732</v>
      </c>
      <c r="O291" s="2651"/>
    </row>
    <row r="292" spans="2:15" ht="15.75">
      <c r="B292" s="2850">
        <v>0</v>
      </c>
      <c r="C292" s="2850">
        <v>0</v>
      </c>
      <c r="D292" s="395"/>
      <c r="E292" s="28"/>
      <c r="F292" s="2067" t="s">
        <v>3045</v>
      </c>
      <c r="G292" s="2708"/>
      <c r="H292" s="2759"/>
      <c r="I292" s="2709"/>
      <c r="J292" s="2710"/>
      <c r="K292" s="2711"/>
    </row>
    <row r="293" spans="2:15" ht="15.75">
      <c r="B293" s="2712"/>
      <c r="C293" s="2712"/>
      <c r="D293" s="395"/>
      <c r="E293" s="28"/>
      <c r="F293" s="1516" t="s">
        <v>2986</v>
      </c>
      <c r="G293" s="2812"/>
      <c r="I293" s="1529"/>
      <c r="J293" s="1529"/>
      <c r="K293" s="2711"/>
    </row>
    <row r="294" spans="2:15" ht="15.75">
      <c r="B294" s="2712"/>
      <c r="C294" s="2712"/>
      <c r="D294" s="395"/>
      <c r="E294" s="28"/>
      <c r="F294" s="120"/>
    </row>
    <row r="295" spans="2:15" ht="15.75">
      <c r="D295" s="395"/>
      <c r="E295" s="28"/>
      <c r="F295" s="396" t="s">
        <v>2733</v>
      </c>
      <c r="J295" s="1105" t="str">
        <f>IF(OR(F297=0,J296=0),$L$3,"")</f>
        <v>&lt;N.A.&gt;</v>
      </c>
    </row>
    <row r="296" spans="2:15" ht="24.6" customHeight="1" thickBot="1">
      <c r="D296" s="395"/>
      <c r="E296" s="28"/>
      <c r="F296" s="2843" t="s">
        <v>2615</v>
      </c>
      <c r="G296" s="2688"/>
      <c r="H296" s="2689"/>
      <c r="I296" s="2842" t="s">
        <v>2629</v>
      </c>
      <c r="J296" s="2845">
        <f>Weight!N38</f>
        <v>0</v>
      </c>
    </row>
    <row r="297" spans="2:15" ht="27" customHeight="1" thickBot="1">
      <c r="D297" s="395"/>
      <c r="E297" s="28"/>
      <c r="F297" s="2693">
        <v>3</v>
      </c>
      <c r="G297" s="2652" t="s">
        <v>2433</v>
      </c>
      <c r="H297" s="2697"/>
      <c r="I297" s="2697"/>
      <c r="J297" s="2698"/>
    </row>
    <row r="298" spans="2:15" ht="15.6" customHeight="1">
      <c r="B298" s="2014">
        <v>1</v>
      </c>
      <c r="C298" s="2014">
        <v>1</v>
      </c>
      <c r="D298" s="395"/>
      <c r="E298" s="28"/>
      <c r="F298" s="2699" t="str">
        <f>IF(F297=$F$7,$G$2,IF(ROUNDDOWN(F297,0)=$F$2,$H$2,$G$2))</f>
        <v>　Level 1</v>
      </c>
      <c r="G298" s="2626" t="s">
        <v>2734</v>
      </c>
      <c r="H298" s="2808"/>
      <c r="I298" s="2808"/>
      <c r="J298" s="2809"/>
    </row>
    <row r="299" spans="2:15" ht="15.6" customHeight="1">
      <c r="B299" s="2014" t="s">
        <v>697</v>
      </c>
      <c r="C299" s="2014">
        <v>2</v>
      </c>
      <c r="D299" s="395"/>
      <c r="E299" s="28"/>
      <c r="F299" s="2702" t="str">
        <f>IF(F297=$F$7,$G$3,IF(ROUNDDOWN(F297,0)=$F$3,$H$3,$G$3))</f>
        <v>　Level 2</v>
      </c>
      <c r="G299" s="2627" t="s">
        <v>2528</v>
      </c>
      <c r="H299" s="2776"/>
      <c r="I299" s="2776"/>
      <c r="J299" s="2777"/>
    </row>
    <row r="300" spans="2:15" ht="15.6" customHeight="1">
      <c r="B300" s="2014">
        <v>3</v>
      </c>
      <c r="C300" s="2014">
        <v>3</v>
      </c>
      <c r="D300" s="395"/>
      <c r="E300" s="28"/>
      <c r="F300" s="2702" t="str">
        <f>IF(F297=$F$7,$G$4,IF(ROUNDDOWN(F297,0)=$F$4,$H$4,$G$4))</f>
        <v>■Level 3</v>
      </c>
      <c r="G300" s="2627" t="s">
        <v>2735</v>
      </c>
      <c r="H300" s="2776"/>
      <c r="I300" s="2776"/>
      <c r="J300" s="2777"/>
    </row>
    <row r="301" spans="2:15" ht="15.6" customHeight="1">
      <c r="B301" s="2014" t="s">
        <v>697</v>
      </c>
      <c r="C301" s="2014">
        <v>4</v>
      </c>
      <c r="D301" s="395"/>
      <c r="E301" s="28"/>
      <c r="F301" s="2702" t="str">
        <f>IF(F297=$F$7,$G$5,IF(ROUNDDOWN(F297,0)=$F$5,$H$5,$G$5))</f>
        <v>　Level 4</v>
      </c>
      <c r="G301" s="2627" t="s">
        <v>2528</v>
      </c>
      <c r="H301" s="2776"/>
      <c r="I301" s="2776"/>
      <c r="J301" s="2777"/>
    </row>
    <row r="302" spans="2:15" ht="15.6" customHeight="1">
      <c r="B302" s="2014">
        <v>5</v>
      </c>
      <c r="C302" s="2014">
        <v>5</v>
      </c>
      <c r="D302" s="395"/>
      <c r="E302" s="28"/>
      <c r="F302" s="2704" t="str">
        <f>IF(F297=$F$7,$G$6,IF(ROUNDDOWN(F297,0)=$F$6,$H$6,$G$6))</f>
        <v>　Level 5</v>
      </c>
      <c r="G302" s="2628" t="s">
        <v>2736</v>
      </c>
      <c r="H302" s="2810"/>
      <c r="I302" s="2810"/>
      <c r="J302" s="2811"/>
    </row>
    <row r="303" spans="2:15" ht="15.75">
      <c r="B303" s="2850">
        <v>0</v>
      </c>
      <c r="C303" s="2850">
        <v>0</v>
      </c>
      <c r="D303" s="395"/>
      <c r="E303" s="28"/>
      <c r="F303" s="2067" t="s">
        <v>3045</v>
      </c>
      <c r="G303" s="2708"/>
      <c r="H303" s="2759"/>
      <c r="I303" s="2709"/>
      <c r="J303" s="2710"/>
      <c r="K303" s="2711"/>
    </row>
    <row r="304" spans="2:15" ht="15.75">
      <c r="B304" s="2712"/>
      <c r="C304" s="2712"/>
      <c r="D304" s="395"/>
      <c r="E304" s="28"/>
      <c r="F304" s="120"/>
    </row>
    <row r="305" spans="2:15" ht="15.75">
      <c r="D305" s="395"/>
      <c r="E305" s="28"/>
      <c r="F305" s="396" t="s">
        <v>2737</v>
      </c>
      <c r="J305" s="1105" t="str">
        <f>IF(OR(F307=0,AND(J306=0,O306=0)),$L$3,"")</f>
        <v/>
      </c>
    </row>
    <row r="306" spans="2:15" ht="24.6" customHeight="1" thickBot="1">
      <c r="D306" s="395"/>
      <c r="E306" s="1173"/>
      <c r="F306" s="2843" t="s">
        <v>2613</v>
      </c>
      <c r="G306" s="2688"/>
      <c r="H306" s="2689"/>
      <c r="I306" s="2842" t="s">
        <v>2629</v>
      </c>
      <c r="J306" s="2845">
        <f>Weight!M39</f>
        <v>0.4</v>
      </c>
      <c r="K306" s="2843" t="s">
        <v>2615</v>
      </c>
      <c r="L306" s="2688"/>
      <c r="M306" s="2689"/>
      <c r="N306" s="2842" t="s">
        <v>2629</v>
      </c>
      <c r="O306" s="2845">
        <f>Weight!N39</f>
        <v>0</v>
      </c>
    </row>
    <row r="307" spans="2:15" ht="27.75" customHeight="1" thickBot="1">
      <c r="D307" s="395"/>
      <c r="E307" s="1173"/>
      <c r="F307" s="2693">
        <v>3</v>
      </c>
      <c r="G307" s="2753" t="s">
        <v>4110</v>
      </c>
      <c r="H307" s="2697"/>
      <c r="I307" s="2767" t="s">
        <v>4126</v>
      </c>
      <c r="J307" s="3216"/>
      <c r="K307" s="2693">
        <v>3</v>
      </c>
      <c r="L307" s="2753" t="s">
        <v>2522</v>
      </c>
      <c r="M307" s="2698"/>
      <c r="N307" s="2753"/>
      <c r="O307" s="2760"/>
    </row>
    <row r="308" spans="2:15" ht="15.75" customHeight="1">
      <c r="B308" s="2014" t="s">
        <v>698</v>
      </c>
      <c r="C308" s="2014" t="s">
        <v>698</v>
      </c>
      <c r="D308" s="395"/>
      <c r="E308" s="2763"/>
      <c r="F308" s="2699" t="str">
        <f>IF(F307=$F$7,$G$2,IF(ROUNDDOWN(F307,0)=$F$2,$H$2,$G$2))</f>
        <v>　Level 1</v>
      </c>
      <c r="G308" s="2626" t="s">
        <v>2528</v>
      </c>
      <c r="H308" s="2648"/>
      <c r="I308" s="2626" t="s">
        <v>2528</v>
      </c>
      <c r="J308" s="2648"/>
      <c r="K308" s="2699" t="str">
        <f>IF(K307=$F$7,$G$2,IF(ROUNDDOWN(K307,0)=$F$2,$H$2,$G$2))</f>
        <v>　Level 1</v>
      </c>
      <c r="L308" s="2626" t="s">
        <v>2528</v>
      </c>
      <c r="M308" s="2653"/>
      <c r="N308" s="2653"/>
      <c r="O308" s="2648"/>
    </row>
    <row r="309" spans="2:15" ht="15.75" customHeight="1">
      <c r="B309" s="2014" t="s">
        <v>698</v>
      </c>
      <c r="C309" s="2014" t="s">
        <v>49</v>
      </c>
      <c r="D309" s="395"/>
      <c r="E309" s="2763"/>
      <c r="F309" s="2702" t="str">
        <f>IF(F307=$F$7,$G$3,IF(ROUNDDOWN(F307,0)=$F$3,$H$3,$G$3))</f>
        <v>　Level 2</v>
      </c>
      <c r="G309" s="2627" t="s">
        <v>2528</v>
      </c>
      <c r="H309" s="2649"/>
      <c r="I309" s="2627" t="s">
        <v>2528</v>
      </c>
      <c r="J309" s="2649"/>
      <c r="K309" s="2702" t="str">
        <f>IF(K307=$F$7,$G$3,IF(ROUNDDOWN(K307,0)=$F$3,$H$3,$G$3))</f>
        <v>　Level 2</v>
      </c>
      <c r="L309" s="2627" t="s">
        <v>2528</v>
      </c>
      <c r="M309" s="2650"/>
      <c r="N309" s="2650"/>
      <c r="O309" s="2649"/>
    </row>
    <row r="310" spans="2:15" ht="26.45" customHeight="1">
      <c r="B310" s="2014">
        <v>3</v>
      </c>
      <c r="C310" s="2014">
        <v>3</v>
      </c>
      <c r="D310" s="395"/>
      <c r="E310" s="2763"/>
      <c r="F310" s="2702" t="str">
        <f>IF(F307=$F$7,$G$4,IF(ROUNDDOWN(F307,0)=$F$4,$H$4,$G$4))</f>
        <v>■Level 3</v>
      </c>
      <c r="G310" s="3927" t="s">
        <v>2738</v>
      </c>
      <c r="H310" s="3977"/>
      <c r="I310" s="3927" t="s">
        <v>2738</v>
      </c>
      <c r="J310" s="3936"/>
      <c r="K310" s="2702" t="str">
        <f>IF(K307=$F$7,$G$4,IF(ROUNDDOWN(K307,0)=$F$4,$H$4,$G$4))</f>
        <v>■Level 3</v>
      </c>
      <c r="L310" s="2627" t="s">
        <v>2738</v>
      </c>
      <c r="M310" s="2650"/>
      <c r="N310" s="2650"/>
      <c r="O310" s="2649"/>
    </row>
    <row r="311" spans="2:15" ht="26.45" customHeight="1">
      <c r="B311" s="2014">
        <v>4</v>
      </c>
      <c r="C311" s="2014" t="s">
        <v>698</v>
      </c>
      <c r="D311" s="395"/>
      <c r="E311" s="2763"/>
      <c r="F311" s="2702" t="str">
        <f>IF(F307=$F$7,$G$5,IF(ROUNDDOWN(F307,0)=$F$5,$H$5,$G$5))</f>
        <v>　Level 4</v>
      </c>
      <c r="G311" s="3927" t="s">
        <v>2739</v>
      </c>
      <c r="H311" s="3977"/>
      <c r="I311" s="2627" t="s">
        <v>2528</v>
      </c>
      <c r="J311" s="2649"/>
      <c r="K311" s="2702" t="str">
        <f>IF(K307=$F$7,$G$5,IF(ROUNDDOWN(K307,0)=$F$5,$H$5,$G$5))</f>
        <v>　Level 4</v>
      </c>
      <c r="L311" s="2627" t="s">
        <v>2528</v>
      </c>
      <c r="M311" s="2650"/>
      <c r="N311" s="2650"/>
      <c r="O311" s="2649"/>
    </row>
    <row r="312" spans="2:15" ht="46.15" customHeight="1">
      <c r="B312" s="2014">
        <v>5</v>
      </c>
      <c r="C312" s="2014">
        <v>5</v>
      </c>
      <c r="D312" s="395"/>
      <c r="E312" s="2763"/>
      <c r="F312" s="2704" t="str">
        <f>IF(F307=$F$7,$G$6,IF(ROUNDDOWN(F307,0)=$F$6,$H$6,$G$6))</f>
        <v>　Level 5</v>
      </c>
      <c r="G312" s="3930" t="s">
        <v>2740</v>
      </c>
      <c r="H312" s="3934"/>
      <c r="I312" s="3930" t="s">
        <v>2741</v>
      </c>
      <c r="J312" s="3934"/>
      <c r="K312" s="2704" t="str">
        <f>IF(K307=$F$7,$G$6,IF(ROUNDDOWN(K307,0)=$F$6,$H$6,$G$6))</f>
        <v>　Level 5</v>
      </c>
      <c r="L312" s="2628" t="s">
        <v>2741</v>
      </c>
      <c r="M312" s="2654"/>
      <c r="N312" s="2654"/>
      <c r="O312" s="2651"/>
    </row>
    <row r="313" spans="2:15" ht="15.75">
      <c r="B313" s="2850">
        <v>0</v>
      </c>
      <c r="C313" s="2850">
        <v>0</v>
      </c>
      <c r="D313" s="395"/>
      <c r="E313" s="119"/>
      <c r="F313" s="2067" t="s">
        <v>3045</v>
      </c>
      <c r="G313" s="2708"/>
      <c r="H313" s="2759"/>
      <c r="I313" s="2709"/>
      <c r="J313" s="2710"/>
      <c r="K313" s="2779" t="s">
        <v>3460</v>
      </c>
    </row>
    <row r="314" spans="2:15" ht="15.75">
      <c r="B314" s="2712"/>
      <c r="C314" s="2712"/>
      <c r="D314" s="395"/>
      <c r="E314" s="119"/>
      <c r="F314" s="119"/>
    </row>
    <row r="315" spans="2:15" ht="15.75">
      <c r="D315" s="393">
        <v>3.2</v>
      </c>
      <c r="E315" s="395" t="s">
        <v>2742</v>
      </c>
      <c r="F315" s="9"/>
    </row>
    <row r="316" spans="2:15" ht="15.75" hidden="1">
      <c r="D316" s="395"/>
      <c r="E316" s="28"/>
      <c r="F316" s="547" t="s">
        <v>159</v>
      </c>
      <c r="J316" s="1105" t="str">
        <f>IF(OR(F318=0,AND(J317=0,O317=0)),$L$3,"")</f>
        <v>&lt;N.A.&gt;</v>
      </c>
    </row>
    <row r="317" spans="2:15" ht="15.75" hidden="1">
      <c r="D317" s="395"/>
      <c r="E317" s="28"/>
      <c r="F317" s="2655" t="s">
        <v>2743</v>
      </c>
      <c r="I317" s="1105" t="s">
        <v>2629</v>
      </c>
      <c r="J317" s="1105">
        <f>Weight!M41</f>
        <v>0</v>
      </c>
      <c r="K317" s="1105" t="s">
        <v>2615</v>
      </c>
      <c r="N317" s="1105" t="s">
        <v>2629</v>
      </c>
      <c r="O317" s="1105">
        <f>Weight!N41</f>
        <v>0</v>
      </c>
    </row>
    <row r="318" spans="2:15" ht="16.5" hidden="1" thickBot="1">
      <c r="D318" s="395"/>
      <c r="E318" s="28"/>
      <c r="F318" s="2656">
        <v>0</v>
      </c>
      <c r="G318" s="1105" t="s">
        <v>4111</v>
      </c>
      <c r="K318" s="1105">
        <v>0</v>
      </c>
      <c r="L318" s="1105" t="s">
        <v>2522</v>
      </c>
    </row>
    <row r="319" spans="2:15" ht="15.75" hidden="1">
      <c r="B319" s="2014">
        <v>1</v>
      </c>
      <c r="C319" s="2014">
        <v>1</v>
      </c>
      <c r="D319" s="395"/>
      <c r="E319" s="28"/>
      <c r="F319" s="2657">
        <f>IF(F318=$S$15,$T$10,IF(ROUNDDOWN(F318,0)=$S$10,$U$10,$T$10))</f>
        <v>0</v>
      </c>
      <c r="G319" s="1105" t="s">
        <v>3210</v>
      </c>
      <c r="K319" s="1105" t="str">
        <f>IF(K318=$F$7,$G$2,IF(ROUNDDOWN(K318,0)=$F$2,$H$2,$G$2))</f>
        <v>　Level 1</v>
      </c>
      <c r="L319" s="1105" t="s">
        <v>3211</v>
      </c>
    </row>
    <row r="320" spans="2:15" ht="15.75" hidden="1">
      <c r="B320" s="2014" t="s">
        <v>358</v>
      </c>
      <c r="C320" s="2014" t="s">
        <v>358</v>
      </c>
      <c r="D320" s="395"/>
      <c r="E320" s="28"/>
      <c r="F320" s="2632">
        <f>IF(F318=$S$15,$T$11,IF(ROUNDDOWN(F318,0)=$S$11,$U$11,$T$11))</f>
        <v>0</v>
      </c>
      <c r="G320" s="1105" t="s">
        <v>3212</v>
      </c>
      <c r="K320" s="1105" t="str">
        <f>IF(K318=$F$7,$G$3,IF(ROUNDDOWN(K318,0)=$F$3,$H$3,$G$3))</f>
        <v>　Level 2</v>
      </c>
      <c r="L320" s="1105" t="s">
        <v>3212</v>
      </c>
    </row>
    <row r="321" spans="2:15" ht="15.75" hidden="1">
      <c r="B321" s="2014">
        <v>3</v>
      </c>
      <c r="C321" s="2014">
        <v>3</v>
      </c>
      <c r="D321" s="395"/>
      <c r="E321" s="28"/>
      <c r="F321" s="2632">
        <f>IF(F318=$S$15,$T$12,IF(ROUNDDOWN(F318,0)=$S$12,$U$12,$T$12))</f>
        <v>0</v>
      </c>
      <c r="G321" s="1105" t="s">
        <v>3213</v>
      </c>
      <c r="K321" s="1105" t="str">
        <f>IF(K318=$F$7,$G$4,IF(ROUNDDOWN(K318,0)=$F$4,$H$4,$G$4))</f>
        <v>　Level 3</v>
      </c>
      <c r="L321" s="1105" t="s">
        <v>3214</v>
      </c>
    </row>
    <row r="322" spans="2:15" ht="15.75" hidden="1">
      <c r="B322" s="2014" t="s">
        <v>358</v>
      </c>
      <c r="C322" s="2014" t="s">
        <v>358</v>
      </c>
      <c r="D322" s="395"/>
      <c r="E322" s="28"/>
      <c r="F322" s="2632">
        <f>IF(F318=$S$15,$T$13,IF(ROUNDDOWN(F318,0)=$S$13,$U$13,$T$13))</f>
        <v>0</v>
      </c>
      <c r="G322" s="1105" t="s">
        <v>3212</v>
      </c>
      <c r="K322" s="1105" t="str">
        <f>IF(K318=$F$7,$G$5,IF(ROUNDDOWN(K318,0)=$F$5,$H$5,$G$5))</f>
        <v>　Level 4</v>
      </c>
      <c r="L322" s="1105" t="s">
        <v>3212</v>
      </c>
    </row>
    <row r="323" spans="2:15" ht="15.75" hidden="1">
      <c r="B323" s="2014">
        <v>5</v>
      </c>
      <c r="C323" s="2014">
        <v>5</v>
      </c>
      <c r="D323" s="395"/>
      <c r="E323" s="28"/>
      <c r="F323" s="2637">
        <f>IF(F318=$S$15,$T$14,IF(ROUNDDOWN(F318,0)=$S$14,$U$14,$T$14))</f>
        <v>0</v>
      </c>
      <c r="G323" s="1105" t="s">
        <v>4077</v>
      </c>
      <c r="K323" s="1105" t="str">
        <f>IF(K318=$F$7,$G$6,IF(ROUNDDOWN(K318,0)=$F$6,$H$6,$G$6))</f>
        <v>　Level 5</v>
      </c>
      <c r="L323" s="1105" t="s">
        <v>4078</v>
      </c>
    </row>
    <row r="324" spans="2:15" ht="15.75" hidden="1">
      <c r="B324" s="2707">
        <v>0</v>
      </c>
      <c r="C324" s="2707">
        <v>0</v>
      </c>
      <c r="D324" s="395"/>
      <c r="E324" s="18"/>
      <c r="F324" s="18"/>
    </row>
    <row r="325" spans="2:15" ht="15.75">
      <c r="D325" s="395"/>
      <c r="E325" s="18"/>
      <c r="F325" s="396" t="s">
        <v>2744</v>
      </c>
      <c r="J325" s="1105" t="str">
        <f>IF(OR(F327=0,AND(J326=0,O326=0)),$L$3,"")</f>
        <v/>
      </c>
    </row>
    <row r="326" spans="2:15" ht="24.6" customHeight="1" thickBot="1">
      <c r="D326" s="395"/>
      <c r="E326" s="18"/>
      <c r="F326" s="2843" t="s">
        <v>2613</v>
      </c>
      <c r="G326" s="2688"/>
      <c r="H326" s="2689"/>
      <c r="I326" s="2842" t="s">
        <v>2629</v>
      </c>
      <c r="J326" s="2845">
        <f>Weight!M42</f>
        <v>1</v>
      </c>
      <c r="K326" s="2843" t="s">
        <v>2616</v>
      </c>
      <c r="L326" s="2688"/>
      <c r="M326" s="2689"/>
      <c r="N326" s="2842" t="s">
        <v>2629</v>
      </c>
      <c r="O326" s="2845">
        <f>Weight!N42</f>
        <v>0</v>
      </c>
    </row>
    <row r="327" spans="2:15" ht="27" customHeight="1" thickBot="1">
      <c r="D327" s="395"/>
      <c r="E327" s="18"/>
      <c r="F327" s="2693">
        <v>3</v>
      </c>
      <c r="G327" s="2767" t="s">
        <v>4112</v>
      </c>
      <c r="H327" s="2835"/>
      <c r="I327" s="2753" t="s">
        <v>4030</v>
      </c>
      <c r="J327" s="2698"/>
      <c r="K327" s="2693">
        <v>3</v>
      </c>
      <c r="L327" s="2753" t="s">
        <v>2522</v>
      </c>
      <c r="M327" s="2698"/>
      <c r="N327" s="2753"/>
      <c r="O327" s="2760"/>
    </row>
    <row r="328" spans="2:15" ht="20.25" customHeight="1">
      <c r="B328" s="2014">
        <v>1</v>
      </c>
      <c r="C328" s="2014">
        <v>1</v>
      </c>
      <c r="D328" s="395"/>
      <c r="E328" s="18"/>
      <c r="F328" s="2699" t="str">
        <f>IF(F327=$F$7,$G$2,IF(ROUNDDOWN(F327,0)=$F$2,$H$2,$G$2))</f>
        <v>　Level 1</v>
      </c>
      <c r="G328" s="3948" t="s">
        <v>2746</v>
      </c>
      <c r="H328" s="3950"/>
      <c r="I328" s="3948" t="s">
        <v>2746</v>
      </c>
      <c r="J328" s="3950"/>
      <c r="K328" s="2699" t="str">
        <f>IF(K327=$F$7,$G$2,IF(ROUNDDOWN(K327,0)=$F$2,$H$2,$G$2))</f>
        <v>　Level 1</v>
      </c>
      <c r="L328" s="3948" t="s">
        <v>2745</v>
      </c>
      <c r="M328" s="3949"/>
      <c r="N328" s="3949"/>
      <c r="O328" s="3950"/>
    </row>
    <row r="329" spans="2:15" ht="33.75" customHeight="1">
      <c r="B329" s="2014">
        <v>2</v>
      </c>
      <c r="C329" s="2014" t="s">
        <v>49</v>
      </c>
      <c r="D329" s="395"/>
      <c r="E329" s="18"/>
      <c r="F329" s="2702" t="str">
        <f>IF(F327=$F$7,$G$3,IF(ROUNDDOWN(F327,0)=$F$3,$H$3,$G$3))</f>
        <v>　Level 2</v>
      </c>
      <c r="G329" s="3808" t="s">
        <v>2747</v>
      </c>
      <c r="H329" s="3944"/>
      <c r="I329" s="3808" t="s">
        <v>2528</v>
      </c>
      <c r="J329" s="3944"/>
      <c r="K329" s="2702" t="str">
        <f>IF(K327=$F$7,$G$3,IF(ROUNDDOWN(K327,0)=$F$3,$H$3,$G$3))</f>
        <v>　Level 2</v>
      </c>
      <c r="L329" s="3945" t="s">
        <v>2528</v>
      </c>
      <c r="M329" s="3946"/>
      <c r="N329" s="3946"/>
      <c r="O329" s="3947"/>
    </row>
    <row r="330" spans="2:15" ht="48" customHeight="1">
      <c r="B330" s="2014">
        <v>3</v>
      </c>
      <c r="C330" s="2014">
        <v>3</v>
      </c>
      <c r="D330" s="395"/>
      <c r="E330" s="18"/>
      <c r="F330" s="2702" t="str">
        <f>IF(F327=$F$7,$G$4,IF(ROUNDDOWN(F327,0)=$F$4,$H$4,$G$4))</f>
        <v>■Level 3</v>
      </c>
      <c r="G330" s="3927" t="s">
        <v>2750</v>
      </c>
      <c r="H330" s="3929"/>
      <c r="I330" s="3927" t="s">
        <v>2747</v>
      </c>
      <c r="J330" s="3929"/>
      <c r="K330" s="2702" t="str">
        <f>IF(K327=$F$7,$G$4,IF(ROUNDDOWN(K327,0)=$F$4,$H$4,$G$4))</f>
        <v>■Level 3</v>
      </c>
      <c r="L330" s="3927" t="s">
        <v>2755</v>
      </c>
      <c r="M330" s="3935"/>
      <c r="N330" s="3935"/>
      <c r="O330" s="3936"/>
    </row>
    <row r="331" spans="2:15" ht="70.150000000000006" customHeight="1">
      <c r="B331" s="2014">
        <v>4</v>
      </c>
      <c r="C331" s="2014">
        <v>4</v>
      </c>
      <c r="D331" s="395"/>
      <c r="E331" s="18"/>
      <c r="F331" s="2702" t="str">
        <f>IF(F327=$F$7,$G$5,IF(ROUNDDOWN(F327,0)=$F$5,$H$5,$G$5))</f>
        <v>　Level 4</v>
      </c>
      <c r="G331" s="3927" t="s">
        <v>2748</v>
      </c>
      <c r="H331" s="3929"/>
      <c r="I331" s="3927" t="s">
        <v>2751</v>
      </c>
      <c r="J331" s="3929"/>
      <c r="K331" s="2702" t="str">
        <f>IF(K327=$F$7,$G$5,IF(ROUNDDOWN(K327,0)=$F$5,$H$5,$G$5))</f>
        <v>　Level 4</v>
      </c>
      <c r="L331" s="3927" t="s">
        <v>2753</v>
      </c>
      <c r="M331" s="3928"/>
      <c r="N331" s="3928"/>
      <c r="O331" s="3929"/>
    </row>
    <row r="332" spans="2:15" ht="70.150000000000006" customHeight="1">
      <c r="B332" s="2014">
        <v>5</v>
      </c>
      <c r="C332" s="2014">
        <v>5</v>
      </c>
      <c r="D332" s="395"/>
      <c r="E332" s="18"/>
      <c r="F332" s="2704" t="str">
        <f>IF(F327=$F$7,$G$6,IF(ROUNDDOWN(F327,0)=$F$6,$H$6,$G$6))</f>
        <v>　Level 5</v>
      </c>
      <c r="G332" s="3930" t="s">
        <v>2749</v>
      </c>
      <c r="H332" s="3932"/>
      <c r="I332" s="3930" t="s">
        <v>2752</v>
      </c>
      <c r="J332" s="3932"/>
      <c r="K332" s="2704" t="str">
        <f>IF(K327=$F$7,$G$6,IF(ROUNDDOWN(K327,0)=$F$6,$H$6,$G$6))</f>
        <v>　Level 5</v>
      </c>
      <c r="L332" s="3930" t="s">
        <v>2754</v>
      </c>
      <c r="M332" s="3931"/>
      <c r="N332" s="3931"/>
      <c r="O332" s="3932"/>
    </row>
    <row r="333" spans="2:15" ht="15.75">
      <c r="B333" s="2850">
        <v>0</v>
      </c>
      <c r="C333" s="2850">
        <v>0</v>
      </c>
      <c r="D333" s="395"/>
      <c r="E333" s="18"/>
      <c r="F333" s="2067" t="s">
        <v>3045</v>
      </c>
      <c r="G333" s="2708"/>
      <c r="H333" s="2759"/>
      <c r="I333" s="2709"/>
      <c r="J333" s="2710"/>
      <c r="K333" s="2779" t="s">
        <v>3460</v>
      </c>
    </row>
    <row r="334" spans="2:15" ht="15.75">
      <c r="B334" s="2712"/>
      <c r="C334" s="2712"/>
      <c r="D334" s="395"/>
      <c r="E334" s="18"/>
      <c r="F334" s="18"/>
    </row>
    <row r="335" spans="2:15" ht="15.75">
      <c r="D335" s="395"/>
      <c r="E335" s="18"/>
      <c r="F335" s="396" t="s">
        <v>2756</v>
      </c>
      <c r="J335" s="1105" t="str">
        <f>IF(OR(F337=0,J336=0),$L$3,"")</f>
        <v>&lt;N.A.&gt;</v>
      </c>
    </row>
    <row r="336" spans="2:15" ht="16.5" hidden="1" thickBot="1">
      <c r="D336" s="395"/>
      <c r="E336" s="18"/>
      <c r="F336" s="2655" t="s">
        <v>2613</v>
      </c>
      <c r="G336" s="2688"/>
      <c r="H336" s="2689"/>
      <c r="I336" s="2690" t="s">
        <v>2629</v>
      </c>
      <c r="J336" s="2692">
        <f>Weight!M43</f>
        <v>0</v>
      </c>
    </row>
    <row r="337" spans="2:15" ht="16.5" hidden="1" thickBot="1">
      <c r="B337" s="2813" t="s">
        <v>3215</v>
      </c>
      <c r="D337" s="395"/>
      <c r="E337" s="18"/>
      <c r="F337" s="2656">
        <v>0</v>
      </c>
      <c r="G337" s="2753" t="s">
        <v>4030</v>
      </c>
      <c r="H337" s="2697"/>
      <c r="I337" s="2697"/>
      <c r="J337" s="2698"/>
    </row>
    <row r="338" spans="2:15" ht="15.75" hidden="1">
      <c r="B338" s="2014">
        <v>1</v>
      </c>
      <c r="D338" s="395"/>
      <c r="E338" s="18"/>
      <c r="F338" s="2699" t="str">
        <f>IF(F337=$F$7,$G$2,IF(ROUNDDOWN(F337,0)=$F$2,$H$2,$G$2))</f>
        <v>　Level 1</v>
      </c>
      <c r="G338" s="2814" t="s">
        <v>3182</v>
      </c>
      <c r="H338" s="2815"/>
      <c r="I338" s="2815"/>
      <c r="J338" s="2816"/>
    </row>
    <row r="339" spans="2:15" ht="15.75" hidden="1">
      <c r="B339" s="2014" t="s">
        <v>698</v>
      </c>
      <c r="D339" s="395"/>
      <c r="E339" s="18"/>
      <c r="F339" s="2702" t="str">
        <f>IF(F337=$F$7,$G$3,IF(ROUNDDOWN(F337,0)=$F$3,$H$3,$G$3))</f>
        <v>　Level 2</v>
      </c>
      <c r="G339" s="2789" t="s">
        <v>3135</v>
      </c>
      <c r="H339" s="2817"/>
      <c r="I339" s="2817"/>
      <c r="J339" s="2818"/>
    </row>
    <row r="340" spans="2:15" ht="15.75" hidden="1">
      <c r="B340" s="2014">
        <v>3</v>
      </c>
      <c r="D340" s="395"/>
      <c r="E340" s="18"/>
      <c r="F340" s="2702" t="str">
        <f>IF(F337=$F$7,$G$4,IF(ROUNDDOWN(F337,0)=$F$4,$H$4,$G$4))</f>
        <v>　Level 3</v>
      </c>
      <c r="G340" s="2789" t="s">
        <v>3216</v>
      </c>
      <c r="H340" s="2817"/>
      <c r="I340" s="2817"/>
      <c r="J340" s="2818"/>
    </row>
    <row r="341" spans="2:15" ht="15.75" hidden="1">
      <c r="B341" s="2014" t="s">
        <v>698</v>
      </c>
      <c r="D341" s="395"/>
      <c r="E341" s="18"/>
      <c r="F341" s="2702" t="str">
        <f>IF(F337=$F$7,$G$5,IF(ROUNDDOWN(F337,0)=$F$5,$H$5,$G$5))</f>
        <v>　Level 4</v>
      </c>
      <c r="G341" s="2789" t="s">
        <v>3135</v>
      </c>
      <c r="H341" s="2817"/>
      <c r="I341" s="2817"/>
      <c r="J341" s="2818"/>
    </row>
    <row r="342" spans="2:15" ht="15.75" hidden="1">
      <c r="B342" s="2014">
        <v>5</v>
      </c>
      <c r="D342" s="395"/>
      <c r="E342" s="18"/>
      <c r="F342" s="2704" t="str">
        <f>IF(F337=$F$7,$G$6,IF(ROUNDDOWN(F337,0)=$F$6,$H$6,$G$6))</f>
        <v>　Level 5</v>
      </c>
      <c r="G342" s="2819" t="s">
        <v>3217</v>
      </c>
      <c r="H342" s="2820"/>
      <c r="I342" s="2820"/>
      <c r="J342" s="2821"/>
    </row>
    <row r="343" spans="2:15" ht="15.75" hidden="1">
      <c r="B343" s="2707">
        <v>0</v>
      </c>
      <c r="D343" s="395"/>
      <c r="E343" s="18"/>
      <c r="F343" s="2067" t="s">
        <v>3045</v>
      </c>
      <c r="G343" s="2708"/>
      <c r="H343" s="2759"/>
      <c r="I343" s="2709"/>
      <c r="J343" s="2710"/>
      <c r="K343" s="2711" t="s">
        <v>3218</v>
      </c>
    </row>
    <row r="344" spans="2:15" ht="15.75" hidden="1">
      <c r="D344" s="395"/>
      <c r="E344" s="18"/>
      <c r="F344" s="18"/>
      <c r="G344" s="1105" t="s">
        <v>3219</v>
      </c>
    </row>
    <row r="345" spans="2:15" ht="15.75" hidden="1">
      <c r="D345" s="395"/>
      <c r="E345" s="18"/>
      <c r="F345" s="18"/>
      <c r="G345" s="2822" t="s">
        <v>3220</v>
      </c>
      <c r="H345" s="2822" t="s">
        <v>3221</v>
      </c>
      <c r="I345" s="2823"/>
      <c r="J345" s="2823"/>
      <c r="K345" s="2823"/>
      <c r="L345" s="2823"/>
      <c r="M345" s="2824"/>
    </row>
    <row r="346" spans="2:15" ht="15.75" hidden="1">
      <c r="D346" s="395"/>
      <c r="E346" s="18"/>
      <c r="F346" s="18"/>
      <c r="G346" s="2822" t="s">
        <v>3222</v>
      </c>
      <c r="H346" s="2822" t="s">
        <v>3223</v>
      </c>
      <c r="I346" s="2823"/>
      <c r="J346" s="2823"/>
      <c r="K346" s="2823"/>
      <c r="L346" s="2823"/>
      <c r="M346" s="2824"/>
    </row>
    <row r="347" spans="2:15" ht="15.75" hidden="1">
      <c r="D347" s="395"/>
      <c r="E347" s="18"/>
      <c r="F347" s="18"/>
      <c r="G347" s="2822" t="s">
        <v>3224</v>
      </c>
      <c r="H347" s="2822" t="s">
        <v>3225</v>
      </c>
      <c r="I347" s="2823"/>
      <c r="J347" s="2823"/>
      <c r="K347" s="2823"/>
      <c r="L347" s="2823"/>
      <c r="M347" s="2824"/>
    </row>
    <row r="348" spans="2:15" hidden="1">
      <c r="D348" s="1105"/>
      <c r="G348" s="2822" t="s">
        <v>3226</v>
      </c>
      <c r="H348" s="2822" t="s">
        <v>3227</v>
      </c>
      <c r="I348" s="2822"/>
      <c r="J348" s="2823"/>
      <c r="K348" s="2823"/>
      <c r="L348" s="2823"/>
      <c r="M348" s="2824"/>
    </row>
    <row r="349" spans="2:15">
      <c r="D349" s="1105"/>
    </row>
    <row r="350" spans="2:15" ht="15.75">
      <c r="D350" s="393">
        <v>3.3</v>
      </c>
      <c r="E350" s="395" t="s">
        <v>2757</v>
      </c>
      <c r="F350" s="400"/>
      <c r="J350" s="1105" t="str">
        <f>IF(OR(F352=0,AND(J351=0,O351=0)),$L$3,"")</f>
        <v/>
      </c>
    </row>
    <row r="351" spans="2:15" ht="24.6" customHeight="1" thickBot="1">
      <c r="D351" s="395"/>
      <c r="E351" s="28"/>
      <c r="F351" s="2843" t="s">
        <v>2613</v>
      </c>
      <c r="G351" s="2688"/>
      <c r="H351" s="2689"/>
      <c r="I351" s="2842" t="s">
        <v>2629</v>
      </c>
      <c r="J351" s="2848">
        <f>Weight!M44</f>
        <v>0.15</v>
      </c>
      <c r="K351" s="2764"/>
      <c r="L351" s="2766"/>
      <c r="M351" s="4018" t="s">
        <v>2615</v>
      </c>
      <c r="N351" s="4019"/>
      <c r="O351" s="2847">
        <f>Weight!N44</f>
        <v>0</v>
      </c>
    </row>
    <row r="352" spans="2:15" ht="27" customHeight="1" thickBot="1">
      <c r="D352" s="395"/>
      <c r="E352" s="28"/>
      <c r="F352" s="2693">
        <v>3</v>
      </c>
      <c r="G352" s="2767" t="s">
        <v>4113</v>
      </c>
      <c r="H352" s="3216"/>
      <c r="I352" s="2760" t="s">
        <v>1674</v>
      </c>
      <c r="J352" s="3217" t="s">
        <v>4083</v>
      </c>
      <c r="K352" s="2825" t="s">
        <v>1678</v>
      </c>
      <c r="L352" s="2826" t="s">
        <v>2433</v>
      </c>
      <c r="M352" s="2693">
        <v>3</v>
      </c>
      <c r="N352" s="2753" t="s">
        <v>1677</v>
      </c>
      <c r="O352" s="2797" t="s">
        <v>2860</v>
      </c>
    </row>
    <row r="353" spans="2:15" ht="22.5" customHeight="1">
      <c r="B353" s="2014">
        <v>1</v>
      </c>
      <c r="C353" s="2014">
        <v>1</v>
      </c>
      <c r="D353" s="395"/>
      <c r="E353" s="28"/>
      <c r="F353" s="2699" t="str">
        <f>IF(F352=$F$7,$G$2,IF(ROUNDDOWN(F352,0)=$F$2,$H$2,$G$2))</f>
        <v>　Level 1</v>
      </c>
      <c r="G353" s="2626" t="s">
        <v>2528</v>
      </c>
      <c r="H353" s="2658"/>
      <c r="I353" s="2659" t="s">
        <v>2758</v>
      </c>
      <c r="J353" s="2623" t="s">
        <v>2759</v>
      </c>
      <c r="K353" s="2659" t="s">
        <v>2760</v>
      </c>
      <c r="L353" s="2659" t="s">
        <v>2760</v>
      </c>
      <c r="M353" s="2699" t="str">
        <f>IF(M352=$F$7,$G$2,IF(ROUNDDOWN(M352,0)=$F$2,$H$2,$G$2))</f>
        <v>　Level 1</v>
      </c>
      <c r="N353" s="2629" t="s">
        <v>2759</v>
      </c>
      <c r="O353" s="2664" t="s">
        <v>2760</v>
      </c>
    </row>
    <row r="354" spans="2:15" ht="32.25" customHeight="1">
      <c r="B354" s="2014">
        <v>2</v>
      </c>
      <c r="C354" s="2014" t="s">
        <v>49</v>
      </c>
      <c r="D354" s="395"/>
      <c r="E354" s="28"/>
      <c r="F354" s="2702" t="str">
        <f>IF(F352=$F$7,$G$3,IF(ROUNDDOWN(F352,0)=$F$3,$H$3,$G$3))</f>
        <v>　Level 2</v>
      </c>
      <c r="G354" s="3927" t="s">
        <v>2761</v>
      </c>
      <c r="H354" s="3936"/>
      <c r="I354" s="2660" t="s">
        <v>2762</v>
      </c>
      <c r="J354" s="2660" t="s">
        <v>2528</v>
      </c>
      <c r="K354" s="2660" t="s">
        <v>2528</v>
      </c>
      <c r="L354" s="2660" t="s">
        <v>2528</v>
      </c>
      <c r="M354" s="2702" t="str">
        <f>IF(M352=$F$7,$G$3,IF(ROUNDDOWN(M352,0)=$F$3,$H$3,$G$3))</f>
        <v>　Level 2</v>
      </c>
      <c r="N354" s="2660" t="s">
        <v>2528</v>
      </c>
      <c r="O354" s="2660" t="s">
        <v>2528</v>
      </c>
    </row>
    <row r="355" spans="2:15" ht="91.5" customHeight="1">
      <c r="B355" s="2014">
        <v>3</v>
      </c>
      <c r="C355" s="2014">
        <v>3</v>
      </c>
      <c r="D355" s="395"/>
      <c r="E355" s="28"/>
      <c r="F355" s="2702" t="str">
        <f>IF(F352=$F$7,$G$4,IF(ROUNDDOWN(F352,0)=$F$4,$H$4,$G$4))</f>
        <v>■Level 3</v>
      </c>
      <c r="G355" s="2627" t="s">
        <v>2763</v>
      </c>
      <c r="H355" s="2661"/>
      <c r="I355" s="2662" t="s">
        <v>2764</v>
      </c>
      <c r="J355" s="2631" t="s">
        <v>2765</v>
      </c>
      <c r="K355" s="2662" t="s">
        <v>2766</v>
      </c>
      <c r="L355" s="2662" t="s">
        <v>2766</v>
      </c>
      <c r="M355" s="2702" t="str">
        <f>IF(M352=$F$7,$G$4,IF(ROUNDDOWN(M352,0)=$F$4,$H$4,$G$4))</f>
        <v>■Level 3</v>
      </c>
      <c r="N355" s="2631" t="s">
        <v>2772</v>
      </c>
      <c r="O355" s="2635" t="s">
        <v>2766</v>
      </c>
    </row>
    <row r="356" spans="2:15" ht="99.75" customHeight="1">
      <c r="B356" s="2014">
        <v>4</v>
      </c>
      <c r="C356" s="2014">
        <v>4</v>
      </c>
      <c r="D356" s="395"/>
      <c r="E356" s="28"/>
      <c r="F356" s="2702" t="str">
        <f>IF(F352=$F$7,$G$5,IF(ROUNDDOWN(F352,0)=$F$5,$H$5,$G$5))</f>
        <v>　Level 4</v>
      </c>
      <c r="G356" s="2627" t="s">
        <v>2767</v>
      </c>
      <c r="H356" s="2661"/>
      <c r="I356" s="2660" t="s">
        <v>2768</v>
      </c>
      <c r="J356" s="2624" t="s">
        <v>2769</v>
      </c>
      <c r="K356" s="2660" t="s">
        <v>2528</v>
      </c>
      <c r="L356" s="2660" t="s">
        <v>2770</v>
      </c>
      <c r="M356" s="2702" t="str">
        <f>IF(M352=$F$7,$G$5,IF(ROUNDDOWN(M352,0)=$F$5,$H$5,$G$5))</f>
        <v>　Level 4</v>
      </c>
      <c r="N356" s="2631" t="s">
        <v>2773</v>
      </c>
      <c r="O356" s="2660" t="s">
        <v>2528</v>
      </c>
    </row>
    <row r="357" spans="2:15" ht="208.9" customHeight="1">
      <c r="B357" s="2014">
        <v>5</v>
      </c>
      <c r="C357" s="2014">
        <v>5</v>
      </c>
      <c r="D357" s="395"/>
      <c r="E357" s="28"/>
      <c r="F357" s="2704" t="str">
        <f>IF(F352=$F$7,$G$6,IF(ROUNDDOWN(F352,0)=$F$6,$H$6,$G$6))</f>
        <v>　Level 5</v>
      </c>
      <c r="G357" s="3930" t="s">
        <v>2771</v>
      </c>
      <c r="H357" s="3934"/>
      <c r="I357" s="2663" t="s">
        <v>2762</v>
      </c>
      <c r="J357" s="2663" t="s">
        <v>2762</v>
      </c>
      <c r="K357" s="2663" t="s">
        <v>2762</v>
      </c>
      <c r="L357" s="2663" t="s">
        <v>2762</v>
      </c>
      <c r="M357" s="2704" t="str">
        <f>IF(M352=$F$7,$G$6,IF(ROUNDDOWN(M352,0)=$F$6,$H$6,$G$6))</f>
        <v>　Level 5</v>
      </c>
      <c r="N357" s="2663" t="s">
        <v>2528</v>
      </c>
      <c r="O357" s="2665" t="s">
        <v>2774</v>
      </c>
    </row>
    <row r="358" spans="2:15" ht="15.75" hidden="1">
      <c r="B358" s="2850">
        <v>0</v>
      </c>
      <c r="C358" s="2850">
        <v>0</v>
      </c>
      <c r="D358" s="395"/>
      <c r="E358" s="18"/>
      <c r="F358" s="18"/>
      <c r="G358" s="2827"/>
      <c r="H358" s="2827"/>
      <c r="I358" s="2827"/>
      <c r="J358" s="2827"/>
      <c r="K358" s="1668"/>
      <c r="L358" s="1668"/>
      <c r="M358" s="1668"/>
      <c r="N358" s="1668"/>
      <c r="O358" s="1668"/>
    </row>
    <row r="359" spans="2:15" ht="15.75" hidden="1">
      <c r="D359" s="395"/>
      <c r="E359" s="18"/>
      <c r="F359" s="400" t="s">
        <v>699</v>
      </c>
      <c r="G359" s="2828"/>
      <c r="H359" s="2829"/>
      <c r="I359" s="2830" t="s">
        <v>2629</v>
      </c>
      <c r="J359" s="2691">
        <f>Weight!M46</f>
        <v>0</v>
      </c>
      <c r="K359" s="2586"/>
      <c r="L359" s="2828"/>
      <c r="M359" s="2829"/>
      <c r="N359" s="2830" t="s">
        <v>2629</v>
      </c>
      <c r="O359" s="2691">
        <f>Weight!N46</f>
        <v>0</v>
      </c>
    </row>
    <row r="360" spans="2:15" ht="15.75" hidden="1">
      <c r="D360" s="395"/>
      <c r="E360" s="18"/>
      <c r="F360" s="3974">
        <v>3</v>
      </c>
      <c r="G360" s="2831" t="s">
        <v>2613</v>
      </c>
      <c r="H360" s="2689"/>
      <c r="I360" s="2689"/>
      <c r="J360" s="2831"/>
      <c r="K360" s="3974">
        <v>3</v>
      </c>
      <c r="L360" s="2774" t="s">
        <v>2615</v>
      </c>
      <c r="M360" s="2697"/>
      <c r="N360" s="2697"/>
      <c r="O360" s="2698"/>
    </row>
    <row r="361" spans="2:15" ht="16.5" hidden="1" thickBot="1">
      <c r="D361" s="395"/>
      <c r="E361" s="18"/>
      <c r="F361" s="3975"/>
      <c r="G361" s="2753" t="s">
        <v>4114</v>
      </c>
      <c r="H361" s="2698"/>
      <c r="I361" s="2753"/>
      <c r="J361" s="2760"/>
      <c r="K361" s="3975"/>
      <c r="L361" s="2753" t="s">
        <v>1677</v>
      </c>
      <c r="M361" s="2698"/>
      <c r="N361" s="2753"/>
      <c r="O361" s="2760"/>
    </row>
    <row r="362" spans="2:15" ht="15.75" hidden="1" customHeight="1">
      <c r="D362" s="395"/>
      <c r="E362" s="18"/>
      <c r="F362" s="2832" t="str">
        <f>IF(F360=$F$7,$G$2,IF(ROUNDDOWN(F360,0)=$F$2,$H$2,$G$2))</f>
        <v>　Level 1</v>
      </c>
      <c r="G362" s="3948" t="s">
        <v>3228</v>
      </c>
      <c r="H362" s="3949"/>
      <c r="I362" s="3949"/>
      <c r="J362" s="3950"/>
      <c r="K362" s="2699" t="str">
        <f>IF(K360=$F$7,$G$2,IF(ROUNDDOWN(K360,0)=$F$2,$H$2,$G$2))</f>
        <v>　Level 1</v>
      </c>
      <c r="L362" s="3948" t="s">
        <v>3228</v>
      </c>
      <c r="M362" s="3949"/>
      <c r="N362" s="3949"/>
      <c r="O362" s="3950"/>
    </row>
    <row r="363" spans="2:15" ht="15.75" hidden="1" customHeight="1">
      <c r="D363" s="395"/>
      <c r="E363" s="18"/>
      <c r="F363" s="2833" t="str">
        <f>IF(F360=$F$7,$G$3,IF(ROUNDDOWN(F360,0)=$F$3,$H$3,$G$3))</f>
        <v>　Level 2</v>
      </c>
      <c r="G363" s="3945" t="s">
        <v>3229</v>
      </c>
      <c r="H363" s="3946"/>
      <c r="I363" s="3946"/>
      <c r="J363" s="3947"/>
      <c r="K363" s="2702" t="str">
        <f>IF(K360=$F$7,$G$3,IF(ROUNDDOWN(K360,0)=$F$3,$H$3,$G$3))</f>
        <v>　Level 2</v>
      </c>
      <c r="L363" s="3945" t="s">
        <v>3229</v>
      </c>
      <c r="M363" s="3946"/>
      <c r="N363" s="3946"/>
      <c r="O363" s="3947"/>
    </row>
    <row r="364" spans="2:15" ht="15.75" hidden="1" customHeight="1">
      <c r="D364" s="395"/>
      <c r="E364" s="18"/>
      <c r="F364" s="2833" t="str">
        <f>IF(F360=$F$7,$G$4,IF(ROUNDDOWN(F360,0)=$F$4,$H$4,$G$4))</f>
        <v>■Level 3</v>
      </c>
      <c r="G364" s="3945" t="s">
        <v>3230</v>
      </c>
      <c r="H364" s="3946"/>
      <c r="I364" s="3946"/>
      <c r="J364" s="3947"/>
      <c r="K364" s="2702" t="str">
        <f>IF(K360=$F$7,$G$4,IF(ROUNDDOWN(K360,0)=$F$4,$H$4,$G$4))</f>
        <v>■Level 3</v>
      </c>
      <c r="L364" s="3945" t="s">
        <v>3230</v>
      </c>
      <c r="M364" s="3946"/>
      <c r="N364" s="3946"/>
      <c r="O364" s="3947"/>
    </row>
    <row r="365" spans="2:15" ht="15.75" hidden="1">
      <c r="D365" s="395"/>
      <c r="E365" s="18"/>
      <c r="F365" s="2833" t="str">
        <f>IF(F360=$F$7,$G$5,IF(ROUNDDOWN(F360,0)=$F$5,$H$5,$G$5))</f>
        <v>　Level 4</v>
      </c>
      <c r="G365" s="3945" t="s">
        <v>3231</v>
      </c>
      <c r="H365" s="3946"/>
      <c r="I365" s="3946"/>
      <c r="J365" s="3947"/>
      <c r="K365" s="2702" t="str">
        <f>IF(K360=$F$7,$G$5,IF(ROUNDDOWN(K360,0)=$F$5,$H$5,$G$5))</f>
        <v>　Level 4</v>
      </c>
      <c r="L365" s="3945" t="s">
        <v>3231</v>
      </c>
      <c r="M365" s="3946"/>
      <c r="N365" s="3946"/>
      <c r="O365" s="3947"/>
    </row>
    <row r="366" spans="2:15" ht="15.75" hidden="1" customHeight="1">
      <c r="D366" s="395"/>
      <c r="E366" s="18"/>
      <c r="F366" s="2834" t="str">
        <f>IF(F360=$F$7,$G$6,IF(ROUNDDOWN(F360,0)=$F$6,$H$6,$G$6))</f>
        <v>　Level 5</v>
      </c>
      <c r="G366" s="3940" t="s">
        <v>3232</v>
      </c>
      <c r="H366" s="3941"/>
      <c r="I366" s="3941"/>
      <c r="J366" s="3942"/>
      <c r="K366" s="2704" t="str">
        <f>IF(K360=$F$7,$G$6,IF(ROUNDDOWN(K360,0)=$F$6,$H$6,$G$6))</f>
        <v>　Level 5</v>
      </c>
      <c r="L366" s="3940" t="s">
        <v>3232</v>
      </c>
      <c r="M366" s="3941"/>
      <c r="N366" s="3941"/>
      <c r="O366" s="3942"/>
    </row>
    <row r="367" spans="2:15" ht="15.75">
      <c r="D367" s="395"/>
      <c r="E367" s="18"/>
      <c r="F367" s="2067" t="s">
        <v>3045</v>
      </c>
      <c r="G367" s="2708"/>
      <c r="H367" s="2759"/>
      <c r="I367" s="2709"/>
      <c r="J367" s="2710"/>
      <c r="K367" s="2711"/>
    </row>
    <row r="368" spans="2:15" ht="15.75">
      <c r="D368" s="395"/>
      <c r="E368" s="18"/>
      <c r="F368" s="18"/>
    </row>
    <row r="369" spans="2:15" ht="15.75">
      <c r="D369" s="393">
        <v>3.4</v>
      </c>
      <c r="E369" s="13" t="s">
        <v>2775</v>
      </c>
      <c r="F369" s="396"/>
      <c r="J369" s="1105" t="str">
        <f>IF(OR(F371=0,AND(J370=0,O370=0)),$L$3,"")</f>
        <v/>
      </c>
    </row>
    <row r="370" spans="2:15" ht="24.6" customHeight="1" thickBot="1">
      <c r="D370" s="395"/>
      <c r="E370" s="1529"/>
      <c r="F370" s="2843" t="s">
        <v>2613</v>
      </c>
      <c r="G370" s="2688"/>
      <c r="H370" s="2689"/>
      <c r="I370" s="2842" t="s">
        <v>2629</v>
      </c>
      <c r="J370" s="2845">
        <f>Weight!M47</f>
        <v>0.25</v>
      </c>
      <c r="K370" s="2843" t="s">
        <v>2615</v>
      </c>
      <c r="L370" s="2688"/>
      <c r="M370" s="2689"/>
      <c r="N370" s="2842" t="s">
        <v>2629</v>
      </c>
      <c r="O370" s="2845">
        <f>Weight!N47</f>
        <v>0</v>
      </c>
    </row>
    <row r="371" spans="2:15" ht="24.75" thickBot="1">
      <c r="D371" s="395"/>
      <c r="E371" s="1529"/>
      <c r="F371" s="2693">
        <v>3</v>
      </c>
      <c r="G371" s="2767" t="s">
        <v>4115</v>
      </c>
      <c r="H371" s="2835"/>
      <c r="I371" s="3192" t="s">
        <v>4030</v>
      </c>
      <c r="J371" s="2836" t="s">
        <v>3272</v>
      </c>
      <c r="K371" s="2693">
        <v>3</v>
      </c>
      <c r="L371" s="2753" t="s">
        <v>1677</v>
      </c>
      <c r="M371" s="2698"/>
      <c r="N371" s="2753" t="s">
        <v>2860</v>
      </c>
      <c r="O371" s="2760"/>
    </row>
    <row r="372" spans="2:15" ht="15.75" hidden="1" customHeight="1">
      <c r="B372" s="2014">
        <v>1</v>
      </c>
      <c r="C372" s="2014">
        <v>1</v>
      </c>
      <c r="D372" s="395"/>
      <c r="E372" s="1529"/>
      <c r="F372" s="2775"/>
      <c r="G372" s="2753" t="s">
        <v>3111</v>
      </c>
      <c r="H372" s="2697"/>
      <c r="I372" s="2717"/>
      <c r="J372" s="2786" t="s">
        <v>4090</v>
      </c>
      <c r="K372" s="2775"/>
      <c r="L372" s="2697" t="s">
        <v>3111</v>
      </c>
      <c r="M372" s="2697"/>
      <c r="N372" s="2697"/>
      <c r="O372" s="2698"/>
    </row>
    <row r="373" spans="2:15" ht="36.75" hidden="1" customHeight="1">
      <c r="B373" s="2014" t="s">
        <v>697</v>
      </c>
      <c r="C373" s="2014" t="s">
        <v>49</v>
      </c>
      <c r="D373" s="395"/>
      <c r="E373" s="1529"/>
      <c r="F373" s="2702" t="str">
        <f>IF(F371=$F$7,$G$2,IF(AND($O$9=$O$3,ROUNDDOWN(F371,0)=$F$2),$H$2,$G$2))</f>
        <v>　Level 1</v>
      </c>
      <c r="G373" s="3948" t="s">
        <v>3233</v>
      </c>
      <c r="H373" s="3949"/>
      <c r="I373" s="2720" t="s">
        <v>4060</v>
      </c>
      <c r="J373" s="2787"/>
      <c r="K373" s="2702" t="str">
        <f>IF(K371=$F$7,$G$2,IF(AND($O$9=$O$3,ROUNDDOWN(K371,0)=$F$2),$H$2,$G$2))</f>
        <v>　Level 1</v>
      </c>
      <c r="L373" s="3948" t="s">
        <v>3234</v>
      </c>
      <c r="M373" s="3950"/>
      <c r="N373" s="3948" t="s">
        <v>3234</v>
      </c>
      <c r="O373" s="3976"/>
    </row>
    <row r="374" spans="2:15" ht="15.75" hidden="1" customHeight="1">
      <c r="B374" s="2014">
        <v>3</v>
      </c>
      <c r="C374" s="2014">
        <v>3</v>
      </c>
      <c r="D374" s="395"/>
      <c r="E374" s="1529"/>
      <c r="F374" s="2702" t="str">
        <f>IF(F371=$F$7,$G$3,IF(AND($O$9=$O$3,ROUNDDOWN(F371,0)=$F$3),$H$3,$G$3))</f>
        <v>　Level 2</v>
      </c>
      <c r="G374" s="3808" t="s">
        <v>3135</v>
      </c>
      <c r="H374" s="3809"/>
      <c r="I374" s="2721" t="s">
        <v>3135</v>
      </c>
      <c r="J374" s="2787"/>
      <c r="K374" s="2702" t="str">
        <f>IF(K371=$F$7,$G$3,IF(AND($O$9=$O$3,ROUNDDOWN(K371,0)=$F$3),$H$3,$G$3))</f>
        <v>　Level 2</v>
      </c>
      <c r="L374" s="3808" t="s">
        <v>3135</v>
      </c>
      <c r="M374" s="3944"/>
      <c r="N374" s="3808" t="s">
        <v>3135</v>
      </c>
      <c r="O374" s="3944"/>
    </row>
    <row r="375" spans="2:15" ht="42" hidden="1" customHeight="1">
      <c r="B375" s="2014" t="s">
        <v>697</v>
      </c>
      <c r="C375" s="2014" t="s">
        <v>697</v>
      </c>
      <c r="D375" s="395"/>
      <c r="E375" s="1529"/>
      <c r="F375" s="2702" t="str">
        <f>IF(F371=$F$7,$G$4,IF(AND($O$9=$O$3,ROUNDDOWN(F371,0)=$F$4),$H$4,$G$4))</f>
        <v>　Level 3</v>
      </c>
      <c r="G375" s="3808" t="s">
        <v>3235</v>
      </c>
      <c r="H375" s="3809"/>
      <c r="I375" s="2721" t="s">
        <v>4061</v>
      </c>
      <c r="J375" s="2787"/>
      <c r="K375" s="2702" t="str">
        <f>IF(K371=$F$7,$G$4,IF(AND($O$9=$O$3,ROUNDDOWN(K371,0)=$F$4),$H$4,$G$4))</f>
        <v>　Level 3</v>
      </c>
      <c r="L375" s="3808" t="s">
        <v>3236</v>
      </c>
      <c r="M375" s="3944"/>
      <c r="N375" s="3808" t="s">
        <v>3237</v>
      </c>
      <c r="O375" s="3944"/>
    </row>
    <row r="376" spans="2:15" ht="15.75" hidden="1" customHeight="1">
      <c r="B376" s="2014">
        <v>5</v>
      </c>
      <c r="C376" s="2014">
        <v>5</v>
      </c>
      <c r="D376" s="395"/>
      <c r="E376" s="1529"/>
      <c r="F376" s="2702" t="str">
        <f>IF(F371=$F$7,$G$5,IF(AND($O$9=$O$3,ROUNDDOWN(F371,0)=$F$5),$H$5,$G$5))</f>
        <v>　Level 4</v>
      </c>
      <c r="G376" s="3808" t="s">
        <v>3135</v>
      </c>
      <c r="H376" s="3809"/>
      <c r="I376" s="2721" t="s">
        <v>3135</v>
      </c>
      <c r="J376" s="2788"/>
      <c r="K376" s="2702" t="str">
        <f>IF(K371=$F$7,$G$5,IF(AND($O$9=$O$3,ROUNDDOWN(K371,0)=$F$5),$H$5,$G$5))</f>
        <v>　Level 4</v>
      </c>
      <c r="L376" s="3808" t="s">
        <v>3135</v>
      </c>
      <c r="M376" s="3944"/>
      <c r="N376" s="3808" t="s">
        <v>3135</v>
      </c>
      <c r="O376" s="3944"/>
    </row>
    <row r="377" spans="2:15" ht="45" hidden="1" customHeight="1">
      <c r="B377" s="2850">
        <v>0</v>
      </c>
      <c r="C377" s="2850">
        <v>0</v>
      </c>
      <c r="D377" s="395"/>
      <c r="E377" s="1529"/>
      <c r="F377" s="2704" t="str">
        <f>IF(F371=$F$7,$G$6,IF(AND($O$9=$O$3,ROUNDDOWN(F371,0)=$F$6),$H$6,$G$6))</f>
        <v>　Level 5</v>
      </c>
      <c r="G377" s="3937" t="s">
        <v>3238</v>
      </c>
      <c r="H377" s="3973"/>
      <c r="I377" s="2722" t="s">
        <v>3239</v>
      </c>
      <c r="J377" s="2796"/>
      <c r="K377" s="2704" t="str">
        <f>IF(K371=$F$7,$G$6,IF(AND($O$9=$O$3,ROUNDDOWN(K371,0)=$F$6),$H$6,$G$6))</f>
        <v>　Level 5</v>
      </c>
      <c r="L377" s="3937" t="s">
        <v>3240</v>
      </c>
      <c r="M377" s="3939"/>
      <c r="N377" s="3937" t="s">
        <v>3241</v>
      </c>
      <c r="O377" s="3939"/>
    </row>
    <row r="378" spans="2:15" ht="15.75" hidden="1" customHeight="1">
      <c r="D378" s="395"/>
      <c r="E378" s="1529"/>
      <c r="F378" s="2757"/>
      <c r="G378" s="2753" t="s">
        <v>4124</v>
      </c>
      <c r="H378" s="2698"/>
      <c r="I378" s="2837"/>
      <c r="J378" s="2838"/>
      <c r="K378" s="2757"/>
      <c r="L378" s="2765" t="s">
        <v>4124</v>
      </c>
      <c r="M378" s="2765"/>
      <c r="N378" s="2753"/>
      <c r="O378" s="2698"/>
    </row>
    <row r="379" spans="2:15" ht="105" customHeight="1">
      <c r="D379" s="395"/>
      <c r="E379" s="1529"/>
      <c r="F379" s="2758" t="str">
        <f>IF(F371=$F$7,$G$2,IF(AND($O$9&lt;&gt;$O$3,ROUNDDOWN(F371,0)=$F$2),$H$2,$G$2))</f>
        <v>　Level 1</v>
      </c>
      <c r="G379" s="3967" t="s">
        <v>2776</v>
      </c>
      <c r="H379" s="3968"/>
      <c r="I379" s="2623" t="s">
        <v>2777</v>
      </c>
      <c r="J379" s="3965" t="s">
        <v>2828</v>
      </c>
      <c r="K379" s="2758" t="str">
        <f>IF(K371=$F$7,$G$2,IF(AND($O$9&lt;&gt;$O$3,ROUNDDOWN(K371,0)=$F$2),$H$2,$G$2))</f>
        <v>　Level 1</v>
      </c>
      <c r="L379" s="3967" t="s">
        <v>2781</v>
      </c>
      <c r="M379" s="3969"/>
      <c r="N379" s="3967" t="s">
        <v>2781</v>
      </c>
      <c r="O379" s="3969"/>
    </row>
    <row r="380" spans="2:15" ht="23.25" customHeight="1">
      <c r="D380" s="395"/>
      <c r="E380" s="1529"/>
      <c r="F380" s="2702" t="str">
        <f>IF(F371=$F$7,$G$3,IF(AND($O$9&lt;&gt;$O$3,ROUNDDOWN(F371,0)=$F$3),$H$3,$G$3))</f>
        <v>　Level 2</v>
      </c>
      <c r="G380" s="3970" t="s">
        <v>2528</v>
      </c>
      <c r="H380" s="3971"/>
      <c r="I380" s="3972"/>
      <c r="J380" s="3966"/>
      <c r="K380" s="2702" t="str">
        <f>IF(K371=$F$7,$G$3,IF(AND($O$9&lt;&gt;$O$3,ROUNDDOWN(K371,0)=$F$3),$H$3,$G$3))</f>
        <v>　Level 2</v>
      </c>
      <c r="L380" s="3970" t="s">
        <v>2528</v>
      </c>
      <c r="M380" s="3971"/>
      <c r="N380" s="3971"/>
      <c r="O380" s="3972"/>
    </row>
    <row r="381" spans="2:15" ht="165" customHeight="1">
      <c r="D381" s="395"/>
      <c r="E381" s="1529"/>
      <c r="F381" s="2702" t="str">
        <f>IF(F371=$F$7,$G$4,IF(AND($O$9&lt;&gt;$O$3,ROUNDDOWN(F371,0)=$F$4),$H$4,$G$4))</f>
        <v>■Level 3</v>
      </c>
      <c r="G381" s="3927" t="s">
        <v>2778</v>
      </c>
      <c r="H381" s="3929"/>
      <c r="I381" s="2624" t="s">
        <v>2779</v>
      </c>
      <c r="J381" s="3966"/>
      <c r="K381" s="2702" t="str">
        <f>IF(K371=$F$7,$G$4,IF(AND($O$9&lt;&gt;$O$3,ROUNDDOWN(K371,0)=$F$4),$H$4,$G$4))</f>
        <v>■Level 3</v>
      </c>
      <c r="L381" s="3927" t="s">
        <v>2782</v>
      </c>
      <c r="M381" s="3929"/>
      <c r="N381" s="3927" t="s">
        <v>2783</v>
      </c>
      <c r="O381" s="3929"/>
    </row>
    <row r="382" spans="2:15" ht="15.75" customHeight="1">
      <c r="D382" s="395"/>
      <c r="E382" s="1529"/>
      <c r="F382" s="2702" t="str">
        <f>IF(F371=$F$7,$G$5,IF(AND($O$9&lt;&gt;$O$3,ROUNDDOWN(F371,0)=$F$5),$H$5,$G$5))</f>
        <v>　Level 4</v>
      </c>
      <c r="G382" s="3970" t="s">
        <v>2528</v>
      </c>
      <c r="H382" s="3971"/>
      <c r="I382" s="3972"/>
      <c r="J382" s="3966"/>
      <c r="K382" s="2702" t="str">
        <f>IF(K371=$F$7,$G$5,IF(AND($O$9&lt;&gt;$O$3,ROUNDDOWN(K371,0)=$F$5),$H$5,$G$5))</f>
        <v>　Level 4</v>
      </c>
      <c r="L382" s="3970" t="s">
        <v>2528</v>
      </c>
      <c r="M382" s="3971"/>
      <c r="N382" s="3971"/>
      <c r="O382" s="3972"/>
    </row>
    <row r="383" spans="2:15" ht="90" customHeight="1">
      <c r="D383" s="395"/>
      <c r="E383" s="1529"/>
      <c r="F383" s="2704" t="str">
        <f>IF(F371=$F$7,$G$6,IF(AND($O$9&lt;&gt;$O$3,ROUNDDOWN(F371,0)=$F$6),$H$6,$G$6))</f>
        <v>　Level 5</v>
      </c>
      <c r="G383" s="3930" t="s">
        <v>5011</v>
      </c>
      <c r="H383" s="3932"/>
      <c r="I383" s="2625" t="s">
        <v>2780</v>
      </c>
      <c r="J383" s="2788"/>
      <c r="K383" s="2704" t="str">
        <f>IF(K371=$F$7,$G$6,IF(AND($O$9&lt;&gt;$O$3,ROUNDDOWN(K371,0)=$F$6),$H$6,$G$6))</f>
        <v>　Level 5</v>
      </c>
      <c r="L383" s="3930" t="s">
        <v>2784</v>
      </c>
      <c r="M383" s="3932"/>
      <c r="N383" s="3930" t="s">
        <v>2785</v>
      </c>
      <c r="O383" s="3932"/>
    </row>
    <row r="384" spans="2:15" ht="15.75">
      <c r="D384" s="395"/>
      <c r="E384" s="18"/>
      <c r="F384" s="2067" t="s">
        <v>3045</v>
      </c>
      <c r="G384" s="2708"/>
      <c r="H384" s="2759"/>
      <c r="I384" s="2709"/>
      <c r="J384" s="2710"/>
      <c r="K384" s="2711"/>
    </row>
    <row r="385" spans="2:15" ht="15.75">
      <c r="D385" s="395"/>
      <c r="E385" s="18"/>
      <c r="F385" s="18"/>
    </row>
    <row r="386" spans="2:15" ht="15.75">
      <c r="D386" s="393">
        <v>4</v>
      </c>
      <c r="E386" s="395" t="s">
        <v>2786</v>
      </c>
      <c r="F386" s="395"/>
    </row>
    <row r="387" spans="2:15" ht="15.75">
      <c r="D387" s="393">
        <v>4.0999999999999996</v>
      </c>
      <c r="E387" s="395" t="s">
        <v>2787</v>
      </c>
      <c r="F387" s="9"/>
    </row>
    <row r="388" spans="2:15" ht="15.75">
      <c r="D388" s="395"/>
      <c r="E388" s="28"/>
      <c r="F388" s="396" t="s">
        <v>2788</v>
      </c>
      <c r="J388" s="1105" t="str">
        <f>IF(OR(F390=0,AND(J389=0,O389=0)),$L$3,"")</f>
        <v/>
      </c>
    </row>
    <row r="389" spans="2:15" ht="24.6" customHeight="1" thickBot="1">
      <c r="D389" s="395"/>
      <c r="E389" s="28"/>
      <c r="F389" s="2843" t="s">
        <v>2613</v>
      </c>
      <c r="G389" s="2688"/>
      <c r="H389" s="2689"/>
      <c r="I389" s="2842" t="s">
        <v>2629</v>
      </c>
      <c r="J389" s="2845">
        <f>Weight!M50</f>
        <v>1</v>
      </c>
      <c r="K389" s="2843" t="s">
        <v>2615</v>
      </c>
      <c r="L389" s="2688"/>
      <c r="M389" s="2689"/>
      <c r="N389" s="2842" t="s">
        <v>2629</v>
      </c>
      <c r="O389" s="2845">
        <f>Weight!N50</f>
        <v>0</v>
      </c>
    </row>
    <row r="390" spans="2:15" ht="27" customHeight="1" thickBot="1">
      <c r="D390" s="395"/>
      <c r="E390" s="28"/>
      <c r="F390" s="2656">
        <v>3</v>
      </c>
      <c r="G390" s="2767" t="s">
        <v>2619</v>
      </c>
      <c r="H390" s="3216"/>
      <c r="I390" s="2666" t="s">
        <v>2789</v>
      </c>
      <c r="J390" s="2839"/>
      <c r="K390" s="2656">
        <v>3</v>
      </c>
      <c r="L390" s="2753" t="s">
        <v>2522</v>
      </c>
      <c r="M390" s="2698"/>
      <c r="N390" s="2753"/>
      <c r="O390" s="2760"/>
    </row>
    <row r="391" spans="2:15" ht="19.5" customHeight="1">
      <c r="B391" s="2014" t="s">
        <v>512</v>
      </c>
      <c r="C391" s="2014" t="s">
        <v>512</v>
      </c>
      <c r="D391" s="395"/>
      <c r="E391" s="28"/>
      <c r="F391" s="2699" t="str">
        <f>IF(F390=$F$7,$G$2,IF(ROUNDDOWN(F390,0)=$F$2,$H$2,$G$2))</f>
        <v>　Level 1</v>
      </c>
      <c r="G391" s="2626" t="s">
        <v>2528</v>
      </c>
      <c r="H391" s="2649"/>
      <c r="I391" s="3960"/>
      <c r="J391" s="3961"/>
      <c r="K391" s="2699" t="str">
        <f>IF(K390=$F$7,$G$2,IF(ROUNDDOWN(K390,0)=$F$2,$H$2,$G$2))</f>
        <v>　Level 1</v>
      </c>
      <c r="L391" s="2627" t="s">
        <v>2528</v>
      </c>
      <c r="M391" s="2667"/>
      <c r="N391" s="2667"/>
      <c r="O391" s="2658"/>
    </row>
    <row r="392" spans="2:15" ht="19.5" customHeight="1">
      <c r="B392" s="2014" t="s">
        <v>512</v>
      </c>
      <c r="C392" s="2014" t="s">
        <v>49</v>
      </c>
      <c r="D392" s="395"/>
      <c r="E392" s="28"/>
      <c r="F392" s="2702" t="str">
        <f>IF(F390=$F$7,$G$3,IF(ROUNDDOWN(F390,0)=$F$3,$H$3,$G$3))</f>
        <v>　Level 2</v>
      </c>
      <c r="G392" s="2627" t="s">
        <v>2528</v>
      </c>
      <c r="H392" s="2649"/>
      <c r="I392" s="3960"/>
      <c r="J392" s="3962"/>
      <c r="K392" s="2702" t="str">
        <f>IF(K390=$F$7,$G$3,IF(ROUNDDOWN(K390,0)=$F$3,$H$3,$G$3))</f>
        <v>　Level 2</v>
      </c>
      <c r="L392" s="2627" t="s">
        <v>2528</v>
      </c>
      <c r="M392" s="2668"/>
      <c r="N392" s="2650"/>
      <c r="O392" s="2649"/>
    </row>
    <row r="393" spans="2:15" ht="27" customHeight="1">
      <c r="B393" s="2014">
        <v>3</v>
      </c>
      <c r="C393" s="2014">
        <v>3</v>
      </c>
      <c r="D393" s="395"/>
      <c r="E393" s="28"/>
      <c r="F393" s="2702" t="str">
        <f>IF(F390=$F$7,$G$4,IF(ROUNDDOWN(F390,0)=$F$4,$H$4,$G$4))</f>
        <v>■Level 3</v>
      </c>
      <c r="G393" s="3927" t="s">
        <v>2790</v>
      </c>
      <c r="H393" s="3936"/>
      <c r="I393" s="3960"/>
      <c r="J393" s="3961"/>
      <c r="K393" s="2702" t="str">
        <f>IF(K390=$F$7,$G$4,IF(ROUNDDOWN(K390,0)=$F$4,$H$4,$G$4))</f>
        <v>■Level 3</v>
      </c>
      <c r="L393" s="2627" t="s">
        <v>2790</v>
      </c>
      <c r="M393" s="2668"/>
      <c r="N393" s="2650"/>
      <c r="O393" s="2649"/>
    </row>
    <row r="394" spans="2:15" ht="135" customHeight="1">
      <c r="B394" s="2014">
        <v>4</v>
      </c>
      <c r="C394" s="2014">
        <v>4</v>
      </c>
      <c r="D394" s="395"/>
      <c r="E394" s="28"/>
      <c r="F394" s="2702" t="str">
        <f>IF(F390=$F$7,$G$5,IF(ROUNDDOWN(F390,0)=$F$5,$H$5,$G$5))</f>
        <v>　Level 4</v>
      </c>
      <c r="G394" s="3927" t="s">
        <v>2791</v>
      </c>
      <c r="H394" s="3929"/>
      <c r="I394" s="3960"/>
      <c r="J394" s="3961"/>
      <c r="K394" s="2702" t="str">
        <f>IF(K390=$F$7,$G$5,IF(ROUNDDOWN(K390,0)=$F$5,$H$5,$G$5))</f>
        <v>　Level 4</v>
      </c>
      <c r="L394" s="3927" t="s">
        <v>2791</v>
      </c>
      <c r="M394" s="3935"/>
      <c r="N394" s="3935"/>
      <c r="O394" s="3936"/>
    </row>
    <row r="395" spans="2:15" ht="169.9" customHeight="1">
      <c r="B395" s="2014">
        <v>5</v>
      </c>
      <c r="C395" s="2014">
        <v>5</v>
      </c>
      <c r="D395" s="395"/>
      <c r="E395" s="28"/>
      <c r="F395" s="2704" t="str">
        <f>IF(F390=$F$7,$G$6,IF(ROUNDDOWN(F390,0)=$F$6,$H$6,$G$6))</f>
        <v>　Level 5</v>
      </c>
      <c r="G395" s="3930" t="s">
        <v>2792</v>
      </c>
      <c r="H395" s="3932"/>
      <c r="I395" s="3963"/>
      <c r="J395" s="3964"/>
      <c r="K395" s="2704" t="str">
        <f>IF(K390=$F$7,$G$6,IF(ROUNDDOWN(K390,0)=$F$6,$H$6,$G$6))</f>
        <v>　Level 5</v>
      </c>
      <c r="L395" s="3930" t="s">
        <v>2792</v>
      </c>
      <c r="M395" s="3933"/>
      <c r="N395" s="3933"/>
      <c r="O395" s="3934"/>
    </row>
    <row r="396" spans="2:15" ht="15.75">
      <c r="B396" s="2850">
        <v>0</v>
      </c>
      <c r="C396" s="2850">
        <v>0</v>
      </c>
      <c r="D396" s="395"/>
      <c r="E396" s="119"/>
      <c r="F396" s="2067" t="s">
        <v>3045</v>
      </c>
      <c r="G396" s="2708"/>
      <c r="H396" s="2759"/>
      <c r="I396" s="2709"/>
      <c r="J396" s="2710"/>
      <c r="K396" s="2711"/>
    </row>
    <row r="397" spans="2:15" ht="15.75">
      <c r="B397" s="2712"/>
      <c r="C397" s="2712"/>
      <c r="D397" s="395"/>
      <c r="E397" s="119"/>
      <c r="F397" s="119"/>
    </row>
    <row r="398" spans="2:15" ht="15.75">
      <c r="D398" s="395"/>
      <c r="E398" s="1173"/>
      <c r="F398" s="396" t="s">
        <v>2793</v>
      </c>
      <c r="J398" s="1105" t="str">
        <f>IF(OR(F400=0,AND(J399=0,O399=0)),$L$3,"")</f>
        <v>&lt;N.A.&gt;</v>
      </c>
    </row>
    <row r="399" spans="2:15" ht="15.75" hidden="1">
      <c r="B399" s="2813" t="s">
        <v>3242</v>
      </c>
      <c r="C399" s="2813"/>
      <c r="D399" s="395"/>
      <c r="E399" s="1173"/>
      <c r="F399" s="2655" t="s">
        <v>2613</v>
      </c>
      <c r="G399" s="2688"/>
      <c r="H399" s="2689"/>
      <c r="I399" s="2690" t="s">
        <v>2629</v>
      </c>
      <c r="J399" s="2692">
        <f>Weight!M51</f>
        <v>0</v>
      </c>
      <c r="K399" s="2655" t="s">
        <v>2615</v>
      </c>
      <c r="L399" s="2688"/>
      <c r="M399" s="2689"/>
      <c r="N399" s="2690" t="s">
        <v>2629</v>
      </c>
      <c r="O399" s="2692">
        <f>Weight!N51</f>
        <v>0</v>
      </c>
    </row>
    <row r="400" spans="2:15" ht="16.5" hidden="1" thickBot="1">
      <c r="D400" s="395"/>
      <c r="E400" s="1173"/>
      <c r="F400" s="2656">
        <v>0</v>
      </c>
      <c r="G400" s="2753" t="s">
        <v>2618</v>
      </c>
      <c r="H400" s="2697"/>
      <c r="I400" s="2797"/>
      <c r="J400" s="2698"/>
      <c r="K400" s="2656">
        <v>0</v>
      </c>
      <c r="L400" s="2753" t="s">
        <v>2522</v>
      </c>
      <c r="M400" s="2698"/>
      <c r="N400" s="2753"/>
      <c r="O400" s="2760"/>
    </row>
    <row r="401" spans="2:15" ht="15.75" hidden="1">
      <c r="B401" s="2014">
        <v>1</v>
      </c>
      <c r="C401" s="2014">
        <v>1</v>
      </c>
      <c r="D401" s="395"/>
      <c r="E401" s="2763"/>
      <c r="F401" s="2699" t="str">
        <f>IF(F400=$F$7,$G$2,IF(ROUNDDOWN(F400,0)=$F$2,$H$2,$G$2))</f>
        <v>　Level 1</v>
      </c>
      <c r="G401" s="3808" t="s">
        <v>3243</v>
      </c>
      <c r="H401" s="3943"/>
      <c r="I401" s="3943"/>
      <c r="J401" s="3944"/>
      <c r="K401" s="2699" t="str">
        <f>IF(K400=$F$7,$G$2,IF(ROUNDDOWN(K400,0)=$F$2,$H$2,$G$2))</f>
        <v>　Level 1</v>
      </c>
      <c r="L401" s="3808" t="s">
        <v>3243</v>
      </c>
      <c r="M401" s="3943"/>
      <c r="N401" s="3943"/>
      <c r="O401" s="3944"/>
    </row>
    <row r="402" spans="2:15" ht="15.75" hidden="1">
      <c r="B402" s="2014">
        <v>2</v>
      </c>
      <c r="C402" s="2014">
        <v>2</v>
      </c>
      <c r="D402" s="395"/>
      <c r="E402" s="2763"/>
      <c r="F402" s="2702" t="str">
        <f>IF(F400=$F$7,$G$3,IF(ROUNDDOWN(F400,0)=$F$3,$H$3,$G$3))</f>
        <v>　Level 2</v>
      </c>
      <c r="G402" s="3808" t="s">
        <v>3244</v>
      </c>
      <c r="H402" s="3943"/>
      <c r="I402" s="3943"/>
      <c r="J402" s="3944"/>
      <c r="K402" s="2702" t="str">
        <f>IF(K400=$F$7,$G$3,IF(ROUNDDOWN(K400,0)=$F$3,$H$3,$G$3))</f>
        <v>　Level 2</v>
      </c>
      <c r="L402" s="3808" t="s">
        <v>3244</v>
      </c>
      <c r="M402" s="3943"/>
      <c r="N402" s="3943"/>
      <c r="O402" s="3944"/>
    </row>
    <row r="403" spans="2:15" ht="15.75" hidden="1">
      <c r="B403" s="2014">
        <v>3</v>
      </c>
      <c r="C403" s="2014">
        <v>3</v>
      </c>
      <c r="D403" s="395"/>
      <c r="E403" s="2763"/>
      <c r="F403" s="2702" t="str">
        <f>IF(F400=$F$7,$G$4,IF(ROUNDDOWN(F400,0)=$F$4,$H$4,$G$4))</f>
        <v>　Level 3</v>
      </c>
      <c r="G403" s="3808" t="s">
        <v>3245</v>
      </c>
      <c r="H403" s="3943"/>
      <c r="I403" s="3943"/>
      <c r="J403" s="3944"/>
      <c r="K403" s="2702" t="str">
        <f>IF(K400=$F$7,$G$4,IF(ROUNDDOWN(K400,0)=$F$4,$H$4,$G$4))</f>
        <v>　Level 3</v>
      </c>
      <c r="L403" s="3808" t="s">
        <v>3245</v>
      </c>
      <c r="M403" s="3809"/>
      <c r="N403" s="3809"/>
      <c r="O403" s="3810"/>
    </row>
    <row r="404" spans="2:15" ht="15.75" hidden="1">
      <c r="B404" s="2014" t="s">
        <v>512</v>
      </c>
      <c r="C404" s="2014" t="s">
        <v>512</v>
      </c>
      <c r="D404" s="395"/>
      <c r="E404" s="2763"/>
      <c r="F404" s="2702" t="str">
        <f>IF(F400=$F$7,$G$5,IF(ROUNDDOWN(F400,0)=$F$5,$H$5,$G$5))</f>
        <v>　Level 4</v>
      </c>
      <c r="G404" s="3808" t="s">
        <v>3135</v>
      </c>
      <c r="H404" s="3943"/>
      <c r="I404" s="3943"/>
      <c r="J404" s="3944"/>
      <c r="K404" s="2702" t="str">
        <f>IF(K400=$F$7,$G$5,IF(ROUNDDOWN(K400,0)=$F$5,$H$5,$G$5))</f>
        <v>　Level 4</v>
      </c>
      <c r="L404" s="3808" t="s">
        <v>3135</v>
      </c>
      <c r="M404" s="3943"/>
      <c r="N404" s="3943"/>
      <c r="O404" s="3944"/>
    </row>
    <row r="405" spans="2:15" ht="15.75" hidden="1">
      <c r="B405" s="2014" t="s">
        <v>512</v>
      </c>
      <c r="C405" s="2014" t="s">
        <v>512</v>
      </c>
      <c r="D405" s="395"/>
      <c r="E405" s="2763"/>
      <c r="F405" s="2704" t="str">
        <f>IF(F400=$F$7,$G$6,IF(ROUNDDOWN(F400,0)=$F$6,$H$6,$G$6))</f>
        <v>　Level 5</v>
      </c>
      <c r="G405" s="3937" t="s">
        <v>3135</v>
      </c>
      <c r="H405" s="3938"/>
      <c r="I405" s="3938"/>
      <c r="J405" s="3939"/>
      <c r="K405" s="2704" t="str">
        <f>IF(K400=$F$7,$G$6,IF(ROUNDDOWN(K400,0)=$F$6,$H$6,$G$6))</f>
        <v>　Level 5</v>
      </c>
      <c r="L405" s="3808" t="s">
        <v>3135</v>
      </c>
      <c r="M405" s="3943"/>
      <c r="N405" s="3943"/>
      <c r="O405" s="3944"/>
    </row>
    <row r="406" spans="2:15" ht="15.75" hidden="1">
      <c r="B406" s="2707">
        <v>0</v>
      </c>
      <c r="C406" s="2707">
        <v>0</v>
      </c>
      <c r="D406" s="395"/>
      <c r="E406" s="119"/>
      <c r="F406" s="119"/>
      <c r="G406" s="2713"/>
      <c r="H406" s="2713"/>
      <c r="I406" s="2713"/>
      <c r="J406" s="2713"/>
      <c r="K406" s="2713"/>
      <c r="L406" s="2713"/>
      <c r="M406" s="2713"/>
      <c r="N406" s="2713"/>
      <c r="O406" s="2713"/>
    </row>
    <row r="407" spans="2:15" ht="15.75" hidden="1">
      <c r="D407" s="395"/>
      <c r="E407" s="119"/>
      <c r="F407" s="547" t="s">
        <v>449</v>
      </c>
      <c r="G407" s="2672"/>
      <c r="H407" s="2673"/>
      <c r="I407" s="2586"/>
      <c r="J407" s="2674" t="str">
        <f>IF(OR(F409=0,AND(J408=0,O408=0)),$L$3,"")</f>
        <v>&lt;N.A.&gt;</v>
      </c>
      <c r="K407" s="401"/>
      <c r="L407" s="2672"/>
      <c r="M407" s="2673"/>
      <c r="N407" s="2586"/>
      <c r="O407" s="2674"/>
    </row>
    <row r="408" spans="2:15" ht="15.75" hidden="1">
      <c r="D408" s="395"/>
      <c r="E408" s="119"/>
      <c r="F408" s="2655" t="s">
        <v>2613</v>
      </c>
      <c r="G408" s="2688"/>
      <c r="H408" s="2689"/>
      <c r="I408" s="2690" t="s">
        <v>2629</v>
      </c>
      <c r="J408" s="2692">
        <f>Weight!M52</f>
        <v>0</v>
      </c>
      <c r="K408" s="2655" t="s">
        <v>2615</v>
      </c>
      <c r="L408" s="2688"/>
      <c r="M408" s="2689"/>
      <c r="N408" s="2690" t="s">
        <v>2629</v>
      </c>
      <c r="O408" s="2692">
        <f>Weight!N52</f>
        <v>0</v>
      </c>
    </row>
    <row r="409" spans="2:15" ht="16.5" hidden="1" thickBot="1">
      <c r="D409" s="395"/>
      <c r="E409" s="119"/>
      <c r="F409" s="2656">
        <v>0</v>
      </c>
      <c r="G409" s="2760" t="s">
        <v>2619</v>
      </c>
      <c r="H409" s="2760"/>
      <c r="I409" s="2840" t="s">
        <v>4029</v>
      </c>
      <c r="J409" s="2841"/>
      <c r="K409" s="2656">
        <v>0</v>
      </c>
      <c r="L409" s="2753" t="s">
        <v>2522</v>
      </c>
      <c r="M409" s="2698"/>
      <c r="N409" s="2753"/>
      <c r="O409" s="2760"/>
    </row>
    <row r="410" spans="2:15" ht="15.75" hidden="1">
      <c r="B410" s="2014">
        <v>1</v>
      </c>
      <c r="C410" s="2014">
        <v>1</v>
      </c>
      <c r="D410" s="395"/>
      <c r="E410" s="119"/>
      <c r="F410" s="2699" t="str">
        <f>IF(F409=$F$7,$G$2,IF(ROUNDDOWN(F409,0)=$F$2,$H$2,$G$2))</f>
        <v>　Level 1</v>
      </c>
      <c r="G410" s="3958" t="s">
        <v>3182</v>
      </c>
      <c r="H410" s="3959"/>
      <c r="I410" s="3955" t="s">
        <v>3182</v>
      </c>
      <c r="J410" s="3956"/>
      <c r="K410" s="2699" t="str">
        <f>IF(K409=$F$7,$G$2,IF(ROUNDDOWN(K409,0)=$F$2,$H$2,$G$2))</f>
        <v>　Level 1</v>
      </c>
      <c r="L410" s="3948" t="s">
        <v>3171</v>
      </c>
      <c r="M410" s="3949"/>
      <c r="N410" s="3949"/>
      <c r="O410" s="3950"/>
    </row>
    <row r="411" spans="2:15" ht="15.75" hidden="1">
      <c r="B411" s="2014" t="s">
        <v>49</v>
      </c>
      <c r="C411" s="2014" t="s">
        <v>49</v>
      </c>
      <c r="D411" s="395"/>
      <c r="E411" s="119"/>
      <c r="F411" s="2702" t="str">
        <f>IF(F409=$F$7,$G$3,IF(ROUNDDOWN(F409,0)=$F$3,$H$3,$G$3))</f>
        <v>　Level 2</v>
      </c>
      <c r="G411" s="3808" t="s">
        <v>3135</v>
      </c>
      <c r="H411" s="3810"/>
      <c r="I411" s="3955" t="s">
        <v>3135</v>
      </c>
      <c r="J411" s="3957"/>
      <c r="K411" s="2702" t="str">
        <f>IF(K409=$F$7,$G$3,IF(ROUNDDOWN(K409,0)=$F$3,$H$3,$G$3))</f>
        <v>　Level 2</v>
      </c>
      <c r="L411" s="3945" t="s">
        <v>3135</v>
      </c>
      <c r="M411" s="3946"/>
      <c r="N411" s="3946"/>
      <c r="O411" s="3947"/>
    </row>
    <row r="412" spans="2:15" ht="15.75" hidden="1">
      <c r="B412" s="2014">
        <v>3</v>
      </c>
      <c r="C412" s="2014">
        <v>3</v>
      </c>
      <c r="D412" s="395"/>
      <c r="E412" s="119"/>
      <c r="F412" s="2702" t="str">
        <f>IF(F409=$F$7,$G$4,IF(ROUNDDOWN(F409,0)=$F$4,$H$4,$G$4))</f>
        <v>　Level 3</v>
      </c>
      <c r="G412" s="3808" t="s">
        <v>3246</v>
      </c>
      <c r="H412" s="3810"/>
      <c r="I412" s="3955" t="s">
        <v>3247</v>
      </c>
      <c r="J412" s="3956"/>
      <c r="K412" s="2702" t="str">
        <f>IF(K409=$F$7,$G$4,IF(ROUNDDOWN(K409,0)=$F$4,$H$4,$G$4))</f>
        <v>　Level 3</v>
      </c>
      <c r="L412" s="3945" t="s">
        <v>3248</v>
      </c>
      <c r="M412" s="3946"/>
      <c r="N412" s="3946"/>
      <c r="O412" s="3947"/>
    </row>
    <row r="413" spans="2:15" ht="15.75" hidden="1">
      <c r="B413" s="2014">
        <v>4</v>
      </c>
      <c r="C413" s="2014">
        <v>4</v>
      </c>
      <c r="D413" s="395"/>
      <c r="E413" s="119"/>
      <c r="F413" s="2702" t="str">
        <f>IF(F409=$F$7,$G$5,IF(ROUNDDOWN(F409,0)=$F$5,$H$5,$G$5))</f>
        <v>　Level 4</v>
      </c>
      <c r="G413" s="3808" t="s">
        <v>3249</v>
      </c>
      <c r="H413" s="3810"/>
      <c r="I413" s="3955" t="s">
        <v>3135</v>
      </c>
      <c r="J413" s="3956"/>
      <c r="K413" s="2702" t="str">
        <f>IF(K409=$F$7,$G$5,IF(ROUNDDOWN(K409,0)=$F$5,$H$5,$G$5))</f>
        <v>　Level 4</v>
      </c>
      <c r="L413" s="3945" t="s">
        <v>3249</v>
      </c>
      <c r="M413" s="3946"/>
      <c r="N413" s="3946"/>
      <c r="O413" s="3947"/>
    </row>
    <row r="414" spans="2:15" ht="15.75" hidden="1">
      <c r="B414" s="2014">
        <v>5</v>
      </c>
      <c r="C414" s="2014">
        <v>5</v>
      </c>
      <c r="D414" s="395"/>
      <c r="E414" s="119"/>
      <c r="F414" s="2704" t="str">
        <f>IF(F409=$F$7,$G$6,IF(ROUNDDOWN(F409,0)=$F$6,$H$6,$G$6))</f>
        <v>　Level 5</v>
      </c>
      <c r="G414" s="3951" t="s">
        <v>3250</v>
      </c>
      <c r="H414" s="3952"/>
      <c r="I414" s="3953" t="s">
        <v>3251</v>
      </c>
      <c r="J414" s="3954"/>
      <c r="K414" s="2704" t="str">
        <f>IF(K409=$F$7,$G$6,IF(ROUNDDOWN(K409,0)=$F$6,$H$6,$G$6))</f>
        <v>　Level 5</v>
      </c>
      <c r="L414" s="3940" t="s">
        <v>3250</v>
      </c>
      <c r="M414" s="3941"/>
      <c r="N414" s="3941"/>
      <c r="O414" s="3942"/>
    </row>
    <row r="415" spans="2:15" ht="15.75" hidden="1">
      <c r="B415" s="2707">
        <v>0</v>
      </c>
      <c r="C415" s="2707">
        <v>0</v>
      </c>
      <c r="D415" s="395"/>
      <c r="E415" s="28"/>
      <c r="F415" s="28"/>
      <c r="G415" s="2773"/>
      <c r="H415" s="2773"/>
      <c r="I415" s="2773"/>
      <c r="J415" s="2773"/>
      <c r="K415" s="2773"/>
      <c r="L415" s="2773"/>
      <c r="M415" s="2773"/>
      <c r="N415" s="2773"/>
      <c r="O415" s="2773"/>
    </row>
    <row r="416" spans="2:15" ht="15.75" hidden="1">
      <c r="D416" s="395"/>
      <c r="E416" s="1173"/>
      <c r="F416" s="547" t="s">
        <v>450</v>
      </c>
      <c r="G416" s="2672"/>
      <c r="H416" s="2673"/>
      <c r="I416" s="2586"/>
      <c r="J416" s="2674" t="str">
        <f>IF(OR(F418=0,AND(J417=0,O417=0)),$L$3,"")</f>
        <v>&lt;N.A.&gt;</v>
      </c>
      <c r="K416" s="401"/>
      <c r="L416" s="2672"/>
      <c r="M416" s="2673"/>
      <c r="N416" s="2586"/>
      <c r="O416" s="2674"/>
    </row>
    <row r="417" spans="2:15" ht="15.75" hidden="1">
      <c r="D417" s="395"/>
      <c r="E417" s="1173"/>
      <c r="F417" s="2655" t="s">
        <v>2613</v>
      </c>
      <c r="G417" s="2688"/>
      <c r="H417" s="2689"/>
      <c r="I417" s="2690" t="s">
        <v>2629</v>
      </c>
      <c r="J417" s="2692">
        <f>Weight!M53</f>
        <v>0</v>
      </c>
      <c r="K417" s="2655" t="s">
        <v>2615</v>
      </c>
      <c r="L417" s="2688"/>
      <c r="M417" s="2689"/>
      <c r="N417" s="2690" t="s">
        <v>2629</v>
      </c>
      <c r="O417" s="2692">
        <f>Weight!N53</f>
        <v>0</v>
      </c>
    </row>
    <row r="418" spans="2:15" ht="16.5" hidden="1" thickBot="1">
      <c r="D418" s="395"/>
      <c r="E418" s="1173"/>
      <c r="F418" s="2656">
        <v>0</v>
      </c>
      <c r="G418" s="2753" t="s">
        <v>4095</v>
      </c>
      <c r="H418" s="2697"/>
      <c r="I418" s="2797"/>
      <c r="J418" s="2698"/>
      <c r="K418" s="2656">
        <v>0</v>
      </c>
      <c r="L418" s="2753" t="s">
        <v>2522</v>
      </c>
      <c r="M418" s="2698"/>
      <c r="N418" s="2753"/>
      <c r="O418" s="2760"/>
    </row>
    <row r="419" spans="2:15" ht="15.75" hidden="1">
      <c r="B419" s="2014">
        <v>1</v>
      </c>
      <c r="C419" s="2014">
        <v>1</v>
      </c>
      <c r="D419" s="395"/>
      <c r="E419" s="2763"/>
      <c r="F419" s="2699" t="str">
        <f>IF(F418=$F$7,$G$2,IF(ROUNDDOWN(F418,0)=$F$2,$H$2,$G$2))</f>
        <v>　Level 1</v>
      </c>
      <c r="G419" s="3948" t="s">
        <v>3171</v>
      </c>
      <c r="H419" s="3949"/>
      <c r="I419" s="3949"/>
      <c r="J419" s="3950"/>
      <c r="K419" s="2699" t="str">
        <f>IF(K418=$F$7,$G$2,IF(ROUNDDOWN(K418,0)=$F$2,$H$2,$G$2))</f>
        <v>　Level 1</v>
      </c>
      <c r="L419" s="3948" t="s">
        <v>3171</v>
      </c>
      <c r="M419" s="3949"/>
      <c r="N419" s="3949"/>
      <c r="O419" s="3950"/>
    </row>
    <row r="420" spans="2:15" ht="15.75" hidden="1">
      <c r="B420" s="2014" t="s">
        <v>49</v>
      </c>
      <c r="C420" s="2014" t="s">
        <v>49</v>
      </c>
      <c r="D420" s="395"/>
      <c r="E420" s="2763"/>
      <c r="F420" s="2702" t="str">
        <f>IF(F418=$F$7,$G$3,IF(ROUNDDOWN(F418,0)=$F$3,$H$3,$G$3))</f>
        <v>　Level 2</v>
      </c>
      <c r="G420" s="3808" t="s">
        <v>3135</v>
      </c>
      <c r="H420" s="3943"/>
      <c r="I420" s="3943"/>
      <c r="J420" s="3944"/>
      <c r="K420" s="2702" t="str">
        <f>IF(K418=$F$7,$G$3,IF(ROUNDDOWN(K418,0)=$F$3,$H$3,$G$3))</f>
        <v>　Level 2</v>
      </c>
      <c r="L420" s="3945" t="s">
        <v>3135</v>
      </c>
      <c r="M420" s="3946"/>
      <c r="N420" s="3946"/>
      <c r="O420" s="3947"/>
    </row>
    <row r="421" spans="2:15" ht="15.75" hidden="1">
      <c r="B421" s="2014">
        <v>3</v>
      </c>
      <c r="C421" s="2014">
        <v>3</v>
      </c>
      <c r="D421" s="395"/>
      <c r="E421" s="2763"/>
      <c r="F421" s="2702" t="str">
        <f>IF(F418=$F$7,$G$4,IF(ROUNDDOWN(F418,0)=$F$4,$H$4,$G$4))</f>
        <v>　Level 3</v>
      </c>
      <c r="G421" s="3808" t="s">
        <v>3252</v>
      </c>
      <c r="H421" s="3943"/>
      <c r="I421" s="3943"/>
      <c r="J421" s="3944"/>
      <c r="K421" s="2702" t="str">
        <f>IF(K418=$F$7,$G$4,IF(ROUNDDOWN(K418,0)=$F$4,$H$4,$G$4))</f>
        <v>　Level 3</v>
      </c>
      <c r="L421" s="3945" t="s">
        <v>3253</v>
      </c>
      <c r="M421" s="3946"/>
      <c r="N421" s="3946"/>
      <c r="O421" s="3947"/>
    </row>
    <row r="422" spans="2:15" ht="15.75" hidden="1">
      <c r="B422" s="2014">
        <v>4</v>
      </c>
      <c r="C422" s="2014">
        <v>4</v>
      </c>
      <c r="D422" s="395"/>
      <c r="E422" s="2763"/>
      <c r="F422" s="2702" t="str">
        <f>IF(F418=$F$7,$G$5,IF(ROUNDDOWN(F418,0)=$F$5,$H$5,$G$5))</f>
        <v>　Level 4</v>
      </c>
      <c r="G422" s="3808" t="s">
        <v>3254</v>
      </c>
      <c r="H422" s="3943"/>
      <c r="I422" s="3943"/>
      <c r="J422" s="3944"/>
      <c r="K422" s="2702" t="str">
        <f>IF(K418=$F$7,$G$5,IF(ROUNDDOWN(K418,0)=$F$5,$H$5,$G$5))</f>
        <v>　Level 4</v>
      </c>
      <c r="L422" s="3945" t="s">
        <v>3255</v>
      </c>
      <c r="M422" s="3946"/>
      <c r="N422" s="3946"/>
      <c r="O422" s="3947"/>
    </row>
    <row r="423" spans="2:15" ht="15.75" hidden="1">
      <c r="B423" s="2014">
        <v>5</v>
      </c>
      <c r="C423" s="2014">
        <v>5</v>
      </c>
      <c r="D423" s="395"/>
      <c r="E423" s="2763"/>
      <c r="F423" s="2704" t="str">
        <f>IF(F418=$F$7,$G$6,IF(ROUNDDOWN(F418,0)=$F$6,$H$6,$G$6))</f>
        <v>　Level 5</v>
      </c>
      <c r="G423" s="3937" t="s">
        <v>3256</v>
      </c>
      <c r="H423" s="3938"/>
      <c r="I423" s="3938"/>
      <c r="J423" s="3939"/>
      <c r="K423" s="2704" t="str">
        <f>IF(K418=$F$7,$G$6,IF(ROUNDDOWN(K418,0)=$F$6,$H$6,$G$6))</f>
        <v>　Level 5</v>
      </c>
      <c r="L423" s="3940" t="s">
        <v>3256</v>
      </c>
      <c r="M423" s="3941"/>
      <c r="N423" s="3941"/>
      <c r="O423" s="3942"/>
    </row>
    <row r="424" spans="2:15" ht="15.75" hidden="1">
      <c r="B424" s="2707">
        <v>0</v>
      </c>
      <c r="C424" s="2707">
        <v>0</v>
      </c>
      <c r="D424" s="395"/>
      <c r="E424" s="119"/>
      <c r="F424" s="2067" t="s">
        <v>3045</v>
      </c>
      <c r="G424" s="2708"/>
      <c r="H424" s="2759"/>
      <c r="I424" s="2709"/>
      <c r="J424" s="2710"/>
      <c r="K424" s="2711" t="s">
        <v>3218</v>
      </c>
    </row>
    <row r="425" spans="2:15" ht="15.75">
      <c r="B425" s="2712"/>
      <c r="C425" s="2712"/>
      <c r="D425" s="395"/>
      <c r="E425" s="119"/>
      <c r="F425" s="119"/>
    </row>
    <row r="426" spans="2:15" ht="15.75">
      <c r="D426" s="393">
        <v>4.2</v>
      </c>
      <c r="E426" s="395" t="s">
        <v>2794</v>
      </c>
      <c r="F426" s="9"/>
      <c r="G426" s="1105" t="str">
        <f>IF(AND(J438="対象外",J438&gt;0.001),"★入力エラー：レベル１～５を選択し直してください！","")</f>
        <v/>
      </c>
    </row>
    <row r="427" spans="2:15" ht="15.75">
      <c r="D427" s="395"/>
      <c r="E427" s="2669"/>
      <c r="F427" s="396" t="s">
        <v>2795</v>
      </c>
      <c r="J427" s="1105" t="str">
        <f>IF(OR(F429=0,AND(J428=0,O428=0)),$L$3,"")</f>
        <v/>
      </c>
    </row>
    <row r="428" spans="2:15" ht="24.6" customHeight="1" thickBot="1">
      <c r="D428" s="395"/>
      <c r="E428" s="1173"/>
      <c r="F428" s="2843" t="s">
        <v>2613</v>
      </c>
      <c r="G428" s="2688"/>
      <c r="H428" s="2689"/>
      <c r="I428" s="2842" t="s">
        <v>2629</v>
      </c>
      <c r="J428" s="2845">
        <f>Weight!M55</f>
        <v>0.33333333333333331</v>
      </c>
      <c r="K428" s="2843" t="s">
        <v>2615</v>
      </c>
      <c r="L428" s="2688"/>
      <c r="M428" s="2689"/>
      <c r="N428" s="2842" t="s">
        <v>2629</v>
      </c>
      <c r="O428" s="2845">
        <f>Weight!N55</f>
        <v>0</v>
      </c>
    </row>
    <row r="429" spans="2:15" ht="27" customHeight="1" thickBot="1">
      <c r="D429" s="395"/>
      <c r="E429" s="2763"/>
      <c r="F429" s="2693">
        <v>3</v>
      </c>
      <c r="G429" s="2767" t="s">
        <v>4125</v>
      </c>
      <c r="H429" s="2835"/>
      <c r="I429" s="2797" t="s">
        <v>4030</v>
      </c>
      <c r="J429" s="2698"/>
      <c r="K429" s="2693">
        <v>3</v>
      </c>
      <c r="L429" s="2753" t="s">
        <v>2522</v>
      </c>
      <c r="M429" s="2698"/>
      <c r="N429" s="2753"/>
      <c r="O429" s="2760"/>
    </row>
    <row r="430" spans="2:15" ht="15.75" customHeight="1">
      <c r="B430" s="2014">
        <v>1</v>
      </c>
      <c r="C430" s="2014">
        <v>1</v>
      </c>
      <c r="D430" s="395"/>
      <c r="E430" s="28"/>
      <c r="F430" s="2699" t="str">
        <f>IF(F429=$F$7,$G$2,IF(ROUNDDOWN(F429,0)=$F$2,$H$2,$G$2))</f>
        <v>　Level 1</v>
      </c>
      <c r="G430" s="2583" t="s">
        <v>2699</v>
      </c>
      <c r="H430" s="2658"/>
      <c r="I430" s="2583" t="s">
        <v>2528</v>
      </c>
      <c r="J430" s="2658"/>
      <c r="K430" s="2699" t="str">
        <f>IF(K429=$F$7,$G$2,IF(ROUNDDOWN(K429,0)=$F$2,$H$2,$G$2))</f>
        <v>　Level 1</v>
      </c>
      <c r="L430" s="2583" t="s">
        <v>2699</v>
      </c>
      <c r="M430" s="2667"/>
      <c r="N430" s="2667"/>
      <c r="O430" s="2658"/>
    </row>
    <row r="431" spans="2:15" ht="15.75" customHeight="1">
      <c r="B431" s="2014" t="s">
        <v>698</v>
      </c>
      <c r="C431" s="2014" t="s">
        <v>49</v>
      </c>
      <c r="D431" s="395"/>
      <c r="E431" s="28"/>
      <c r="F431" s="2702" t="str">
        <f>IF(F429=$F$7,$G$3,IF(ROUNDDOWN(F429,0)=$F$3,$H$3,$G$3))</f>
        <v>　Level 2</v>
      </c>
      <c r="G431" s="2583" t="s">
        <v>2528</v>
      </c>
      <c r="H431" s="2649"/>
      <c r="I431" s="2583" t="s">
        <v>2528</v>
      </c>
      <c r="J431" s="2649"/>
      <c r="K431" s="2702" t="str">
        <f>IF(K429=$F$7,$G$3,IF(ROUNDDOWN(K429,0)=$F$3,$H$3,$G$3))</f>
        <v>　Level 2</v>
      </c>
      <c r="L431" s="2583" t="s">
        <v>2528</v>
      </c>
      <c r="M431" s="2668"/>
      <c r="N431" s="2650"/>
      <c r="O431" s="2649"/>
    </row>
    <row r="432" spans="2:15" ht="156.6" customHeight="1">
      <c r="B432" s="2014">
        <v>3</v>
      </c>
      <c r="C432" s="2014">
        <v>3</v>
      </c>
      <c r="D432" s="395"/>
      <c r="E432" s="28"/>
      <c r="F432" s="2702" t="str">
        <f>IF(F429=$F$7,$G$4,IF(ROUNDDOWN(F429,0)=$F$4,$H$4,$G$4))</f>
        <v>■Level 3</v>
      </c>
      <c r="G432" s="3927" t="s">
        <v>2796</v>
      </c>
      <c r="H432" s="3936"/>
      <c r="I432" s="3927" t="s">
        <v>2797</v>
      </c>
      <c r="J432" s="3929"/>
      <c r="K432" s="2702" t="str">
        <f>IF(K429=$F$7,$G$4,IF(ROUNDDOWN(K429,0)=$F$4,$H$4,$G$4))</f>
        <v>■Level 3</v>
      </c>
      <c r="L432" s="3927" t="s">
        <v>2802</v>
      </c>
      <c r="M432" s="3928"/>
      <c r="N432" s="3928"/>
      <c r="O432" s="3929"/>
    </row>
    <row r="433" spans="2:15" ht="155.44999999999999" customHeight="1">
      <c r="B433" s="2014">
        <v>4</v>
      </c>
      <c r="C433" s="2014">
        <v>4</v>
      </c>
      <c r="D433" s="395"/>
      <c r="E433" s="28"/>
      <c r="F433" s="2702" t="str">
        <f>IF(F429=$F$7,$G$5,IF(ROUNDDOWN(F429,0)=$F$5,$H$5,$G$5))</f>
        <v>　Level 4</v>
      </c>
      <c r="G433" s="3927" t="s">
        <v>2798</v>
      </c>
      <c r="H433" s="3929"/>
      <c r="I433" s="3927" t="s">
        <v>2799</v>
      </c>
      <c r="J433" s="3929"/>
      <c r="K433" s="2702" t="str">
        <f>IF(K429=$F$7,$G$5,IF(ROUNDDOWN(K429,0)=$F$5,$H$5,$G$5))</f>
        <v>　Level 4</v>
      </c>
      <c r="L433" s="3927" t="s">
        <v>2798</v>
      </c>
      <c r="M433" s="3928"/>
      <c r="N433" s="3928"/>
      <c r="O433" s="3929"/>
    </row>
    <row r="434" spans="2:15" ht="160.15" customHeight="1">
      <c r="B434" s="2014">
        <v>5</v>
      </c>
      <c r="C434" s="2014">
        <v>5</v>
      </c>
      <c r="D434" s="395"/>
      <c r="E434" s="28"/>
      <c r="F434" s="2704" t="str">
        <f>IF(F429=$F$7,$G$6,IF(ROUNDDOWN(F429,0)=$F$6,$H$6,$G$6))</f>
        <v>　Level 5</v>
      </c>
      <c r="G434" s="3930" t="s">
        <v>2800</v>
      </c>
      <c r="H434" s="3932"/>
      <c r="I434" s="3930" t="s">
        <v>2801</v>
      </c>
      <c r="J434" s="3932"/>
      <c r="K434" s="2704" t="str">
        <f>IF(K429=$F$7,$G$6,IF(ROUNDDOWN(K429,0)=$F$6,$H$6,$G$6))</f>
        <v>　Level 5</v>
      </c>
      <c r="L434" s="3930" t="s">
        <v>2800</v>
      </c>
      <c r="M434" s="3931"/>
      <c r="N434" s="3931"/>
      <c r="O434" s="3932"/>
    </row>
    <row r="435" spans="2:15" ht="15.75">
      <c r="B435" s="2850">
        <v>0</v>
      </c>
      <c r="C435" s="2850">
        <v>0</v>
      </c>
      <c r="D435" s="395"/>
      <c r="E435" s="28"/>
      <c r="F435" s="2067" t="s">
        <v>3045</v>
      </c>
      <c r="G435" s="2708"/>
      <c r="H435" s="2759"/>
      <c r="I435" s="2709"/>
      <c r="J435" s="2710"/>
      <c r="K435" s="2711"/>
    </row>
    <row r="436" spans="2:15" ht="15.75">
      <c r="B436" s="2712"/>
      <c r="C436" s="2712"/>
      <c r="D436" s="395"/>
      <c r="E436" s="28"/>
      <c r="F436" s="119"/>
    </row>
    <row r="437" spans="2:15" ht="15.75">
      <c r="D437" s="395"/>
      <c r="E437" s="28"/>
      <c r="F437" s="396" t="s">
        <v>2803</v>
      </c>
      <c r="J437" s="1105" t="str">
        <f>IF(OR(F439=0,AND(J438=0,O438=0)),$L$3,"")</f>
        <v/>
      </c>
    </row>
    <row r="438" spans="2:15" ht="24.6" customHeight="1" thickBot="1">
      <c r="D438" s="395"/>
      <c r="E438" s="28"/>
      <c r="F438" s="2843" t="s">
        <v>2613</v>
      </c>
      <c r="G438" s="2688"/>
      <c r="H438" s="2689"/>
      <c r="I438" s="2842" t="s">
        <v>2629</v>
      </c>
      <c r="J438" s="2845">
        <f>Weight!M56</f>
        <v>0.33333333333333331</v>
      </c>
      <c r="K438" s="2843" t="s">
        <v>2615</v>
      </c>
      <c r="L438" s="2688"/>
      <c r="M438" s="2689"/>
      <c r="N438" s="2842" t="s">
        <v>2629</v>
      </c>
      <c r="O438" s="2845">
        <f>Weight!N56</f>
        <v>0</v>
      </c>
    </row>
    <row r="439" spans="2:15" ht="27" customHeight="1" thickBot="1">
      <c r="D439" s="395"/>
      <c r="E439" s="28"/>
      <c r="F439" s="2693">
        <v>3</v>
      </c>
      <c r="G439" s="2767" t="s">
        <v>4116</v>
      </c>
      <c r="H439" s="2835"/>
      <c r="I439" s="2797" t="s">
        <v>4029</v>
      </c>
      <c r="J439" s="2698"/>
      <c r="K439" s="2693">
        <v>3</v>
      </c>
      <c r="L439" s="2753" t="s">
        <v>2959</v>
      </c>
      <c r="M439" s="2698"/>
      <c r="N439" s="2753" t="s">
        <v>2433</v>
      </c>
      <c r="O439" s="2698"/>
    </row>
    <row r="440" spans="2:15" ht="15.75" customHeight="1">
      <c r="B440" s="2014">
        <v>1</v>
      </c>
      <c r="C440" s="2014">
        <v>1</v>
      </c>
      <c r="D440" s="395"/>
      <c r="E440" s="28"/>
      <c r="F440" s="2699" t="str">
        <f>IF(F439=$F$7,$G$2,IF(ROUNDDOWN(F439,0)=$F$2,$H$2,$G$2))</f>
        <v>　Level 1</v>
      </c>
      <c r="G440" s="2582" t="s">
        <v>2699</v>
      </c>
      <c r="H440" s="2670"/>
      <c r="I440" s="2582" t="s">
        <v>2699</v>
      </c>
      <c r="J440" s="2670"/>
      <c r="K440" s="2699" t="str">
        <f>IF(K439=$F$7,$G$2,IF(ROUNDDOWN(K439,0)=$F$2,$H$2,$G$2))</f>
        <v>　Level 1</v>
      </c>
      <c r="L440" s="2582" t="s">
        <v>2699</v>
      </c>
      <c r="M440" s="2670"/>
      <c r="N440" s="2582" t="s">
        <v>2699</v>
      </c>
      <c r="O440" s="2670"/>
    </row>
    <row r="441" spans="2:15" ht="15.75" customHeight="1">
      <c r="B441" s="2014" t="s">
        <v>697</v>
      </c>
      <c r="C441" s="2014" t="s">
        <v>49</v>
      </c>
      <c r="D441" s="395"/>
      <c r="E441" s="28"/>
      <c r="F441" s="2702" t="str">
        <f>IF(F439=$F$7,$G$3,IF(ROUNDDOWN(F439,0)=$F$3,$H$3,$G$3))</f>
        <v>　Level 2</v>
      </c>
      <c r="G441" s="2583" t="s">
        <v>2528</v>
      </c>
      <c r="H441" s="2671"/>
      <c r="I441" s="2583" t="s">
        <v>2528</v>
      </c>
      <c r="J441" s="2671"/>
      <c r="K441" s="2702" t="str">
        <f>IF(K439=$F$7,$G$3,IF(ROUNDDOWN(K439,0)=$F$3,$H$3,$G$3))</f>
        <v>　Level 2</v>
      </c>
      <c r="L441" s="2583" t="s">
        <v>2528</v>
      </c>
      <c r="M441" s="2671"/>
      <c r="N441" s="2583" t="s">
        <v>2528</v>
      </c>
      <c r="O441" s="2671"/>
    </row>
    <row r="442" spans="2:15" ht="142.9" customHeight="1">
      <c r="B442" s="2014">
        <v>3</v>
      </c>
      <c r="C442" s="2014">
        <v>3</v>
      </c>
      <c r="D442" s="395"/>
      <c r="E442" s="28"/>
      <c r="F442" s="2702" t="str">
        <f>IF(F439=$F$7,$G$4,IF(ROUNDDOWN(F439,0)=$F$4,$H$4,$G$4))</f>
        <v>■Level 3</v>
      </c>
      <c r="G442" s="3927" t="s">
        <v>2804</v>
      </c>
      <c r="H442" s="3936"/>
      <c r="I442" s="3927" t="s">
        <v>2805</v>
      </c>
      <c r="J442" s="3929"/>
      <c r="K442" s="2702" t="str">
        <f>IF(K439=$F$7,$G$4,IF(ROUNDDOWN(K439,0)=$F$4,$H$4,$G$4))</f>
        <v>■Level 3</v>
      </c>
      <c r="L442" s="3927" t="s">
        <v>2809</v>
      </c>
      <c r="M442" s="3929"/>
      <c r="N442" s="3927" t="s">
        <v>2810</v>
      </c>
      <c r="O442" s="3929"/>
    </row>
    <row r="443" spans="2:15" ht="181.15" customHeight="1">
      <c r="B443" s="2014">
        <v>4</v>
      </c>
      <c r="C443" s="2014">
        <v>4</v>
      </c>
      <c r="D443" s="395"/>
      <c r="E443" s="28"/>
      <c r="F443" s="2702" t="str">
        <f>IF(F439=$F$7,$G$5,IF(ROUNDDOWN(F439,0)=$F$5,$H$5,$G$5))</f>
        <v>　Level 4</v>
      </c>
      <c r="G443" s="3927" t="s">
        <v>2806</v>
      </c>
      <c r="H443" s="3929"/>
      <c r="I443" s="3927" t="s">
        <v>2807</v>
      </c>
      <c r="J443" s="3929"/>
      <c r="K443" s="2702" t="str">
        <f>IF(K439=$F$7,$G$5,IF(ROUNDDOWN(K439,0)=$F$5,$H$5,$G$5))</f>
        <v>　Level 4</v>
      </c>
      <c r="L443" s="3927" t="s">
        <v>2811</v>
      </c>
      <c r="M443" s="3929"/>
      <c r="N443" s="3927" t="s">
        <v>2812</v>
      </c>
      <c r="O443" s="3929"/>
    </row>
    <row r="444" spans="2:15" ht="208.9" customHeight="1">
      <c r="B444" s="2014">
        <v>5</v>
      </c>
      <c r="C444" s="2014">
        <v>5</v>
      </c>
      <c r="D444" s="395"/>
      <c r="E444" s="28"/>
      <c r="F444" s="2704" t="str">
        <f>IF(F439=$F$7,$G$6,IF(ROUNDDOWN(F439,0)=$F$6,$H$6,$G$6))</f>
        <v>　Level 5</v>
      </c>
      <c r="G444" s="3930" t="s">
        <v>2981</v>
      </c>
      <c r="H444" s="3932"/>
      <c r="I444" s="3930" t="s">
        <v>2808</v>
      </c>
      <c r="J444" s="3932"/>
      <c r="K444" s="2704" t="str">
        <f>IF(K439=$F$7,$G$6,IF(ROUNDDOWN(K439,0)=$F$6,$H$6,$G$6))</f>
        <v>　Level 5</v>
      </c>
      <c r="L444" s="3930" t="s">
        <v>2813</v>
      </c>
      <c r="M444" s="3932"/>
      <c r="N444" s="3930" t="s">
        <v>2814</v>
      </c>
      <c r="O444" s="3932"/>
    </row>
    <row r="445" spans="2:15" ht="15.75">
      <c r="B445" s="2850">
        <v>0</v>
      </c>
      <c r="C445" s="2850">
        <v>0</v>
      </c>
      <c r="D445" s="395"/>
      <c r="E445" s="28"/>
      <c r="F445" s="2067" t="s">
        <v>3045</v>
      </c>
      <c r="G445" s="2708"/>
      <c r="H445" s="2759"/>
      <c r="I445" s="2709"/>
      <c r="J445" s="2710"/>
      <c r="K445" s="2711"/>
    </row>
    <row r="446" spans="2:15" ht="15.75">
      <c r="B446" s="2712"/>
      <c r="C446" s="2712"/>
      <c r="D446" s="395"/>
      <c r="E446" s="28"/>
      <c r="G446" s="1516" t="s">
        <v>2982</v>
      </c>
      <c r="H446" s="2812"/>
      <c r="I446" s="2784" t="s">
        <v>2983</v>
      </c>
      <c r="J446" s="1529"/>
      <c r="K446" s="2711"/>
    </row>
    <row r="447" spans="2:15" ht="15.75">
      <c r="B447" s="2712"/>
      <c r="C447" s="2712"/>
      <c r="D447" s="395"/>
      <c r="E447" s="28"/>
      <c r="F447" s="119"/>
    </row>
    <row r="448" spans="2:15" ht="15.75">
      <c r="D448" s="395"/>
      <c r="E448" s="1173"/>
      <c r="F448" s="396" t="s">
        <v>2815</v>
      </c>
      <c r="J448" s="1105" t="str">
        <f>IF(OR(F450=0,AND(J449=0,O449=0)),$L$3,"")</f>
        <v/>
      </c>
    </row>
    <row r="449" spans="2:15" ht="24.6" customHeight="1" thickBot="1">
      <c r="D449" s="395"/>
      <c r="E449" s="1173"/>
      <c r="F449" s="2843" t="s">
        <v>2613</v>
      </c>
      <c r="G449" s="2688"/>
      <c r="H449" s="2689"/>
      <c r="I449" s="2842" t="s">
        <v>2629</v>
      </c>
      <c r="J449" s="2845">
        <f>Weight!M57</f>
        <v>0.33333333333333331</v>
      </c>
      <c r="K449" s="2843" t="s">
        <v>2615</v>
      </c>
      <c r="L449" s="2688"/>
      <c r="M449" s="2689"/>
      <c r="N449" s="2842" t="s">
        <v>2629</v>
      </c>
      <c r="O449" s="2845">
        <f>Weight!N57</f>
        <v>0</v>
      </c>
    </row>
    <row r="450" spans="2:15" ht="27" customHeight="1" thickBot="1">
      <c r="D450" s="395"/>
      <c r="E450" s="1173"/>
      <c r="F450" s="2693">
        <v>3</v>
      </c>
      <c r="G450" s="2767" t="s">
        <v>2917</v>
      </c>
      <c r="H450" s="2835"/>
      <c r="I450" s="2753" t="s">
        <v>2433</v>
      </c>
      <c r="J450" s="2698"/>
      <c r="K450" s="2693">
        <v>3</v>
      </c>
      <c r="L450" s="2753" t="s">
        <v>2959</v>
      </c>
      <c r="M450" s="2698"/>
      <c r="N450" s="2753" t="s">
        <v>2433</v>
      </c>
      <c r="O450" s="2698"/>
    </row>
    <row r="451" spans="2:15" ht="15.75" customHeight="1">
      <c r="B451" s="2014">
        <v>1</v>
      </c>
      <c r="C451" s="2014">
        <v>1</v>
      </c>
      <c r="D451" s="395"/>
      <c r="E451" s="2763"/>
      <c r="F451" s="2699" t="str">
        <f>IF(F450=$F$7,$G$2,IF(ROUNDDOWN(F450,0)=$F$2,$H$2,$G$2))</f>
        <v>　Level 1</v>
      </c>
      <c r="G451" s="2582" t="s">
        <v>2699</v>
      </c>
      <c r="H451" s="2670"/>
      <c r="I451" s="2582" t="s">
        <v>2699</v>
      </c>
      <c r="J451" s="2670"/>
      <c r="K451" s="2699" t="str">
        <f>IF(K450=$F$7,$G$2,IF(ROUNDDOWN(K450,0)=$F$2,$H$2,$G$2))</f>
        <v>　Level 1</v>
      </c>
      <c r="L451" s="2582" t="s">
        <v>2699</v>
      </c>
      <c r="M451" s="2670"/>
      <c r="N451" s="2582" t="s">
        <v>2699</v>
      </c>
      <c r="O451" s="2670"/>
    </row>
    <row r="452" spans="2:15" ht="15.6" customHeight="1">
      <c r="B452" s="2014" t="s">
        <v>697</v>
      </c>
      <c r="C452" s="2014" t="s">
        <v>49</v>
      </c>
      <c r="D452" s="395"/>
      <c r="E452" s="2763"/>
      <c r="F452" s="2702" t="str">
        <f>IF(F450=$F$7,$G$3,IF(ROUNDDOWN(F450,0)=$F$3,$H$3,$G$3))</f>
        <v>　Level 2</v>
      </c>
      <c r="G452" s="2583" t="s">
        <v>2528</v>
      </c>
      <c r="H452" s="2671"/>
      <c r="I452" s="2583" t="s">
        <v>2528</v>
      </c>
      <c r="J452" s="2671"/>
      <c r="K452" s="2702" t="str">
        <f>IF(K450=$F$7,$G$3,IF(ROUNDDOWN(K450,0)=$F$3,$H$3,$G$3))</f>
        <v>　Level 2</v>
      </c>
      <c r="L452" s="2583" t="s">
        <v>2528</v>
      </c>
      <c r="M452" s="2671"/>
      <c r="N452" s="2583" t="s">
        <v>2528</v>
      </c>
      <c r="O452" s="2671"/>
    </row>
    <row r="453" spans="2:15" ht="114" customHeight="1">
      <c r="B453" s="2014">
        <v>3</v>
      </c>
      <c r="C453" s="2014">
        <v>3</v>
      </c>
      <c r="D453" s="395"/>
      <c r="E453" s="2763"/>
      <c r="F453" s="2702" t="str">
        <f>IF(F450=$F$7,$G$4,IF(ROUNDDOWN(F450,0)=$F$4,$H$4,$G$4))</f>
        <v>■Level 3</v>
      </c>
      <c r="G453" s="3927" t="s">
        <v>2816</v>
      </c>
      <c r="H453" s="3936"/>
      <c r="I453" s="3927" t="s">
        <v>2817</v>
      </c>
      <c r="J453" s="3936"/>
      <c r="K453" s="2702" t="str">
        <f>IF(K450=$F$7,$G$4,IF(ROUNDDOWN(K450,0)=$F$4,$H$4,$G$4))</f>
        <v>■Level 3</v>
      </c>
      <c r="L453" s="3927" t="s">
        <v>2816</v>
      </c>
      <c r="M453" s="3929"/>
      <c r="N453" s="3927" t="s">
        <v>2817</v>
      </c>
      <c r="O453" s="3929"/>
    </row>
    <row r="454" spans="2:15" ht="90.6" customHeight="1">
      <c r="B454" s="2014">
        <v>4</v>
      </c>
      <c r="C454" s="2014">
        <v>4</v>
      </c>
      <c r="D454" s="395"/>
      <c r="E454" s="2763"/>
      <c r="F454" s="2702" t="str">
        <f>IF(F450=$F$7,$G$5,IF(ROUNDDOWN(F450,0)=$F$5,$H$5,$G$5))</f>
        <v>　Level 4</v>
      </c>
      <c r="G454" s="3927" t="s">
        <v>2818</v>
      </c>
      <c r="H454" s="3936"/>
      <c r="I454" s="2583" t="s">
        <v>2528</v>
      </c>
      <c r="J454" s="2671"/>
      <c r="K454" s="2702" t="str">
        <f>IF(K450=$F$7,$G$5,IF(ROUNDDOWN(K450,0)=$F$5,$H$5,$G$5))</f>
        <v>　Level 4</v>
      </c>
      <c r="L454" s="3927" t="s">
        <v>2818</v>
      </c>
      <c r="M454" s="3929"/>
      <c r="N454" s="2583" t="s">
        <v>2528</v>
      </c>
      <c r="O454" s="2671"/>
    </row>
    <row r="455" spans="2:15" ht="112.9" customHeight="1">
      <c r="B455" s="2014">
        <v>5</v>
      </c>
      <c r="C455" s="2014">
        <v>5</v>
      </c>
      <c r="D455" s="395"/>
      <c r="E455" s="2763"/>
      <c r="F455" s="2704" t="str">
        <f>IF(F450=$F$7,$G$6,IF(ROUNDDOWN(F450,0)=$F$6,$H$6,$G$6))</f>
        <v>　Level 5</v>
      </c>
      <c r="G455" s="3930" t="s">
        <v>2819</v>
      </c>
      <c r="H455" s="3934"/>
      <c r="I455" s="3930" t="s">
        <v>2816</v>
      </c>
      <c r="J455" s="3934"/>
      <c r="K455" s="2704" t="str">
        <f>IF(K450=$F$7,$G$6,IF(ROUNDDOWN(K450,0)=$F$6,$H$6,$G$6))</f>
        <v>　Level 5</v>
      </c>
      <c r="L455" s="3930" t="s">
        <v>2819</v>
      </c>
      <c r="M455" s="3932"/>
      <c r="N455" s="3930" t="s">
        <v>2816</v>
      </c>
      <c r="O455" s="3932"/>
    </row>
    <row r="456" spans="2:15" ht="15.75" hidden="1">
      <c r="B456" s="2850">
        <v>0</v>
      </c>
      <c r="C456" s="2850">
        <v>0</v>
      </c>
      <c r="D456" s="395"/>
      <c r="E456" s="2763"/>
      <c r="F456" s="2763"/>
      <c r="G456" s="2807"/>
      <c r="H456" s="2807"/>
      <c r="I456" s="2807"/>
      <c r="J456" s="2807"/>
      <c r="K456" s="2807"/>
      <c r="L456" s="2807"/>
      <c r="M456" s="2807"/>
      <c r="N456" s="2807"/>
      <c r="O456" s="2807"/>
    </row>
    <row r="457" spans="2:15" ht="15.75" hidden="1">
      <c r="D457" s="395"/>
      <c r="E457" s="2763"/>
      <c r="F457" s="547" t="s">
        <v>520</v>
      </c>
      <c r="G457" s="2672"/>
      <c r="H457" s="2673"/>
      <c r="I457" s="2586"/>
      <c r="J457" s="2674" t="str">
        <f>IF(OR(F459=0,AND(J458=0,O458=0)),$L$3,"")</f>
        <v>&lt;N.A.&gt;</v>
      </c>
      <c r="K457" s="401"/>
      <c r="L457" s="2672"/>
      <c r="M457" s="2673"/>
      <c r="N457" s="2586"/>
      <c r="O457" s="2674"/>
    </row>
    <row r="458" spans="2:15" ht="15.75" hidden="1">
      <c r="D458" s="395"/>
      <c r="E458" s="2763"/>
      <c r="F458" s="2655" t="s">
        <v>2613</v>
      </c>
      <c r="G458" s="2688"/>
      <c r="H458" s="2689"/>
      <c r="I458" s="2690" t="s">
        <v>2629</v>
      </c>
      <c r="J458" s="2692">
        <f>Weight!M58</f>
        <v>0</v>
      </c>
      <c r="K458" s="2655" t="s">
        <v>2615</v>
      </c>
      <c r="L458" s="2688"/>
      <c r="M458" s="2689"/>
      <c r="N458" s="2690" t="s">
        <v>2629</v>
      </c>
      <c r="O458" s="2692">
        <f>Weight!N58</f>
        <v>0</v>
      </c>
    </row>
    <row r="459" spans="2:15" ht="16.5" hidden="1" thickBot="1">
      <c r="D459" s="395"/>
      <c r="E459" s="2763"/>
      <c r="F459" s="2656">
        <v>0</v>
      </c>
      <c r="G459" s="2753" t="s">
        <v>2917</v>
      </c>
      <c r="H459" s="2697"/>
      <c r="I459" s="2797"/>
      <c r="J459" s="2698"/>
      <c r="K459" s="2656">
        <v>0</v>
      </c>
      <c r="L459" s="2753" t="s">
        <v>2522</v>
      </c>
      <c r="M459" s="2698"/>
      <c r="N459" s="2753"/>
      <c r="O459" s="2760"/>
    </row>
    <row r="460" spans="2:15" ht="15.75" hidden="1" customHeight="1">
      <c r="B460" s="2014">
        <v>1</v>
      </c>
      <c r="C460" s="2014">
        <v>1</v>
      </c>
      <c r="D460" s="395"/>
      <c r="E460" s="2763"/>
      <c r="F460" s="2699" t="str">
        <f>IF(F459=$F$7,$G$2,IF(ROUNDDOWN(F459,0)=$F$2,$H$2,$G$2))</f>
        <v>　Level 1</v>
      </c>
      <c r="G460" s="3948" t="s">
        <v>3171</v>
      </c>
      <c r="H460" s="3949"/>
      <c r="I460" s="3949"/>
      <c r="J460" s="3950"/>
      <c r="K460" s="2699" t="str">
        <f>IF(K459=$F$7,$G$2,IF(ROUNDDOWN(K459,0)=$F$2,$H$2,$G$2))</f>
        <v>　Level 1</v>
      </c>
      <c r="L460" s="3948" t="s">
        <v>3171</v>
      </c>
      <c r="M460" s="3949"/>
      <c r="N460" s="3949"/>
      <c r="O460" s="3950"/>
    </row>
    <row r="461" spans="2:15" ht="15.75" hidden="1">
      <c r="B461" s="2014" t="s">
        <v>49</v>
      </c>
      <c r="C461" s="2014" t="s">
        <v>49</v>
      </c>
      <c r="D461" s="395"/>
      <c r="E461" s="2763"/>
      <c r="F461" s="2702" t="str">
        <f>IF(F459=$F$7,$G$3,IF(ROUNDDOWN(F459,0)=$F$3,$H$3,$G$3))</f>
        <v>　Level 2</v>
      </c>
      <c r="G461" s="3808" t="s">
        <v>3135</v>
      </c>
      <c r="H461" s="3943"/>
      <c r="I461" s="3943"/>
      <c r="J461" s="3944"/>
      <c r="K461" s="2702" t="str">
        <f>IF(K459=$F$7,$G$3,IF(ROUNDDOWN(K459,0)=$F$3,$H$3,$G$3))</f>
        <v>　Level 2</v>
      </c>
      <c r="L461" s="3945" t="s">
        <v>3135</v>
      </c>
      <c r="M461" s="3946"/>
      <c r="N461" s="3946"/>
      <c r="O461" s="3947"/>
    </row>
    <row r="462" spans="2:15" ht="52.5" hidden="1" customHeight="1">
      <c r="B462" s="2014">
        <v>3</v>
      </c>
      <c r="C462" s="2014">
        <v>3</v>
      </c>
      <c r="D462" s="395"/>
      <c r="E462" s="2763"/>
      <c r="F462" s="2702" t="str">
        <f>IF(F459=$F$7,$G$4,IF(ROUNDDOWN(F459,0)=$F$4,$H$4,$G$4))</f>
        <v>　Level 3</v>
      </c>
      <c r="G462" s="3808" t="s">
        <v>3257</v>
      </c>
      <c r="H462" s="3943"/>
      <c r="I462" s="3943"/>
      <c r="J462" s="3944"/>
      <c r="K462" s="2702" t="str">
        <f>IF(K459=$F$7,$G$4,IF(ROUNDDOWN(K459,0)=$F$4,$H$4,$G$4))</f>
        <v>　Level 3</v>
      </c>
      <c r="L462" s="3945" t="s">
        <v>3258</v>
      </c>
      <c r="M462" s="3946"/>
      <c r="N462" s="3946"/>
      <c r="O462" s="3947"/>
    </row>
    <row r="463" spans="2:15" ht="15.75" hidden="1">
      <c r="B463" s="2014" t="s">
        <v>49</v>
      </c>
      <c r="C463" s="2014" t="s">
        <v>49</v>
      </c>
      <c r="D463" s="395"/>
      <c r="E463" s="2763"/>
      <c r="F463" s="2702" t="str">
        <f>IF(F459=$F$7,$G$5,IF(ROUNDDOWN(F459,0)=$F$5,$H$5,$G$5))</f>
        <v>　Level 4</v>
      </c>
      <c r="G463" s="3808" t="s">
        <v>3135</v>
      </c>
      <c r="H463" s="3943"/>
      <c r="I463" s="3943"/>
      <c r="J463" s="3944"/>
      <c r="K463" s="2702" t="str">
        <f>IF(K459=$F$7,$G$5,IF(ROUNDDOWN(K459,0)=$F$5,$H$5,$G$5))</f>
        <v>　Level 4</v>
      </c>
      <c r="L463" s="3945" t="s">
        <v>3135</v>
      </c>
      <c r="M463" s="3946"/>
      <c r="N463" s="3946"/>
      <c r="O463" s="3947"/>
    </row>
    <row r="464" spans="2:15" ht="6" hidden="1" customHeight="1">
      <c r="B464" s="2014">
        <v>5</v>
      </c>
      <c r="C464" s="2014">
        <v>5</v>
      </c>
      <c r="D464" s="395"/>
      <c r="E464" s="2763"/>
      <c r="F464" s="2704" t="str">
        <f>IF(F459=$F$7,$G$6,IF(ROUNDDOWN(F459,0)=$F$6,$H$6,$G$6))</f>
        <v>　Level 5</v>
      </c>
      <c r="G464" s="3937" t="s">
        <v>3259</v>
      </c>
      <c r="H464" s="3938"/>
      <c r="I464" s="3938"/>
      <c r="J464" s="3939"/>
      <c r="K464" s="2704" t="str">
        <f>IF(K459=$F$7,$G$6,IF(ROUNDDOWN(K459,0)=$F$6,$H$6,$G$6))</f>
        <v>　Level 5</v>
      </c>
      <c r="L464" s="3940" t="s">
        <v>3260</v>
      </c>
      <c r="M464" s="3941"/>
      <c r="N464" s="3941"/>
      <c r="O464" s="3942"/>
    </row>
    <row r="465" spans="2:16" ht="15.75">
      <c r="B465" s="2707">
        <v>0</v>
      </c>
      <c r="C465" s="2707">
        <v>0</v>
      </c>
      <c r="D465" s="395"/>
      <c r="E465" s="28"/>
      <c r="F465" s="2067" t="s">
        <v>3045</v>
      </c>
      <c r="G465" s="2708"/>
      <c r="H465" s="2759"/>
      <c r="I465" s="2709"/>
      <c r="J465" s="2710"/>
      <c r="K465" s="2711"/>
    </row>
    <row r="466" spans="2:16" ht="15.75">
      <c r="B466" s="2712"/>
      <c r="C466" s="2712"/>
      <c r="D466" s="395"/>
      <c r="E466" s="28"/>
      <c r="F466" s="28"/>
    </row>
    <row r="467" spans="2:16" ht="15.75">
      <c r="D467" s="393">
        <v>4.3</v>
      </c>
      <c r="E467" s="395" t="s">
        <v>2820</v>
      </c>
      <c r="F467" s="9"/>
      <c r="G467" s="2851"/>
      <c r="H467" s="9"/>
      <c r="I467" s="9"/>
      <c r="J467" s="9"/>
      <c r="K467" s="9"/>
    </row>
    <row r="468" spans="2:16" ht="15.75">
      <c r="D468" s="395"/>
      <c r="E468" s="28"/>
      <c r="F468" s="396" t="s">
        <v>2821</v>
      </c>
      <c r="G468" s="2851"/>
      <c r="H468" s="13"/>
      <c r="I468" s="1529"/>
      <c r="J468" s="3219" t="str">
        <f>IF(OR(F470=0,J469=0),$R$3,"")</f>
        <v/>
      </c>
      <c r="K468" s="396" t="s">
        <v>2822</v>
      </c>
      <c r="O468" s="1105" t="str">
        <f>IF(OR(K470=0,O469=0),$L$3,"")</f>
        <v/>
      </c>
    </row>
    <row r="469" spans="2:16" ht="24.6" customHeight="1" thickBot="1">
      <c r="D469" s="395"/>
      <c r="E469" s="28"/>
      <c r="F469" s="2843" t="s">
        <v>2613</v>
      </c>
      <c r="G469" s="2688"/>
      <c r="H469" s="2689"/>
      <c r="I469" s="2842" t="s">
        <v>2629</v>
      </c>
      <c r="J469" s="2845">
        <f>Weight!M60</f>
        <v>0.5</v>
      </c>
      <c r="K469" s="2843" t="s">
        <v>2613</v>
      </c>
      <c r="L469" s="2688"/>
      <c r="M469" s="2689"/>
      <c r="N469" s="2842" t="s">
        <v>2629</v>
      </c>
      <c r="O469" s="2845">
        <f>Weight!M61</f>
        <v>0.5</v>
      </c>
    </row>
    <row r="470" spans="2:16" ht="27" customHeight="1" thickBot="1">
      <c r="D470" s="395"/>
      <c r="E470" s="28"/>
      <c r="F470" s="2693">
        <v>3</v>
      </c>
      <c r="G470" s="2753" t="s">
        <v>4117</v>
      </c>
      <c r="H470" s="2697"/>
      <c r="I470" s="2797"/>
      <c r="J470" s="2698"/>
      <c r="K470" s="2693">
        <v>3</v>
      </c>
      <c r="L470" s="2753" t="s">
        <v>4118</v>
      </c>
      <c r="M470" s="2698"/>
      <c r="N470" s="2753"/>
      <c r="O470" s="2760"/>
    </row>
    <row r="471" spans="2:16" ht="15.6" customHeight="1">
      <c r="B471" s="2014">
        <v>1</v>
      </c>
      <c r="C471" s="2014">
        <v>1</v>
      </c>
      <c r="D471" s="395"/>
      <c r="E471" s="28"/>
      <c r="F471" s="2699" t="str">
        <f>IF(F470=$F$7,$G$2,IF(ROUNDDOWN(F470,0)=$F$2,$H$2,$G$2))</f>
        <v>　Level 1</v>
      </c>
      <c r="G471" s="2582" t="s">
        <v>2699</v>
      </c>
      <c r="H471" s="2667"/>
      <c r="I471" s="2667"/>
      <c r="J471" s="2658"/>
      <c r="K471" s="2699" t="str">
        <f>IF(K470=$F$7,$G$2,IF(ROUNDDOWN(K470,0)=$F$2,$H$2,$G$2))</f>
        <v>　Level 1</v>
      </c>
      <c r="L471" s="2582" t="s">
        <v>2699</v>
      </c>
      <c r="M471" s="2667"/>
      <c r="N471" s="2667"/>
      <c r="O471" s="2658"/>
    </row>
    <row r="472" spans="2:16" ht="15.6" customHeight="1">
      <c r="B472" s="2014" t="s">
        <v>512</v>
      </c>
      <c r="C472" s="2014" t="s">
        <v>49</v>
      </c>
      <c r="D472" s="395"/>
      <c r="E472" s="28"/>
      <c r="F472" s="2702" t="str">
        <f>IF(F470=$F$7,$G$3,IF(ROUNDDOWN(F470,0)=$F$3,$H$3,$G$3))</f>
        <v>　Level 2</v>
      </c>
      <c r="G472" s="2583" t="s">
        <v>2528</v>
      </c>
      <c r="H472" s="2668"/>
      <c r="I472" s="2650"/>
      <c r="J472" s="2649"/>
      <c r="K472" s="2702" t="str">
        <f>IF(K470=$F$7,$G$3,IF(ROUNDDOWN(K470,0)=$F$3,$H$3,$G$3))</f>
        <v>　Level 2</v>
      </c>
      <c r="L472" s="2583" t="s">
        <v>2528</v>
      </c>
      <c r="M472" s="2668"/>
      <c r="N472" s="2650"/>
      <c r="O472" s="2649"/>
    </row>
    <row r="473" spans="2:16" ht="45" customHeight="1">
      <c r="B473" s="2014">
        <v>3</v>
      </c>
      <c r="C473" s="2014">
        <v>3</v>
      </c>
      <c r="D473" s="395"/>
      <c r="E473" s="28"/>
      <c r="F473" s="2702" t="str">
        <f>IF(F470=$F$7,$G$4,IF(ROUNDDOWN(F470,0)=$F$4,$H$4,$G$4))</f>
        <v>■Level 3</v>
      </c>
      <c r="G473" s="3927" t="s">
        <v>2823</v>
      </c>
      <c r="H473" s="3935"/>
      <c r="I473" s="3935"/>
      <c r="J473" s="3936"/>
      <c r="K473" s="2702" t="str">
        <f>IF(K470=$F$7,$G$4,IF(ROUNDDOWN(K470,0)=$F$4,$H$4,$G$4))</f>
        <v>■Level 3</v>
      </c>
      <c r="L473" s="3927" t="s">
        <v>2826</v>
      </c>
      <c r="M473" s="3928"/>
      <c r="N473" s="3928"/>
      <c r="O473" s="3929"/>
    </row>
    <row r="474" spans="2:16" ht="45" customHeight="1">
      <c r="B474" s="2014">
        <v>4</v>
      </c>
      <c r="C474" s="2014" t="s">
        <v>512</v>
      </c>
      <c r="D474" s="395"/>
      <c r="E474" s="28"/>
      <c r="F474" s="2702" t="str">
        <f>IF(F470=$F$7,$G$5,IF(ROUNDDOWN(F470,0)=$F$5,$H$5,$G$5))</f>
        <v>　Level 4</v>
      </c>
      <c r="G474" s="3927" t="s">
        <v>2824</v>
      </c>
      <c r="H474" s="3928"/>
      <c r="I474" s="3928"/>
      <c r="J474" s="3929"/>
      <c r="K474" s="2702" t="str">
        <f>IF(K470=$F$7,$G$5,IF(ROUNDDOWN(K470,0)=$F$5,$H$5,$G$5))</f>
        <v>　Level 4</v>
      </c>
      <c r="L474" s="2583" t="s">
        <v>2528</v>
      </c>
      <c r="M474" s="2668"/>
      <c r="N474" s="2650"/>
      <c r="O474" s="2649"/>
    </row>
    <row r="475" spans="2:16" ht="45" customHeight="1">
      <c r="B475" s="2014">
        <v>5</v>
      </c>
      <c r="C475" s="2014">
        <v>5</v>
      </c>
      <c r="D475" s="395"/>
      <c r="E475" s="28"/>
      <c r="F475" s="2704" t="str">
        <f>IF(F470=$F$7,$G$6,IF(ROUNDDOWN(F470,0)=$F$6,$H$6,$G$6))</f>
        <v>　Level 5</v>
      </c>
      <c r="G475" s="3930" t="s">
        <v>2825</v>
      </c>
      <c r="H475" s="3931"/>
      <c r="I475" s="3931"/>
      <c r="J475" s="3932"/>
      <c r="K475" s="2704" t="str">
        <f>IF(K470=$F$7,$G$6,IF(ROUNDDOWN(K470,0)=$F$6,$H$6,$G$6))</f>
        <v>　Level 5</v>
      </c>
      <c r="L475" s="3930" t="s">
        <v>2827</v>
      </c>
      <c r="M475" s="3933"/>
      <c r="N475" s="3933"/>
      <c r="O475" s="3934"/>
    </row>
    <row r="476" spans="2:16">
      <c r="B476" s="2850">
        <v>0</v>
      </c>
      <c r="C476" s="2850">
        <v>0</v>
      </c>
      <c r="F476" s="2067" t="s">
        <v>3045</v>
      </c>
      <c r="G476" s="2708"/>
      <c r="H476" s="2759"/>
      <c r="I476" s="2709"/>
      <c r="J476" s="2710"/>
      <c r="K476" s="2067" t="s">
        <v>3045</v>
      </c>
      <c r="L476" s="2708"/>
      <c r="M476" s="2759"/>
      <c r="N476" s="2709"/>
      <c r="O476" s="2710"/>
      <c r="P476" s="1516"/>
    </row>
    <row r="480" spans="2:16"/>
    <row r="481"/>
    <row r="482"/>
    <row r="483"/>
    <row r="484"/>
    <row r="485"/>
    <row r="486"/>
    <row r="487"/>
    <row r="488"/>
    <row r="489"/>
    <row r="490"/>
    <row r="491"/>
    <row r="492"/>
    <row r="493"/>
    <row r="494"/>
    <row r="495"/>
    <row r="496"/>
    <row r="497"/>
    <row r="498"/>
    <row r="499"/>
    <row r="500"/>
    <row r="501"/>
    <row r="502"/>
    <row r="503"/>
  </sheetData>
  <sheetProtection algorithmName="SHA-512" hashValue="QJ2DFdTKr8ifXaorxdYo90jU00VEqC5wFWYy+vJORJWgGu7E43enG/gurQJHoZ/Cp5sipFqTSs9nJWOf7nepLw==" saltValue="uQtEplMU0xevs9cBvgBq6g==" spinCount="100000" sheet="1" objects="1" scenarios="1"/>
  <mergeCells count="340">
    <mergeCell ref="N56:O56"/>
    <mergeCell ref="J57:K57"/>
    <mergeCell ref="M154:N154"/>
    <mergeCell ref="M351:N351"/>
    <mergeCell ref="N57:O57"/>
    <mergeCell ref="N42:O42"/>
    <mergeCell ref="G43:H43"/>
    <mergeCell ref="I43:J43"/>
    <mergeCell ref="N43:O43"/>
    <mergeCell ref="H52:I52"/>
    <mergeCell ref="J52:K52"/>
    <mergeCell ref="J67:K67"/>
    <mergeCell ref="N58:O58"/>
    <mergeCell ref="L59:M59"/>
    <mergeCell ref="N59:O59"/>
    <mergeCell ref="J68:K68"/>
    <mergeCell ref="J69:K69"/>
    <mergeCell ref="L94:M94"/>
    <mergeCell ref="G63:G64"/>
    <mergeCell ref="H65:I65"/>
    <mergeCell ref="J65:K65"/>
    <mergeCell ref="J66:K66"/>
    <mergeCell ref="J56:K56"/>
    <mergeCell ref="L56:M56"/>
    <mergeCell ref="N40:O40"/>
    <mergeCell ref="G41:H41"/>
    <mergeCell ref="I41:J41"/>
    <mergeCell ref="N41:O41"/>
    <mergeCell ref="I40:J40"/>
    <mergeCell ref="N44:O44"/>
    <mergeCell ref="G45:H45"/>
    <mergeCell ref="I45:J45"/>
    <mergeCell ref="N45:O45"/>
    <mergeCell ref="G44:H44"/>
    <mergeCell ref="I44:J44"/>
    <mergeCell ref="G42:H42"/>
    <mergeCell ref="I42:J42"/>
    <mergeCell ref="G161:J161"/>
    <mergeCell ref="N165:O165"/>
    <mergeCell ref="N166:O166"/>
    <mergeCell ref="N167:O167"/>
    <mergeCell ref="G167:J167"/>
    <mergeCell ref="N189:O189"/>
    <mergeCell ref="N187:O187"/>
    <mergeCell ref="L58:M58"/>
    <mergeCell ref="L57:M57"/>
    <mergeCell ref="N94:O94"/>
    <mergeCell ref="L96:M96"/>
    <mergeCell ref="N96:O96"/>
    <mergeCell ref="L98:M98"/>
    <mergeCell ref="N98:O98"/>
    <mergeCell ref="G187:J187"/>
    <mergeCell ref="L187:M187"/>
    <mergeCell ref="G146:J146"/>
    <mergeCell ref="G147:J147"/>
    <mergeCell ref="G148:J148"/>
    <mergeCell ref="L146:O146"/>
    <mergeCell ref="L147:O147"/>
    <mergeCell ref="L148:O148"/>
    <mergeCell ref="G190:J190"/>
    <mergeCell ref="G191:J191"/>
    <mergeCell ref="L191:M191"/>
    <mergeCell ref="G183:J183"/>
    <mergeCell ref="G185:J185"/>
    <mergeCell ref="L183:M183"/>
    <mergeCell ref="N183:O183"/>
    <mergeCell ref="L184:M184"/>
    <mergeCell ref="N184:O184"/>
    <mergeCell ref="L185:M185"/>
    <mergeCell ref="N185:O185"/>
    <mergeCell ref="L186:M186"/>
    <mergeCell ref="N186:O186"/>
    <mergeCell ref="N190:O190"/>
    <mergeCell ref="N191:O191"/>
    <mergeCell ref="G189:J189"/>
    <mergeCell ref="L189:M189"/>
    <mergeCell ref="G204:I204"/>
    <mergeCell ref="J204:L204"/>
    <mergeCell ref="M204:N204"/>
    <mergeCell ref="G206:I206"/>
    <mergeCell ref="J206:L206"/>
    <mergeCell ref="M206:N206"/>
    <mergeCell ref="G192:J192"/>
    <mergeCell ref="G193:J193"/>
    <mergeCell ref="L193:M193"/>
    <mergeCell ref="I198:O198"/>
    <mergeCell ref="N193:O193"/>
    <mergeCell ref="N192:O192"/>
    <mergeCell ref="G213:J213"/>
    <mergeCell ref="L213:O213"/>
    <mergeCell ref="G214:J214"/>
    <mergeCell ref="L214:O214"/>
    <mergeCell ref="G207:I207"/>
    <mergeCell ref="J207:L207"/>
    <mergeCell ref="M207:N207"/>
    <mergeCell ref="G208:I208"/>
    <mergeCell ref="J208:L208"/>
    <mergeCell ref="M208:N208"/>
    <mergeCell ref="G221:H221"/>
    <mergeCell ref="I221:J221"/>
    <mergeCell ref="G222:H222"/>
    <mergeCell ref="I222:J222"/>
    <mergeCell ref="G215:J215"/>
    <mergeCell ref="L215:O215"/>
    <mergeCell ref="L216:O216"/>
    <mergeCell ref="G217:J217"/>
    <mergeCell ref="L217:O217"/>
    <mergeCell ref="G233:J233"/>
    <mergeCell ref="L233:O233"/>
    <mergeCell ref="G234:J234"/>
    <mergeCell ref="L234:O234"/>
    <mergeCell ref="G231:J231"/>
    <mergeCell ref="L231:O231"/>
    <mergeCell ref="G232:J232"/>
    <mergeCell ref="L232:O232"/>
    <mergeCell ref="G224:H224"/>
    <mergeCell ref="I224:J224"/>
    <mergeCell ref="G226:H226"/>
    <mergeCell ref="I226:J226"/>
    <mergeCell ref="G243:H243"/>
    <mergeCell ref="L243:M243"/>
    <mergeCell ref="N243:O243"/>
    <mergeCell ref="G244:H244"/>
    <mergeCell ref="L244:M244"/>
    <mergeCell ref="N244:O244"/>
    <mergeCell ref="G235:J235"/>
    <mergeCell ref="L235:O235"/>
    <mergeCell ref="G242:H242"/>
    <mergeCell ref="L242:M242"/>
    <mergeCell ref="N242:O242"/>
    <mergeCell ref="G245:H245"/>
    <mergeCell ref="L245:M245"/>
    <mergeCell ref="N245:O245"/>
    <mergeCell ref="G246:H246"/>
    <mergeCell ref="L246:M246"/>
    <mergeCell ref="N246:O246"/>
    <mergeCell ref="G250:H250"/>
    <mergeCell ref="L250:M250"/>
    <mergeCell ref="N250:O250"/>
    <mergeCell ref="N251:O251"/>
    <mergeCell ref="G261:H261"/>
    <mergeCell ref="I261:J261"/>
    <mergeCell ref="L261:M261"/>
    <mergeCell ref="N261:O261"/>
    <mergeCell ref="N252:O252"/>
    <mergeCell ref="G259:H259"/>
    <mergeCell ref="I259:J259"/>
    <mergeCell ref="L259:M259"/>
    <mergeCell ref="N259:O259"/>
    <mergeCell ref="G252:H252"/>
    <mergeCell ref="L252:M252"/>
    <mergeCell ref="G257:H257"/>
    <mergeCell ref="G267:H267"/>
    <mergeCell ref="I267:J267"/>
    <mergeCell ref="L267:M267"/>
    <mergeCell ref="N267:O267"/>
    <mergeCell ref="G265:H265"/>
    <mergeCell ref="I265:J265"/>
    <mergeCell ref="L265:M265"/>
    <mergeCell ref="N265:O265"/>
    <mergeCell ref="N262:O262"/>
    <mergeCell ref="G263:H263"/>
    <mergeCell ref="I263:J263"/>
    <mergeCell ref="L263:M263"/>
    <mergeCell ref="N263:O263"/>
    <mergeCell ref="G277:J277"/>
    <mergeCell ref="L277:O277"/>
    <mergeCell ref="G278:J278"/>
    <mergeCell ref="L278:O278"/>
    <mergeCell ref="G275:J275"/>
    <mergeCell ref="L275:O275"/>
    <mergeCell ref="G276:J276"/>
    <mergeCell ref="L276:O276"/>
    <mergeCell ref="N268:O268"/>
    <mergeCell ref="G269:H269"/>
    <mergeCell ref="I269:J269"/>
    <mergeCell ref="L269:M269"/>
    <mergeCell ref="N269:O269"/>
    <mergeCell ref="G279:J279"/>
    <mergeCell ref="L279:O279"/>
    <mergeCell ref="G312:H312"/>
    <mergeCell ref="L329:O329"/>
    <mergeCell ref="L330:O330"/>
    <mergeCell ref="G329:H329"/>
    <mergeCell ref="I329:J329"/>
    <mergeCell ref="G330:H330"/>
    <mergeCell ref="I330:J330"/>
    <mergeCell ref="L328:O328"/>
    <mergeCell ref="G328:H328"/>
    <mergeCell ref="I328:J328"/>
    <mergeCell ref="L288:M288"/>
    <mergeCell ref="N288:O288"/>
    <mergeCell ref="L289:M289"/>
    <mergeCell ref="L290:M290"/>
    <mergeCell ref="N289:O289"/>
    <mergeCell ref="N290:O290"/>
    <mergeCell ref="I310:J310"/>
    <mergeCell ref="G310:H310"/>
    <mergeCell ref="G311:H311"/>
    <mergeCell ref="I312:J312"/>
    <mergeCell ref="L331:O331"/>
    <mergeCell ref="L332:O332"/>
    <mergeCell ref="G331:H331"/>
    <mergeCell ref="I331:J331"/>
    <mergeCell ref="G332:H332"/>
    <mergeCell ref="I332:J332"/>
    <mergeCell ref="G362:J362"/>
    <mergeCell ref="L362:O362"/>
    <mergeCell ref="G363:J363"/>
    <mergeCell ref="L363:O363"/>
    <mergeCell ref="G357:H357"/>
    <mergeCell ref="F360:F361"/>
    <mergeCell ref="K360:K361"/>
    <mergeCell ref="G354:H354"/>
    <mergeCell ref="G374:H374"/>
    <mergeCell ref="L374:M374"/>
    <mergeCell ref="N374:O374"/>
    <mergeCell ref="G366:J366"/>
    <mergeCell ref="L366:O366"/>
    <mergeCell ref="G373:H373"/>
    <mergeCell ref="L373:M373"/>
    <mergeCell ref="N373:O373"/>
    <mergeCell ref="G364:J364"/>
    <mergeCell ref="L364:O364"/>
    <mergeCell ref="G365:J365"/>
    <mergeCell ref="L365:O365"/>
    <mergeCell ref="G377:H377"/>
    <mergeCell ref="L377:M377"/>
    <mergeCell ref="N377:O377"/>
    <mergeCell ref="G376:H376"/>
    <mergeCell ref="L376:M376"/>
    <mergeCell ref="N376:O376"/>
    <mergeCell ref="G375:H375"/>
    <mergeCell ref="L375:M375"/>
    <mergeCell ref="N375:O375"/>
    <mergeCell ref="G383:H383"/>
    <mergeCell ref="L383:M383"/>
    <mergeCell ref="N383:O383"/>
    <mergeCell ref="G381:H381"/>
    <mergeCell ref="L381:M381"/>
    <mergeCell ref="N381:O381"/>
    <mergeCell ref="J379:J382"/>
    <mergeCell ref="G379:H379"/>
    <mergeCell ref="L379:M379"/>
    <mergeCell ref="N379:O379"/>
    <mergeCell ref="L380:O380"/>
    <mergeCell ref="L382:O382"/>
    <mergeCell ref="G380:I380"/>
    <mergeCell ref="G382:I382"/>
    <mergeCell ref="I391:J391"/>
    <mergeCell ref="I392:J392"/>
    <mergeCell ref="G393:H393"/>
    <mergeCell ref="I393:J393"/>
    <mergeCell ref="G394:H394"/>
    <mergeCell ref="I394:J394"/>
    <mergeCell ref="G404:J404"/>
    <mergeCell ref="L404:O404"/>
    <mergeCell ref="G395:H395"/>
    <mergeCell ref="I395:J395"/>
    <mergeCell ref="L395:O395"/>
    <mergeCell ref="G401:J401"/>
    <mergeCell ref="L401:O401"/>
    <mergeCell ref="L394:O394"/>
    <mergeCell ref="I410:J410"/>
    <mergeCell ref="L410:O410"/>
    <mergeCell ref="G411:H411"/>
    <mergeCell ref="I411:J411"/>
    <mergeCell ref="L411:O411"/>
    <mergeCell ref="G413:H413"/>
    <mergeCell ref="I413:J413"/>
    <mergeCell ref="L413:O413"/>
    <mergeCell ref="G402:J402"/>
    <mergeCell ref="L402:O402"/>
    <mergeCell ref="G403:J403"/>
    <mergeCell ref="L403:O403"/>
    <mergeCell ref="G412:H412"/>
    <mergeCell ref="I412:J412"/>
    <mergeCell ref="L412:O412"/>
    <mergeCell ref="G405:J405"/>
    <mergeCell ref="L405:O405"/>
    <mergeCell ref="G410:H410"/>
    <mergeCell ref="G423:J423"/>
    <mergeCell ref="L423:O423"/>
    <mergeCell ref="G420:J420"/>
    <mergeCell ref="L420:O420"/>
    <mergeCell ref="G421:J421"/>
    <mergeCell ref="L421:O421"/>
    <mergeCell ref="G422:J422"/>
    <mergeCell ref="L422:O422"/>
    <mergeCell ref="G414:H414"/>
    <mergeCell ref="I414:J414"/>
    <mergeCell ref="L414:O414"/>
    <mergeCell ref="G419:J419"/>
    <mergeCell ref="L419:O419"/>
    <mergeCell ref="G432:H432"/>
    <mergeCell ref="I432:J432"/>
    <mergeCell ref="L432:O432"/>
    <mergeCell ref="G433:H433"/>
    <mergeCell ref="I433:J433"/>
    <mergeCell ref="L433:O433"/>
    <mergeCell ref="L442:M442"/>
    <mergeCell ref="N442:O442"/>
    <mergeCell ref="G442:H442"/>
    <mergeCell ref="I442:J442"/>
    <mergeCell ref="G434:H434"/>
    <mergeCell ref="I434:J434"/>
    <mergeCell ref="L434:O434"/>
    <mergeCell ref="G460:J460"/>
    <mergeCell ref="L460:O460"/>
    <mergeCell ref="G461:J461"/>
    <mergeCell ref="L461:O461"/>
    <mergeCell ref="G455:H455"/>
    <mergeCell ref="I455:J455"/>
    <mergeCell ref="L455:M455"/>
    <mergeCell ref="N455:O455"/>
    <mergeCell ref="L443:M443"/>
    <mergeCell ref="N443:O443"/>
    <mergeCell ref="L444:M444"/>
    <mergeCell ref="N444:O444"/>
    <mergeCell ref="G443:H443"/>
    <mergeCell ref="G444:H444"/>
    <mergeCell ref="I443:J443"/>
    <mergeCell ref="I444:J444"/>
    <mergeCell ref="G454:H454"/>
    <mergeCell ref="L454:M454"/>
    <mergeCell ref="G453:H453"/>
    <mergeCell ref="I453:J453"/>
    <mergeCell ref="L453:M453"/>
    <mergeCell ref="N453:O453"/>
    <mergeCell ref="G474:J474"/>
    <mergeCell ref="G475:J475"/>
    <mergeCell ref="L475:O475"/>
    <mergeCell ref="G473:J473"/>
    <mergeCell ref="L473:O473"/>
    <mergeCell ref="G464:J464"/>
    <mergeCell ref="L464:O464"/>
    <mergeCell ref="G462:J462"/>
    <mergeCell ref="L462:O462"/>
    <mergeCell ref="G463:J463"/>
    <mergeCell ref="L463:O463"/>
  </mergeCells>
  <phoneticPr fontId="26"/>
  <conditionalFormatting sqref="F14 F75 F92 F109 F126 F143 F155 F171 F181 F203 F212 F221 F230 F240 F257 F274 F286 F297 F307 F327 F337 F352 F371 F390 F400 F409 F418 F429 F439 F450 F459 F470">
    <cfRule type="expression" dxfId="83" priority="17" stopIfTrue="1">
      <formula>AND(OR(F14&lt;1,F14&gt;5),F14&lt;&gt;0)</formula>
    </cfRule>
    <cfRule type="expression" dxfId="82" priority="18" stopIfTrue="1">
      <formula>$J13&gt;0</formula>
    </cfRule>
  </conditionalFormatting>
  <conditionalFormatting sqref="F47">
    <cfRule type="expression" dxfId="81" priority="26" stopIfTrue="1">
      <formula>$M$51&lt;2000</formula>
    </cfRule>
  </conditionalFormatting>
  <conditionalFormatting sqref="F50">
    <cfRule type="expression" dxfId="80" priority="467" stopIfTrue="1">
      <formula>AND(OR($F$50&lt;1,$F$50&gt;5),$F$50&lt;&gt;$R$46)</formula>
    </cfRule>
    <cfRule type="expression" dxfId="79" priority="468" stopIfTrue="1">
      <formula>AND(J39&gt;0,$M$51&gt;0,I50=$N$4)</formula>
    </cfRule>
  </conditionalFormatting>
  <conditionalFormatting sqref="F318">
    <cfRule type="expression" dxfId="78" priority="1" stopIfTrue="1">
      <formula>AND(OR(F318&lt;1,F318&gt;5),F318&lt;&gt;0)</formula>
    </cfRule>
    <cfRule type="expression" dxfId="77" priority="2" stopIfTrue="1">
      <formula>$J317&gt;0</formula>
    </cfRule>
  </conditionalFormatting>
  <conditionalFormatting sqref="F360 K360">
    <cfRule type="expression" dxfId="76" priority="7" stopIfTrue="1">
      <formula>AND(OR(F360&lt;1,F360&gt;5),F360&lt;&gt;R367)</formula>
    </cfRule>
    <cfRule type="expression" dxfId="75" priority="8" stopIfTrue="1">
      <formula>J359&gt;0</formula>
    </cfRule>
  </conditionalFormatting>
  <conditionalFormatting sqref="F361 K361">
    <cfRule type="expression" dxfId="74" priority="9" stopIfTrue="1">
      <formula>AND(OR(F361&lt;1,F361&gt;5),F361&lt;&gt;#REF!)</formula>
    </cfRule>
    <cfRule type="expression" dxfId="73" priority="10" stopIfTrue="1">
      <formula>J360&gt;0</formula>
    </cfRule>
  </conditionalFormatting>
  <conditionalFormatting sqref="F52:G55">
    <cfRule type="expression" dxfId="72" priority="618" stopIfTrue="1">
      <formula>AND($J$39&gt;0,$M$51&gt;2000)</formula>
    </cfRule>
    <cfRule type="expression" dxfId="71" priority="619" stopIfTrue="1">
      <formula>AND($J$39&gt;0,$M$51&lt;2000,$F$47=#REF!)</formula>
    </cfRule>
  </conditionalFormatting>
  <conditionalFormatting sqref="F56:G59">
    <cfRule type="expression" dxfId="70" priority="23" stopIfTrue="1">
      <formula>$J$39&gt;0</formula>
    </cfRule>
  </conditionalFormatting>
  <conditionalFormatting sqref="G50">
    <cfRule type="expression" dxfId="69" priority="463" stopIfTrue="1">
      <formula>AND(OR($G$50&lt;1,$G$50&gt;5),$G$50&lt;&gt;$R$46)</formula>
    </cfRule>
    <cfRule type="expression" dxfId="68" priority="464" stopIfTrue="1">
      <formula>AND(O39&gt;0,O$51&gt;0,I50=$N$4)</formula>
    </cfRule>
  </conditionalFormatting>
  <conditionalFormatting sqref="G62">
    <cfRule type="expression" dxfId="67" priority="465" stopIfTrue="1">
      <formula>AND(OR($G$62&lt;1,$G$62&gt;5),$G$62&lt;&gt;$W$46)</formula>
    </cfRule>
    <cfRule type="expression" dxfId="66" priority="466" stopIfTrue="1">
      <formula>AND(O39&gt;0,K63&gt;0,I62=$N$4)</formula>
    </cfRule>
  </conditionalFormatting>
  <conditionalFormatting sqref="G65:G69">
    <cfRule type="expression" dxfId="65" priority="459" stopIfTrue="1">
      <formula>$I$62=$N$4</formula>
    </cfRule>
    <cfRule type="expression" dxfId="64" priority="460" stopIfTrue="1">
      <formula>AND($O$39&gt;0,$K$63&gt;0)</formula>
    </cfRule>
  </conditionalFormatting>
  <conditionalFormatting sqref="I50">
    <cfRule type="expression" dxfId="63" priority="3" stopIfTrue="1">
      <formula>AND(J39&gt;0,$M$51&gt;0)</formula>
    </cfRule>
  </conditionalFormatting>
  <conditionalFormatting sqref="I62">
    <cfRule type="expression" dxfId="62" priority="4" stopIfTrue="1">
      <formula>AND(O39&gt;0,K63&gt;0)</formula>
    </cfRule>
  </conditionalFormatting>
  <conditionalFormatting sqref="L14 K75 K92 K109 K126 K143 M155 K181 K212 K230 K240 K257 K274 K286 K307 K327 M352 K371 K390 K400 K409 K418 K429 K439 K450 K459 K470">
    <cfRule type="expression" dxfId="61" priority="5" stopIfTrue="1">
      <formula>AND(OR(K14&lt;1,K14&gt;5),K14&lt;&gt;0)</formula>
    </cfRule>
    <cfRule type="expression" dxfId="60" priority="6" stopIfTrue="1">
      <formula>$O13&gt;0</formula>
    </cfRule>
  </conditionalFormatting>
  <dataValidations count="10">
    <dataValidation type="list" allowBlank="1" showInputMessage="1" sqref="K360 F360" xr:uid="{00000000-0002-0000-0900-000000000000}">
      <formula1>R362:R367</formula1>
    </dataValidation>
    <dataValidation type="list" allowBlank="1" showInputMessage="1" sqref="L14 M155 K75 K126 K109 K92 K143 K212 K230 K181 K257 K286 K307 K318 K327 M352 K371 K390 K400 K409 K418 K429 K439 K450 K459 K470 K274 K240" xr:uid="{00000000-0002-0000-0900-000001000000}">
      <formula1>$C15:$C20</formula1>
    </dataValidation>
    <dataValidation type="list" allowBlank="1" showInputMessage="1" sqref="K361 F361" xr:uid="{00000000-0002-0000-0900-000002000000}">
      <formula1>R363:R367</formula1>
    </dataValidation>
    <dataValidation type="list" allowBlank="1" showInputMessage="1" sqref="F14 F155 F181 F143 F126 F109 F92 F75 F221 F230 F240 F286 F297 F307 F390 F327 F352 F371 F203 F409 F429 F439 F459 F470 F400 F337 F257 F450 F418 F274 F212 F171 F318" xr:uid="{00000000-0002-0000-0900-000003000000}">
      <formula1>$B15:$B20</formula1>
    </dataValidation>
    <dataValidation type="list" allowBlank="1" showInputMessage="1" showErrorMessage="1" sqref="G65:G69 F52:G59" xr:uid="{00000000-0002-0000-0900-000004000000}">
      <formula1>"○,　"</formula1>
    </dataValidation>
    <dataValidation type="list" allowBlank="1" sqref="G62" xr:uid="{00000000-0002-0000-0900-000005000000}">
      <formula1>$B$63:$B$68</formula1>
    </dataValidation>
    <dataValidation type="list" allowBlank="1" showInputMessage="1" sqref="G50" xr:uid="{00000000-0002-0000-0900-000006000000}">
      <formula1>$C$51:$C$56</formula1>
    </dataValidation>
    <dataValidation type="list" allowBlank="1" showInputMessage="1" sqref="F50" xr:uid="{00000000-0002-0000-0900-000007000000}">
      <formula1>$B$51:$B$56</formula1>
    </dataValidation>
    <dataValidation type="list" allowBlank="1" showInputMessage="1" showErrorMessage="1" sqref="I62 I50" xr:uid="{00000000-0002-0000-0900-000008000000}">
      <formula1>$N$3:$N$4</formula1>
    </dataValidation>
    <dataValidation type="list" allowBlank="1" showInputMessage="1" showErrorMessage="1" sqref="F47" xr:uid="{00000000-0002-0000-0900-000009000000}">
      <formula1>$M$3:$M$3</formula1>
    </dataValidation>
  </dataValidations>
  <printOptions horizontalCentered="1"/>
  <pageMargins left="0.59055118110236227" right="0.59055118110236227" top="0.78740157480314965" bottom="0.59055118110236227" header="0.51181102362204722" footer="0.51181102362204722"/>
  <pageSetup paperSize="9" scale="79" fitToHeight="0" orientation="portrait" verticalDpi="4294967293" r:id="rId1"/>
  <headerFooter alignWithMargins="0">
    <oddHeader>&amp;L&amp;F&amp;R&amp;A</oddHeader>
    <oddFooter>&amp;C&amp;P/&amp;N</oddFooter>
  </headerFooter>
  <rowBreaks count="11" manualBreakCount="11">
    <brk id="123" min="3" max="15" man="1"/>
    <brk id="150" min="3" max="15" man="1"/>
    <brk id="178" min="3" max="15" man="1"/>
    <brk id="200" min="3" max="15" man="1"/>
    <brk id="237" min="3" max="15" man="1"/>
    <brk id="254" min="3" max="15" man="1"/>
    <brk id="293" min="3" max="15" man="1"/>
    <brk id="349" min="3" max="15" man="1"/>
    <brk id="368" min="3" max="15" man="1"/>
    <brk id="436" min="3" max="15" man="1"/>
    <brk id="447" min="3" max="15" man="1"/>
  </rowBreaks>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8">
    <pageSetUpPr autoPageBreaks="0" fitToPage="1"/>
  </sheetPr>
  <dimension ref="A1:AI428"/>
  <sheetViews>
    <sheetView showGridLines="0" zoomScaleNormal="100" workbookViewId="0">
      <selection activeCell="F15" sqref="F15"/>
    </sheetView>
  </sheetViews>
  <sheetFormatPr defaultColWidth="0" defaultRowHeight="14.25" zeroHeight="1"/>
  <cols>
    <col min="1" max="1" width="2.625" style="1105" customWidth="1"/>
    <col min="2" max="3" width="6" style="1105" hidden="1" customWidth="1"/>
    <col min="4" max="4" width="5" style="2687" customWidth="1"/>
    <col min="5" max="5" width="1.5" style="1105" customWidth="1"/>
    <col min="6" max="15" width="10.625" style="1105" customWidth="1"/>
    <col min="16" max="16" width="2.875" style="1105" customWidth="1"/>
    <col min="17" max="21" width="5.875" style="1105" hidden="1" customWidth="1"/>
    <col min="22" max="16384" width="5.5" style="1105" hidden="1"/>
  </cols>
  <sheetData>
    <row r="1" spans="2:15" ht="15.75">
      <c r="D1" s="393"/>
      <c r="E1" s="1529"/>
      <c r="F1" s="1529"/>
      <c r="G1" s="1529"/>
      <c r="H1" s="1529"/>
      <c r="I1" s="1529"/>
      <c r="J1" s="1529"/>
      <c r="K1" s="1529"/>
      <c r="L1" s="1529"/>
      <c r="M1" s="1516" t="s">
        <v>1517</v>
      </c>
      <c r="N1" s="2564" t="str">
        <f>Main!C11</f>
        <v>XXX Building</v>
      </c>
      <c r="O1" s="2564"/>
    </row>
    <row r="2" spans="2:15" ht="15.75" hidden="1">
      <c r="D2" s="393"/>
      <c r="E2" s="1529"/>
      <c r="F2" s="1105">
        <v>1</v>
      </c>
      <c r="G2" s="1105" t="s">
        <v>4133</v>
      </c>
      <c r="H2" s="1105" t="s">
        <v>4134</v>
      </c>
      <c r="J2" s="1529"/>
      <c r="K2" s="1529"/>
      <c r="L2" s="1529"/>
      <c r="M2" s="3438"/>
      <c r="N2" s="1959"/>
      <c r="O2" s="1959"/>
    </row>
    <row r="3" spans="2:15" ht="15.75" hidden="1">
      <c r="D3" s="393"/>
      <c r="E3" s="1529"/>
      <c r="F3" s="1105">
        <v>2</v>
      </c>
      <c r="G3" s="1105" t="s">
        <v>4135</v>
      </c>
      <c r="H3" s="1105" t="s">
        <v>4136</v>
      </c>
      <c r="J3" s="1529"/>
      <c r="K3" s="1105" t="s">
        <v>4132</v>
      </c>
      <c r="L3" s="1105" t="s">
        <v>2829</v>
      </c>
      <c r="M3" s="1105" t="s">
        <v>2418</v>
      </c>
      <c r="N3" s="1105" t="s">
        <v>2832</v>
      </c>
      <c r="O3" s="1105" t="str">
        <f>Main!I37</f>
        <v>Preliminary design stage</v>
      </c>
    </row>
    <row r="4" spans="2:15" ht="15.75" hidden="1">
      <c r="D4" s="393"/>
      <c r="E4" s="1529"/>
      <c r="F4" s="1105">
        <v>3</v>
      </c>
      <c r="G4" s="1105" t="s">
        <v>4137</v>
      </c>
      <c r="H4" s="1105" t="s">
        <v>4138</v>
      </c>
      <c r="J4" s="1529"/>
      <c r="K4" s="1529"/>
      <c r="N4" s="1105" t="s">
        <v>2833</v>
      </c>
      <c r="O4" s="1105" t="str">
        <f>Main!I38</f>
        <v>Execution design stage</v>
      </c>
    </row>
    <row r="5" spans="2:15" ht="15.75" hidden="1">
      <c r="D5" s="393"/>
      <c r="E5" s="1529"/>
      <c r="F5" s="1105">
        <v>4</v>
      </c>
      <c r="G5" s="1105" t="s">
        <v>4139</v>
      </c>
      <c r="H5" s="1105" t="s">
        <v>4140</v>
      </c>
      <c r="J5" s="1529"/>
      <c r="K5" s="1529"/>
      <c r="O5" s="1105" t="str">
        <f>Main!I39</f>
        <v>Construction completion stage</v>
      </c>
    </row>
    <row r="6" spans="2:15" ht="15.75" hidden="1">
      <c r="D6" s="393"/>
      <c r="E6" s="1529"/>
      <c r="F6" s="1105">
        <v>5</v>
      </c>
      <c r="G6" s="1105" t="s">
        <v>4141</v>
      </c>
      <c r="H6" s="1105" t="s">
        <v>4142</v>
      </c>
      <c r="J6" s="1529"/>
      <c r="K6" s="1529"/>
      <c r="M6" s="1105" t="s">
        <v>2418</v>
      </c>
      <c r="O6" s="1105">
        <f>Main!Q42</f>
        <v>0</v>
      </c>
    </row>
    <row r="7" spans="2:15" ht="15.75" hidden="1">
      <c r="D7" s="393"/>
      <c r="E7" s="1529"/>
      <c r="F7" s="1105">
        <v>0</v>
      </c>
      <c r="G7" s="1105" t="s">
        <v>4143</v>
      </c>
      <c r="H7" s="1105" t="s">
        <v>4143</v>
      </c>
      <c r="J7" s="1529"/>
      <c r="K7" s="1529"/>
      <c r="M7" s="1105" t="s">
        <v>2831</v>
      </c>
      <c r="N7" t="s">
        <v>4980</v>
      </c>
    </row>
    <row r="8" spans="2:15" ht="16.5" thickBot="1">
      <c r="D8" s="393"/>
      <c r="E8" s="1529"/>
      <c r="J8" s="1529"/>
      <c r="K8" s="1529"/>
      <c r="L8" s="1529"/>
      <c r="N8" s="1529"/>
      <c r="O8" s="1529"/>
    </row>
    <row r="9" spans="2:15" ht="18.75" thickBot="1">
      <c r="D9" s="409" t="s">
        <v>1498</v>
      </c>
      <c r="E9" s="2685"/>
      <c r="F9" s="119"/>
      <c r="G9" s="119"/>
      <c r="H9" s="119"/>
      <c r="I9" s="2686"/>
      <c r="J9" s="53" t="s">
        <v>2520</v>
      </c>
      <c r="K9" s="28"/>
      <c r="L9" s="28"/>
      <c r="M9" s="119"/>
      <c r="N9" s="119"/>
      <c r="O9" s="2567" t="str">
        <f>IF(Main!E39=0,"",Main!E39)</f>
        <v>Execution design stage</v>
      </c>
    </row>
    <row r="10" spans="2:15" ht="18">
      <c r="D10" s="395"/>
      <c r="E10" s="2685"/>
      <c r="F10" s="119"/>
      <c r="G10" s="119"/>
      <c r="H10" s="119"/>
      <c r="I10" s="119"/>
      <c r="J10" s="2568"/>
      <c r="K10" s="119"/>
      <c r="L10" s="119"/>
      <c r="M10" s="119"/>
      <c r="N10" s="119"/>
      <c r="O10" s="2569" t="s">
        <v>3044</v>
      </c>
    </row>
    <row r="11" spans="2:15" ht="15.75">
      <c r="D11" s="393">
        <v>1</v>
      </c>
      <c r="E11" s="13" t="s">
        <v>1591</v>
      </c>
      <c r="F11" s="13"/>
      <c r="G11" s="13"/>
      <c r="H11" s="13"/>
      <c r="I11" s="13"/>
      <c r="J11" s="13"/>
      <c r="K11" s="13"/>
      <c r="L11" s="13"/>
      <c r="M11" s="13"/>
      <c r="N11" s="13"/>
      <c r="O11" s="13"/>
    </row>
    <row r="12" spans="2:15" ht="15.75">
      <c r="D12" s="393">
        <v>1.1000000000000001</v>
      </c>
      <c r="E12" s="13" t="s">
        <v>2838</v>
      </c>
      <c r="F12" s="13"/>
      <c r="G12" s="2851"/>
      <c r="H12" s="13"/>
      <c r="I12" s="13"/>
      <c r="J12" s="13"/>
      <c r="K12" s="13"/>
      <c r="L12" s="2851"/>
      <c r="M12" s="13"/>
      <c r="N12" s="13"/>
      <c r="O12" s="13"/>
    </row>
    <row r="13" spans="2:15" ht="15.75">
      <c r="D13" s="395"/>
      <c r="E13" s="28"/>
      <c r="F13" s="396" t="s">
        <v>2839</v>
      </c>
      <c r="G13" s="2851"/>
      <c r="H13" s="13"/>
      <c r="I13" s="1529"/>
      <c r="J13" s="2674" t="str">
        <f>IF(OR(F15=0,AND(J14=0,O14=0)),$L$3,"")</f>
        <v/>
      </c>
      <c r="K13" s="396"/>
      <c r="L13" s="2851"/>
      <c r="M13" s="13"/>
      <c r="N13" s="1529"/>
      <c r="O13" s="3219"/>
    </row>
    <row r="14" spans="2:15" ht="19.899999999999999" customHeight="1" thickBot="1">
      <c r="D14" s="395"/>
      <c r="E14" s="28"/>
      <c r="F14" s="2843" t="s">
        <v>2613</v>
      </c>
      <c r="G14" s="2688"/>
      <c r="H14" s="2853"/>
      <c r="I14" s="2842" t="s">
        <v>2629</v>
      </c>
      <c r="J14" s="2692">
        <f>Weight!M65</f>
        <v>0.33333333333333331</v>
      </c>
      <c r="K14" s="2843" t="s">
        <v>2615</v>
      </c>
      <c r="L14" s="2688"/>
      <c r="M14" s="2853"/>
      <c r="N14" s="2842" t="s">
        <v>2629</v>
      </c>
      <c r="O14" s="2692">
        <f>Weight!N65</f>
        <v>0</v>
      </c>
    </row>
    <row r="15" spans="2:15" ht="27" customHeight="1" thickBot="1">
      <c r="D15" s="395"/>
      <c r="E15" s="28"/>
      <c r="F15" s="2693">
        <v>3</v>
      </c>
      <c r="G15" s="3187" t="s">
        <v>2841</v>
      </c>
      <c r="H15" s="3188"/>
      <c r="I15" s="3571" t="s">
        <v>2840</v>
      </c>
      <c r="J15" s="3572"/>
      <c r="K15" s="2693">
        <v>3</v>
      </c>
      <c r="L15" s="2652" t="s">
        <v>2851</v>
      </c>
      <c r="M15" s="2678"/>
      <c r="N15" s="2652" t="s">
        <v>1678</v>
      </c>
      <c r="O15" s="2698"/>
    </row>
    <row r="16" spans="2:15" ht="30.75" customHeight="1">
      <c r="B16" s="3573">
        <v>1</v>
      </c>
      <c r="C16" s="2014">
        <v>1</v>
      </c>
      <c r="D16" s="395"/>
      <c r="E16" s="28"/>
      <c r="F16" s="2699" t="str">
        <f>IF(F15=$F$7,$G$2,IF(ROUNDDOWN(F15,0)=$F$2,$H$2,$G$2))</f>
        <v>　Level 1</v>
      </c>
      <c r="G16" s="2814" t="s">
        <v>2699</v>
      </c>
      <c r="H16" s="2809"/>
      <c r="I16" s="3574"/>
      <c r="J16" s="3575"/>
      <c r="K16" s="2699" t="str">
        <f>IF(K15=$F$7,$G$2,IF(ROUNDDOWN(K15,0)=$F$2,$H$2,$G$2))</f>
        <v>　Level 1</v>
      </c>
      <c r="L16" s="2582" t="s">
        <v>2699</v>
      </c>
      <c r="M16" s="2670"/>
      <c r="N16" s="2582" t="s">
        <v>2699</v>
      </c>
      <c r="O16" s="2670"/>
    </row>
    <row r="17" spans="2:35" ht="30.75" customHeight="1">
      <c r="B17" s="3573" t="s">
        <v>697</v>
      </c>
      <c r="C17" s="2014" t="s">
        <v>697</v>
      </c>
      <c r="D17" s="395"/>
      <c r="E17" s="28"/>
      <c r="F17" s="2702" t="str">
        <f>IF(F15=$F$7,$G$3,IF(ROUNDDOWN(F15,0)=$F$3,$H$3,$G$3))</f>
        <v>　Level 2</v>
      </c>
      <c r="G17" s="2789" t="s">
        <v>2528</v>
      </c>
      <c r="H17" s="2777"/>
      <c r="I17" s="3576"/>
      <c r="J17" s="3577"/>
      <c r="K17" s="2702" t="str">
        <f>IF(K15=$F$7,$G$3,IF(ROUNDDOWN(K15,0)=$F$3,$H$3,$G$3))</f>
        <v>　Level 2</v>
      </c>
      <c r="L17" s="2583" t="s">
        <v>2528</v>
      </c>
      <c r="M17" s="2671"/>
      <c r="N17" s="2583" t="s">
        <v>2528</v>
      </c>
      <c r="O17" s="2671"/>
    </row>
    <row r="18" spans="2:35" ht="46.15" customHeight="1">
      <c r="B18" s="2014">
        <v>3</v>
      </c>
      <c r="C18" s="2014">
        <v>3</v>
      </c>
      <c r="D18" s="395"/>
      <c r="E18" s="28"/>
      <c r="F18" s="2702" t="str">
        <f>IF(F15=$F$7,$G$4,IF(ROUNDDOWN(F15,0)=$F$4,$H$4,$G$4))</f>
        <v>■Level 3</v>
      </c>
      <c r="G18" s="3808" t="s">
        <v>2847</v>
      </c>
      <c r="H18" s="3810"/>
      <c r="I18" s="3576"/>
      <c r="J18" s="3577"/>
      <c r="K18" s="2702" t="str">
        <f>IF(K15=$F$7,$G$4,IF(ROUNDDOWN(K15,0)=$F$4,$H$4,$G$4))</f>
        <v>■Level 3</v>
      </c>
      <c r="L18" s="3927" t="s">
        <v>2842</v>
      </c>
      <c r="M18" s="3936"/>
      <c r="N18" s="3927" t="s">
        <v>2843</v>
      </c>
      <c r="O18" s="3929"/>
    </row>
    <row r="19" spans="2:35" ht="30.75" customHeight="1">
      <c r="B19" s="3573">
        <v>4</v>
      </c>
      <c r="C19" s="2014">
        <v>4</v>
      </c>
      <c r="D19" s="395"/>
      <c r="E19" s="28"/>
      <c r="F19" s="2702" t="str">
        <f>IF(F15=$F$7,$G$5,IF(ROUNDDOWN(F15,0)=$F$5,$H$5,$G$5))</f>
        <v>　Level 4</v>
      </c>
      <c r="G19" s="3808" t="s">
        <v>2848</v>
      </c>
      <c r="H19" s="3929"/>
      <c r="I19" s="3576"/>
      <c r="J19" s="3577"/>
      <c r="K19" s="2702" t="str">
        <f>IF(K15=$F$7,$G$5,IF(ROUNDDOWN(K15,0)=$F$5,$H$5,$G$5))</f>
        <v>　Level 4</v>
      </c>
      <c r="L19" s="2583" t="s">
        <v>2528</v>
      </c>
      <c r="M19" s="2671"/>
      <c r="N19" s="3927" t="s">
        <v>2844</v>
      </c>
      <c r="O19" s="3929"/>
    </row>
    <row r="20" spans="2:35" ht="43.9" customHeight="1">
      <c r="B20" s="3573">
        <v>5</v>
      </c>
      <c r="C20" s="2014">
        <v>5</v>
      </c>
      <c r="D20" s="395"/>
      <c r="E20" s="28"/>
      <c r="F20" s="2704" t="str">
        <f>IF(F15=$F$7,$G$6,IF(ROUNDDOWN(F15,0)=$F$6,$H$6,$G$6))</f>
        <v>　Level 5</v>
      </c>
      <c r="G20" s="3937" t="s">
        <v>2849</v>
      </c>
      <c r="H20" s="3932"/>
      <c r="I20" s="3578"/>
      <c r="J20" s="3579"/>
      <c r="K20" s="2704" t="str">
        <f>IF(K15=$F$7,$G$6,IF(ROUNDDOWN(K15,0)=$F$6,$H$6,$G$6))</f>
        <v>　Level 5</v>
      </c>
      <c r="L20" s="3930" t="s">
        <v>2845</v>
      </c>
      <c r="M20" s="3932"/>
      <c r="N20" s="3930" t="s">
        <v>2846</v>
      </c>
      <c r="O20" s="3932"/>
    </row>
    <row r="21" spans="2:35" ht="15.75">
      <c r="B21" s="2850">
        <v>0</v>
      </c>
      <c r="C21" s="2850">
        <v>0</v>
      </c>
      <c r="D21" s="395"/>
      <c r="E21" s="395"/>
      <c r="F21" s="2067" t="s">
        <v>3045</v>
      </c>
      <c r="G21" s="2708"/>
      <c r="H21" s="2759"/>
      <c r="I21" s="2709"/>
      <c r="J21" s="2710"/>
      <c r="K21" s="1516"/>
      <c r="P21" s="395"/>
      <c r="Q21" s="395"/>
      <c r="R21" s="395"/>
      <c r="S21" s="395"/>
      <c r="T21" s="395"/>
      <c r="U21" s="395"/>
      <c r="V21" s="395"/>
      <c r="W21" s="395"/>
      <c r="X21" s="395"/>
      <c r="Y21" s="395"/>
      <c r="Z21" s="395"/>
      <c r="AA21" s="395"/>
      <c r="AB21" s="395"/>
      <c r="AC21" s="395"/>
      <c r="AD21" s="395"/>
      <c r="AE21" s="395"/>
      <c r="AF21" s="395"/>
      <c r="AG21" s="395"/>
      <c r="AH21" s="395"/>
      <c r="AI21" s="395"/>
    </row>
    <row r="22" spans="2:35" ht="15.75">
      <c r="B22" s="2712"/>
      <c r="C22" s="2712"/>
      <c r="D22" s="395"/>
      <c r="E22" s="395"/>
      <c r="G22" s="1516" t="s">
        <v>2850</v>
      </c>
      <c r="H22" s="3580"/>
      <c r="I22" s="1516" t="s">
        <v>2852</v>
      </c>
      <c r="J22" s="3581"/>
      <c r="K22" s="1516" t="s">
        <v>2853</v>
      </c>
      <c r="L22" s="3259"/>
      <c r="M22" s="1516" t="s">
        <v>2854</v>
      </c>
      <c r="N22" s="3259"/>
      <c r="P22" s="395"/>
      <c r="Q22" s="395"/>
      <c r="R22" s="395"/>
      <c r="S22" s="395"/>
      <c r="T22" s="395"/>
      <c r="U22" s="395"/>
      <c r="V22" s="395"/>
      <c r="W22" s="395"/>
      <c r="X22" s="395"/>
      <c r="Y22" s="395"/>
      <c r="Z22" s="395"/>
      <c r="AA22" s="395"/>
      <c r="AB22" s="395"/>
      <c r="AC22" s="395"/>
      <c r="AD22" s="395"/>
      <c r="AE22" s="395"/>
      <c r="AF22" s="395"/>
      <c r="AG22" s="395"/>
      <c r="AH22" s="395"/>
      <c r="AI22" s="395"/>
    </row>
    <row r="23" spans="2:35" ht="15.75">
      <c r="B23" s="2712"/>
      <c r="C23" s="2712"/>
      <c r="D23" s="395"/>
      <c r="E23" s="395"/>
      <c r="F23" s="395"/>
      <c r="G23" s="395"/>
      <c r="H23" s="395"/>
      <c r="I23" s="395"/>
      <c r="J23" s="395"/>
      <c r="K23" s="395"/>
      <c r="L23" s="395"/>
      <c r="M23" s="395"/>
      <c r="N23" s="395"/>
      <c r="O23" s="395"/>
      <c r="P23" s="395"/>
      <c r="Q23" s="395"/>
      <c r="R23" s="395"/>
      <c r="S23" s="395"/>
      <c r="T23" s="395"/>
      <c r="U23" s="395"/>
      <c r="V23" s="395"/>
      <c r="W23" s="395"/>
      <c r="X23" s="395"/>
      <c r="Y23" s="395"/>
      <c r="Z23" s="395"/>
      <c r="AA23" s="395"/>
      <c r="AB23" s="395"/>
      <c r="AC23" s="395"/>
      <c r="AD23" s="395"/>
      <c r="AE23" s="395"/>
      <c r="AF23" s="395"/>
      <c r="AG23" s="395"/>
      <c r="AH23" s="395"/>
      <c r="AI23" s="395"/>
    </row>
    <row r="24" spans="2:35" ht="15.75">
      <c r="D24" s="395"/>
      <c r="E24" s="119"/>
      <c r="F24" s="396" t="s">
        <v>2866</v>
      </c>
      <c r="J24" s="1105" t="str">
        <f>IF(OR(F26=0,AND(J25=0,O25=0)),$L$3,"")</f>
        <v/>
      </c>
    </row>
    <row r="25" spans="2:35" ht="19.899999999999999" customHeight="1" thickBot="1">
      <c r="D25" s="395"/>
      <c r="E25" s="119"/>
      <c r="F25" s="2843" t="s">
        <v>2613</v>
      </c>
      <c r="G25" s="2688"/>
      <c r="H25" s="2853"/>
      <c r="I25" s="2842" t="s">
        <v>2629</v>
      </c>
      <c r="J25" s="2692">
        <f>Weight!M66</f>
        <v>0.33333333333333331</v>
      </c>
      <c r="K25" s="2843" t="s">
        <v>2615</v>
      </c>
      <c r="L25" s="2688"/>
      <c r="M25" s="2853"/>
      <c r="N25" s="2842" t="s">
        <v>2629</v>
      </c>
      <c r="O25" s="2692">
        <f>Weight!N66</f>
        <v>0</v>
      </c>
    </row>
    <row r="26" spans="2:35" ht="27" customHeight="1" thickBot="1">
      <c r="D26" s="395"/>
      <c r="E26" s="119"/>
      <c r="F26" s="2693">
        <v>3</v>
      </c>
      <c r="G26" s="2652" t="s">
        <v>2841</v>
      </c>
      <c r="H26" s="2571"/>
      <c r="I26" s="2571"/>
      <c r="J26" s="2678"/>
      <c r="K26" s="2693">
        <v>3</v>
      </c>
      <c r="L26" s="2652" t="s">
        <v>2860</v>
      </c>
      <c r="M26" s="2571"/>
      <c r="N26" s="2571"/>
      <c r="O26" s="2678"/>
    </row>
    <row r="27" spans="2:35" ht="21" customHeight="1">
      <c r="B27" s="2014">
        <v>1</v>
      </c>
      <c r="C27" s="2014">
        <v>1</v>
      </c>
      <c r="D27" s="395"/>
      <c r="E27" s="119"/>
      <c r="F27" s="2699" t="str">
        <f>IF(F26=$F$7,$G$2,IF(ROUNDDOWN(F26,0)=$F$2,$H$2,$G$2))</f>
        <v>　Level 1</v>
      </c>
      <c r="G27" s="2582" t="s">
        <v>2855</v>
      </c>
      <c r="H27" s="2620"/>
      <c r="I27" s="2620"/>
      <c r="J27" s="2670"/>
      <c r="K27" s="3582" t="str">
        <f>IF(K26=$F$7,$G$2,IF(ROUNDDOWN(K26,0)=$F$2,$H$2,$G$2))</f>
        <v>　Level 1</v>
      </c>
      <c r="L27" s="2582" t="s">
        <v>2855</v>
      </c>
      <c r="M27" s="2620"/>
      <c r="N27" s="2620"/>
      <c r="O27" s="2670"/>
    </row>
    <row r="28" spans="2:35" ht="54.75" customHeight="1">
      <c r="B28" s="2014">
        <v>2</v>
      </c>
      <c r="C28" s="2014">
        <v>2</v>
      </c>
      <c r="D28" s="395"/>
      <c r="E28" s="119"/>
      <c r="F28" s="2702" t="str">
        <f>IF(F26=$F$7,$G$3,IF(ROUNDDOWN(F26,0)=$F$3,$H$3,$G$3))</f>
        <v>　Level 2</v>
      </c>
      <c r="G28" s="3927" t="s">
        <v>2856</v>
      </c>
      <c r="H28" s="3928"/>
      <c r="I28" s="3928"/>
      <c r="J28" s="3929"/>
      <c r="K28" s="3582" t="str">
        <f>IF(K26=$F$7,$G$3,IF(ROUNDDOWN(K26,0)=$F$3,$H$3,$G$3))</f>
        <v>　Level 2</v>
      </c>
      <c r="L28" s="4007" t="s">
        <v>2861</v>
      </c>
      <c r="M28" s="3928"/>
      <c r="N28" s="3928"/>
      <c r="O28" s="3929"/>
    </row>
    <row r="29" spans="2:35" ht="73.150000000000006" customHeight="1">
      <c r="B29" s="2014">
        <v>3</v>
      </c>
      <c r="C29" s="2014">
        <v>3</v>
      </c>
      <c r="D29" s="395"/>
      <c r="E29" s="119"/>
      <c r="F29" s="2702" t="str">
        <f>IF(F26=$F$7,$G$4,IF(ROUNDDOWN(F26,0)=$F$4,$H$4,$G$4))</f>
        <v>■Level 3</v>
      </c>
      <c r="G29" s="3927" t="s">
        <v>2857</v>
      </c>
      <c r="H29" s="3928"/>
      <c r="I29" s="3928"/>
      <c r="J29" s="3929"/>
      <c r="K29" s="3582" t="str">
        <f>IF(K26=$F$7,$G$4,IF(ROUNDDOWN(K26,0)=$F$4,$H$4,$G$4))</f>
        <v>■Level 3</v>
      </c>
      <c r="L29" s="4007" t="s">
        <v>2862</v>
      </c>
      <c r="M29" s="3928"/>
      <c r="N29" s="3928"/>
      <c r="O29" s="3929"/>
    </row>
    <row r="30" spans="2:35" ht="83.45" customHeight="1">
      <c r="B30" s="2014">
        <v>4</v>
      </c>
      <c r="C30" s="2014">
        <v>4</v>
      </c>
      <c r="D30" s="395"/>
      <c r="E30" s="119"/>
      <c r="F30" s="2702" t="str">
        <f>IF(F26=$F$7,$G$5,IF(ROUNDDOWN(F26,0)=$F$5,$H$5,$G$5))</f>
        <v>　Level 4</v>
      </c>
      <c r="G30" s="3927" t="s">
        <v>2858</v>
      </c>
      <c r="H30" s="3928"/>
      <c r="I30" s="3928"/>
      <c r="J30" s="3929"/>
      <c r="K30" s="3582" t="str">
        <f>IF(K26=$F$7,$G$5,IF(ROUNDDOWN(K26,0)=$F$5,$H$5,$G$5))</f>
        <v>　Level 4</v>
      </c>
      <c r="L30" s="4007" t="s">
        <v>2863</v>
      </c>
      <c r="M30" s="3928"/>
      <c r="N30" s="3928"/>
      <c r="O30" s="3929"/>
    </row>
    <row r="31" spans="2:35" ht="69.75" customHeight="1">
      <c r="B31" s="2014">
        <v>5</v>
      </c>
      <c r="C31" s="2014">
        <v>5</v>
      </c>
      <c r="D31" s="395"/>
      <c r="E31" s="119"/>
      <c r="F31" s="2704" t="str">
        <f>IF(F26=$F$7,$G$6,IF(ROUNDDOWN(F26,0)=$F$6,$H$6,$G$6))</f>
        <v>　Level 5</v>
      </c>
      <c r="G31" s="3930" t="s">
        <v>2859</v>
      </c>
      <c r="H31" s="3931"/>
      <c r="I31" s="3931"/>
      <c r="J31" s="3932"/>
      <c r="K31" s="3583" t="str">
        <f>IF(K26=$F$7,$G$6,IF(ROUNDDOWN(K26,0)=$F$6,$H$6,$G$6))</f>
        <v>　Level 5</v>
      </c>
      <c r="L31" s="4008" t="s">
        <v>2864</v>
      </c>
      <c r="M31" s="3931"/>
      <c r="N31" s="3931"/>
      <c r="O31" s="3932"/>
    </row>
    <row r="32" spans="2:35">
      <c r="B32" s="2850">
        <v>0</v>
      </c>
      <c r="C32" s="2850">
        <v>0</v>
      </c>
      <c r="D32" s="1105"/>
      <c r="F32" s="2067" t="s">
        <v>3045</v>
      </c>
      <c r="G32" s="2708"/>
      <c r="H32" s="2759"/>
      <c r="I32" s="2709"/>
      <c r="J32" s="2710"/>
      <c r="K32" s="2711"/>
    </row>
    <row r="33" spans="2:15">
      <c r="B33" s="2712"/>
      <c r="C33" s="2712"/>
      <c r="D33" s="1105"/>
      <c r="F33" s="1516" t="s">
        <v>2865</v>
      </c>
      <c r="G33" s="2781"/>
      <c r="H33" s="2784" t="s">
        <v>3330</v>
      </c>
      <c r="I33" s="1529"/>
      <c r="J33" s="1529"/>
      <c r="K33" s="2711"/>
    </row>
    <row r="34" spans="2:15">
      <c r="B34" s="2712"/>
      <c r="C34" s="2712"/>
      <c r="D34" s="1105"/>
    </row>
    <row r="35" spans="2:15">
      <c r="D35" s="1105"/>
      <c r="F35" s="396" t="s">
        <v>2867</v>
      </c>
      <c r="J35" s="1105" t="str">
        <f>IF(OR(F37=0,J36=0),$L$3,"")</f>
        <v/>
      </c>
    </row>
    <row r="36" spans="2:15" ht="19.899999999999999" customHeight="1" thickBot="1">
      <c r="D36" s="395"/>
      <c r="E36" s="119"/>
      <c r="F36" s="2843" t="s">
        <v>2613</v>
      </c>
      <c r="G36" s="2688"/>
      <c r="H36" s="2853"/>
      <c r="I36" s="2842" t="s">
        <v>2629</v>
      </c>
      <c r="J36" s="3221">
        <f>Weight!M67</f>
        <v>0.33333333333333331</v>
      </c>
      <c r="K36" s="2688"/>
      <c r="L36" s="2853"/>
      <c r="M36" s="2688"/>
      <c r="N36" s="3584"/>
      <c r="O36" s="2713"/>
    </row>
    <row r="37" spans="2:15" ht="34.9" customHeight="1" thickBot="1">
      <c r="D37" s="395"/>
      <c r="E37" s="119"/>
      <c r="F37" s="2693">
        <v>3</v>
      </c>
      <c r="G37" s="2753" t="s">
        <v>4102</v>
      </c>
      <c r="H37" s="2697"/>
      <c r="I37" s="2697"/>
      <c r="J37" s="2698"/>
      <c r="K37" s="4060" t="s">
        <v>4103</v>
      </c>
      <c r="L37" s="3988"/>
      <c r="M37" s="4060" t="s">
        <v>4344</v>
      </c>
      <c r="N37" s="3988"/>
      <c r="O37" s="2713"/>
    </row>
    <row r="38" spans="2:15" ht="21" customHeight="1">
      <c r="B38" s="2014">
        <v>1</v>
      </c>
      <c r="C38" s="2014">
        <v>1</v>
      </c>
      <c r="D38" s="395"/>
      <c r="E38" s="119"/>
      <c r="F38" s="2699" t="str">
        <f>IF(F37=$F$7,$G$2,IF(ROUNDDOWN(F37,0)=$F$2,$H$2,$G$2))</f>
        <v>　Level 1</v>
      </c>
      <c r="G38" s="2582" t="s">
        <v>2699</v>
      </c>
      <c r="H38" s="2620"/>
      <c r="I38" s="2620"/>
      <c r="J38" s="2670"/>
      <c r="K38" s="2582" t="s">
        <v>2699</v>
      </c>
      <c r="L38" s="2620"/>
      <c r="M38" s="2620"/>
      <c r="N38" s="2670"/>
      <c r="O38" s="2713"/>
    </row>
    <row r="39" spans="2:15" ht="21" customHeight="1">
      <c r="B39" s="2014" t="s">
        <v>525</v>
      </c>
      <c r="C39" s="2014" t="s">
        <v>525</v>
      </c>
      <c r="D39" s="395"/>
      <c r="E39" s="119"/>
      <c r="F39" s="2702" t="str">
        <f>IF(F37=$F$7,$G$3,IF(ROUNDDOWN(F37,0)=$F$3,$H$3,$G$3))</f>
        <v>　Level 2</v>
      </c>
      <c r="G39" s="2627" t="s">
        <v>2528</v>
      </c>
      <c r="H39" s="2621"/>
      <c r="I39" s="2621"/>
      <c r="J39" s="2671"/>
      <c r="K39" s="2583" t="s">
        <v>2528</v>
      </c>
      <c r="L39" s="2621"/>
      <c r="M39" s="2621"/>
      <c r="N39" s="2671"/>
      <c r="O39" s="2713"/>
    </row>
    <row r="40" spans="2:15" ht="39" customHeight="1">
      <c r="B40" s="2014">
        <v>3</v>
      </c>
      <c r="C40" s="2014">
        <v>3</v>
      </c>
      <c r="D40" s="395"/>
      <c r="E40" s="119"/>
      <c r="F40" s="2702" t="str">
        <f>IF(F37=$F$7,$G$4,IF(ROUNDDOWN(F37,0)=$F$4,$H$4,$G$4))</f>
        <v>■Level 3</v>
      </c>
      <c r="G40" s="3927" t="s">
        <v>2868</v>
      </c>
      <c r="H40" s="3928"/>
      <c r="I40" s="3928"/>
      <c r="J40" s="3929"/>
      <c r="K40" s="3927" t="s">
        <v>2871</v>
      </c>
      <c r="L40" s="3928"/>
      <c r="M40" s="3928"/>
      <c r="N40" s="3929"/>
      <c r="O40" s="2713"/>
    </row>
    <row r="41" spans="2:15" ht="39" customHeight="1">
      <c r="B41" s="2014">
        <v>4</v>
      </c>
      <c r="C41" s="2014">
        <v>4</v>
      </c>
      <c r="D41" s="395"/>
      <c r="E41" s="119"/>
      <c r="F41" s="2702" t="str">
        <f>IF(F37=$F$7,$G$5,IF(ROUNDDOWN(F37,0)=$F$5,$H$5,$G$5))</f>
        <v>　Level 4</v>
      </c>
      <c r="G41" s="3927" t="s">
        <v>2869</v>
      </c>
      <c r="H41" s="3928"/>
      <c r="I41" s="3928"/>
      <c r="J41" s="3929"/>
      <c r="K41" s="3927" t="s">
        <v>2868</v>
      </c>
      <c r="L41" s="3928"/>
      <c r="M41" s="3928"/>
      <c r="N41" s="3929"/>
      <c r="O41" s="2713"/>
    </row>
    <row r="42" spans="2:15" ht="46.9" customHeight="1">
      <c r="B42" s="2014">
        <v>5</v>
      </c>
      <c r="C42" s="2014">
        <v>5</v>
      </c>
      <c r="D42" s="395"/>
      <c r="E42" s="119"/>
      <c r="F42" s="2704" t="str">
        <f>IF(F37=$F$7,$G$6,IF(ROUNDDOWN(F37,0)=$F$6,$H$6,$G$6))</f>
        <v>　Level 5</v>
      </c>
      <c r="G42" s="3930" t="s">
        <v>2870</v>
      </c>
      <c r="H42" s="3931"/>
      <c r="I42" s="3931"/>
      <c r="J42" s="3932"/>
      <c r="K42" s="3930" t="s">
        <v>2872</v>
      </c>
      <c r="L42" s="3931"/>
      <c r="M42" s="3931"/>
      <c r="N42" s="3932"/>
      <c r="O42" s="2713"/>
    </row>
    <row r="43" spans="2:15" ht="15.75">
      <c r="B43" s="2850">
        <v>0</v>
      </c>
      <c r="C43" s="2850">
        <v>0</v>
      </c>
      <c r="D43" s="395"/>
      <c r="E43" s="119"/>
      <c r="F43" s="2067" t="s">
        <v>3045</v>
      </c>
      <c r="G43" s="2708"/>
      <c r="H43" s="2759"/>
      <c r="I43" s="2709"/>
      <c r="J43" s="2710"/>
      <c r="K43" s="2711"/>
    </row>
    <row r="44" spans="2:15" ht="15.75">
      <c r="B44" s="2712"/>
      <c r="C44" s="2712"/>
      <c r="D44" s="395"/>
      <c r="E44" s="119"/>
    </row>
    <row r="45" spans="2:15" ht="15.75">
      <c r="D45" s="393">
        <v>1.2</v>
      </c>
      <c r="E45" s="13" t="s">
        <v>1596</v>
      </c>
    </row>
    <row r="46" spans="2:15" ht="15.75">
      <c r="D46" s="395"/>
      <c r="E46" s="28"/>
      <c r="F46" s="396" t="s">
        <v>2873</v>
      </c>
      <c r="J46" s="1105" t="str">
        <f>IF(OR(F48=0,AND(J47=0,O47=0)),$L$3,"")</f>
        <v/>
      </c>
    </row>
    <row r="47" spans="2:15" ht="21.6" customHeight="1" thickBot="1">
      <c r="B47" s="2813" t="s">
        <v>4345</v>
      </c>
      <c r="D47" s="395"/>
      <c r="E47" s="28"/>
      <c r="F47" s="2843" t="s">
        <v>2613</v>
      </c>
      <c r="G47" s="2688"/>
      <c r="H47" s="2853"/>
      <c r="I47" s="2842" t="s">
        <v>2629</v>
      </c>
      <c r="J47" s="3221">
        <f>Weight!M69</f>
        <v>0.33333333333333331</v>
      </c>
      <c r="K47" s="2764"/>
      <c r="L47" s="2766"/>
      <c r="M47" s="3785" t="s">
        <v>2615</v>
      </c>
      <c r="N47" s="2842" t="s">
        <v>2629</v>
      </c>
      <c r="O47" s="2691">
        <f>Weight!N69</f>
        <v>0</v>
      </c>
    </row>
    <row r="48" spans="2:15" ht="27" customHeight="1" thickBot="1">
      <c r="D48" s="395"/>
      <c r="E48" s="28"/>
      <c r="F48" s="2693">
        <v>3</v>
      </c>
      <c r="G48" s="2652" t="s">
        <v>2841</v>
      </c>
      <c r="H48" s="2678"/>
      <c r="I48" s="2652" t="s">
        <v>2874</v>
      </c>
      <c r="J48" s="2678"/>
      <c r="K48" s="2696" t="s">
        <v>2880</v>
      </c>
      <c r="L48" s="2695" t="s">
        <v>2789</v>
      </c>
      <c r="M48" s="2693">
        <v>3</v>
      </c>
      <c r="N48" s="2652" t="s">
        <v>2617</v>
      </c>
      <c r="O48" s="2678"/>
    </row>
    <row r="49" spans="2:15" ht="34.9" customHeight="1">
      <c r="B49" s="2014">
        <v>1</v>
      </c>
      <c r="C49" s="2014">
        <v>1</v>
      </c>
      <c r="D49" s="395"/>
      <c r="E49" s="28"/>
      <c r="F49" s="2699" t="str">
        <f>IF(F48=$F$7,$G$2,IF(ROUNDDOWN(F48,0)=$F$2,$H$2,$G$2))</f>
        <v>　Level 1</v>
      </c>
      <c r="G49" s="2582" t="s">
        <v>2699</v>
      </c>
      <c r="H49" s="2670"/>
      <c r="I49" s="2583" t="s">
        <v>2699</v>
      </c>
      <c r="J49" s="2670"/>
      <c r="K49" s="3585" t="s">
        <v>2855</v>
      </c>
      <c r="L49" s="3585" t="s">
        <v>2699</v>
      </c>
      <c r="M49" s="3586" t="str">
        <f>IF(M48=$F$7,$G$2,IF(ROUNDDOWN(M48,0)=$F$2,$H$2,$G$2))</f>
        <v>　Level 1</v>
      </c>
      <c r="N49" s="2583" t="s">
        <v>2699</v>
      </c>
      <c r="O49" s="2670"/>
    </row>
    <row r="50" spans="2:15" ht="59.45" customHeight="1">
      <c r="B50" s="2014">
        <v>2</v>
      </c>
      <c r="C50" s="2014" t="s">
        <v>698</v>
      </c>
      <c r="D50" s="395"/>
      <c r="E50" s="28"/>
      <c r="F50" s="2702" t="str">
        <f>IF(F48=$F$7,$G$3,IF(ROUNDDOWN(F48,0)=$F$3,$H$3,$G$3))</f>
        <v>　Level 2</v>
      </c>
      <c r="G50" s="2583" t="s">
        <v>2528</v>
      </c>
      <c r="H50" s="2671"/>
      <c r="I50" s="2583" t="s">
        <v>2528</v>
      </c>
      <c r="J50" s="2671"/>
      <c r="K50" s="3587" t="s">
        <v>2881</v>
      </c>
      <c r="L50" s="3588" t="s">
        <v>2528</v>
      </c>
      <c r="M50" s="3589" t="str">
        <f>IF(M48=$F$7,$G$3,IF(ROUNDDOWN(M48,0)=$F$3,$H$3,$G$3))</f>
        <v>　Level 2</v>
      </c>
      <c r="N50" s="2583" t="s">
        <v>2528</v>
      </c>
      <c r="O50" s="2671"/>
    </row>
    <row r="51" spans="2:15" ht="69" customHeight="1">
      <c r="B51" s="2014">
        <v>3</v>
      </c>
      <c r="C51" s="2014">
        <v>3</v>
      </c>
      <c r="D51" s="395"/>
      <c r="E51" s="28"/>
      <c r="F51" s="2702" t="str">
        <f>IF(F48=$F$7,$G$4,IF(ROUNDDOWN(F48,0)=$F$4,$H$4,$G$4))</f>
        <v>■Level 3</v>
      </c>
      <c r="G51" s="3927" t="s">
        <v>2875</v>
      </c>
      <c r="H51" s="3936"/>
      <c r="I51" s="3927" t="s">
        <v>2876</v>
      </c>
      <c r="J51" s="3929"/>
      <c r="K51" s="3587" t="s">
        <v>2882</v>
      </c>
      <c r="L51" s="3588" t="s">
        <v>2883</v>
      </c>
      <c r="M51" s="3589" t="str">
        <f>IF(M48=$F$7,$G$4,IF(ROUNDDOWN(M48,0)=$F$4,$H$4,$G$4))</f>
        <v>■Level 3</v>
      </c>
      <c r="N51" s="3927" t="s">
        <v>3465</v>
      </c>
      <c r="O51" s="3929"/>
    </row>
    <row r="52" spans="2:15" ht="69" customHeight="1">
      <c r="B52" s="2014">
        <v>4</v>
      </c>
      <c r="C52" s="2014">
        <v>4</v>
      </c>
      <c r="D52" s="395"/>
      <c r="E52" s="28"/>
      <c r="F52" s="2702" t="str">
        <f>IF(F48=$F$7,$G$5,IF(ROUNDDOWN(F48,0)=$F$5,$H$5,$G$5))</f>
        <v>　Level 4</v>
      </c>
      <c r="G52" s="3927" t="s">
        <v>2877</v>
      </c>
      <c r="H52" s="3929"/>
      <c r="I52" s="3927" t="s">
        <v>2878</v>
      </c>
      <c r="J52" s="3929"/>
      <c r="K52" s="3587" t="s">
        <v>2884</v>
      </c>
      <c r="L52" s="3588" t="s">
        <v>2528</v>
      </c>
      <c r="M52" s="3589" t="str">
        <f>IF(M48=$F$7,$G$5,IF(ROUNDDOWN(M48,0)=$F$5,$H$5,$G$5))</f>
        <v>　Level 4</v>
      </c>
      <c r="N52" s="3927" t="s">
        <v>3466</v>
      </c>
      <c r="O52" s="3929"/>
    </row>
    <row r="53" spans="2:15" ht="69" customHeight="1">
      <c r="B53" s="2014">
        <v>5</v>
      </c>
      <c r="C53" s="2014">
        <v>5</v>
      </c>
      <c r="D53" s="395"/>
      <c r="E53" s="28"/>
      <c r="F53" s="2704" t="str">
        <f>IF(F48=$F$7,$G$6,IF(ROUNDDOWN(F48,0)=$F$6,$H$6,$G$6))</f>
        <v>　Level 5</v>
      </c>
      <c r="G53" s="3930" t="s">
        <v>2879</v>
      </c>
      <c r="H53" s="3932"/>
      <c r="I53" s="3930" t="s">
        <v>3464</v>
      </c>
      <c r="J53" s="3932"/>
      <c r="K53" s="3590" t="s">
        <v>2885</v>
      </c>
      <c r="L53" s="3591" t="s">
        <v>2886</v>
      </c>
      <c r="M53" s="3592" t="str">
        <f>IF(M48=$F$7,$G$6,IF(ROUNDDOWN(M48,0)=$F$6,$H$6,$G$6))</f>
        <v>　Level 5</v>
      </c>
      <c r="N53" s="3930" t="s">
        <v>3467</v>
      </c>
      <c r="O53" s="3932"/>
    </row>
    <row r="54" spans="2:15" ht="15.75">
      <c r="B54" s="2850">
        <v>0</v>
      </c>
      <c r="C54" s="2850">
        <v>0</v>
      </c>
      <c r="D54" s="395"/>
      <c r="E54" s="119"/>
      <c r="F54" s="2067" t="s">
        <v>3045</v>
      </c>
      <c r="G54" s="2708"/>
      <c r="H54" s="2759"/>
      <c r="I54" s="2709"/>
      <c r="J54" s="2710"/>
      <c r="K54" s="1516" t="s">
        <v>2887</v>
      </c>
      <c r="L54" s="2780"/>
      <c r="M54" s="1105" t="s">
        <v>1067</v>
      </c>
    </row>
    <row r="55" spans="2:15">
      <c r="B55" s="2712"/>
      <c r="C55" s="2712"/>
      <c r="D55" s="1105"/>
    </row>
    <row r="56" spans="2:15">
      <c r="D56" s="1105"/>
      <c r="F56" s="396" t="s">
        <v>4346</v>
      </c>
      <c r="J56" s="1105" t="str">
        <f>IF(OR(F58=0,J57=0),$L$3,"")</f>
        <v/>
      </c>
    </row>
    <row r="57" spans="2:15" ht="19.899999999999999" customHeight="1" thickBot="1">
      <c r="D57" s="395"/>
      <c r="E57" s="2763"/>
      <c r="F57" s="2843" t="s">
        <v>2613</v>
      </c>
      <c r="G57" s="2688"/>
      <c r="H57" s="2853"/>
      <c r="I57" s="2842" t="s">
        <v>2629</v>
      </c>
      <c r="J57" s="3221">
        <f>Weight!M71</f>
        <v>0.33333333333333331</v>
      </c>
      <c r="K57" s="2688"/>
      <c r="L57" s="2853"/>
      <c r="M57" s="2688"/>
      <c r="N57" s="2688"/>
      <c r="O57" s="2691"/>
    </row>
    <row r="58" spans="2:15" ht="27" customHeight="1" thickBot="1">
      <c r="D58" s="395"/>
      <c r="E58" s="2763"/>
      <c r="F58" s="2693">
        <v>3</v>
      </c>
      <c r="G58" s="3593" t="s">
        <v>2841</v>
      </c>
      <c r="H58" s="2826"/>
      <c r="I58" s="2826"/>
      <c r="J58" s="2826"/>
      <c r="K58" s="2826"/>
      <c r="L58" s="3593" t="s">
        <v>1675</v>
      </c>
      <c r="M58" s="2826"/>
      <c r="N58" s="2826"/>
      <c r="O58" s="2760"/>
    </row>
    <row r="59" spans="2:15" ht="21" customHeight="1">
      <c r="B59" s="2014" t="s">
        <v>237</v>
      </c>
      <c r="C59" s="2014">
        <v>1</v>
      </c>
      <c r="D59" s="395"/>
      <c r="E59" s="3594"/>
      <c r="F59" s="2699" t="str">
        <f>IF(F58=$F$7,$G$2,IF(ROUNDDOWN(F58,0)=$F$2,$H$2,$G$2))</f>
        <v>　Level 1</v>
      </c>
      <c r="G59" s="2814" t="s">
        <v>2528</v>
      </c>
      <c r="H59" s="2815"/>
      <c r="I59" s="2815"/>
      <c r="J59" s="2815"/>
      <c r="K59" s="2815"/>
      <c r="L59" s="2814" t="s">
        <v>2528</v>
      </c>
      <c r="M59" s="2815"/>
      <c r="N59" s="2815"/>
      <c r="O59" s="2816"/>
    </row>
    <row r="60" spans="2:15" ht="21" customHeight="1">
      <c r="B60" s="2014">
        <v>2</v>
      </c>
      <c r="C60" s="2014">
        <v>2</v>
      </c>
      <c r="D60" s="395"/>
      <c r="E60" s="3594"/>
      <c r="F60" s="2702" t="str">
        <f>IF(F58=$F$7,$G$3,IF(ROUNDDOWN(F58,0)=$F$3,$H$3,$G$3))</f>
        <v>　Level 2</v>
      </c>
      <c r="G60" s="2789" t="s">
        <v>2888</v>
      </c>
      <c r="H60" s="2790"/>
      <c r="I60" s="2790"/>
      <c r="J60" s="2790"/>
      <c r="K60" s="2790"/>
      <c r="L60" s="2789" t="s">
        <v>2699</v>
      </c>
      <c r="M60" s="2790"/>
      <c r="N60" s="2790"/>
      <c r="O60" s="2854"/>
    </row>
    <row r="61" spans="2:15" ht="21" customHeight="1">
      <c r="B61" s="2014">
        <v>3</v>
      </c>
      <c r="C61" s="2014">
        <v>3</v>
      </c>
      <c r="D61" s="395"/>
      <c r="E61" s="3594"/>
      <c r="F61" s="2702" t="str">
        <f>IF(F58=$F$7,$G$4,IF(ROUNDDOWN(F58,0)=$F$4,$H$4,$G$4))</f>
        <v>■Level 3</v>
      </c>
      <c r="G61" s="2789" t="s">
        <v>2889</v>
      </c>
      <c r="H61" s="2790"/>
      <c r="I61" s="2790"/>
      <c r="J61" s="2790"/>
      <c r="K61" s="2790"/>
      <c r="L61" s="2789" t="s">
        <v>2891</v>
      </c>
      <c r="M61" s="2790"/>
      <c r="N61" s="2790"/>
      <c r="O61" s="2854"/>
    </row>
    <row r="62" spans="2:15" ht="21" customHeight="1">
      <c r="B62" s="2014">
        <v>4</v>
      </c>
      <c r="C62" s="2014">
        <v>4</v>
      </c>
      <c r="D62" s="395"/>
      <c r="E62" s="3594"/>
      <c r="F62" s="2702" t="str">
        <f>IF(F58=$F$7,$G$5,IF(ROUNDDOWN(F58,0)=$F$5,$H$5,$G$5))</f>
        <v>　Level 4</v>
      </c>
      <c r="G62" s="2789" t="s">
        <v>2890</v>
      </c>
      <c r="H62" s="2790"/>
      <c r="I62" s="2790"/>
      <c r="J62" s="2790"/>
      <c r="K62" s="2790"/>
      <c r="L62" s="2789" t="s">
        <v>2895</v>
      </c>
      <c r="M62" s="2790"/>
      <c r="N62" s="2790"/>
      <c r="O62" s="2854"/>
    </row>
    <row r="63" spans="2:15" ht="25.9" customHeight="1">
      <c r="B63" s="2014">
        <v>5</v>
      </c>
      <c r="C63" s="2014">
        <v>5</v>
      </c>
      <c r="D63" s="395"/>
      <c r="E63" s="3594"/>
      <c r="F63" s="2704" t="str">
        <f>IF(F58=$F$7,$G$6,IF(ROUNDDOWN(F58,0)=$F$6,$H$6,$G$6))</f>
        <v>　Level 5</v>
      </c>
      <c r="G63" s="2819" t="s">
        <v>2893</v>
      </c>
      <c r="H63" s="3595"/>
      <c r="I63" s="3595"/>
      <c r="J63" s="3595"/>
      <c r="K63" s="3595"/>
      <c r="L63" s="2819" t="s">
        <v>2892</v>
      </c>
      <c r="M63" s="3595"/>
      <c r="N63" s="3595"/>
      <c r="O63" s="3183"/>
    </row>
    <row r="64" spans="2:15">
      <c r="B64" s="2850">
        <v>0</v>
      </c>
      <c r="C64" s="2850">
        <v>0</v>
      </c>
      <c r="D64" s="1105"/>
      <c r="F64" s="2067" t="s">
        <v>3045</v>
      </c>
      <c r="G64" s="2708"/>
      <c r="H64" s="2759"/>
      <c r="I64" s="2709"/>
      <c r="J64" s="2710"/>
      <c r="K64" s="2711"/>
      <c r="L64" s="1516" t="s">
        <v>2894</v>
      </c>
      <c r="M64" s="2812"/>
      <c r="N64" s="1516" t="s">
        <v>2896</v>
      </c>
      <c r="O64" s="2812"/>
    </row>
    <row r="65" spans="2:15">
      <c r="B65" s="2712"/>
      <c r="C65" s="2712"/>
      <c r="D65" s="1105"/>
      <c r="K65" s="2711"/>
    </row>
    <row r="66" spans="2:15">
      <c r="D66" s="1105"/>
      <c r="F66" s="396" t="s">
        <v>3478</v>
      </c>
      <c r="J66" s="1105" t="str">
        <f>IF(OR(F68=0,AND(J67=0,O67=0)),$L$3,"")</f>
        <v/>
      </c>
    </row>
    <row r="67" spans="2:15" ht="19.899999999999999" customHeight="1" thickBot="1">
      <c r="D67" s="395"/>
      <c r="E67" s="119"/>
      <c r="F67" s="2843" t="s">
        <v>2613</v>
      </c>
      <c r="G67" s="2688"/>
      <c r="H67" s="2853"/>
      <c r="I67" s="2842" t="s">
        <v>2629</v>
      </c>
      <c r="J67" s="2692">
        <f>Weight!M72</f>
        <v>0.33333333333333331</v>
      </c>
      <c r="K67" s="2843" t="s">
        <v>2615</v>
      </c>
      <c r="L67" s="2688"/>
      <c r="M67" s="2853"/>
      <c r="N67" s="2842" t="s">
        <v>2629</v>
      </c>
      <c r="O67" s="2692">
        <f>Weight!N72</f>
        <v>0</v>
      </c>
    </row>
    <row r="68" spans="2:15" ht="27" customHeight="1" thickBot="1">
      <c r="B68" s="1105" t="s">
        <v>1049</v>
      </c>
      <c r="C68" s="1105" t="s">
        <v>1049</v>
      </c>
      <c r="D68" s="395"/>
      <c r="E68" s="119"/>
      <c r="F68" s="2865">
        <f>G76</f>
        <v>3</v>
      </c>
      <c r="G68" s="2753" t="s">
        <v>2618</v>
      </c>
      <c r="H68" s="2697"/>
      <c r="I68" s="2697"/>
      <c r="J68" s="2698"/>
      <c r="K68" s="2865">
        <f>L76</f>
        <v>1</v>
      </c>
      <c r="L68" s="2753" t="s">
        <v>2522</v>
      </c>
      <c r="M68" s="2697"/>
      <c r="N68" s="2697"/>
      <c r="O68" s="2698"/>
    </row>
    <row r="69" spans="2:15" ht="21" customHeight="1">
      <c r="B69" s="1105">
        <v>0</v>
      </c>
      <c r="C69" s="1105">
        <v>0</v>
      </c>
      <c r="D69" s="395"/>
      <c r="E69" s="119"/>
      <c r="F69" s="2699" t="str">
        <f>IF(F68=$F$7,$G$2,IF(ROUNDDOWN(F68,0)=$F$2,$H$2,$G$2))</f>
        <v>　Level 1</v>
      </c>
      <c r="G69" s="2755" t="s">
        <v>2699</v>
      </c>
      <c r="H69" s="3596"/>
      <c r="I69" s="3596"/>
      <c r="J69" s="3597"/>
      <c r="K69" s="3586" t="str">
        <f>IF(K68=$F$7,$G$2,IF(ROUNDDOWN(K68,0)=$F$2,$H$2,$G$2))</f>
        <v>■Level 1</v>
      </c>
      <c r="L69" s="2755" t="s">
        <v>2699</v>
      </c>
      <c r="M69" s="3596"/>
      <c r="N69" s="3596"/>
      <c r="O69" s="3597"/>
    </row>
    <row r="70" spans="2:15" ht="21" customHeight="1">
      <c r="B70" s="1105">
        <v>2</v>
      </c>
      <c r="C70" s="1105">
        <v>2</v>
      </c>
      <c r="D70" s="395"/>
      <c r="E70" s="119"/>
      <c r="F70" s="2702" t="str">
        <f>IF(F68=$F$7,$G$3,IF(ROUNDDOWN(F68,0)=$F$3,$H$3,$G$3))</f>
        <v>　Level 2</v>
      </c>
      <c r="G70" s="1170" t="s">
        <v>2528</v>
      </c>
      <c r="H70" s="3598"/>
      <c r="I70" s="3598"/>
      <c r="J70" s="3599"/>
      <c r="K70" s="3589" t="str">
        <f>IF(K68=$F$7,$G$3,IF(ROUNDDOWN(K68,0)=$F$3,$H$3,$G$3))</f>
        <v>　Level 2</v>
      </c>
      <c r="L70" s="1170" t="s">
        <v>2528</v>
      </c>
      <c r="M70" s="3598"/>
      <c r="N70" s="3598"/>
      <c r="O70" s="3599"/>
    </row>
    <row r="71" spans="2:15" ht="21" customHeight="1">
      <c r="B71" s="1105">
        <v>2</v>
      </c>
      <c r="C71" s="1105">
        <v>2</v>
      </c>
      <c r="D71" s="395"/>
      <c r="E71" s="119"/>
      <c r="F71" s="2702" t="str">
        <f>IF(F68=$F$7,$G$4,IF(ROUNDDOWN(F68,0)=$F$4,$H$4,$G$4))</f>
        <v>■Level 3</v>
      </c>
      <c r="G71" s="1170" t="s">
        <v>3469</v>
      </c>
      <c r="H71" s="3598"/>
      <c r="I71" s="3598"/>
      <c r="J71" s="3599"/>
      <c r="K71" s="3589" t="str">
        <f>IF(K68=$F$7,$G$4,IF(ROUNDDOWN(K68,0)=$F$4,$H$4,$G$4))</f>
        <v>　Level 3</v>
      </c>
      <c r="L71" s="3600" t="s">
        <v>3468</v>
      </c>
      <c r="M71" s="3598"/>
      <c r="N71" s="3598"/>
      <c r="O71" s="3599"/>
    </row>
    <row r="72" spans="2:15" ht="21" customHeight="1">
      <c r="B72" s="1105">
        <v>3</v>
      </c>
      <c r="C72" s="1105">
        <v>3</v>
      </c>
      <c r="D72" s="395"/>
      <c r="E72" s="119"/>
      <c r="F72" s="2702" t="str">
        <f>IF(F68=$F$7,$G$5,IF(ROUNDDOWN(F68,0)=$F$5,$H$5,$G$5))</f>
        <v>　Level 4</v>
      </c>
      <c r="G72" s="1170" t="s">
        <v>3471</v>
      </c>
      <c r="H72" s="3598"/>
      <c r="I72" s="3598"/>
      <c r="J72" s="3599"/>
      <c r="K72" s="3589" t="str">
        <f>IF(K68=$F$7,$G$5,IF(ROUNDDOWN(K68,0)=$F$5,$H$5,$G$5))</f>
        <v>　Level 4</v>
      </c>
      <c r="L72" s="3600" t="s">
        <v>3470</v>
      </c>
      <c r="M72" s="3598"/>
      <c r="N72" s="3598"/>
      <c r="O72" s="3599"/>
    </row>
    <row r="73" spans="2:15" ht="21" customHeight="1">
      <c r="B73" s="1105">
        <v>4</v>
      </c>
      <c r="C73" s="1105">
        <v>4</v>
      </c>
      <c r="D73" s="395"/>
      <c r="E73" s="119"/>
      <c r="F73" s="2704" t="str">
        <f>IF(F68=$F$7,$G$6,IF(ROUNDDOWN(F68,0)=$F$6,$H$6,$G$6))</f>
        <v>　Level 5</v>
      </c>
      <c r="G73" s="2756" t="s">
        <v>3473</v>
      </c>
      <c r="H73" s="3601"/>
      <c r="I73" s="3601"/>
      <c r="J73" s="3602"/>
      <c r="K73" s="3592" t="str">
        <f>IF(K68=$F$7,$G$6,IF(ROUNDDOWN(K68,0)=$F$6,$H$6,$G$6))</f>
        <v>　Level 5</v>
      </c>
      <c r="L73" s="3603" t="s">
        <v>3472</v>
      </c>
      <c r="M73" s="3604"/>
      <c r="N73" s="3604"/>
      <c r="O73" s="3605"/>
    </row>
    <row r="74" spans="2:15">
      <c r="D74" s="1105"/>
      <c r="F74" s="2067" t="s">
        <v>3045</v>
      </c>
      <c r="G74" s="2708"/>
      <c r="H74" s="2759"/>
      <c r="I74" s="2709"/>
      <c r="J74" s="2710"/>
      <c r="K74" s="2779" t="s">
        <v>5013</v>
      </c>
    </row>
    <row r="75" spans="2:15">
      <c r="D75" s="1105"/>
      <c r="F75" s="1173" t="s">
        <v>3286</v>
      </c>
      <c r="K75" s="1173" t="s">
        <v>3286</v>
      </c>
    </row>
    <row r="76" spans="2:15" ht="20.25" customHeight="1" thickBot="1">
      <c r="D76" s="395"/>
      <c r="E76" s="395"/>
      <c r="F76" s="395"/>
      <c r="G76" s="3562">
        <f>IF(G81&gt;=B73,5,IF(G81&gt;=B72,4,IF(G81&gt;=B71,3,IF(G81&gt;=B70,2,1))))</f>
        <v>3</v>
      </c>
      <c r="H76" s="2458" t="s">
        <v>4057</v>
      </c>
      <c r="I76" s="2458"/>
      <c r="J76" s="2858"/>
      <c r="K76" s="395"/>
      <c r="L76" s="3562">
        <f>IF(L81&gt;=C73,5,IF(L81&gt;=C72,4,IF(L81&gt;=C71,3,IF(L81&gt;=C70,2,1))))</f>
        <v>1</v>
      </c>
      <c r="M76" s="2857" t="s">
        <v>4057</v>
      </c>
      <c r="N76" s="2458"/>
      <c r="O76" s="2858"/>
    </row>
    <row r="77" spans="2:15" ht="75.599999999999994" customHeight="1">
      <c r="D77" s="395"/>
      <c r="E77" s="119"/>
      <c r="F77" s="2321" t="s">
        <v>784</v>
      </c>
      <c r="G77" s="3606" t="s">
        <v>2830</v>
      </c>
      <c r="H77" s="4061" t="s">
        <v>3474</v>
      </c>
      <c r="I77" s="4062"/>
      <c r="J77" s="4063"/>
      <c r="K77" s="2321" t="s">
        <v>1066</v>
      </c>
      <c r="L77" s="3606"/>
      <c r="M77" s="4061" t="str">
        <f>H77</f>
        <v>The concept of the building as a whole is well defined, and specific efforts to reflect the concept are made at the décor planning stage. (For example, shifting to natural and ecological materials in a building with an ecological theme).</v>
      </c>
      <c r="N77" s="4029"/>
      <c r="O77" s="3969"/>
    </row>
    <row r="78" spans="2:15" ht="114.6" customHeight="1">
      <c r="D78" s="395"/>
      <c r="E78" s="119"/>
      <c r="F78" s="2321" t="s">
        <v>1046</v>
      </c>
      <c r="G78" s="3607" t="s">
        <v>4347</v>
      </c>
      <c r="H78" s="4064" t="s">
        <v>3475</v>
      </c>
      <c r="I78" s="3928"/>
      <c r="J78" s="3929"/>
      <c r="K78" s="2321" t="s">
        <v>789</v>
      </c>
      <c r="L78" s="3607"/>
      <c r="M78" s="4064" t="str">
        <f t="shared" ref="M78:M80" si="0">H78</f>
        <v>The functions required of the building have been clarified, and specific measures to encourage those functions are indicated at the décor planning stage. (For example, in Hotels and similar facilities, the interior is perceived as living space, and natural materials such as wood and stone are introduced in deliberate efforts to produce a living room-like atmosphere).</v>
      </c>
      <c r="N78" s="3928"/>
      <c r="O78" s="3929"/>
    </row>
    <row r="79" spans="2:15" ht="69" customHeight="1">
      <c r="D79" s="395"/>
      <c r="E79" s="119"/>
      <c r="F79" s="2321" t="s">
        <v>786</v>
      </c>
      <c r="G79" s="3607" t="s">
        <v>2830</v>
      </c>
      <c r="H79" s="4054" t="s">
        <v>3476</v>
      </c>
      <c r="I79" s="4065"/>
      <c r="J79" s="4066"/>
      <c r="K79" s="2321" t="s">
        <v>790</v>
      </c>
      <c r="L79" s="3607"/>
      <c r="M79" s="4064" t="str">
        <f t="shared" si="0"/>
        <v>Specific measures were taken during décor planning to integrate the lighting design (e.g. effective use of indirect lighting specific to activity type, décor planning in consideration of color temperatures of a light source, etc.).</v>
      </c>
      <c r="N79" s="3928"/>
      <c r="O79" s="3929"/>
    </row>
    <row r="80" spans="2:15" ht="41.25" customHeight="1" thickBot="1">
      <c r="D80" s="395"/>
      <c r="E80" s="119"/>
      <c r="F80" s="2321" t="s">
        <v>787</v>
      </c>
      <c r="G80" s="3608"/>
      <c r="H80" s="4047" t="s">
        <v>3477</v>
      </c>
      <c r="I80" s="3931"/>
      <c r="J80" s="3932"/>
      <c r="K80" s="2321" t="s">
        <v>791</v>
      </c>
      <c r="L80" s="3608"/>
      <c r="M80" s="4047" t="str">
        <f t="shared" si="0"/>
        <v>Mockups and interior perspectives are used to verify the décor planning in advance.</v>
      </c>
      <c r="N80" s="3931"/>
      <c r="O80" s="3932"/>
    </row>
    <row r="81" spans="2:21" ht="15.75">
      <c r="D81" s="395"/>
      <c r="E81" s="119"/>
      <c r="F81" s="2321" t="s">
        <v>1468</v>
      </c>
      <c r="G81" s="3404">
        <f>COUNTIF(G77:G80,$M$3)</f>
        <v>2</v>
      </c>
      <c r="H81" s="3510" t="s">
        <v>4055</v>
      </c>
      <c r="I81" s="3406"/>
      <c r="J81" s="3609"/>
      <c r="K81" s="2321" t="s">
        <v>4131</v>
      </c>
      <c r="L81" s="3610">
        <f>COUNTIF(L77:L80,$M$3)</f>
        <v>0</v>
      </c>
      <c r="M81" s="3510" t="s">
        <v>4055</v>
      </c>
      <c r="N81" s="3611"/>
      <c r="O81" s="3609"/>
    </row>
    <row r="82" spans="2:21" ht="15.75">
      <c r="D82" s="395"/>
      <c r="E82" s="395"/>
      <c r="F82" s="395"/>
      <c r="G82" s="395"/>
      <c r="H82" s="395"/>
      <c r="I82" s="395"/>
      <c r="J82" s="395"/>
      <c r="K82" s="395"/>
      <c r="L82" s="395"/>
      <c r="M82" s="395"/>
      <c r="N82" s="395"/>
      <c r="O82" s="395"/>
      <c r="P82" s="395"/>
      <c r="Q82" s="395"/>
      <c r="R82" s="395"/>
      <c r="S82" s="395"/>
      <c r="T82" s="395"/>
      <c r="U82" s="395"/>
    </row>
    <row r="83" spans="2:21" ht="15.75">
      <c r="D83" s="393">
        <v>1.3</v>
      </c>
      <c r="E83" s="13" t="s">
        <v>3611</v>
      </c>
    </row>
    <row r="84" spans="2:21" ht="15.75">
      <c r="D84" s="395"/>
      <c r="E84" s="119"/>
      <c r="F84" s="396" t="s">
        <v>4348</v>
      </c>
      <c r="J84" s="1105" t="str">
        <f>IF(OR(F86=0,J85=0),$L$3,"")</f>
        <v/>
      </c>
      <c r="R84" s="1105" t="s">
        <v>310</v>
      </c>
      <c r="T84" s="3612" t="s">
        <v>798</v>
      </c>
    </row>
    <row r="85" spans="2:21" ht="19.899999999999999" customHeight="1" thickBot="1">
      <c r="B85" s="1105" t="s">
        <v>4349</v>
      </c>
      <c r="C85" s="3613" t="s">
        <v>4350</v>
      </c>
      <c r="D85" s="395"/>
      <c r="E85" s="13"/>
      <c r="F85" s="2843" t="s">
        <v>2613</v>
      </c>
      <c r="G85" s="2688"/>
      <c r="H85" s="2853"/>
      <c r="I85" s="2842" t="s">
        <v>2629</v>
      </c>
      <c r="J85" s="3221">
        <f>Weight!M75</f>
        <v>0.5</v>
      </c>
      <c r="K85" s="2764"/>
      <c r="L85" s="2764"/>
      <c r="M85" s="2764"/>
      <c r="N85" s="2690" t="s">
        <v>3612</v>
      </c>
      <c r="O85" s="3489">
        <f>Main!$J$69</f>
        <v>7000</v>
      </c>
      <c r="T85" s="3612"/>
    </row>
    <row r="86" spans="2:21" ht="27" customHeight="1" thickBot="1">
      <c r="B86" s="1105" t="s">
        <v>1049</v>
      </c>
      <c r="C86" s="1105" t="s">
        <v>1049</v>
      </c>
      <c r="D86" s="395"/>
      <c r="E86" s="13"/>
      <c r="F86" s="2865">
        <f>G94</f>
        <v>3</v>
      </c>
      <c r="G86" s="2753" t="s">
        <v>4099</v>
      </c>
      <c r="H86" s="2697"/>
      <c r="I86" s="2697"/>
      <c r="J86" s="2697"/>
      <c r="K86" s="2697"/>
      <c r="L86" s="2697"/>
      <c r="M86" s="2697"/>
      <c r="N86" s="2697"/>
      <c r="O86" s="2698"/>
      <c r="R86" s="1105" t="s">
        <v>4099</v>
      </c>
      <c r="T86" s="3612" t="s">
        <v>4099</v>
      </c>
    </row>
    <row r="87" spans="2:21" ht="21" customHeight="1">
      <c r="B87" s="1105">
        <v>0</v>
      </c>
      <c r="D87" s="395"/>
      <c r="E87" s="13"/>
      <c r="F87" s="2699" t="str">
        <f>IF(F86=$F$7,$G$2,IF(ROUNDDOWN(F86,0)=$F$2,$H$2,$G$2))</f>
        <v>　Level 1</v>
      </c>
      <c r="G87" s="2755" t="s">
        <v>2528</v>
      </c>
      <c r="H87" s="2700"/>
      <c r="I87" s="2700"/>
      <c r="J87" s="2700"/>
      <c r="K87" s="2700"/>
      <c r="L87" s="2700"/>
      <c r="M87" s="2700"/>
      <c r="N87" s="2700"/>
      <c r="O87" s="2701"/>
      <c r="R87" s="1105" t="s">
        <v>4351</v>
      </c>
      <c r="T87" s="3612" t="s">
        <v>4352</v>
      </c>
    </row>
    <row r="88" spans="2:21" ht="25.15" customHeight="1">
      <c r="B88" s="1105">
        <v>0</v>
      </c>
      <c r="D88" s="395"/>
      <c r="E88" s="13"/>
      <c r="F88" s="2702" t="str">
        <f>IF(F86=$F$7,$G$3,IF(ROUNDDOWN(F86,0)=$F$3,$H$3,$G$3))</f>
        <v>　Level 2</v>
      </c>
      <c r="G88" s="1170" t="s">
        <v>3486</v>
      </c>
      <c r="H88" s="2333"/>
      <c r="I88" s="2333"/>
      <c r="J88" s="2333"/>
      <c r="K88" s="2333"/>
      <c r="L88" s="2333"/>
      <c r="M88" s="2333"/>
      <c r="N88" s="2333"/>
      <c r="O88" s="2703"/>
      <c r="R88" s="1105" t="s">
        <v>4353</v>
      </c>
      <c r="T88" s="3612" t="s">
        <v>4354</v>
      </c>
    </row>
    <row r="89" spans="2:21" ht="25.15" customHeight="1">
      <c r="B89" s="1105">
        <v>3</v>
      </c>
      <c r="D89" s="395"/>
      <c r="E89" s="13"/>
      <c r="F89" s="2702" t="str">
        <f>IF(F86=$F$7,$G$4,IF(ROUNDDOWN(F86,0)=$F$4,$H$4,$G$4))</f>
        <v>■Level 3</v>
      </c>
      <c r="G89" s="1170" t="s">
        <v>3487</v>
      </c>
      <c r="H89" s="2333"/>
      <c r="I89" s="2333"/>
      <c r="J89" s="2333"/>
      <c r="K89" s="2333"/>
      <c r="L89" s="2333"/>
      <c r="M89" s="2333"/>
      <c r="N89" s="2333"/>
      <c r="O89" s="2703"/>
      <c r="R89" s="1105" t="s">
        <v>4355</v>
      </c>
      <c r="T89" s="3612" t="s">
        <v>4356</v>
      </c>
    </row>
    <row r="90" spans="2:21" ht="25.15" customHeight="1">
      <c r="B90" s="1105">
        <v>6</v>
      </c>
      <c r="D90" s="395"/>
      <c r="E90" s="13"/>
      <c r="F90" s="2702" t="str">
        <f>IF(F86=$F$7,$G$5,IF(ROUNDDOWN(F86,0)=$F$5,$H$5,$G$5))</f>
        <v>　Level 4</v>
      </c>
      <c r="G90" s="3808" t="s">
        <v>3488</v>
      </c>
      <c r="H90" s="3809"/>
      <c r="I90" s="3809"/>
      <c r="J90" s="3809"/>
      <c r="K90" s="3809"/>
      <c r="L90" s="3809"/>
      <c r="M90" s="3809"/>
      <c r="N90" s="3809"/>
      <c r="O90" s="3810"/>
      <c r="R90" s="1105" t="s">
        <v>4357</v>
      </c>
      <c r="T90" s="3612" t="s">
        <v>4358</v>
      </c>
    </row>
    <row r="91" spans="2:21" ht="25.15" customHeight="1">
      <c r="B91" s="1105">
        <v>9</v>
      </c>
      <c r="D91" s="395"/>
      <c r="E91" s="13"/>
      <c r="F91" s="2704" t="str">
        <f>IF(F86=$F$7,$G$6,IF(ROUNDDOWN(F86,0)=$F$6,$H$6,$G$6))</f>
        <v>　Level 5</v>
      </c>
      <c r="G91" s="3937" t="s">
        <v>3489</v>
      </c>
      <c r="H91" s="4010"/>
      <c r="I91" s="4010"/>
      <c r="J91" s="4010"/>
      <c r="K91" s="4010"/>
      <c r="L91" s="4010"/>
      <c r="M91" s="4010"/>
      <c r="N91" s="4010"/>
      <c r="O91" s="4011"/>
      <c r="R91" s="1105" t="s">
        <v>4359</v>
      </c>
      <c r="T91" s="3612" t="s">
        <v>4360</v>
      </c>
    </row>
    <row r="92" spans="2:21" ht="15.75">
      <c r="D92" s="395"/>
      <c r="E92" s="13"/>
      <c r="F92" s="2067" t="s">
        <v>3045</v>
      </c>
      <c r="G92" s="2708"/>
      <c r="H92" s="2759"/>
      <c r="I92" s="2709"/>
      <c r="J92" s="2710"/>
      <c r="K92" s="2779" t="str">
        <f>K74</f>
        <v>Note; Describe introduced technics for each effort.</v>
      </c>
    </row>
    <row r="93" spans="2:21">
      <c r="B93" s="2712"/>
      <c r="C93" s="2712"/>
      <c r="D93" s="1105"/>
      <c r="F93" s="1173" t="s">
        <v>3286</v>
      </c>
    </row>
    <row r="94" spans="2:21" ht="16.5" thickBot="1">
      <c r="B94" s="1105" t="s">
        <v>1050</v>
      </c>
      <c r="C94" s="1105" t="s">
        <v>4349</v>
      </c>
      <c r="D94" s="395"/>
      <c r="E94" s="395"/>
      <c r="F94" s="395"/>
      <c r="G94" s="3562">
        <f>IF(G108&gt;=B91,5,IF(G108&gt;=B90,4,IF(G108&gt;=B89,3,IF(G108&gt;=B88,2,1))))</f>
        <v>3</v>
      </c>
      <c r="H94" s="2877" t="s">
        <v>3479</v>
      </c>
      <c r="I94" s="2857" t="s">
        <v>4057</v>
      </c>
      <c r="J94" s="2458"/>
      <c r="K94" s="2458"/>
      <c r="L94" s="2458"/>
      <c r="M94" s="2458"/>
      <c r="N94" s="2458"/>
      <c r="O94" s="2858"/>
    </row>
    <row r="95" spans="2:21" ht="24">
      <c r="B95" s="1105">
        <v>1</v>
      </c>
      <c r="D95" s="395"/>
      <c r="E95" s="119"/>
      <c r="F95" s="2321" t="s">
        <v>784</v>
      </c>
      <c r="G95" s="3614" t="s">
        <v>2830</v>
      </c>
      <c r="H95" s="3615" t="s">
        <v>3480</v>
      </c>
      <c r="I95" s="2814" t="s">
        <v>3490</v>
      </c>
      <c r="J95" s="2815"/>
      <c r="K95" s="2815"/>
      <c r="L95" s="2815"/>
      <c r="M95" s="2815"/>
      <c r="N95" s="2815"/>
      <c r="O95" s="2816"/>
    </row>
    <row r="96" spans="2:21" ht="15.75">
      <c r="B96" s="1105">
        <v>1</v>
      </c>
      <c r="D96" s="395"/>
      <c r="E96" s="119"/>
      <c r="F96" s="2321" t="s">
        <v>1046</v>
      </c>
      <c r="G96" s="3616"/>
      <c r="H96" s="3617"/>
      <c r="I96" s="2789" t="s">
        <v>3491</v>
      </c>
      <c r="J96" s="2790"/>
      <c r="K96" s="2790"/>
      <c r="L96" s="2790"/>
      <c r="M96" s="2790"/>
      <c r="N96" s="2790"/>
      <c r="O96" s="2854"/>
    </row>
    <row r="97" spans="2:16" ht="24">
      <c r="B97" s="1105">
        <v>1</v>
      </c>
      <c r="D97" s="395"/>
      <c r="E97" s="119"/>
      <c r="F97" s="2321" t="s">
        <v>786</v>
      </c>
      <c r="G97" s="3616"/>
      <c r="H97" s="3350" t="s">
        <v>3481</v>
      </c>
      <c r="I97" s="2789" t="s">
        <v>3492</v>
      </c>
      <c r="J97" s="2790"/>
      <c r="K97" s="2790"/>
      <c r="L97" s="2790"/>
      <c r="M97" s="2790"/>
      <c r="N97" s="2790"/>
      <c r="O97" s="2854"/>
    </row>
    <row r="98" spans="2:16" ht="15.75">
      <c r="B98" s="1105">
        <v>1</v>
      </c>
      <c r="D98" s="395"/>
      <c r="E98" s="119"/>
      <c r="F98" s="2321" t="s">
        <v>787</v>
      </c>
      <c r="G98" s="3616"/>
      <c r="H98" s="3618"/>
      <c r="I98" s="2789" t="s">
        <v>3493</v>
      </c>
      <c r="J98" s="2790"/>
      <c r="K98" s="2790"/>
      <c r="L98" s="2790"/>
      <c r="M98" s="2790"/>
      <c r="N98" s="2790"/>
      <c r="O98" s="2854"/>
    </row>
    <row r="99" spans="2:16" ht="30" customHeight="1">
      <c r="B99" s="1105">
        <v>1</v>
      </c>
      <c r="D99" s="395"/>
      <c r="E99" s="119"/>
      <c r="F99" s="2321" t="s">
        <v>788</v>
      </c>
      <c r="G99" s="3616"/>
      <c r="H99" s="3618"/>
      <c r="I99" s="3808" t="s">
        <v>3494</v>
      </c>
      <c r="J99" s="3809"/>
      <c r="K99" s="3809"/>
      <c r="L99" s="3809"/>
      <c r="M99" s="3809"/>
      <c r="N99" s="3809"/>
      <c r="O99" s="3810"/>
    </row>
    <row r="100" spans="2:16" ht="15.75">
      <c r="B100" s="1105">
        <v>1</v>
      </c>
      <c r="D100" s="395"/>
      <c r="E100" s="119"/>
      <c r="F100" s="2321" t="s">
        <v>789</v>
      </c>
      <c r="G100" s="3616"/>
      <c r="H100" s="3617"/>
      <c r="I100" s="2789" t="s">
        <v>3495</v>
      </c>
      <c r="J100" s="2790"/>
      <c r="K100" s="2790"/>
      <c r="L100" s="2790"/>
      <c r="M100" s="2790"/>
      <c r="N100" s="2790"/>
      <c r="O100" s="2854"/>
    </row>
    <row r="101" spans="2:16" ht="27.6" customHeight="1">
      <c r="B101" s="1105">
        <v>1</v>
      </c>
      <c r="D101" s="395"/>
      <c r="E101" s="119"/>
      <c r="F101" s="2321" t="s">
        <v>790</v>
      </c>
      <c r="G101" s="3616" t="s">
        <v>2830</v>
      </c>
      <c r="H101" s="3414" t="s">
        <v>3482</v>
      </c>
      <c r="I101" s="3808" t="s">
        <v>3496</v>
      </c>
      <c r="J101" s="3928"/>
      <c r="K101" s="3928"/>
      <c r="L101" s="3928"/>
      <c r="M101" s="3928"/>
      <c r="N101" s="3928"/>
      <c r="O101" s="3929"/>
    </row>
    <row r="102" spans="2:16" ht="30.75" customHeight="1">
      <c r="B102" s="1105">
        <v>1</v>
      </c>
      <c r="D102" s="395"/>
      <c r="E102" s="119"/>
      <c r="F102" s="2321" t="s">
        <v>791</v>
      </c>
      <c r="G102" s="3616" t="s">
        <v>2830</v>
      </c>
      <c r="H102" s="3350" t="s">
        <v>3483</v>
      </c>
      <c r="I102" s="4030" t="s">
        <v>3497</v>
      </c>
      <c r="J102" s="3928"/>
      <c r="K102" s="3928"/>
      <c r="L102" s="3928"/>
      <c r="M102" s="3928"/>
      <c r="N102" s="3928"/>
      <c r="O102" s="3929"/>
    </row>
    <row r="103" spans="2:16" ht="26.45" customHeight="1">
      <c r="B103" s="1105">
        <v>1</v>
      </c>
      <c r="D103" s="395"/>
      <c r="E103" s="119"/>
      <c r="F103" s="2321" t="s">
        <v>792</v>
      </c>
      <c r="G103" s="3616"/>
      <c r="H103" s="3618"/>
      <c r="I103" s="3808" t="s">
        <v>3498</v>
      </c>
      <c r="J103" s="3928"/>
      <c r="K103" s="3928"/>
      <c r="L103" s="3928"/>
      <c r="M103" s="3928"/>
      <c r="N103" s="3928"/>
      <c r="O103" s="3929"/>
    </row>
    <row r="104" spans="2:16" ht="15.75">
      <c r="B104" s="1105">
        <v>1</v>
      </c>
      <c r="D104" s="395"/>
      <c r="E104" s="119"/>
      <c r="F104" s="2321" t="s">
        <v>793</v>
      </c>
      <c r="G104" s="3616" t="s">
        <v>2830</v>
      </c>
      <c r="H104" s="3617"/>
      <c r="I104" s="2789" t="s">
        <v>3499</v>
      </c>
      <c r="J104" s="2790"/>
      <c r="K104" s="2790"/>
      <c r="L104" s="2790"/>
      <c r="M104" s="2790"/>
      <c r="N104" s="2790"/>
      <c r="O104" s="2854"/>
    </row>
    <row r="105" spans="2:16" ht="33.75">
      <c r="B105" s="1105">
        <v>1</v>
      </c>
      <c r="D105" s="395"/>
      <c r="E105" s="119"/>
      <c r="F105" s="2321" t="s">
        <v>794</v>
      </c>
      <c r="G105" s="3616"/>
      <c r="H105" s="3786" t="s">
        <v>3484</v>
      </c>
      <c r="I105" s="3808" t="s">
        <v>3500</v>
      </c>
      <c r="J105" s="3928"/>
      <c r="K105" s="3928"/>
      <c r="L105" s="3928"/>
      <c r="M105" s="3928"/>
      <c r="N105" s="3928"/>
      <c r="O105" s="3929"/>
    </row>
    <row r="106" spans="2:16" ht="15.75">
      <c r="D106" s="395"/>
      <c r="E106" s="119"/>
      <c r="F106" s="3619" t="s">
        <v>795</v>
      </c>
      <c r="G106" s="3620"/>
      <c r="H106" s="3621" t="s">
        <v>3485</v>
      </c>
      <c r="I106" s="2861" t="s">
        <v>3501</v>
      </c>
      <c r="J106" s="2862"/>
      <c r="K106" s="2862"/>
      <c r="L106" s="2862"/>
      <c r="M106" s="2862"/>
      <c r="N106" s="2862"/>
      <c r="O106" s="2863"/>
    </row>
    <row r="107" spans="2:16" ht="16.5" thickBot="1">
      <c r="B107" s="1105">
        <v>1</v>
      </c>
      <c r="D107" s="395"/>
      <c r="E107" s="119"/>
      <c r="F107" s="3619" t="s">
        <v>1253</v>
      </c>
      <c r="G107" s="3622"/>
      <c r="H107" s="3623"/>
      <c r="I107" s="2819" t="s">
        <v>3502</v>
      </c>
      <c r="J107" s="3595"/>
      <c r="K107" s="3595"/>
      <c r="L107" s="3595"/>
      <c r="M107" s="3595"/>
      <c r="N107" s="3595"/>
      <c r="O107" s="3183"/>
    </row>
    <row r="108" spans="2:16" ht="15.75">
      <c r="D108" s="395"/>
      <c r="E108" s="119"/>
      <c r="F108" s="2321" t="s">
        <v>1468</v>
      </c>
      <c r="G108" s="3404">
        <f>COUNTIF(G95:G107,$M$3)</f>
        <v>4</v>
      </c>
      <c r="H108" s="3510" t="s">
        <v>4055</v>
      </c>
      <c r="I108" s="3624"/>
      <c r="J108" s="2877"/>
      <c r="K108" s="2878"/>
      <c r="L108" s="2878"/>
      <c r="M108" s="2878"/>
      <c r="N108" s="2877"/>
      <c r="O108" s="3625"/>
    </row>
    <row r="109" spans="2:16">
      <c r="D109" s="1105"/>
    </row>
    <row r="110" spans="2:16" hidden="1">
      <c r="B110" s="1105" t="s">
        <v>798</v>
      </c>
      <c r="C110" s="3613" t="s">
        <v>4361</v>
      </c>
      <c r="F110" s="3626" t="s">
        <v>4362</v>
      </c>
      <c r="G110" s="3627"/>
      <c r="H110" s="3627"/>
      <c r="I110" s="3628"/>
      <c r="J110" s="3612"/>
      <c r="K110" s="3612"/>
      <c r="L110" s="3612"/>
      <c r="M110" s="3612"/>
      <c r="N110" s="3612"/>
      <c r="O110" s="3612"/>
      <c r="P110" s="3629"/>
    </row>
    <row r="111" spans="2:16" hidden="1">
      <c r="B111" s="1105" t="s">
        <v>1050</v>
      </c>
      <c r="G111" s="3630">
        <f>ROUND(IF(G119&lt;=2,1,IF(G119&lt;=5,2,IF(G119&lt;=8,3,IF(G119&lt;=11,4,IF(G119&gt;=12,5))))),0)</f>
        <v>3</v>
      </c>
      <c r="H111" s="3631" t="s">
        <v>4363</v>
      </c>
      <c r="I111" s="3632"/>
      <c r="J111" s="3633" t="s">
        <v>4364</v>
      </c>
      <c r="K111" s="3632"/>
      <c r="L111" s="3632"/>
      <c r="M111" s="3632"/>
      <c r="N111" s="3632"/>
      <c r="O111" s="3634" t="s">
        <v>4365</v>
      </c>
    </row>
    <row r="112" spans="2:16" ht="15" hidden="1">
      <c r="B112" s="1105">
        <v>3</v>
      </c>
      <c r="F112" s="2321" t="s">
        <v>784</v>
      </c>
      <c r="G112" s="3635">
        <v>3</v>
      </c>
      <c r="H112" s="3636" t="s">
        <v>4366</v>
      </c>
      <c r="I112" s="3637"/>
      <c r="J112" s="3638" t="s">
        <v>4367</v>
      </c>
      <c r="K112" s="3636"/>
      <c r="L112" s="3636"/>
      <c r="M112" s="3636"/>
      <c r="N112" s="3636"/>
      <c r="O112" s="3639">
        <v>3</v>
      </c>
    </row>
    <row r="113" spans="2:15" ht="15" hidden="1">
      <c r="B113" s="1105">
        <v>1</v>
      </c>
      <c r="F113" s="2321" t="s">
        <v>1046</v>
      </c>
      <c r="G113" s="3640">
        <v>1</v>
      </c>
      <c r="H113" s="3641" t="s">
        <v>4368</v>
      </c>
      <c r="I113" s="3642"/>
      <c r="J113" s="3643" t="s">
        <v>4369</v>
      </c>
      <c r="K113" s="3641"/>
      <c r="L113" s="3641"/>
      <c r="M113" s="3641"/>
      <c r="N113" s="3641"/>
      <c r="O113" s="3644">
        <v>1</v>
      </c>
    </row>
    <row r="114" spans="2:15" ht="15" hidden="1">
      <c r="B114" s="1105">
        <v>3</v>
      </c>
      <c r="F114" s="2321" t="s">
        <v>786</v>
      </c>
      <c r="G114" s="3640">
        <v>3</v>
      </c>
      <c r="H114" s="3641" t="s">
        <v>4370</v>
      </c>
      <c r="I114" s="3642"/>
      <c r="J114" s="3643" t="s">
        <v>4371</v>
      </c>
      <c r="K114" s="3641"/>
      <c r="L114" s="3641"/>
      <c r="M114" s="3641"/>
      <c r="N114" s="3641"/>
      <c r="O114" s="3644">
        <v>3</v>
      </c>
    </row>
    <row r="115" spans="2:15" ht="15" hidden="1">
      <c r="B115" s="1105">
        <v>2</v>
      </c>
      <c r="F115" s="2321" t="s">
        <v>787</v>
      </c>
      <c r="G115" s="3640">
        <v>0</v>
      </c>
      <c r="H115" s="3641" t="s">
        <v>4372</v>
      </c>
      <c r="I115" s="3642"/>
      <c r="J115" s="3643" t="s">
        <v>4373</v>
      </c>
      <c r="K115" s="3641"/>
      <c r="L115" s="3641"/>
      <c r="M115" s="3641"/>
      <c r="N115" s="3641"/>
      <c r="O115" s="3644">
        <v>2</v>
      </c>
    </row>
    <row r="116" spans="2:15" ht="15" hidden="1">
      <c r="B116" s="1105">
        <v>1</v>
      </c>
      <c r="F116" s="2321" t="s">
        <v>788</v>
      </c>
      <c r="G116" s="3640">
        <v>0</v>
      </c>
      <c r="H116" s="3641" t="s">
        <v>4374</v>
      </c>
      <c r="I116" s="3642"/>
      <c r="J116" s="3643" t="s">
        <v>4375</v>
      </c>
      <c r="K116" s="3641"/>
      <c r="L116" s="3641"/>
      <c r="M116" s="3641"/>
      <c r="N116" s="3641"/>
      <c r="O116" s="3644">
        <v>1</v>
      </c>
    </row>
    <row r="117" spans="2:15" ht="15" hidden="1">
      <c r="B117" s="1105">
        <v>2</v>
      </c>
      <c r="F117" s="2321" t="s">
        <v>789</v>
      </c>
      <c r="G117" s="3640">
        <v>0</v>
      </c>
      <c r="H117" s="3641" t="s">
        <v>4376</v>
      </c>
      <c r="I117" s="3642"/>
      <c r="J117" s="3643" t="s">
        <v>4377</v>
      </c>
      <c r="K117" s="3641"/>
      <c r="L117" s="3641"/>
      <c r="M117" s="3641"/>
      <c r="N117" s="3641"/>
      <c r="O117" s="3644">
        <v>2</v>
      </c>
    </row>
    <row r="118" spans="2:15" ht="15.75" hidden="1" thickBot="1">
      <c r="B118" s="1105">
        <v>1</v>
      </c>
      <c r="F118" s="2321" t="s">
        <v>790</v>
      </c>
      <c r="G118" s="3645">
        <v>0</v>
      </c>
      <c r="H118" s="3646" t="s">
        <v>708</v>
      </c>
      <c r="I118" s="3647"/>
      <c r="J118" s="3648" t="s">
        <v>4378</v>
      </c>
      <c r="K118" s="3646"/>
      <c r="L118" s="3646"/>
      <c r="M118" s="3646"/>
      <c r="N118" s="3646"/>
      <c r="O118" s="3649">
        <v>1</v>
      </c>
    </row>
    <row r="119" spans="2:15" ht="15.75" hidden="1">
      <c r="F119" s="2321" t="s">
        <v>3329</v>
      </c>
      <c r="G119" s="3404">
        <f>SUM(G112:G118)</f>
        <v>7</v>
      </c>
      <c r="H119" s="3510" t="s">
        <v>3099</v>
      </c>
      <c r="I119" s="3650"/>
      <c r="J119" s="3650"/>
      <c r="K119" s="3632"/>
      <c r="L119" s="3651"/>
      <c r="M119" s="3632"/>
      <c r="N119" s="3651"/>
      <c r="O119" s="3498">
        <f>SUM(B112:B118)</f>
        <v>13</v>
      </c>
    </row>
    <row r="120" spans="2:15" hidden="1">
      <c r="F120" s="3626" t="s">
        <v>4379</v>
      </c>
      <c r="G120" s="3612"/>
      <c r="H120" s="3612"/>
      <c r="I120" s="3612"/>
      <c r="J120" s="3612"/>
      <c r="K120" s="3612"/>
      <c r="L120" s="3612"/>
      <c r="M120" s="3612"/>
      <c r="N120" s="3612"/>
      <c r="O120" s="3627"/>
    </row>
    <row r="121" spans="2:15" hidden="1">
      <c r="B121" s="1105" t="s">
        <v>1050</v>
      </c>
      <c r="G121" s="3630">
        <f>ROUND(IF(G128&lt;=2,1,IF(G128&lt;=5,2,IF(G128&lt;=8,3,IF(G128&lt;=11,4,IF(G128&gt;=12,5))))),0)</f>
        <v>4</v>
      </c>
      <c r="H121" s="3631" t="s">
        <v>4363</v>
      </c>
      <c r="I121" s="3632"/>
      <c r="J121" s="3633" t="s">
        <v>4364</v>
      </c>
      <c r="K121" s="3632"/>
      <c r="L121" s="3632"/>
      <c r="M121" s="3632"/>
      <c r="N121" s="3632"/>
      <c r="O121" s="3634" t="s">
        <v>4365</v>
      </c>
    </row>
    <row r="122" spans="2:15" ht="15" hidden="1">
      <c r="B122" s="1105">
        <v>3</v>
      </c>
      <c r="F122" s="2321" t="s">
        <v>784</v>
      </c>
      <c r="G122" s="3652">
        <v>3</v>
      </c>
      <c r="H122" s="3636" t="s">
        <v>4380</v>
      </c>
      <c r="I122" s="3637"/>
      <c r="J122" s="3638" t="s">
        <v>4381</v>
      </c>
      <c r="K122" s="3636"/>
      <c r="L122" s="3636"/>
      <c r="M122" s="3636"/>
      <c r="N122" s="3636"/>
      <c r="O122" s="3639">
        <v>3</v>
      </c>
    </row>
    <row r="123" spans="2:15" ht="15" hidden="1">
      <c r="B123" s="1105">
        <v>3</v>
      </c>
      <c r="F123" s="2321" t="s">
        <v>1046</v>
      </c>
      <c r="G123" s="3653">
        <v>3</v>
      </c>
      <c r="H123" s="3641" t="s">
        <v>4382</v>
      </c>
      <c r="I123" s="3642"/>
      <c r="J123" s="3643" t="s">
        <v>4383</v>
      </c>
      <c r="K123" s="3641"/>
      <c r="L123" s="3641"/>
      <c r="M123" s="3641"/>
      <c r="N123" s="3641"/>
      <c r="O123" s="3644">
        <v>3</v>
      </c>
    </row>
    <row r="124" spans="2:15" ht="15" hidden="1">
      <c r="B124" s="1105">
        <v>3</v>
      </c>
      <c r="F124" s="2321" t="s">
        <v>786</v>
      </c>
      <c r="G124" s="3653">
        <v>3</v>
      </c>
      <c r="H124" s="3641" t="s">
        <v>4384</v>
      </c>
      <c r="I124" s="3642"/>
      <c r="J124" s="3643" t="s">
        <v>4385</v>
      </c>
      <c r="K124" s="3641"/>
      <c r="L124" s="3641"/>
      <c r="M124" s="3641"/>
      <c r="N124" s="3641"/>
      <c r="O124" s="3644">
        <v>3</v>
      </c>
    </row>
    <row r="125" spans="2:15" ht="15" hidden="1">
      <c r="B125" s="1105">
        <v>2</v>
      </c>
      <c r="F125" s="2321" t="s">
        <v>787</v>
      </c>
      <c r="G125" s="3653">
        <v>0</v>
      </c>
      <c r="H125" s="3641" t="s">
        <v>4386</v>
      </c>
      <c r="I125" s="3642"/>
      <c r="J125" s="3643" t="s">
        <v>4387</v>
      </c>
      <c r="K125" s="3641"/>
      <c r="L125" s="3641"/>
      <c r="M125" s="3641"/>
      <c r="N125" s="3641"/>
      <c r="O125" s="3644">
        <v>2</v>
      </c>
    </row>
    <row r="126" spans="2:15" ht="15" hidden="1">
      <c r="B126" s="1105">
        <v>1</v>
      </c>
      <c r="F126" s="2321" t="s">
        <v>788</v>
      </c>
      <c r="G126" s="3653">
        <v>0</v>
      </c>
      <c r="H126" s="3641" t="s">
        <v>4388</v>
      </c>
      <c r="I126" s="3642"/>
      <c r="J126" s="3643" t="s">
        <v>4389</v>
      </c>
      <c r="K126" s="3641"/>
      <c r="L126" s="3641"/>
      <c r="M126" s="3641"/>
      <c r="N126" s="3641"/>
      <c r="O126" s="3644">
        <v>1</v>
      </c>
    </row>
    <row r="127" spans="2:15" ht="15.75" hidden="1" thickBot="1">
      <c r="B127" s="1105">
        <v>1</v>
      </c>
      <c r="F127" s="2321" t="s">
        <v>789</v>
      </c>
      <c r="G127" s="3654">
        <v>0</v>
      </c>
      <c r="H127" s="3646" t="s">
        <v>4390</v>
      </c>
      <c r="I127" s="3642"/>
      <c r="J127" s="3643" t="s">
        <v>4391</v>
      </c>
      <c r="K127" s="3641"/>
      <c r="L127" s="3641"/>
      <c r="M127" s="3641"/>
      <c r="N127" s="3641"/>
      <c r="O127" s="3644">
        <v>1</v>
      </c>
    </row>
    <row r="128" spans="2:15" ht="15.75" hidden="1">
      <c r="F128" s="2321" t="s">
        <v>3329</v>
      </c>
      <c r="G128" s="3404">
        <f>SUM(G122:G127)</f>
        <v>9</v>
      </c>
      <c r="H128" s="3510" t="s">
        <v>3099</v>
      </c>
      <c r="I128" s="3650"/>
      <c r="J128" s="3650"/>
      <c r="K128" s="3632"/>
      <c r="L128" s="3651"/>
      <c r="M128" s="3632"/>
      <c r="N128" s="3651"/>
      <c r="O128" s="3498">
        <f>SUM(B122:B127)</f>
        <v>13</v>
      </c>
    </row>
    <row r="129" spans="2:15" ht="15.75">
      <c r="D129" s="395"/>
      <c r="E129" s="119"/>
    </row>
    <row r="130" spans="2:15" ht="15.75">
      <c r="D130" s="395"/>
      <c r="E130" s="119"/>
      <c r="F130" s="396" t="s">
        <v>4392</v>
      </c>
    </row>
    <row r="131" spans="2:15" ht="19.899999999999999" customHeight="1" thickBot="1">
      <c r="B131" s="1105" t="s">
        <v>4349</v>
      </c>
      <c r="C131" s="3613" t="s">
        <v>4350</v>
      </c>
      <c r="D131" s="395"/>
      <c r="E131" s="13"/>
      <c r="F131" s="2843" t="s">
        <v>2613</v>
      </c>
      <c r="G131" s="2688"/>
      <c r="H131" s="2853"/>
      <c r="I131" s="2842" t="s">
        <v>2629</v>
      </c>
      <c r="J131" s="3221">
        <f>Weight!M76</f>
        <v>0.5</v>
      </c>
      <c r="K131" s="2764"/>
      <c r="L131" s="2690" t="s">
        <v>4981</v>
      </c>
      <c r="M131" s="3489">
        <f>Main!$J$69</f>
        <v>7000</v>
      </c>
      <c r="N131" s="3225" t="s">
        <v>3272</v>
      </c>
      <c r="O131" s="3537"/>
    </row>
    <row r="132" spans="2:15" ht="27" customHeight="1" thickBot="1">
      <c r="B132" s="1105" t="s">
        <v>1049</v>
      </c>
      <c r="C132" s="1105" t="s">
        <v>1049</v>
      </c>
      <c r="E132" s="13"/>
      <c r="F132" s="2865">
        <f>G140</f>
        <v>3</v>
      </c>
      <c r="G132" s="2753" t="s">
        <v>4100</v>
      </c>
      <c r="H132" s="2697"/>
      <c r="I132" s="2697"/>
      <c r="J132" s="2697"/>
      <c r="K132" s="2697"/>
      <c r="L132" s="2697"/>
      <c r="M132" s="2698"/>
      <c r="N132" s="3655" t="s">
        <v>16</v>
      </c>
      <c r="O132" s="3467"/>
    </row>
    <row r="133" spans="2:15" ht="21" customHeight="1">
      <c r="B133" s="1105">
        <v>0</v>
      </c>
      <c r="E133" s="13"/>
      <c r="F133" s="2699" t="str">
        <f>IF(F132=$F$7,$G$2,IF(ROUNDDOWN(F132,0)=$F$2,$H$2,$G$2))</f>
        <v>　Level 1</v>
      </c>
      <c r="G133" s="1170" t="s">
        <v>2528</v>
      </c>
      <c r="H133" s="2700"/>
      <c r="I133" s="2700"/>
      <c r="J133" s="2700"/>
      <c r="K133" s="2700"/>
      <c r="L133" s="2700"/>
      <c r="M133" s="2701"/>
      <c r="N133" s="4031" t="s">
        <v>5014</v>
      </c>
      <c r="O133" s="4032"/>
    </row>
    <row r="134" spans="2:15" ht="27.75" customHeight="1">
      <c r="B134" s="1105">
        <v>0</v>
      </c>
      <c r="E134" s="13"/>
      <c r="F134" s="2702" t="str">
        <f>IF(F132=$F$7,$G$3,IF(ROUNDDOWN(F132,0)=$F$3,$H$3,$G$3))</f>
        <v>　Level 2</v>
      </c>
      <c r="G134" s="3808" t="s">
        <v>3503</v>
      </c>
      <c r="H134" s="3928"/>
      <c r="I134" s="3928"/>
      <c r="J134" s="3928"/>
      <c r="K134" s="3928"/>
      <c r="L134" s="3928"/>
      <c r="M134" s="3929"/>
      <c r="N134" s="4033"/>
      <c r="O134" s="4034"/>
    </row>
    <row r="135" spans="2:15" ht="27.75" customHeight="1">
      <c r="B135" s="1105">
        <v>4</v>
      </c>
      <c r="E135" s="13"/>
      <c r="F135" s="2702" t="str">
        <f>IF(F132=$F$7,$G$4,IF(ROUNDDOWN(F132,0)=$F$4,$H$4,$G$4))</f>
        <v>■Level 3</v>
      </c>
      <c r="G135" s="3808" t="s">
        <v>3504</v>
      </c>
      <c r="H135" s="3928"/>
      <c r="I135" s="3928"/>
      <c r="J135" s="3928"/>
      <c r="K135" s="3928"/>
      <c r="L135" s="3928"/>
      <c r="M135" s="3929"/>
      <c r="N135" s="4033"/>
      <c r="O135" s="4034"/>
    </row>
    <row r="136" spans="2:15" ht="27.75" customHeight="1">
      <c r="B136" s="1105">
        <v>7</v>
      </c>
      <c r="E136" s="13"/>
      <c r="F136" s="2702" t="str">
        <f>IF(F132=$F$7,$G$5,IF(ROUNDDOWN(F132,0)=$F$5,$H$5,$G$5))</f>
        <v>　Level 4</v>
      </c>
      <c r="G136" s="3808" t="s">
        <v>3505</v>
      </c>
      <c r="H136" s="3928"/>
      <c r="I136" s="3928"/>
      <c r="J136" s="3928"/>
      <c r="K136" s="3928"/>
      <c r="L136" s="3928"/>
      <c r="M136" s="3929"/>
      <c r="N136" s="4033"/>
      <c r="O136" s="4034"/>
    </row>
    <row r="137" spans="2:15" ht="27.75" customHeight="1">
      <c r="B137" s="1105">
        <v>10</v>
      </c>
      <c r="E137" s="13"/>
      <c r="F137" s="2704" t="str">
        <f>IF(F132=$F$7,$G$6,IF(ROUNDDOWN(F132,0)=$F$6,$H$6,$G$6))</f>
        <v>　Level 5</v>
      </c>
      <c r="G137" s="3937" t="s">
        <v>3506</v>
      </c>
      <c r="H137" s="3973"/>
      <c r="I137" s="3973"/>
      <c r="J137" s="3973"/>
      <c r="K137" s="3973"/>
      <c r="L137" s="3973"/>
      <c r="M137" s="3990"/>
      <c r="N137" s="4035"/>
      <c r="O137" s="4036"/>
    </row>
    <row r="138" spans="2:15" ht="15.75">
      <c r="E138" s="13"/>
      <c r="F138" s="2067" t="s">
        <v>3045</v>
      </c>
      <c r="G138" s="2708"/>
      <c r="H138" s="2759"/>
      <c r="I138" s="2709"/>
      <c r="J138" s="2710"/>
      <c r="K138" s="2711"/>
    </row>
    <row r="139" spans="2:15">
      <c r="B139" s="2712"/>
      <c r="C139" s="2712"/>
      <c r="D139" s="1105"/>
      <c r="F139" s="1173" t="s">
        <v>3286</v>
      </c>
    </row>
    <row r="140" spans="2:15" ht="27" customHeight="1" thickBot="1">
      <c r="B140" s="1105" t="s">
        <v>1050</v>
      </c>
      <c r="C140" s="1105" t="s">
        <v>4349</v>
      </c>
      <c r="D140" s="395"/>
      <c r="E140" s="395"/>
      <c r="F140" s="395"/>
      <c r="G140" s="3562">
        <f>IF(G154&gt;=B137,5,IF(G154&gt;=B136,4,IF(G154&gt;=B135,3,IF(G154&gt;=B134,2,1))))</f>
        <v>3</v>
      </c>
      <c r="H140" s="4026" t="s">
        <v>3507</v>
      </c>
      <c r="I140" s="4027"/>
      <c r="J140" s="4027"/>
      <c r="K140" s="4028"/>
      <c r="L140" s="4026" t="s">
        <v>3508</v>
      </c>
      <c r="M140" s="4027"/>
      <c r="N140" s="4027"/>
      <c r="O140" s="4028"/>
    </row>
    <row r="141" spans="2:15" ht="27.75" customHeight="1">
      <c r="B141" s="1105">
        <v>1</v>
      </c>
      <c r="D141" s="395"/>
      <c r="E141" s="119"/>
      <c r="F141" s="2321" t="s">
        <v>784</v>
      </c>
      <c r="G141" s="3614"/>
      <c r="H141" s="4037" t="s">
        <v>3509</v>
      </c>
      <c r="I141" s="4038"/>
      <c r="J141" s="4038"/>
      <c r="K141" s="4039"/>
      <c r="L141" s="3657" t="s">
        <v>624</v>
      </c>
      <c r="M141" s="3598"/>
      <c r="N141" s="3598"/>
      <c r="O141" s="3658"/>
    </row>
    <row r="142" spans="2:15" ht="27.75" customHeight="1">
      <c r="B142" s="1105">
        <v>1</v>
      </c>
      <c r="D142" s="395"/>
      <c r="E142" s="119"/>
      <c r="F142" s="2321" t="s">
        <v>1046</v>
      </c>
      <c r="G142" s="3616" t="s">
        <v>2830</v>
      </c>
      <c r="H142" s="4024" t="s">
        <v>3510</v>
      </c>
      <c r="I142" s="3928"/>
      <c r="J142" s="3928"/>
      <c r="K142" s="3929"/>
      <c r="L142" s="4025" t="s">
        <v>3522</v>
      </c>
      <c r="M142" s="3928"/>
      <c r="N142" s="3928"/>
      <c r="O142" s="3929"/>
    </row>
    <row r="143" spans="2:15" ht="61.9" customHeight="1">
      <c r="B143" s="1105">
        <v>1</v>
      </c>
      <c r="D143" s="395"/>
      <c r="E143" s="119"/>
      <c r="F143" s="2321" t="s">
        <v>786</v>
      </c>
      <c r="G143" s="3616" t="s">
        <v>2830</v>
      </c>
      <c r="H143" s="4024" t="s">
        <v>3511</v>
      </c>
      <c r="I143" s="3928"/>
      <c r="J143" s="3928"/>
      <c r="K143" s="3929"/>
      <c r="L143" s="4025" t="s">
        <v>4982</v>
      </c>
      <c r="M143" s="3928"/>
      <c r="N143" s="3928"/>
      <c r="O143" s="3929"/>
    </row>
    <row r="144" spans="2:15" ht="27.75" customHeight="1">
      <c r="B144" s="1105">
        <v>1</v>
      </c>
      <c r="D144" s="395"/>
      <c r="E144" s="119"/>
      <c r="F144" s="2321" t="s">
        <v>787</v>
      </c>
      <c r="G144" s="3616" t="s">
        <v>2830</v>
      </c>
      <c r="H144" s="4024" t="s">
        <v>3512</v>
      </c>
      <c r="I144" s="3928"/>
      <c r="J144" s="3928"/>
      <c r="K144" s="3929"/>
      <c r="L144" s="4025" t="s">
        <v>3523</v>
      </c>
      <c r="M144" s="4040"/>
      <c r="N144" s="4040"/>
      <c r="O144" s="4041"/>
    </row>
    <row r="145" spans="2:15" ht="46.15" customHeight="1">
      <c r="B145" s="1105">
        <v>1</v>
      </c>
      <c r="D145" s="395"/>
      <c r="E145" s="119"/>
      <c r="F145" s="2321" t="s">
        <v>788</v>
      </c>
      <c r="G145" s="3616" t="s">
        <v>2830</v>
      </c>
      <c r="H145" s="4024" t="s">
        <v>3513</v>
      </c>
      <c r="I145" s="3928"/>
      <c r="J145" s="3928"/>
      <c r="K145" s="3929"/>
      <c r="L145" s="4025" t="s">
        <v>3524</v>
      </c>
      <c r="M145" s="3928"/>
      <c r="N145" s="3928"/>
      <c r="O145" s="3929"/>
    </row>
    <row r="146" spans="2:15" ht="27.75" customHeight="1">
      <c r="B146" s="1105">
        <v>1</v>
      </c>
      <c r="D146" s="395"/>
      <c r="E146" s="119"/>
      <c r="F146" s="2321" t="s">
        <v>789</v>
      </c>
      <c r="G146" s="3616"/>
      <c r="H146" s="4024" t="s">
        <v>3514</v>
      </c>
      <c r="I146" s="3928"/>
      <c r="J146" s="3928"/>
      <c r="K146" s="3929"/>
      <c r="L146" s="3657" t="s">
        <v>3525</v>
      </c>
      <c r="M146" s="3598"/>
      <c r="N146" s="3598"/>
      <c r="O146" s="3599"/>
    </row>
    <row r="147" spans="2:15" ht="54.6" customHeight="1">
      <c r="B147" s="1105">
        <v>1</v>
      </c>
      <c r="D147" s="395"/>
      <c r="E147" s="119"/>
      <c r="F147" s="2321" t="s">
        <v>790</v>
      </c>
      <c r="G147" s="3616"/>
      <c r="H147" s="4024" t="s">
        <v>3515</v>
      </c>
      <c r="I147" s="3928"/>
      <c r="J147" s="3928"/>
      <c r="K147" s="3929"/>
      <c r="L147" s="4025" t="s">
        <v>3526</v>
      </c>
      <c r="M147" s="3928"/>
      <c r="N147" s="3928"/>
      <c r="O147" s="3929"/>
    </row>
    <row r="148" spans="2:15" ht="48" customHeight="1">
      <c r="B148" s="1105">
        <v>1</v>
      </c>
      <c r="D148" s="395"/>
      <c r="E148" s="119"/>
      <c r="F148" s="2321" t="s">
        <v>791</v>
      </c>
      <c r="G148" s="3616" t="s">
        <v>2830</v>
      </c>
      <c r="H148" s="4024" t="s">
        <v>3516</v>
      </c>
      <c r="I148" s="3928"/>
      <c r="J148" s="3928"/>
      <c r="K148" s="3929"/>
      <c r="L148" s="4025" t="s">
        <v>3527</v>
      </c>
      <c r="M148" s="3928"/>
      <c r="N148" s="3928"/>
      <c r="O148" s="3929"/>
    </row>
    <row r="149" spans="2:15" ht="27.75" customHeight="1">
      <c r="B149" s="1105">
        <v>1</v>
      </c>
      <c r="D149" s="395"/>
      <c r="E149" s="119"/>
      <c r="F149" s="2321" t="s">
        <v>792</v>
      </c>
      <c r="G149" s="3616" t="s">
        <v>2830</v>
      </c>
      <c r="H149" s="4024" t="s">
        <v>3517</v>
      </c>
      <c r="I149" s="3928"/>
      <c r="J149" s="3928"/>
      <c r="K149" s="3929"/>
      <c r="L149" s="4025" t="s">
        <v>4394</v>
      </c>
      <c r="M149" s="3928"/>
      <c r="N149" s="3928"/>
      <c r="O149" s="3929"/>
    </row>
    <row r="150" spans="2:15" ht="39.6" customHeight="1">
      <c r="B150" s="1105">
        <v>1</v>
      </c>
      <c r="D150" s="395"/>
      <c r="E150" s="119"/>
      <c r="F150" s="2321" t="s">
        <v>793</v>
      </c>
      <c r="G150" s="3616"/>
      <c r="H150" s="4024" t="s">
        <v>3518</v>
      </c>
      <c r="I150" s="3928"/>
      <c r="J150" s="3928"/>
      <c r="K150" s="3929"/>
      <c r="L150" s="4025" t="s">
        <v>3528</v>
      </c>
      <c r="M150" s="3928"/>
      <c r="N150" s="3928"/>
      <c r="O150" s="3929"/>
    </row>
    <row r="151" spans="2:15" ht="36.6" customHeight="1">
      <c r="B151" s="1105">
        <v>1</v>
      </c>
      <c r="D151" s="395"/>
      <c r="E151" s="119"/>
      <c r="F151" s="2321" t="s">
        <v>794</v>
      </c>
      <c r="G151" s="3616"/>
      <c r="H151" s="4024" t="s">
        <v>3519</v>
      </c>
      <c r="I151" s="3928"/>
      <c r="J151" s="3928"/>
      <c r="K151" s="3929"/>
      <c r="L151" s="4025" t="s">
        <v>3529</v>
      </c>
      <c r="M151" s="3928"/>
      <c r="N151" s="3928"/>
      <c r="O151" s="3929"/>
    </row>
    <row r="152" spans="2:15" ht="27.75" customHeight="1">
      <c r="B152" s="1105">
        <v>1</v>
      </c>
      <c r="D152" s="395"/>
      <c r="E152" s="119"/>
      <c r="F152" s="2321" t="s">
        <v>795</v>
      </c>
      <c r="G152" s="3616"/>
      <c r="H152" s="4024" t="s">
        <v>3520</v>
      </c>
      <c r="I152" s="3928"/>
      <c r="J152" s="3928"/>
      <c r="K152" s="3929"/>
      <c r="L152" s="4025" t="s">
        <v>3530</v>
      </c>
      <c r="M152" s="3928"/>
      <c r="N152" s="3928"/>
      <c r="O152" s="3929"/>
    </row>
    <row r="153" spans="2:15" ht="41.45" customHeight="1" thickBot="1">
      <c r="B153" s="1105">
        <v>1</v>
      </c>
      <c r="D153" s="395"/>
      <c r="E153" s="119"/>
      <c r="F153" s="2321" t="s">
        <v>796</v>
      </c>
      <c r="G153" s="3622"/>
      <c r="H153" s="4042" t="s">
        <v>3521</v>
      </c>
      <c r="I153" s="3931"/>
      <c r="J153" s="3931"/>
      <c r="K153" s="3932"/>
      <c r="L153" s="4048" t="s">
        <v>3533</v>
      </c>
      <c r="M153" s="3931"/>
      <c r="N153" s="3931"/>
      <c r="O153" s="3932"/>
    </row>
    <row r="154" spans="2:15" ht="15.75">
      <c r="D154" s="395"/>
      <c r="E154" s="119"/>
      <c r="F154" s="2321" t="s">
        <v>1468</v>
      </c>
      <c r="G154" s="3404">
        <f>COUNTIF(G141:G153,$M$3)</f>
        <v>6</v>
      </c>
      <c r="H154" s="3510" t="s">
        <v>4055</v>
      </c>
      <c r="I154" s="3279"/>
      <c r="J154" s="2877"/>
      <c r="K154" s="2877"/>
      <c r="L154" s="2877"/>
      <c r="M154" s="2877"/>
      <c r="N154" s="2878"/>
      <c r="O154" s="3659"/>
    </row>
    <row r="155" spans="2:15">
      <c r="D155" s="1105"/>
    </row>
    <row r="156" spans="2:15" ht="13.5" hidden="1" customHeight="1">
      <c r="B156" s="3314" t="s">
        <v>4395</v>
      </c>
      <c r="F156" s="3660" t="s">
        <v>4396</v>
      </c>
      <c r="G156" s="3661" t="s">
        <v>4397</v>
      </c>
      <c r="H156" s="3662"/>
      <c r="I156" s="2822" t="s">
        <v>4398</v>
      </c>
      <c r="J156" s="2876"/>
      <c r="K156" s="2876"/>
      <c r="L156" s="2876"/>
      <c r="M156" s="2876"/>
      <c r="N156" s="2876"/>
      <c r="O156" s="3662"/>
    </row>
    <row r="157" spans="2:15" ht="22.5" hidden="1" customHeight="1">
      <c r="F157" s="3660" t="s">
        <v>4399</v>
      </c>
      <c r="G157" s="3661" t="s">
        <v>4400</v>
      </c>
      <c r="H157" s="3662"/>
      <c r="I157" s="2822" t="s">
        <v>4401</v>
      </c>
      <c r="J157" s="2876"/>
      <c r="K157" s="2876"/>
      <c r="L157" s="2876"/>
      <c r="M157" s="2876"/>
      <c r="N157" s="2876"/>
      <c r="O157" s="3662"/>
    </row>
    <row r="158" spans="2:15" ht="23.25" hidden="1" customHeight="1" thickBot="1">
      <c r="F158" s="3660" t="s">
        <v>4402</v>
      </c>
      <c r="G158" s="3661" t="s">
        <v>4403</v>
      </c>
      <c r="H158" s="3662"/>
      <c r="I158" s="3661" t="s">
        <v>4404</v>
      </c>
      <c r="J158" s="2876"/>
      <c r="K158" s="2876"/>
      <c r="L158" s="2876"/>
      <c r="M158" s="2876"/>
      <c r="N158" s="2876"/>
      <c r="O158" s="3662"/>
    </row>
    <row r="159" spans="2:15" ht="32.25" hidden="1" customHeight="1" thickBot="1">
      <c r="B159" s="2813" t="s">
        <v>4361</v>
      </c>
      <c r="F159" s="2713" t="s">
        <v>4405</v>
      </c>
      <c r="G159" s="1668"/>
      <c r="H159" s="1668"/>
      <c r="I159" s="3663" t="s">
        <v>4406</v>
      </c>
      <c r="J159" s="3664"/>
      <c r="K159" s="3665"/>
      <c r="L159" s="3666" t="s">
        <v>4407</v>
      </c>
      <c r="M159" s="3666"/>
      <c r="N159" s="2713"/>
      <c r="O159" s="1668"/>
    </row>
    <row r="160" spans="2:15" ht="14.25" hidden="1" customHeight="1" thickBot="1">
      <c r="G160" s="3667">
        <f>IF(G172&gt;=B137,5,IF(G172&gt;=B136,4,IF(G172&gt;=B135,3,IF(G172&gt;=B134,2,1))))</f>
        <v>3</v>
      </c>
      <c r="H160" s="3272" t="s">
        <v>4408</v>
      </c>
      <c r="I160" s="3272" t="s">
        <v>4409</v>
      </c>
      <c r="J160" s="2877"/>
      <c r="K160" s="2877"/>
      <c r="L160" s="3272" t="s">
        <v>4409</v>
      </c>
      <c r="M160" s="2877"/>
      <c r="N160" s="2877"/>
      <c r="O160" s="3498" t="s">
        <v>4410</v>
      </c>
    </row>
    <row r="161" spans="6:15" ht="13.5" hidden="1" customHeight="1">
      <c r="F161" s="2321" t="s">
        <v>784</v>
      </c>
      <c r="G161" s="2868">
        <v>1</v>
      </c>
      <c r="H161" s="3272" t="s">
        <v>4411</v>
      </c>
      <c r="I161" s="3668" t="s">
        <v>4412</v>
      </c>
      <c r="J161" s="3601"/>
      <c r="K161" s="3602"/>
      <c r="L161" s="3668" t="s">
        <v>4413</v>
      </c>
      <c r="M161" s="3601"/>
      <c r="N161" s="3602"/>
      <c r="O161" s="2879">
        <v>1</v>
      </c>
    </row>
    <row r="162" spans="6:15" ht="13.5" hidden="1" customHeight="1">
      <c r="F162" s="2321" t="s">
        <v>1046</v>
      </c>
      <c r="G162" s="2870">
        <v>3</v>
      </c>
      <c r="H162" s="3669" t="s">
        <v>4414</v>
      </c>
      <c r="I162" s="3670" t="s">
        <v>4415</v>
      </c>
      <c r="J162" s="3598"/>
      <c r="K162" s="3599"/>
      <c r="L162" s="3671" t="s">
        <v>709</v>
      </c>
      <c r="M162" s="3598"/>
      <c r="N162" s="3599"/>
      <c r="O162" s="3672">
        <v>3</v>
      </c>
    </row>
    <row r="163" spans="6:15" ht="13.5" hidden="1" customHeight="1">
      <c r="F163" s="2321" t="s">
        <v>786</v>
      </c>
      <c r="G163" s="2870">
        <v>0</v>
      </c>
      <c r="H163" s="3673"/>
      <c r="I163" s="3671" t="s">
        <v>4416</v>
      </c>
      <c r="J163" s="3598"/>
      <c r="K163" s="3599"/>
      <c r="L163" s="3671" t="s">
        <v>709</v>
      </c>
      <c r="M163" s="3598"/>
      <c r="N163" s="3599"/>
      <c r="O163" s="3672">
        <v>3</v>
      </c>
    </row>
    <row r="164" spans="6:15" ht="13.5" hidden="1" customHeight="1">
      <c r="F164" s="2321" t="s">
        <v>787</v>
      </c>
      <c r="G164" s="2870">
        <v>2</v>
      </c>
      <c r="H164" s="3673"/>
      <c r="I164" s="3671" t="s">
        <v>709</v>
      </c>
      <c r="J164" s="3598"/>
      <c r="K164" s="3599"/>
      <c r="L164" s="3671" t="s">
        <v>4417</v>
      </c>
      <c r="M164" s="3598"/>
      <c r="N164" s="3599"/>
      <c r="O164" s="3674">
        <v>2</v>
      </c>
    </row>
    <row r="165" spans="6:15" ht="13.5" hidden="1" customHeight="1">
      <c r="F165" s="2321" t="s">
        <v>788</v>
      </c>
      <c r="G165" s="2870">
        <v>0</v>
      </c>
      <c r="H165" s="3675"/>
      <c r="I165" s="3668" t="s">
        <v>709</v>
      </c>
      <c r="J165" s="3601"/>
      <c r="K165" s="3602"/>
      <c r="L165" s="3668" t="s">
        <v>4418</v>
      </c>
      <c r="M165" s="3601"/>
      <c r="N165" s="3602"/>
      <c r="O165" s="3676">
        <v>1</v>
      </c>
    </row>
    <row r="166" spans="6:15" ht="13.5" hidden="1" customHeight="1">
      <c r="F166" s="2321" t="s">
        <v>789</v>
      </c>
      <c r="G166" s="2870">
        <v>0</v>
      </c>
      <c r="H166" s="3669" t="s">
        <v>4419</v>
      </c>
      <c r="I166" s="3677" t="s">
        <v>4420</v>
      </c>
      <c r="J166" s="3678"/>
      <c r="K166" s="3679"/>
      <c r="L166" s="3677" t="s">
        <v>4421</v>
      </c>
      <c r="M166" s="3678"/>
      <c r="N166" s="3679"/>
      <c r="O166" s="3453">
        <v>1</v>
      </c>
    </row>
    <row r="167" spans="6:15" ht="13.5" hidden="1" customHeight="1">
      <c r="F167" s="2321" t="s">
        <v>790</v>
      </c>
      <c r="G167" s="2870">
        <v>0</v>
      </c>
      <c r="H167" s="3673"/>
      <c r="I167" s="3671" t="s">
        <v>4422</v>
      </c>
      <c r="J167" s="3598"/>
      <c r="K167" s="3599"/>
      <c r="L167" s="3671" t="s">
        <v>4423</v>
      </c>
      <c r="M167" s="3598"/>
      <c r="N167" s="3599"/>
      <c r="O167" s="3674">
        <v>2</v>
      </c>
    </row>
    <row r="168" spans="6:15" ht="13.5" hidden="1" customHeight="1">
      <c r="F168" s="2321" t="s">
        <v>791</v>
      </c>
      <c r="G168" s="2870">
        <v>1</v>
      </c>
      <c r="H168" s="3675"/>
      <c r="I168" s="3668" t="s">
        <v>709</v>
      </c>
      <c r="J168" s="3601"/>
      <c r="K168" s="3602"/>
      <c r="L168" s="3668" t="s">
        <v>4424</v>
      </c>
      <c r="M168" s="3601"/>
      <c r="N168" s="3602"/>
      <c r="O168" s="3676">
        <v>1</v>
      </c>
    </row>
    <row r="169" spans="6:15" ht="13.5" hidden="1" customHeight="1">
      <c r="F169" s="2321" t="s">
        <v>792</v>
      </c>
      <c r="G169" s="2870">
        <v>0</v>
      </c>
      <c r="H169" s="3669" t="s">
        <v>4425</v>
      </c>
      <c r="I169" s="3677" t="s">
        <v>4426</v>
      </c>
      <c r="J169" s="3678"/>
      <c r="K169" s="3679"/>
      <c r="L169" s="3677" t="s">
        <v>4427</v>
      </c>
      <c r="M169" s="3678"/>
      <c r="N169" s="3679"/>
      <c r="O169" s="3453">
        <v>1</v>
      </c>
    </row>
    <row r="170" spans="6:15" ht="13.5" hidden="1" customHeight="1">
      <c r="F170" s="2321" t="s">
        <v>793</v>
      </c>
      <c r="G170" s="2870">
        <v>0</v>
      </c>
      <c r="H170" s="3675"/>
      <c r="I170" s="3668" t="s">
        <v>709</v>
      </c>
      <c r="J170" s="3601"/>
      <c r="K170" s="3602"/>
      <c r="L170" s="3668" t="s">
        <v>4428</v>
      </c>
      <c r="M170" s="3601"/>
      <c r="N170" s="3602"/>
      <c r="O170" s="3676">
        <v>1</v>
      </c>
    </row>
    <row r="171" spans="6:15" ht="14.25" hidden="1" customHeight="1" thickBot="1">
      <c r="F171" s="2321" t="s">
        <v>794</v>
      </c>
      <c r="G171" s="3291">
        <v>0</v>
      </c>
      <c r="H171" s="3272" t="s">
        <v>4429</v>
      </c>
      <c r="I171" s="3668" t="s">
        <v>4430</v>
      </c>
      <c r="J171" s="3601"/>
      <c r="K171" s="3602"/>
      <c r="L171" s="3668" t="s">
        <v>4431</v>
      </c>
      <c r="M171" s="3601"/>
      <c r="N171" s="3602"/>
      <c r="O171" s="3454">
        <v>2</v>
      </c>
    </row>
    <row r="172" spans="6:15" ht="14.25" hidden="1" customHeight="1">
      <c r="F172" s="2321" t="s">
        <v>3329</v>
      </c>
      <c r="G172" s="3404">
        <f>IF($I$159=$N$7,SUM(G161:G163,G166:G167,G169,G171),SUM(G161,G164:G171))</f>
        <v>4</v>
      </c>
      <c r="H172" s="3510" t="s">
        <v>4432</v>
      </c>
      <c r="I172" s="3680"/>
      <c r="J172" s="3611"/>
      <c r="K172" s="3681"/>
      <c r="L172" s="3682"/>
      <c r="M172" s="3611"/>
      <c r="N172" s="3682"/>
      <c r="O172" s="3659"/>
    </row>
    <row r="173" spans="6:15" ht="13.5" hidden="1" customHeight="1">
      <c r="G173" s="3683" t="s">
        <v>4433</v>
      </c>
      <c r="H173" s="2713"/>
      <c r="I173" s="2713"/>
      <c r="J173" s="2713"/>
      <c r="K173" s="2713"/>
      <c r="L173" s="2713"/>
      <c r="M173" s="2713"/>
      <c r="N173" s="2713"/>
      <c r="O173" s="1668"/>
    </row>
    <row r="174" spans="6:15" ht="13.5" hidden="1" customHeight="1">
      <c r="G174" s="2822" t="s">
        <v>4434</v>
      </c>
      <c r="H174" s="2823"/>
      <c r="I174" s="2822" t="s">
        <v>4435</v>
      </c>
      <c r="J174" s="2823"/>
      <c r="K174" s="2823"/>
      <c r="L174" s="2823"/>
      <c r="M174" s="2823"/>
      <c r="N174" s="2823"/>
      <c r="O174" s="2824"/>
    </row>
    <row r="175" spans="6:15" ht="13.5" hidden="1" customHeight="1">
      <c r="G175" s="2822" t="s">
        <v>4436</v>
      </c>
      <c r="H175" s="2823"/>
      <c r="I175" s="2822" t="s">
        <v>4437</v>
      </c>
      <c r="J175" s="2823"/>
      <c r="K175" s="2823"/>
      <c r="L175" s="2823"/>
      <c r="M175" s="2823"/>
      <c r="N175" s="2823"/>
      <c r="O175" s="2824"/>
    </row>
    <row r="176" spans="6:15" ht="13.5" hidden="1" customHeight="1">
      <c r="G176" s="2799" t="s">
        <v>4438</v>
      </c>
      <c r="H176" s="3684"/>
      <c r="I176" s="2799" t="s">
        <v>4439</v>
      </c>
      <c r="J176" s="3685"/>
      <c r="K176" s="3685"/>
      <c r="L176" s="3685"/>
      <c r="M176" s="3685"/>
      <c r="N176" s="3685"/>
      <c r="O176" s="3686"/>
    </row>
    <row r="177" spans="2:15" ht="13.5" hidden="1" customHeight="1">
      <c r="G177" s="3687"/>
      <c r="H177" s="3688"/>
      <c r="I177" s="2822" t="s">
        <v>4440</v>
      </c>
      <c r="J177" s="3689"/>
      <c r="K177" s="3689"/>
      <c r="L177" s="3689"/>
      <c r="M177" s="3689"/>
      <c r="N177" s="3689"/>
      <c r="O177" s="3690"/>
    </row>
    <row r="178" spans="2:15" ht="13.5" hidden="1" customHeight="1">
      <c r="G178" s="2822" t="s">
        <v>4441</v>
      </c>
      <c r="H178" s="2823"/>
      <c r="I178" s="2754" t="s">
        <v>4442</v>
      </c>
      <c r="J178" s="3691"/>
      <c r="K178" s="3691"/>
      <c r="L178" s="3691"/>
      <c r="M178" s="3691"/>
      <c r="N178" s="3691"/>
      <c r="O178" s="3692"/>
    </row>
    <row r="179" spans="2:15" ht="13.5" hidden="1" customHeight="1">
      <c r="G179" s="2822" t="s">
        <v>4443</v>
      </c>
      <c r="H179" s="2823"/>
      <c r="I179" s="2754" t="s">
        <v>4444</v>
      </c>
      <c r="J179" s="3691"/>
      <c r="K179" s="3691"/>
      <c r="L179" s="3691"/>
      <c r="M179" s="3691"/>
      <c r="N179" s="3691"/>
      <c r="O179" s="3692"/>
    </row>
    <row r="180" spans="2:15" ht="13.5" hidden="1" customHeight="1">
      <c r="G180" s="2822" t="s">
        <v>4445</v>
      </c>
      <c r="H180" s="2876"/>
      <c r="I180" s="2822" t="s">
        <v>4446</v>
      </c>
      <c r="J180" s="2876"/>
      <c r="K180" s="2876"/>
      <c r="L180" s="2876"/>
      <c r="M180" s="2876"/>
      <c r="N180" s="2876"/>
      <c r="O180" s="3662"/>
    </row>
    <row r="181" spans="2:15" ht="15.75" hidden="1" customHeight="1">
      <c r="D181" s="395"/>
      <c r="E181" s="119"/>
    </row>
    <row r="182" spans="2:15" ht="15.75" customHeight="1">
      <c r="D182" s="395"/>
      <c r="E182" s="119"/>
      <c r="F182" s="396" t="s">
        <v>4447</v>
      </c>
      <c r="J182" s="1105" t="str">
        <f>IF(OR(F184=0,J183=0),$L$3,"")</f>
        <v>&lt;N.A.&gt;</v>
      </c>
    </row>
    <row r="183" spans="2:15" ht="16.5" hidden="1" customHeight="1" thickBot="1">
      <c r="B183" s="2813" t="s">
        <v>4361</v>
      </c>
      <c r="D183" s="395"/>
      <c r="E183" s="119"/>
      <c r="F183" s="3220" t="s">
        <v>2613</v>
      </c>
      <c r="G183" s="2688"/>
      <c r="H183" s="2853"/>
      <c r="I183" s="2690" t="s">
        <v>2629</v>
      </c>
      <c r="J183" s="3221">
        <f>Weight!M77</f>
        <v>0</v>
      </c>
      <c r="K183" s="2764"/>
      <c r="L183" s="2690" t="s">
        <v>4393</v>
      </c>
      <c r="M183" s="3489">
        <f>Main!$J$69</f>
        <v>7000</v>
      </c>
      <c r="N183" s="3693"/>
      <c r="O183" s="3694"/>
    </row>
    <row r="184" spans="2:15" ht="16.5" hidden="1" customHeight="1" thickBot="1">
      <c r="B184" s="1105" t="s">
        <v>1049</v>
      </c>
      <c r="D184" s="395"/>
      <c r="E184" s="13"/>
      <c r="F184" s="3695">
        <f>G192</f>
        <v>3</v>
      </c>
      <c r="G184" s="3187" t="s">
        <v>4448</v>
      </c>
      <c r="H184" s="2717"/>
      <c r="I184" s="2717"/>
      <c r="J184" s="2717"/>
      <c r="K184" s="2717"/>
      <c r="L184" s="2717"/>
      <c r="M184" s="2717"/>
      <c r="N184" s="3655" t="s">
        <v>3163</v>
      </c>
      <c r="O184" s="3467"/>
    </row>
    <row r="185" spans="2:15" ht="15.75" hidden="1" customHeight="1">
      <c r="B185" s="1105">
        <v>0</v>
      </c>
      <c r="D185" s="395"/>
      <c r="E185" s="13"/>
      <c r="F185" s="2699" t="str">
        <f>IF(F184=$F$7,$G$2,IF(ROUNDDOWN(F184,0)=$F$2,$H$2,$G$2))</f>
        <v>　Level 1</v>
      </c>
      <c r="G185" s="2755" t="s">
        <v>4449</v>
      </c>
      <c r="H185" s="2700"/>
      <c r="I185" s="2700"/>
      <c r="J185" s="2700"/>
      <c r="K185" s="2700"/>
      <c r="L185" s="2700"/>
      <c r="M185" s="2700"/>
      <c r="N185" s="3696" t="s">
        <v>4450</v>
      </c>
      <c r="O185" s="3697"/>
    </row>
    <row r="186" spans="2:15" ht="15.75" hidden="1" customHeight="1">
      <c r="B186" s="1105">
        <v>0</v>
      </c>
      <c r="D186" s="395"/>
      <c r="E186" s="13"/>
      <c r="F186" s="2702" t="str">
        <f>IF(F184=$F$7,$G$3,IF(ROUNDDOWN(F184,0)=$F$3,$H$3,$G$3))</f>
        <v>　Level 2</v>
      </c>
      <c r="G186" s="1170" t="s">
        <v>4451</v>
      </c>
      <c r="H186" s="2333"/>
      <c r="I186" s="2333"/>
      <c r="J186" s="2333"/>
      <c r="K186" s="2333"/>
      <c r="L186" s="2333"/>
      <c r="M186" s="2333"/>
      <c r="N186" s="3698"/>
      <c r="O186" s="3697"/>
    </row>
    <row r="187" spans="2:15" ht="15.75" hidden="1" customHeight="1">
      <c r="B187" s="1105">
        <v>0</v>
      </c>
      <c r="D187" s="395"/>
      <c r="E187" s="13"/>
      <c r="F187" s="2702" t="str">
        <f>IF(F184=$F$7,$G$4,IF(ROUNDDOWN(F184,0)=$F$4,$H$4,$G$4))</f>
        <v>■Level 3</v>
      </c>
      <c r="G187" s="1170" t="s">
        <v>4452</v>
      </c>
      <c r="H187" s="2333"/>
      <c r="I187" s="2333"/>
      <c r="J187" s="2333"/>
      <c r="K187" s="2333"/>
      <c r="L187" s="2333"/>
      <c r="M187" s="2333"/>
      <c r="N187" s="3698"/>
      <c r="O187" s="3697"/>
    </row>
    <row r="188" spans="2:15" ht="15.75" hidden="1" customHeight="1">
      <c r="B188" s="1105">
        <v>1</v>
      </c>
      <c r="D188" s="395"/>
      <c r="E188" s="13"/>
      <c r="F188" s="2702" t="str">
        <f>IF(F184=$F$7,$G$5,IF(ROUNDDOWN(F184,0)=$F$5,$H$5,$G$5))</f>
        <v>　Level 4</v>
      </c>
      <c r="G188" s="1170" t="s">
        <v>4453</v>
      </c>
      <c r="H188" s="2333"/>
      <c r="I188" s="2333"/>
      <c r="J188" s="2333"/>
      <c r="K188" s="2333"/>
      <c r="L188" s="2333"/>
      <c r="M188" s="2333"/>
      <c r="N188" s="3698"/>
      <c r="O188" s="3697"/>
    </row>
    <row r="189" spans="2:15" ht="15.75" hidden="1" customHeight="1">
      <c r="B189" s="1105">
        <v>3</v>
      </c>
      <c r="D189" s="395"/>
      <c r="E189" s="13"/>
      <c r="F189" s="2704" t="str">
        <f>IF(F184=$F$7,$G$6,IF(ROUNDDOWN(F184,0)=$F$6,$H$6,$G$6))</f>
        <v>　Level 5</v>
      </c>
      <c r="G189" s="2756" t="s">
        <v>4454</v>
      </c>
      <c r="H189" s="2705"/>
      <c r="I189" s="2705"/>
      <c r="J189" s="2705"/>
      <c r="K189" s="2705"/>
      <c r="L189" s="2705"/>
      <c r="M189" s="2705"/>
      <c r="N189" s="3699"/>
      <c r="O189" s="3700"/>
    </row>
    <row r="190" spans="2:15" ht="15.75" hidden="1" customHeight="1">
      <c r="D190" s="395"/>
      <c r="E190" s="13"/>
      <c r="F190" s="2067" t="s">
        <v>3045</v>
      </c>
      <c r="G190" s="2708"/>
      <c r="H190" s="2759"/>
      <c r="I190" s="2709"/>
      <c r="J190" s="2710"/>
      <c r="K190" s="2711" t="s">
        <v>3218</v>
      </c>
    </row>
    <row r="191" spans="2:15" ht="15.75" hidden="1" customHeight="1">
      <c r="D191" s="395"/>
      <c r="E191" s="13"/>
      <c r="F191" s="2585" t="s">
        <v>4232</v>
      </c>
    </row>
    <row r="192" spans="2:15" ht="16.5" hidden="1" customHeight="1" thickBot="1">
      <c r="D192" s="395"/>
      <c r="E192" s="13"/>
      <c r="G192" s="3667">
        <f>IF(K202&lt;0,2,IF(G202&gt;=B189,5,IF(G202&gt;=B188,4,IF(G202&gt;=B187,3,IF(G202&gt;=B186,2,1)))))</f>
        <v>3</v>
      </c>
      <c r="H192" s="2877" t="s">
        <v>4408</v>
      </c>
      <c r="I192" s="3272" t="s">
        <v>4455</v>
      </c>
      <c r="J192" s="2877"/>
      <c r="K192" s="2877"/>
      <c r="L192" s="3272" t="s">
        <v>4456</v>
      </c>
      <c r="M192" s="2877"/>
      <c r="N192" s="2877"/>
      <c r="O192" s="3701" t="s">
        <v>4432</v>
      </c>
    </row>
    <row r="193" spans="2:15" ht="15.75" hidden="1" customHeight="1">
      <c r="D193" s="395"/>
      <c r="E193" s="13"/>
      <c r="F193" s="2321" t="s">
        <v>784</v>
      </c>
      <c r="G193" s="3274"/>
      <c r="H193" s="3702" t="s">
        <v>4457</v>
      </c>
      <c r="I193" s="3677" t="s">
        <v>4458</v>
      </c>
      <c r="J193" s="3678"/>
      <c r="K193" s="3679"/>
      <c r="L193" s="3677" t="s">
        <v>4459</v>
      </c>
      <c r="M193" s="3678"/>
      <c r="N193" s="3679"/>
      <c r="O193" s="3703" t="s">
        <v>4460</v>
      </c>
    </row>
    <row r="194" spans="2:15" ht="15.75" hidden="1" customHeight="1">
      <c r="B194" s="1105">
        <v>0</v>
      </c>
      <c r="D194" s="395"/>
      <c r="E194" s="13"/>
      <c r="F194" s="2321" t="s">
        <v>1046</v>
      </c>
      <c r="G194" s="3704"/>
      <c r="H194" s="3705"/>
      <c r="I194" s="3671" t="s">
        <v>4461</v>
      </c>
      <c r="J194" s="3598"/>
      <c r="K194" s="3599"/>
      <c r="L194" s="3706" t="s">
        <v>4462</v>
      </c>
      <c r="M194" s="3598"/>
      <c r="N194" s="3599"/>
      <c r="O194" s="3707">
        <v>0</v>
      </c>
    </row>
    <row r="195" spans="2:15" ht="15.75" hidden="1" customHeight="1">
      <c r="B195" s="1105">
        <v>1</v>
      </c>
      <c r="D195" s="395"/>
      <c r="E195" s="13"/>
      <c r="F195" s="2321" t="s">
        <v>786</v>
      </c>
      <c r="G195" s="3708"/>
      <c r="H195" s="3709"/>
      <c r="I195" s="3668" t="s">
        <v>4463</v>
      </c>
      <c r="J195" s="3601"/>
      <c r="K195" s="3602"/>
      <c r="L195" s="3668" t="s">
        <v>4464</v>
      </c>
      <c r="M195" s="3601"/>
      <c r="N195" s="3602"/>
      <c r="O195" s="3676">
        <v>1</v>
      </c>
    </row>
    <row r="196" spans="2:15" ht="15.75" hidden="1" customHeight="1">
      <c r="D196" s="395"/>
      <c r="E196" s="13"/>
      <c r="F196" s="2321" t="s">
        <v>787</v>
      </c>
      <c r="G196" s="2870"/>
      <c r="H196" s="3702" t="s">
        <v>4465</v>
      </c>
      <c r="I196" s="3677" t="s">
        <v>4466</v>
      </c>
      <c r="J196" s="3678"/>
      <c r="K196" s="3679"/>
      <c r="L196" s="3677" t="s">
        <v>4467</v>
      </c>
      <c r="M196" s="3678"/>
      <c r="N196" s="3679"/>
      <c r="O196" s="3703" t="s">
        <v>4460</v>
      </c>
    </row>
    <row r="197" spans="2:15" ht="15.75" hidden="1" customHeight="1">
      <c r="B197" s="1105">
        <v>0</v>
      </c>
      <c r="D197" s="395"/>
      <c r="E197" s="13"/>
      <c r="F197" s="2321" t="s">
        <v>788</v>
      </c>
      <c r="G197" s="3704"/>
      <c r="H197" s="3705"/>
      <c r="I197" s="3671" t="s">
        <v>4468</v>
      </c>
      <c r="J197" s="3598"/>
      <c r="K197" s="3599"/>
      <c r="L197" s="3706" t="s">
        <v>4469</v>
      </c>
      <c r="M197" s="3598"/>
      <c r="N197" s="3599"/>
      <c r="O197" s="3707">
        <v>0</v>
      </c>
    </row>
    <row r="198" spans="2:15" ht="15.75" hidden="1" customHeight="1">
      <c r="B198" s="1105">
        <v>1</v>
      </c>
      <c r="D198" s="395"/>
      <c r="E198" s="13"/>
      <c r="F198" s="2321" t="s">
        <v>789</v>
      </c>
      <c r="G198" s="3708"/>
      <c r="H198" s="3709"/>
      <c r="I198" s="3668" t="s">
        <v>4463</v>
      </c>
      <c r="J198" s="3601"/>
      <c r="K198" s="3602"/>
      <c r="L198" s="3668" t="s">
        <v>4470</v>
      </c>
      <c r="M198" s="3601"/>
      <c r="N198" s="3602"/>
      <c r="O198" s="3676">
        <v>1</v>
      </c>
    </row>
    <row r="199" spans="2:15" ht="15.75" hidden="1" customHeight="1">
      <c r="D199" s="395"/>
      <c r="E199" s="13"/>
      <c r="F199" s="2321" t="s">
        <v>790</v>
      </c>
      <c r="G199" s="2870"/>
      <c r="H199" s="3710" t="s">
        <v>4471</v>
      </c>
      <c r="I199" s="3677" t="s">
        <v>4472</v>
      </c>
      <c r="J199" s="3678"/>
      <c r="K199" s="3679"/>
      <c r="L199" s="3677" t="s">
        <v>4473</v>
      </c>
      <c r="M199" s="3678"/>
      <c r="N199" s="3679"/>
      <c r="O199" s="3703" t="s">
        <v>4460</v>
      </c>
    </row>
    <row r="200" spans="2:15" ht="15.75" hidden="1" customHeight="1">
      <c r="B200" s="1105">
        <v>0</v>
      </c>
      <c r="D200" s="395"/>
      <c r="E200" s="13"/>
      <c r="F200" s="2321" t="s">
        <v>791</v>
      </c>
      <c r="G200" s="3704"/>
      <c r="H200" s="3711"/>
      <c r="I200" s="3671" t="s">
        <v>4474</v>
      </c>
      <c r="J200" s="3598"/>
      <c r="K200" s="3599"/>
      <c r="L200" s="3671" t="s">
        <v>4475</v>
      </c>
      <c r="M200" s="3598"/>
      <c r="N200" s="3599"/>
      <c r="O200" s="3674">
        <v>0</v>
      </c>
    </row>
    <row r="201" spans="2:15" ht="16.5" hidden="1" customHeight="1" thickBot="1">
      <c r="B201" s="1105">
        <v>1</v>
      </c>
      <c r="D201" s="395"/>
      <c r="E201" s="13"/>
      <c r="F201" s="2321" t="s">
        <v>792</v>
      </c>
      <c r="G201" s="3712"/>
      <c r="H201" s="3713"/>
      <c r="I201" s="3668" t="s">
        <v>4463</v>
      </c>
      <c r="J201" s="3601"/>
      <c r="K201" s="3602"/>
      <c r="L201" s="3668" t="s">
        <v>4476</v>
      </c>
      <c r="M201" s="3601"/>
      <c r="N201" s="3602"/>
      <c r="O201" s="3452">
        <v>1</v>
      </c>
    </row>
    <row r="202" spans="2:15" ht="15.75" hidden="1" customHeight="1">
      <c r="D202" s="395"/>
      <c r="E202" s="13"/>
      <c r="F202" s="2321" t="s">
        <v>3329</v>
      </c>
      <c r="G202" s="3714">
        <f>SUM(G193:G201)</f>
        <v>0</v>
      </c>
      <c r="H202" s="3715" t="s">
        <v>4477</v>
      </c>
      <c r="I202" s="2877"/>
      <c r="J202" s="3716" t="s">
        <v>4478</v>
      </c>
      <c r="K202" s="3717">
        <f>G193+G196+G199</f>
        <v>0</v>
      </c>
      <c r="L202" s="2878"/>
      <c r="M202" s="2877"/>
      <c r="N202" s="2878"/>
      <c r="O202" s="3498">
        <f>SUM(B193:B201)</f>
        <v>3</v>
      </c>
    </row>
    <row r="203" spans="2:15" ht="15.75">
      <c r="D203" s="395"/>
      <c r="E203" s="13"/>
    </row>
    <row r="204" spans="2:15" ht="15.75">
      <c r="D204" s="393">
        <v>2</v>
      </c>
      <c r="E204" s="13" t="s">
        <v>3531</v>
      </c>
    </row>
    <row r="205" spans="2:15" ht="15.75">
      <c r="D205" s="393">
        <v>2.1</v>
      </c>
      <c r="E205" s="2673" t="s">
        <v>3352</v>
      </c>
    </row>
    <row r="206" spans="2:15" ht="27" customHeight="1">
      <c r="D206" s="395"/>
      <c r="E206" s="28"/>
      <c r="F206" s="4046" t="s">
        <v>3532</v>
      </c>
      <c r="G206" s="4046"/>
      <c r="H206" s="4046"/>
      <c r="I206" s="4046"/>
      <c r="J206" s="1105" t="str">
        <f>IF(OR(F208=0,J207=0),$L$3,"")</f>
        <v/>
      </c>
      <c r="K206" s="4046" t="s">
        <v>4479</v>
      </c>
      <c r="L206" s="4072"/>
      <c r="M206" s="4072"/>
      <c r="N206" s="4072"/>
      <c r="O206" s="1105" t="str">
        <f>IF(OR(K208=0,O207=0),$L$3,"")</f>
        <v/>
      </c>
    </row>
    <row r="207" spans="2:15" ht="15.75" customHeight="1" thickBot="1">
      <c r="D207" s="395"/>
      <c r="E207" s="28"/>
      <c r="F207" s="2655"/>
      <c r="G207" s="2688"/>
      <c r="H207" s="2853"/>
      <c r="I207" s="2690" t="s">
        <v>2629</v>
      </c>
      <c r="J207" s="2692">
        <f>Weight!M80</f>
        <v>0.8</v>
      </c>
      <c r="K207" s="2655"/>
      <c r="L207" s="2688"/>
      <c r="M207" s="2853"/>
      <c r="N207" s="2690" t="s">
        <v>2629</v>
      </c>
      <c r="O207" s="2692">
        <f>Weight!M81</f>
        <v>0.2</v>
      </c>
    </row>
    <row r="208" spans="2:15" ht="27" customHeight="1" thickBot="1">
      <c r="D208" s="395"/>
      <c r="E208" s="28"/>
      <c r="F208" s="2693">
        <v>3</v>
      </c>
      <c r="G208" s="4049" t="s">
        <v>4101</v>
      </c>
      <c r="H208" s="4050"/>
      <c r="I208" s="2753" t="s">
        <v>4030</v>
      </c>
      <c r="J208" s="2698"/>
      <c r="K208" s="2693">
        <v>3</v>
      </c>
      <c r="L208" s="2753" t="s">
        <v>2618</v>
      </c>
      <c r="M208" s="2697"/>
      <c r="N208" s="2697"/>
      <c r="O208" s="2760"/>
    </row>
    <row r="209" spans="2:16" ht="21" customHeight="1">
      <c r="B209" s="3573" t="s">
        <v>358</v>
      </c>
      <c r="C209" s="2014" t="s">
        <v>358</v>
      </c>
      <c r="D209" s="395"/>
      <c r="E209" s="28"/>
      <c r="F209" s="2699" t="str">
        <f>IF(F208=$F$7,$G$2,IF(ROUNDDOWN(F208,0)=$F$2,$H$2,$G$2))</f>
        <v>　Level 1</v>
      </c>
      <c r="G209" s="2582" t="s">
        <v>2528</v>
      </c>
      <c r="H209" s="2670"/>
      <c r="I209" s="2582" t="s">
        <v>2528</v>
      </c>
      <c r="J209" s="2670"/>
      <c r="K209" s="3586" t="str">
        <f>IF(K208=$F$7,$G$2,IF(ROUNDDOWN(K208,0)=$F$2,$H$2,$G$2))</f>
        <v>　Level 1</v>
      </c>
      <c r="L209" s="2582" t="s">
        <v>2528</v>
      </c>
      <c r="M209" s="2620"/>
      <c r="N209" s="2620"/>
      <c r="O209" s="2670"/>
    </row>
    <row r="210" spans="2:16" ht="59.45" customHeight="1">
      <c r="B210" s="3573">
        <v>2</v>
      </c>
      <c r="C210" s="2014" t="s">
        <v>358</v>
      </c>
      <c r="D210" s="395"/>
      <c r="E210" s="28"/>
      <c r="F210" s="2702" t="str">
        <f>IF(F208=$F$7,$G$3,IF(ROUNDDOWN(F208,0)=$F$3,$H$3,$G$3))</f>
        <v>　Level 2</v>
      </c>
      <c r="G210" s="2583" t="s">
        <v>2528</v>
      </c>
      <c r="H210" s="3181"/>
      <c r="I210" s="3927" t="s">
        <v>3535</v>
      </c>
      <c r="J210" s="3929"/>
      <c r="K210" s="3589" t="str">
        <f>IF(K208=$F$7,$G$3,IF(ROUNDDOWN(K208,0)=$F$3,$H$3,$G$3))</f>
        <v>　Level 2</v>
      </c>
      <c r="L210" s="2583" t="s">
        <v>2528</v>
      </c>
      <c r="M210" s="3181"/>
      <c r="N210" s="3181"/>
      <c r="O210" s="2854"/>
    </row>
    <row r="211" spans="2:16" ht="67.150000000000006" customHeight="1">
      <c r="B211" s="2014">
        <v>3</v>
      </c>
      <c r="C211" s="2014">
        <v>3</v>
      </c>
      <c r="D211" s="395"/>
      <c r="E211" s="28"/>
      <c r="F211" s="2702" t="str">
        <f>IF(F208=$F$7,$G$4,IF(ROUNDDOWN(F208,0)=$F$4,$H$4,$G$4))</f>
        <v>■Level 3</v>
      </c>
      <c r="G211" s="3927" t="s">
        <v>3535</v>
      </c>
      <c r="H211" s="3929"/>
      <c r="I211" s="3927" t="s">
        <v>3536</v>
      </c>
      <c r="J211" s="3929"/>
      <c r="K211" s="3589" t="str">
        <f>IF(K208=$F$7,$G$4,IF(ROUNDDOWN(K208,0)=$F$4,$H$4,$G$4))</f>
        <v>■Level 3</v>
      </c>
      <c r="L211" s="2583" t="s">
        <v>3539</v>
      </c>
      <c r="M211" s="3181"/>
      <c r="N211" s="3181"/>
      <c r="O211" s="2854"/>
    </row>
    <row r="212" spans="2:16" ht="61.15" customHeight="1">
      <c r="B212" s="2014">
        <v>4</v>
      </c>
      <c r="C212" s="2014">
        <v>4</v>
      </c>
      <c r="D212" s="395"/>
      <c r="E212" s="28"/>
      <c r="F212" s="2702" t="str">
        <f>IF(F208=$F$7,$G$5,IF(ROUNDDOWN(F208,0)=$F$5,$H$5,$G$5))</f>
        <v>　Level 4</v>
      </c>
      <c r="G212" s="3927" t="s">
        <v>3536</v>
      </c>
      <c r="H212" s="3936"/>
      <c r="I212" s="2583" t="s">
        <v>2528</v>
      </c>
      <c r="J212" s="3181"/>
      <c r="K212" s="3589" t="str">
        <f>IF(K208=$F$7,$G$5,IF(ROUNDDOWN(K208,0)=$F$5,$H$5,$G$5))</f>
        <v>　Level 4</v>
      </c>
      <c r="L212" s="3927" t="s">
        <v>3540</v>
      </c>
      <c r="M212" s="3935"/>
      <c r="N212" s="3935"/>
      <c r="O212" s="3936"/>
    </row>
    <row r="213" spans="2:16" ht="81" customHeight="1">
      <c r="B213" s="2014">
        <v>5</v>
      </c>
      <c r="C213" s="2014">
        <v>5</v>
      </c>
      <c r="D213" s="395"/>
      <c r="E213" s="28"/>
      <c r="F213" s="2704" t="str">
        <f>IF(F208=$F$7,$G$6,IF(ROUNDDOWN(F208,0)=$F$6,$H$6,$G$6))</f>
        <v>　Level 5</v>
      </c>
      <c r="G213" s="3930" t="s">
        <v>3537</v>
      </c>
      <c r="H213" s="3932"/>
      <c r="I213" s="3930" t="s">
        <v>3537</v>
      </c>
      <c r="J213" s="3932"/>
      <c r="K213" s="3592" t="str">
        <f>IF(K208=$F$7,$G$6,IF(ROUNDDOWN(K208,0)=$F$6,$H$6,$G$6))</f>
        <v>　Level 5</v>
      </c>
      <c r="L213" s="2628" t="s">
        <v>3538</v>
      </c>
      <c r="M213" s="3182"/>
      <c r="N213" s="3182"/>
      <c r="O213" s="3183"/>
    </row>
    <row r="214" spans="2:16" ht="15.75">
      <c r="B214" s="2850">
        <v>0</v>
      </c>
      <c r="C214" s="2850">
        <v>0</v>
      </c>
      <c r="D214" s="395"/>
      <c r="E214" s="119"/>
      <c r="F214" s="2067" t="s">
        <v>3045</v>
      </c>
      <c r="G214" s="2708"/>
      <c r="H214" s="2759"/>
      <c r="I214" s="2709"/>
      <c r="J214" s="2710"/>
      <c r="K214" s="2067" t="s">
        <v>3045</v>
      </c>
      <c r="L214" s="2708"/>
      <c r="M214" s="2759"/>
      <c r="N214" s="2709"/>
      <c r="O214" s="2710"/>
      <c r="P214" s="1516"/>
    </row>
    <row r="215" spans="2:16" ht="15.75">
      <c r="B215" s="2712"/>
      <c r="C215" s="2712"/>
      <c r="D215" s="395"/>
      <c r="E215" s="119"/>
    </row>
    <row r="216" spans="2:16" ht="15.75">
      <c r="D216" s="403">
        <v>2.2000000000000002</v>
      </c>
      <c r="E216" s="395" t="s">
        <v>1604</v>
      </c>
    </row>
    <row r="217" spans="2:16" ht="30.6" customHeight="1">
      <c r="D217" s="403"/>
      <c r="E217" s="395"/>
      <c r="F217" s="396" t="s">
        <v>2897</v>
      </c>
      <c r="J217" s="1105" t="str">
        <f>IF(OR(F219=0,J218=0),$L$3,"")</f>
        <v/>
      </c>
      <c r="K217" s="4045" t="s">
        <v>2898</v>
      </c>
      <c r="L217" s="4045"/>
      <c r="M217" s="4045"/>
      <c r="N217" s="4045"/>
      <c r="O217" s="1105" t="str">
        <f>IF(OR(K219=0,O218=0),$L$3,"")</f>
        <v/>
      </c>
    </row>
    <row r="218" spans="2:16" ht="15" customHeight="1" thickBot="1">
      <c r="D218" s="395"/>
      <c r="E218" s="28"/>
      <c r="F218" s="2655"/>
      <c r="G218" s="2688"/>
      <c r="H218" s="2853"/>
      <c r="I218" s="2690" t="s">
        <v>2629</v>
      </c>
      <c r="J218" s="2692">
        <f>Weight!M83</f>
        <v>0.2</v>
      </c>
      <c r="K218" s="2655"/>
      <c r="L218" s="2688"/>
      <c r="M218" s="2853"/>
      <c r="N218" s="2690" t="s">
        <v>2629</v>
      </c>
      <c r="O218" s="2692">
        <f>Weight!M84</f>
        <v>0.2</v>
      </c>
    </row>
    <row r="219" spans="2:16" ht="27" customHeight="1" thickBot="1">
      <c r="D219" s="395"/>
      <c r="E219" s="28"/>
      <c r="F219" s="2693">
        <v>3</v>
      </c>
      <c r="G219" s="2753" t="s">
        <v>2618</v>
      </c>
      <c r="H219" s="2697"/>
      <c r="I219" s="2697"/>
      <c r="J219" s="2698"/>
      <c r="K219" s="2693">
        <v>3</v>
      </c>
      <c r="L219" s="2753" t="s">
        <v>2618</v>
      </c>
      <c r="M219" s="2697"/>
      <c r="N219" s="2697"/>
      <c r="O219" s="2698"/>
    </row>
    <row r="220" spans="2:16" ht="21" customHeight="1">
      <c r="B220" s="2014" t="s">
        <v>358</v>
      </c>
      <c r="C220" s="2014">
        <v>1</v>
      </c>
      <c r="D220" s="395"/>
      <c r="E220" s="28"/>
      <c r="F220" s="2699" t="str">
        <f>IF(F219=$F$7,$G$2,IF(ROUNDDOWN(F219,0)=$F$2,$H$2,$G$2))</f>
        <v>　Level 1</v>
      </c>
      <c r="G220" s="2582" t="s">
        <v>2528</v>
      </c>
      <c r="H220" s="3596"/>
      <c r="I220" s="3596"/>
      <c r="J220" s="3718"/>
      <c r="K220" s="3586" t="str">
        <f>IF(K219=$F$7,$G$2,IF(ROUNDDOWN(K219,0)=$F$2,$H$2,$G$2))</f>
        <v>　Level 1</v>
      </c>
      <c r="L220" s="2755" t="s">
        <v>2902</v>
      </c>
      <c r="M220" s="2808"/>
      <c r="N220" s="2808"/>
      <c r="O220" s="2701"/>
    </row>
    <row r="221" spans="2:16" ht="21" customHeight="1">
      <c r="B221" s="2014" t="s">
        <v>358</v>
      </c>
      <c r="C221" s="2014">
        <v>2</v>
      </c>
      <c r="D221" s="395"/>
      <c r="E221" s="28"/>
      <c r="F221" s="2702" t="str">
        <f>IF(F219=$F$7,$G$3,IF(ROUNDDOWN(F219,0)=$F$3,$H$3,$G$3))</f>
        <v>　Level 2</v>
      </c>
      <c r="G221" s="2583" t="s">
        <v>2528</v>
      </c>
      <c r="H221" s="3719"/>
      <c r="I221" s="3719"/>
      <c r="J221" s="3720"/>
      <c r="K221" s="3589" t="str">
        <f>IF(K219=$F$7,$G$3,IF(ROUNDDOWN(K219,0)=$F$3,$H$3,$G$3))</f>
        <v>　Level 2</v>
      </c>
      <c r="L221" s="1170" t="s">
        <v>2903</v>
      </c>
      <c r="M221" s="2776"/>
      <c r="N221" s="2776"/>
      <c r="O221" s="2703"/>
    </row>
    <row r="222" spans="2:16" ht="34.15" customHeight="1">
      <c r="B222" s="2014">
        <v>3</v>
      </c>
      <c r="C222" s="2014">
        <v>3</v>
      </c>
      <c r="D222" s="395"/>
      <c r="E222" s="28"/>
      <c r="F222" s="2702" t="str">
        <f>IF(F219=$F$7,$G$4,IF(ROUNDDOWN(F219,0)=$F$4,$H$4,$G$4))</f>
        <v>■Level 3</v>
      </c>
      <c r="G222" s="4030" t="s">
        <v>2899</v>
      </c>
      <c r="H222" s="3928"/>
      <c r="I222" s="3928"/>
      <c r="J222" s="3929"/>
      <c r="K222" s="3589" t="str">
        <f>IF(K219=$F$7,$G$4,IF(ROUNDDOWN(K219,0)=$F$4,$H$4,$G$4))</f>
        <v>■Level 3</v>
      </c>
      <c r="L222" s="1170" t="s">
        <v>2904</v>
      </c>
      <c r="M222" s="2776"/>
      <c r="N222" s="2776"/>
      <c r="O222" s="2703"/>
    </row>
    <row r="223" spans="2:16" ht="34.15" customHeight="1">
      <c r="B223" s="2014">
        <v>4</v>
      </c>
      <c r="C223" s="2014">
        <v>4</v>
      </c>
      <c r="D223" s="395"/>
      <c r="E223" s="28"/>
      <c r="F223" s="2702" t="str">
        <f>IF(F219=$F$7,$G$5,IF(ROUNDDOWN(F219,0)=$F$5,$H$5,$G$5))</f>
        <v>　Level 4</v>
      </c>
      <c r="G223" s="4030" t="s">
        <v>2900</v>
      </c>
      <c r="H223" s="3928"/>
      <c r="I223" s="3928"/>
      <c r="J223" s="3929"/>
      <c r="K223" s="3589" t="str">
        <f>IF(K219=$F$7,$G$5,IF(ROUNDDOWN(K219,0)=$F$5,$H$5,$G$5))</f>
        <v>　Level 4</v>
      </c>
      <c r="L223" s="1170" t="s">
        <v>2905</v>
      </c>
      <c r="M223" s="2776"/>
      <c r="N223" s="2776"/>
      <c r="O223" s="2703"/>
    </row>
    <row r="224" spans="2:16" ht="34.15" customHeight="1">
      <c r="B224" s="2014">
        <v>5</v>
      </c>
      <c r="C224" s="2014">
        <v>5</v>
      </c>
      <c r="D224" s="395"/>
      <c r="E224" s="28"/>
      <c r="F224" s="2704" t="str">
        <f>IF(F219=$F$7,$G$6,IF(ROUNDDOWN(F219,0)=$F$6,$H$6,$G$6))</f>
        <v>　Level 5</v>
      </c>
      <c r="G224" s="4056" t="s">
        <v>2901</v>
      </c>
      <c r="H224" s="3931"/>
      <c r="I224" s="3931"/>
      <c r="J224" s="3932"/>
      <c r="K224" s="3592" t="str">
        <f>IF(K219=$F$7,$G$6,IF(ROUNDDOWN(K219,0)=$F$6,$H$6,$G$6))</f>
        <v>　Level 5</v>
      </c>
      <c r="L224" s="2756" t="s">
        <v>2906</v>
      </c>
      <c r="M224" s="2810"/>
      <c r="N224" s="2810"/>
      <c r="O224" s="2706"/>
    </row>
    <row r="225" spans="2:16" ht="15.75">
      <c r="B225" s="2850">
        <v>0</v>
      </c>
      <c r="C225" s="2850">
        <v>0</v>
      </c>
      <c r="D225" s="395"/>
      <c r="E225" s="28"/>
      <c r="F225" s="2067" t="s">
        <v>3045</v>
      </c>
      <c r="G225" s="2708"/>
      <c r="H225" s="2759"/>
      <c r="I225" s="2709"/>
      <c r="J225" s="2710"/>
      <c r="K225" s="2067" t="s">
        <v>3045</v>
      </c>
      <c r="L225" s="2708"/>
      <c r="M225" s="2759"/>
      <c r="N225" s="2709"/>
      <c r="O225" s="2710"/>
      <c r="P225" s="1516"/>
    </row>
    <row r="226" spans="2:16" ht="43.15" customHeight="1">
      <c r="B226" s="2712"/>
      <c r="C226" s="2712"/>
      <c r="D226" s="395"/>
      <c r="E226" s="28"/>
      <c r="F226" s="1516" t="s">
        <v>2908</v>
      </c>
      <c r="G226" s="3721"/>
      <c r="H226" s="2784" t="s">
        <v>2913</v>
      </c>
      <c r="I226" s="4067" t="s">
        <v>3811</v>
      </c>
      <c r="J226" s="4067"/>
      <c r="K226" s="3178" t="s">
        <v>2912</v>
      </c>
      <c r="L226" s="3721"/>
      <c r="M226" s="3722" t="s">
        <v>2063</v>
      </c>
      <c r="N226" s="2783" t="s">
        <v>5015</v>
      </c>
      <c r="O226" s="1529"/>
      <c r="P226" s="1516"/>
    </row>
    <row r="227" spans="2:16" ht="15.75">
      <c r="B227" s="2712"/>
      <c r="C227" s="2712"/>
      <c r="D227" s="395"/>
      <c r="E227" s="28"/>
      <c r="P227" s="2711"/>
    </row>
    <row r="228" spans="2:16" ht="26.45" customHeight="1">
      <c r="D228" s="395"/>
      <c r="E228" s="28"/>
      <c r="F228" s="4046" t="s">
        <v>2907</v>
      </c>
      <c r="G228" s="4046"/>
      <c r="H228" s="4046"/>
      <c r="I228" s="4046"/>
      <c r="J228" s="1105" t="str">
        <f>IF(OR(F230=0,J229=0),$L$3,"")</f>
        <v/>
      </c>
      <c r="K228" s="4043" t="s">
        <v>2909</v>
      </c>
      <c r="L228" s="4044"/>
      <c r="M228" s="4044"/>
      <c r="N228" s="4044"/>
      <c r="O228" s="1105" t="str">
        <f>IF(OR(K230=0,O229=0),$L$3,"")</f>
        <v/>
      </c>
    </row>
    <row r="229" spans="2:16" ht="15.75" customHeight="1" thickBot="1">
      <c r="D229" s="395"/>
      <c r="E229" s="119"/>
      <c r="F229" s="2655"/>
      <c r="G229" s="2688"/>
      <c r="H229" s="2853"/>
      <c r="I229" s="2690" t="s">
        <v>2629</v>
      </c>
      <c r="J229" s="2692">
        <f>Weight!M85</f>
        <v>0.1</v>
      </c>
      <c r="K229" s="2655"/>
      <c r="L229" s="2688"/>
      <c r="M229" s="2853"/>
      <c r="N229" s="2690" t="s">
        <v>2629</v>
      </c>
      <c r="O229" s="2692">
        <f>Weight!M86</f>
        <v>0.1</v>
      </c>
    </row>
    <row r="230" spans="2:16" ht="27" customHeight="1" thickBot="1">
      <c r="D230" s="395"/>
      <c r="E230" s="119"/>
      <c r="F230" s="2693">
        <v>3</v>
      </c>
      <c r="G230" s="3787" t="s">
        <v>2917</v>
      </c>
      <c r="H230" s="2678"/>
      <c r="I230" s="2571" t="s">
        <v>1679</v>
      </c>
      <c r="J230" s="2678"/>
      <c r="K230" s="2693">
        <v>3</v>
      </c>
      <c r="L230" s="2753" t="s">
        <v>2618</v>
      </c>
      <c r="M230" s="2697"/>
      <c r="N230" s="2697"/>
      <c r="O230" s="2698"/>
    </row>
    <row r="231" spans="2:16" ht="21" customHeight="1">
      <c r="B231" s="2014">
        <v>1</v>
      </c>
      <c r="C231" s="2014" t="s">
        <v>358</v>
      </c>
      <c r="D231" s="395"/>
      <c r="E231" s="3594"/>
      <c r="F231" s="2699" t="str">
        <f>IF(F230=$F$7,$G$2,IF(ROUNDDOWN(F230,0)=$F$2,$H$2,$G$2))</f>
        <v>　Level 1</v>
      </c>
      <c r="G231" s="2582" t="s">
        <v>2918</v>
      </c>
      <c r="H231" s="2670"/>
      <c r="I231" s="2582" t="s">
        <v>2902</v>
      </c>
      <c r="J231" s="2670"/>
      <c r="K231" s="2699" t="str">
        <f>IF(K230=$F$7,$G$2,IF(ROUNDDOWN(K230,0)=$F$2,$H$2,$G$2))</f>
        <v>　Level 1</v>
      </c>
      <c r="L231" s="2582" t="s">
        <v>2528</v>
      </c>
      <c r="M231" s="2667"/>
      <c r="N231" s="2667"/>
      <c r="O231" s="2670"/>
    </row>
    <row r="232" spans="2:16" ht="21" customHeight="1">
      <c r="B232" s="2014">
        <v>2</v>
      </c>
      <c r="C232" s="2014" t="s">
        <v>358</v>
      </c>
      <c r="D232" s="395"/>
      <c r="E232" s="3594"/>
      <c r="F232" s="2702" t="str">
        <f>IF(F230=$F$7,$G$3,IF(ROUNDDOWN(F230,0)=$F$3,$H$3,$G$3))</f>
        <v>　Level 2</v>
      </c>
      <c r="G232" s="3927" t="s">
        <v>2919</v>
      </c>
      <c r="H232" s="3929"/>
      <c r="I232" s="3927" t="s">
        <v>2923</v>
      </c>
      <c r="J232" s="3929"/>
      <c r="K232" s="2702" t="str">
        <f>IF(K230=$F$7,$G$3,IF(ROUNDDOWN(K230,0)=$F$3,$H$3,$G$3))</f>
        <v>　Level 2</v>
      </c>
      <c r="L232" s="2583" t="s">
        <v>2528</v>
      </c>
      <c r="M232" s="2668"/>
      <c r="N232" s="2668"/>
      <c r="O232" s="2671"/>
    </row>
    <row r="233" spans="2:16" ht="21" customHeight="1">
      <c r="B233" s="2014">
        <v>3</v>
      </c>
      <c r="C233" s="2014">
        <v>3</v>
      </c>
      <c r="D233" s="395"/>
      <c r="E233" s="3594"/>
      <c r="F233" s="2702" t="str">
        <f>IF(F230=$F$7,$G$4,IF(ROUNDDOWN(F230,0)=$F$4,$H$4,$G$4))</f>
        <v>■Level 3</v>
      </c>
      <c r="G233" s="2583" t="s">
        <v>2920</v>
      </c>
      <c r="H233" s="2671"/>
      <c r="I233" s="2583" t="s">
        <v>2924</v>
      </c>
      <c r="J233" s="2671"/>
      <c r="K233" s="2702" t="str">
        <f>IF(K230=$F$7,$G$4,IF(ROUNDDOWN(K230,0)=$F$4,$H$4,$G$4))</f>
        <v>■Level 3</v>
      </c>
      <c r="L233" s="2583" t="s">
        <v>2927</v>
      </c>
      <c r="M233" s="2668"/>
      <c r="N233" s="2668"/>
      <c r="O233" s="2671"/>
    </row>
    <row r="234" spans="2:16" ht="85.9" customHeight="1">
      <c r="B234" s="2014">
        <v>4</v>
      </c>
      <c r="C234" s="2014">
        <v>4</v>
      </c>
      <c r="D234" s="395"/>
      <c r="E234" s="3594"/>
      <c r="F234" s="2702" t="str">
        <f>IF(F230=$F$7,$G$5,IF(ROUNDDOWN(F230,0)=$F$5,$H$5,$G$5))</f>
        <v>　Level 4</v>
      </c>
      <c r="G234" s="3927" t="s">
        <v>2921</v>
      </c>
      <c r="H234" s="3936"/>
      <c r="I234" s="3927" t="s">
        <v>2925</v>
      </c>
      <c r="J234" s="3929"/>
      <c r="K234" s="2702" t="str">
        <f>IF(K230=$F$7,$G$5,IF(ROUNDDOWN(K230,0)=$F$5,$H$5,$G$5))</f>
        <v>　Level 4</v>
      </c>
      <c r="L234" s="3927" t="s">
        <v>2928</v>
      </c>
      <c r="M234" s="3928"/>
      <c r="N234" s="3928"/>
      <c r="O234" s="3929"/>
    </row>
    <row r="235" spans="2:16" ht="73.900000000000006" customHeight="1">
      <c r="B235" s="2014">
        <v>5</v>
      </c>
      <c r="C235" s="2014">
        <v>5</v>
      </c>
      <c r="D235" s="395"/>
      <c r="E235" s="3594"/>
      <c r="F235" s="2704" t="str">
        <f>IF(F230=$F$7,$G$6,IF(ROUNDDOWN(F230,0)=$F$6,$H$6,$G$6))</f>
        <v>　Level 5</v>
      </c>
      <c r="G235" s="2584" t="s">
        <v>2922</v>
      </c>
      <c r="H235" s="2679"/>
      <c r="I235" s="2584" t="s">
        <v>2926</v>
      </c>
      <c r="J235" s="2679"/>
      <c r="K235" s="2704" t="str">
        <f>IF(K230=$F$7,$G$6,IF(ROUNDDOWN(K230,0)=$F$6,$H$6,$G$6))</f>
        <v>　Level 5</v>
      </c>
      <c r="L235" s="3930" t="s">
        <v>2929</v>
      </c>
      <c r="M235" s="3931"/>
      <c r="N235" s="3931"/>
      <c r="O235" s="3932"/>
    </row>
    <row r="236" spans="2:16" ht="15.75">
      <c r="B236" s="2850">
        <v>0</v>
      </c>
      <c r="C236" s="2850">
        <v>0</v>
      </c>
      <c r="D236" s="395"/>
      <c r="E236" s="395"/>
      <c r="F236" s="2067" t="s">
        <v>3045</v>
      </c>
      <c r="G236" s="2708"/>
      <c r="H236" s="2759"/>
      <c r="I236" s="2709"/>
      <c r="J236" s="2710"/>
      <c r="K236" s="2067" t="s">
        <v>3045</v>
      </c>
      <c r="L236" s="2708"/>
      <c r="M236" s="2759"/>
      <c r="N236" s="2709"/>
      <c r="O236" s="2710"/>
      <c r="P236" s="1516"/>
    </row>
    <row r="237" spans="2:16" ht="33.75">
      <c r="B237" s="2712"/>
      <c r="C237" s="2712"/>
      <c r="D237" s="395"/>
      <c r="E237" s="395"/>
      <c r="F237" s="3723" t="str">
        <f>K226</f>
        <v>Expected necessary interval</v>
      </c>
      <c r="G237" s="3721"/>
      <c r="H237" s="3722" t="str">
        <f>M226</f>
        <v>years</v>
      </c>
      <c r="I237" s="2783" t="str">
        <f>N226</f>
        <v>Note; Describe major materials etc.</v>
      </c>
      <c r="J237" s="1529"/>
      <c r="L237" s="2783" t="str">
        <f>I237</f>
        <v>Note; Describe major materials etc.</v>
      </c>
      <c r="N237" s="1529"/>
      <c r="O237" s="1529"/>
      <c r="P237" s="1516"/>
    </row>
    <row r="238" spans="2:16" ht="15.75">
      <c r="B238" s="2712"/>
      <c r="C238" s="2712"/>
      <c r="D238" s="395"/>
      <c r="E238" s="395"/>
      <c r="P238" s="2711"/>
    </row>
    <row r="239" spans="2:16" ht="25.15" customHeight="1">
      <c r="D239" s="395"/>
      <c r="E239" s="395"/>
      <c r="F239" s="4046" t="s">
        <v>2911</v>
      </c>
      <c r="G239" s="4044"/>
      <c r="H239" s="4044"/>
      <c r="I239" s="4044"/>
      <c r="J239" s="1105" t="str">
        <f>IF(OR(F241=0,J240=0),$L$3,"")</f>
        <v/>
      </c>
      <c r="K239" s="4046" t="s">
        <v>2910</v>
      </c>
      <c r="L239" s="4046"/>
      <c r="M239" s="4046"/>
      <c r="N239" s="4046"/>
      <c r="O239" s="1105" t="str">
        <f>IF(OR(K241=0,O240=0),$L$3,"")</f>
        <v/>
      </c>
    </row>
    <row r="240" spans="2:16" ht="15.75" customHeight="1" thickBot="1">
      <c r="D240" s="395"/>
      <c r="E240" s="119"/>
      <c r="F240" s="2655"/>
      <c r="G240" s="2688"/>
      <c r="H240" s="2853"/>
      <c r="I240" s="2690" t="s">
        <v>2629</v>
      </c>
      <c r="J240" s="2692">
        <f>Weight!M87</f>
        <v>0.2</v>
      </c>
      <c r="K240" s="2655"/>
      <c r="L240" s="2688"/>
      <c r="M240" s="2853"/>
      <c r="N240" s="2690" t="s">
        <v>2629</v>
      </c>
      <c r="O240" s="2692">
        <f>Weight!M88</f>
        <v>0.2</v>
      </c>
    </row>
    <row r="241" spans="2:16" ht="27" customHeight="1" thickBot="1">
      <c r="D241" s="395"/>
      <c r="E241" s="119"/>
      <c r="F241" s="2693">
        <v>3</v>
      </c>
      <c r="G241" s="2753" t="s">
        <v>2618</v>
      </c>
      <c r="H241" s="2697"/>
      <c r="I241" s="2697"/>
      <c r="J241" s="2698"/>
      <c r="K241" s="2693">
        <v>3</v>
      </c>
      <c r="L241" s="2753" t="s">
        <v>2618</v>
      </c>
      <c r="M241" s="2697"/>
      <c r="N241" s="2697"/>
      <c r="O241" s="2698"/>
    </row>
    <row r="242" spans="2:16" ht="21" customHeight="1">
      <c r="B242" s="3573" t="s">
        <v>358</v>
      </c>
      <c r="C242" s="2014">
        <v>1</v>
      </c>
      <c r="D242" s="395"/>
      <c r="E242" s="3594"/>
      <c r="F242" s="2699" t="str">
        <f>IF(F241=$F$7,$G$2,IF(ROUNDDOWN(F241,0)=$F$2,$H$2,$G$2))</f>
        <v>　Level 1</v>
      </c>
      <c r="G242" s="2583" t="s">
        <v>2528</v>
      </c>
      <c r="H242" s="2667"/>
      <c r="I242" s="2667"/>
      <c r="J242" s="2670"/>
      <c r="K242" s="2699" t="str">
        <f>IF(K241=$F$7,$G$2,IF(ROUNDDOWN(K241,0)=$F$2,$H$2,$G$2))</f>
        <v>　Level 1</v>
      </c>
      <c r="L242" s="2582" t="s">
        <v>2933</v>
      </c>
      <c r="M242" s="2808"/>
      <c r="N242" s="2808"/>
      <c r="O242" s="2701"/>
    </row>
    <row r="243" spans="2:16" ht="21" customHeight="1">
      <c r="B243" s="2014" t="s">
        <v>358</v>
      </c>
      <c r="C243" s="2014">
        <v>2</v>
      </c>
      <c r="D243" s="395"/>
      <c r="E243" s="3594"/>
      <c r="F243" s="2702" t="str">
        <f>IF(F241=$F$7,$G$3,IF(ROUNDDOWN(F241,0)=$F$3,$H$3,$G$3))</f>
        <v>　Level 2</v>
      </c>
      <c r="G243" s="2583" t="s">
        <v>2528</v>
      </c>
      <c r="H243" s="2668"/>
      <c r="I243" s="2668"/>
      <c r="J243" s="2671"/>
      <c r="K243" s="2702" t="str">
        <f>IF(K241=$F$7,$G$3,IF(ROUNDDOWN(K241,0)=$F$3,$H$3,$G$3))</f>
        <v>　Level 2</v>
      </c>
      <c r="L243" s="2583" t="s">
        <v>2934</v>
      </c>
      <c r="M243" s="2776"/>
      <c r="N243" s="2776"/>
      <c r="O243" s="2703"/>
    </row>
    <row r="244" spans="2:16" ht="24.6" customHeight="1">
      <c r="B244" s="2014">
        <v>3</v>
      </c>
      <c r="C244" s="2014">
        <v>3</v>
      </c>
      <c r="D244" s="395"/>
      <c r="E244" s="3594"/>
      <c r="F244" s="2702" t="str">
        <f>IF(F241=$F$7,$G$4,IF(ROUNDDOWN(F241,0)=$F$4,$H$4,$G$4))</f>
        <v>■Level 3</v>
      </c>
      <c r="G244" s="3927" t="s">
        <v>2930</v>
      </c>
      <c r="H244" s="3935"/>
      <c r="I244" s="3935"/>
      <c r="J244" s="3936"/>
      <c r="K244" s="2702" t="str">
        <f>IF(K241=$F$7,$G$4,IF(ROUNDDOWN(K241,0)=$F$4,$H$4,$G$4))</f>
        <v>■Level 3</v>
      </c>
      <c r="L244" s="2583" t="s">
        <v>2924</v>
      </c>
      <c r="M244" s="2776"/>
      <c r="N244" s="2776"/>
      <c r="O244" s="2703"/>
    </row>
    <row r="245" spans="2:16" ht="24.6" customHeight="1">
      <c r="B245" s="3573">
        <v>4</v>
      </c>
      <c r="C245" s="2014">
        <v>4</v>
      </c>
      <c r="D245" s="395"/>
      <c r="E245" s="3594"/>
      <c r="F245" s="2702" t="str">
        <f>IF(F241=$F$7,$G$5,IF(ROUNDDOWN(F241,0)=$F$5,$H$5,$G$5))</f>
        <v>　Level 4</v>
      </c>
      <c r="G245" s="3927" t="s">
        <v>2931</v>
      </c>
      <c r="H245" s="4009"/>
      <c r="I245" s="4009"/>
      <c r="J245" s="3977"/>
      <c r="K245" s="2702" t="str">
        <f>IF(K241=$F$7,$G$5,IF(ROUNDDOWN(K241,0)=$F$5,$H$5,$G$5))</f>
        <v>　Level 4</v>
      </c>
      <c r="L245" s="2583" t="s">
        <v>2935</v>
      </c>
      <c r="M245" s="2776"/>
      <c r="N245" s="2776"/>
      <c r="O245" s="2703"/>
    </row>
    <row r="246" spans="2:16" ht="24.6" customHeight="1">
      <c r="B246" s="3573">
        <v>5</v>
      </c>
      <c r="C246" s="2014">
        <v>5</v>
      </c>
      <c r="D246" s="395"/>
      <c r="E246" s="3594"/>
      <c r="F246" s="2704" t="str">
        <f>IF(F241=$F$7,$G$6,IF(ROUNDDOWN(F241,0)=$F$6,$H$6,$G$6))</f>
        <v>　Level 5</v>
      </c>
      <c r="G246" s="3930" t="s">
        <v>2932</v>
      </c>
      <c r="H246" s="3933"/>
      <c r="I246" s="3933"/>
      <c r="J246" s="3934"/>
      <c r="K246" s="3592" t="str">
        <f>IF(K241=$F$7,$G$6,IF(ROUNDDOWN(K241,0)=$F$6,$H$6,$G$6))</f>
        <v>　Level 5</v>
      </c>
      <c r="L246" s="2584" t="s">
        <v>2906</v>
      </c>
      <c r="M246" s="2810"/>
      <c r="N246" s="2810"/>
      <c r="O246" s="2706"/>
    </row>
    <row r="247" spans="2:16" ht="15.75">
      <c r="B247" s="2850">
        <v>0</v>
      </c>
      <c r="C247" s="2850">
        <v>0</v>
      </c>
      <c r="D247" s="395"/>
      <c r="E247" s="395"/>
      <c r="F247" s="2067" t="s">
        <v>3045</v>
      </c>
      <c r="G247" s="2708"/>
      <c r="H247" s="2759"/>
      <c r="I247" s="2709"/>
      <c r="J247" s="2710"/>
      <c r="K247" s="2067" t="s">
        <v>3045</v>
      </c>
      <c r="L247" s="2708"/>
      <c r="M247" s="2759"/>
      <c r="N247" s="2709"/>
      <c r="O247" s="2710"/>
      <c r="P247" s="1516"/>
    </row>
    <row r="248" spans="2:16" ht="33.75">
      <c r="B248" s="2712"/>
      <c r="C248" s="2712"/>
      <c r="D248" s="395"/>
      <c r="E248" s="395"/>
      <c r="F248" s="2067"/>
      <c r="G248" s="2783" t="str">
        <f>N226</f>
        <v>Note; Describe major materials etc.</v>
      </c>
      <c r="H248" s="2067"/>
      <c r="I248" s="1529"/>
      <c r="J248" s="1529"/>
      <c r="K248" s="3723" t="str">
        <f>K226</f>
        <v>Expected necessary interval</v>
      </c>
      <c r="L248" s="3721"/>
      <c r="M248" s="3722" t="str">
        <f>M226</f>
        <v>years</v>
      </c>
      <c r="N248" s="1529"/>
      <c r="O248" s="1529"/>
      <c r="P248" s="1516"/>
    </row>
    <row r="249" spans="2:16" ht="15.75">
      <c r="B249" s="2712"/>
      <c r="C249" s="2712"/>
      <c r="D249" s="395"/>
      <c r="E249" s="395"/>
      <c r="P249" s="2711"/>
    </row>
    <row r="250" spans="2:16" ht="15.75">
      <c r="B250" s="2813" t="s">
        <v>4480</v>
      </c>
      <c r="D250" s="393">
        <v>2.2999999999999998</v>
      </c>
      <c r="E250" s="13" t="s">
        <v>2936</v>
      </c>
      <c r="J250" s="1105" t="s">
        <v>2829</v>
      </c>
    </row>
    <row r="251" spans="2:16" ht="15.75" hidden="1">
      <c r="B251" s="2813" t="s">
        <v>4480</v>
      </c>
      <c r="D251" s="393"/>
      <c r="E251" s="13"/>
      <c r="F251" s="1105" t="s">
        <v>69</v>
      </c>
      <c r="J251" s="1105" t="str">
        <f>IF(OR(F253=0,J252=0),$L$3,"")</f>
        <v>&lt;N.A.&gt;</v>
      </c>
      <c r="K251" s="1105" t="s">
        <v>70</v>
      </c>
      <c r="O251" s="1105" t="str">
        <f>IF(OR(K253=0,O252=0),$L$3,"")</f>
        <v>&lt;N.A.&gt;</v>
      </c>
    </row>
    <row r="252" spans="2:16" ht="16.5" hidden="1" thickBot="1">
      <c r="D252" s="393"/>
      <c r="E252" s="13"/>
      <c r="F252" s="2655" t="s">
        <v>2613</v>
      </c>
      <c r="G252" s="2688"/>
      <c r="H252" s="2853"/>
      <c r="I252" s="2690" t="s">
        <v>2629</v>
      </c>
      <c r="J252" s="2692">
        <f>Weight!M90</f>
        <v>0</v>
      </c>
      <c r="K252" s="2655" t="s">
        <v>2613</v>
      </c>
      <c r="L252" s="2688"/>
      <c r="M252" s="2853"/>
      <c r="N252" s="2690" t="s">
        <v>2629</v>
      </c>
      <c r="O252" s="2692">
        <f>Weight!M91</f>
        <v>0</v>
      </c>
    </row>
    <row r="253" spans="2:16" ht="16.5" hidden="1" thickBot="1">
      <c r="D253" s="393"/>
      <c r="E253" s="13"/>
      <c r="F253" s="2656">
        <v>3</v>
      </c>
      <c r="G253" s="3187" t="s">
        <v>2618</v>
      </c>
      <c r="H253" s="2717"/>
      <c r="I253" s="2717"/>
      <c r="J253" s="3188"/>
      <c r="K253" s="2656">
        <v>3</v>
      </c>
      <c r="L253" s="3187" t="s">
        <v>2618</v>
      </c>
      <c r="M253" s="2717"/>
      <c r="N253" s="2717"/>
      <c r="O253" s="3188"/>
    </row>
    <row r="254" spans="2:16" ht="15.75" hidden="1">
      <c r="B254" s="2014">
        <v>1</v>
      </c>
      <c r="C254" s="2014">
        <v>1</v>
      </c>
      <c r="D254" s="393"/>
      <c r="E254" s="13"/>
      <c r="F254" s="2699" t="str">
        <f>IF(F253=$F$7,$G$2,IF(ROUNDDOWN(F253,0)=$F$2,$H$2,$G$2))</f>
        <v>　Level 1</v>
      </c>
      <c r="G254" s="1170" t="s">
        <v>4481</v>
      </c>
      <c r="H254" s="2815"/>
      <c r="I254" s="2815"/>
      <c r="J254" s="2701"/>
      <c r="K254" s="2699" t="str">
        <f>IF(K253=$F$7,$G$2,IF(ROUNDDOWN(K253,0)=$F$2,$H$2,$G$2))</f>
        <v>　Level 1</v>
      </c>
      <c r="L254" s="3677" t="s">
        <v>4481</v>
      </c>
      <c r="M254" s="3678"/>
      <c r="N254" s="3678"/>
      <c r="O254" s="3679"/>
    </row>
    <row r="255" spans="2:16" ht="15.75" hidden="1">
      <c r="B255" s="2014">
        <v>2</v>
      </c>
      <c r="C255" s="2014">
        <v>2</v>
      </c>
      <c r="D255" s="393"/>
      <c r="E255" s="13"/>
      <c r="F255" s="2702" t="str">
        <f>IF(F253=$F$7,$G$3,IF(ROUNDDOWN(F253,0)=$F$3,$H$3,$G$3))</f>
        <v>　Level 2</v>
      </c>
      <c r="G255" s="1170" t="s">
        <v>4482</v>
      </c>
      <c r="H255" s="2790"/>
      <c r="I255" s="2790"/>
      <c r="J255" s="2703"/>
      <c r="K255" s="2702" t="str">
        <f>IF(K253=$F$7,$G$3,IF(ROUNDDOWN(K253,0)=$F$3,$H$3,$G$3))</f>
        <v>　Level 2</v>
      </c>
      <c r="L255" s="3671" t="s">
        <v>4482</v>
      </c>
      <c r="M255" s="3598"/>
      <c r="N255" s="3598"/>
      <c r="O255" s="3599"/>
    </row>
    <row r="256" spans="2:16" ht="15.75" hidden="1">
      <c r="B256" s="2014">
        <v>3</v>
      </c>
      <c r="C256" s="2014">
        <v>3</v>
      </c>
      <c r="D256" s="393"/>
      <c r="E256" s="13"/>
      <c r="F256" s="2702" t="str">
        <f>IF(F253=$F$7,$G$4,IF(ROUNDDOWN(F253,0)=$F$4,$H$4,$G$4))</f>
        <v>■Level 3</v>
      </c>
      <c r="G256" s="1170" t="s">
        <v>4483</v>
      </c>
      <c r="H256" s="2790"/>
      <c r="I256" s="2790"/>
      <c r="J256" s="2703"/>
      <c r="K256" s="2702" t="str">
        <f>IF(K253=$F$7,$G$4,IF(ROUNDDOWN(K253,0)=$F$4,$H$4,$G$4))</f>
        <v>■Level 3</v>
      </c>
      <c r="L256" s="3671" t="s">
        <v>4483</v>
      </c>
      <c r="M256" s="3598"/>
      <c r="N256" s="3598"/>
      <c r="O256" s="3599"/>
    </row>
    <row r="257" spans="2:16" ht="15.75" hidden="1">
      <c r="B257" s="2014" t="s">
        <v>71</v>
      </c>
      <c r="C257" s="2014" t="s">
        <v>71</v>
      </c>
      <c r="D257" s="393"/>
      <c r="E257" s="13"/>
      <c r="F257" s="2702" t="str">
        <f>IF(F253=$F$7,$G$5,IF(ROUNDDOWN(F253,0)=$F$5,$H$5,$G$5))</f>
        <v>　Level 4</v>
      </c>
      <c r="G257" s="3671" t="s">
        <v>3135</v>
      </c>
      <c r="H257" s="3724"/>
      <c r="I257" s="3724"/>
      <c r="J257" s="3725"/>
      <c r="K257" s="2702" t="str">
        <f>IF(K253=$F$7,$G$5,IF(ROUNDDOWN(K253,0)=$F$5,$H$5,$G$5))</f>
        <v>　Level 4</v>
      </c>
      <c r="L257" s="3671" t="s">
        <v>3135</v>
      </c>
      <c r="M257" s="3598"/>
      <c r="N257" s="3598"/>
      <c r="O257" s="3599"/>
    </row>
    <row r="258" spans="2:16" ht="15.75" hidden="1">
      <c r="B258" s="2014">
        <v>5</v>
      </c>
      <c r="C258" s="2014">
        <v>5</v>
      </c>
      <c r="D258" s="393"/>
      <c r="E258" s="13"/>
      <c r="F258" s="2704" t="str">
        <f>IF(F253=$F$7,$G$6,IF(ROUNDDOWN(F253,0)=$F$6,$H$6,$G$6))</f>
        <v>　Level 5</v>
      </c>
      <c r="G258" s="2756" t="s">
        <v>4484</v>
      </c>
      <c r="H258" s="3595"/>
      <c r="I258" s="3595"/>
      <c r="J258" s="2706"/>
      <c r="K258" s="2704" t="str">
        <f>IF(K253=$F$7,$G$6,IF(ROUNDDOWN(K253,0)=$F$6,$H$6,$G$6))</f>
        <v>　Level 5</v>
      </c>
      <c r="L258" s="3668" t="s">
        <v>4484</v>
      </c>
      <c r="M258" s="3601"/>
      <c r="N258" s="3601"/>
      <c r="O258" s="3602"/>
    </row>
    <row r="259" spans="2:16" ht="15.75" hidden="1">
      <c r="B259" s="2707">
        <v>0</v>
      </c>
      <c r="C259" s="2707">
        <v>0</v>
      </c>
      <c r="D259" s="393"/>
      <c r="E259" s="13"/>
      <c r="F259" s="2067" t="s">
        <v>3045</v>
      </c>
      <c r="G259" s="2708"/>
      <c r="H259" s="2759"/>
      <c r="I259" s="2709"/>
      <c r="J259" s="2710"/>
      <c r="K259" s="2067" t="s">
        <v>3045</v>
      </c>
      <c r="L259" s="2708"/>
      <c r="M259" s="2759"/>
      <c r="N259" s="2709"/>
      <c r="O259" s="2710"/>
      <c r="P259" s="2711" t="s">
        <v>3218</v>
      </c>
    </row>
    <row r="260" spans="2:16" ht="15.75" hidden="1">
      <c r="B260" s="2712"/>
      <c r="C260" s="2712"/>
      <c r="D260" s="393"/>
      <c r="E260" s="13"/>
    </row>
    <row r="261" spans="2:16" ht="15.75" hidden="1">
      <c r="B261" s="2813" t="s">
        <v>4480</v>
      </c>
      <c r="D261" s="393"/>
      <c r="E261" s="13"/>
      <c r="F261" s="1105" t="s">
        <v>72</v>
      </c>
      <c r="J261" s="1105" t="str">
        <f>IF(OR(F263=0,J262=0),$L$3,"")</f>
        <v>&lt;N.A.&gt;</v>
      </c>
    </row>
    <row r="262" spans="2:16" ht="16.5" hidden="1" thickBot="1">
      <c r="D262" s="393"/>
      <c r="E262" s="13"/>
      <c r="F262" s="2655" t="s">
        <v>2613</v>
      </c>
      <c r="G262" s="2688"/>
      <c r="H262" s="2853"/>
      <c r="I262" s="2690" t="s">
        <v>2629</v>
      </c>
      <c r="J262" s="2692">
        <f>Weight!M92</f>
        <v>0</v>
      </c>
    </row>
    <row r="263" spans="2:16" ht="16.5" hidden="1" thickBot="1">
      <c r="D263" s="393"/>
      <c r="E263" s="13"/>
      <c r="F263" s="2656">
        <v>3</v>
      </c>
      <c r="G263" s="3187" t="s">
        <v>2618</v>
      </c>
      <c r="H263" s="2717"/>
      <c r="I263" s="2717"/>
      <c r="J263" s="3188"/>
    </row>
    <row r="264" spans="2:16" ht="15.75" hidden="1">
      <c r="B264" s="2014">
        <v>1</v>
      </c>
      <c r="C264" s="2014">
        <v>1</v>
      </c>
      <c r="D264" s="393"/>
      <c r="E264" s="13"/>
      <c r="F264" s="2699" t="str">
        <f>IF(F263=$F$7,$G$2,IF(ROUNDDOWN(F263,0)=$F$2,$H$2,$G$2))</f>
        <v>　Level 1</v>
      </c>
      <c r="G264" s="3677" t="s">
        <v>4481</v>
      </c>
      <c r="H264" s="3678"/>
      <c r="I264" s="3678"/>
      <c r="J264" s="3679"/>
    </row>
    <row r="265" spans="2:16" ht="15.75" hidden="1">
      <c r="B265" s="2014">
        <v>2</v>
      </c>
      <c r="C265" s="2014">
        <v>2</v>
      </c>
      <c r="D265" s="393"/>
      <c r="E265" s="13"/>
      <c r="F265" s="2702" t="str">
        <f>IF(F263=$F$7,$G$3,IF(ROUNDDOWN(F263,0)=$F$3,$H$3,$G$3))</f>
        <v>　Level 2</v>
      </c>
      <c r="G265" s="3671" t="s">
        <v>4482</v>
      </c>
      <c r="H265" s="3598"/>
      <c r="I265" s="3598"/>
      <c r="J265" s="3599"/>
    </row>
    <row r="266" spans="2:16" ht="15.75" hidden="1">
      <c r="B266" s="2014">
        <v>3</v>
      </c>
      <c r="C266" s="2014">
        <v>3</v>
      </c>
      <c r="D266" s="393"/>
      <c r="E266" s="13"/>
      <c r="F266" s="2702" t="str">
        <f>IF(F263=$F$7,$G$4,IF(ROUNDDOWN(F263,0)=$F$4,$H$4,$G$4))</f>
        <v>■Level 3</v>
      </c>
      <c r="G266" s="3671" t="s">
        <v>4483</v>
      </c>
      <c r="H266" s="3598"/>
      <c r="I266" s="3598"/>
      <c r="J266" s="3599"/>
    </row>
    <row r="267" spans="2:16" ht="15.75" hidden="1">
      <c r="B267" s="2014" t="s">
        <v>71</v>
      </c>
      <c r="C267" s="2014">
        <v>4</v>
      </c>
      <c r="D267" s="393"/>
      <c r="E267" s="13"/>
      <c r="F267" s="2702" t="str">
        <f>IF(F263=$F$7,$G$5,IF(ROUNDDOWN(F263,0)=$F$5,$H$5,$G$5))</f>
        <v>　Level 4</v>
      </c>
      <c r="G267" s="3671" t="s">
        <v>3135</v>
      </c>
      <c r="H267" s="3598"/>
      <c r="I267" s="3598"/>
      <c r="J267" s="3599"/>
    </row>
    <row r="268" spans="2:16" ht="15.75" hidden="1">
      <c r="B268" s="2014">
        <v>5</v>
      </c>
      <c r="C268" s="2014">
        <v>5</v>
      </c>
      <c r="D268" s="393"/>
      <c r="E268" s="13"/>
      <c r="F268" s="2704" t="str">
        <f>IF(F263=$F$7,$G$6,IF(ROUNDDOWN(F263,0)=$F$6,$H$6,$G$6))</f>
        <v>　Level 5</v>
      </c>
      <c r="G268" s="3668" t="s">
        <v>4485</v>
      </c>
      <c r="H268" s="3601"/>
      <c r="I268" s="3601"/>
      <c r="J268" s="3602"/>
    </row>
    <row r="269" spans="2:16" ht="15.75" hidden="1">
      <c r="B269" s="2707">
        <v>0</v>
      </c>
      <c r="C269" s="2707">
        <v>0</v>
      </c>
      <c r="D269" s="393"/>
      <c r="E269" s="13"/>
      <c r="F269" s="2067" t="s">
        <v>3045</v>
      </c>
      <c r="G269" s="2708"/>
      <c r="H269" s="2759"/>
      <c r="I269" s="2709"/>
      <c r="J269" s="2710"/>
      <c r="K269" s="2711" t="s">
        <v>3218</v>
      </c>
      <c r="P269" s="2711"/>
    </row>
    <row r="270" spans="2:16" ht="15.75">
      <c r="B270" s="2712"/>
      <c r="C270" s="2712"/>
      <c r="D270" s="393"/>
      <c r="E270" s="13"/>
    </row>
    <row r="271" spans="2:16" ht="15.75">
      <c r="D271" s="393">
        <v>2.4</v>
      </c>
      <c r="E271" s="13" t="s">
        <v>3541</v>
      </c>
      <c r="F271" s="2673"/>
    </row>
    <row r="272" spans="2:16" ht="15.75">
      <c r="D272" s="393"/>
      <c r="E272" s="13"/>
      <c r="F272" s="401" t="s">
        <v>3542</v>
      </c>
      <c r="J272" s="1105" t="str">
        <f>IF(OR(F274=0,J273=0),$L$3,"")</f>
        <v/>
      </c>
    </row>
    <row r="273" spans="2:15" ht="16.5" thickBot="1">
      <c r="B273" s="1105" t="s">
        <v>1065</v>
      </c>
      <c r="D273" s="395"/>
      <c r="E273" s="28"/>
      <c r="F273" s="2655"/>
      <c r="G273" s="2688"/>
      <c r="H273" s="2853"/>
      <c r="I273" s="2690" t="s">
        <v>2629</v>
      </c>
      <c r="J273" s="3221">
        <f>Weight!M94</f>
        <v>0.2</v>
      </c>
      <c r="K273" s="2764"/>
      <c r="L273" s="2764"/>
      <c r="M273" s="2764"/>
      <c r="N273" s="2764"/>
      <c r="O273" s="2692"/>
    </row>
    <row r="274" spans="2:15" ht="27" customHeight="1" thickBot="1">
      <c r="B274" s="1105" t="s">
        <v>1049</v>
      </c>
      <c r="C274" s="1105" t="s">
        <v>1049</v>
      </c>
      <c r="D274" s="395"/>
      <c r="E274" s="28"/>
      <c r="F274" s="3338">
        <f>G282</f>
        <v>3</v>
      </c>
      <c r="G274" s="3788" t="s">
        <v>4486</v>
      </c>
      <c r="H274" s="2689"/>
      <c r="I274" s="3727">
        <f>IF(Main!J69&gt;=2000,Main!J47+Main!J60+Main!J64+Main!J65+Main!J63,0)</f>
        <v>7000</v>
      </c>
      <c r="J274" s="3789" t="s">
        <v>4487</v>
      </c>
      <c r="K274" s="3729"/>
      <c r="L274" s="3730">
        <f>IF(Main!J69&gt;=2000,Main!J50+Main!J55+Main!J59+Main!J67,0)</f>
        <v>0</v>
      </c>
      <c r="M274" s="3728" t="s">
        <v>4488</v>
      </c>
      <c r="N274" s="3729"/>
      <c r="O274" s="3730">
        <f>IF(Main!J69&lt;2000,Main!J69,0)</f>
        <v>0</v>
      </c>
    </row>
    <row r="275" spans="2:15" ht="21" customHeight="1">
      <c r="B275" s="1105">
        <v>0</v>
      </c>
      <c r="C275" s="1105">
        <v>0</v>
      </c>
      <c r="D275" s="395"/>
      <c r="E275" s="28"/>
      <c r="F275" s="2699" t="str">
        <f>IF(F274=$F$7,$G$2,IF(ROUNDDOWN(F274,0)=$F$2,$H$2,$G$2))</f>
        <v>　Level 1</v>
      </c>
      <c r="G275" s="3677" t="s">
        <v>3548</v>
      </c>
      <c r="H275" s="2808"/>
      <c r="I275" s="3597"/>
      <c r="J275" s="3677" t="s">
        <v>3548</v>
      </c>
      <c r="K275" s="2808"/>
      <c r="L275" s="3597"/>
      <c r="M275" s="3677" t="s">
        <v>2528</v>
      </c>
      <c r="N275" s="2808"/>
      <c r="O275" s="3597"/>
    </row>
    <row r="276" spans="2:15" ht="21" customHeight="1">
      <c r="B276" s="1105">
        <v>1</v>
      </c>
      <c r="C276" s="1105">
        <v>1</v>
      </c>
      <c r="D276" s="395"/>
      <c r="E276" s="28"/>
      <c r="F276" s="2702" t="str">
        <f>IF(F274=$F$7,$G$3,IF(ROUNDDOWN(F274,0)=$F$3,$H$3,$G$3))</f>
        <v>　Level 2</v>
      </c>
      <c r="G276" s="3671" t="s">
        <v>2528</v>
      </c>
      <c r="H276" s="2776"/>
      <c r="I276" s="3599"/>
      <c r="J276" s="3671" t="s">
        <v>2528</v>
      </c>
      <c r="K276" s="2776"/>
      <c r="L276" s="3599"/>
      <c r="M276" s="3671" t="s">
        <v>2528</v>
      </c>
      <c r="N276" s="2776"/>
      <c r="O276" s="3599"/>
    </row>
    <row r="277" spans="2:15" ht="37.5" customHeight="1">
      <c r="B277" s="1105">
        <v>1</v>
      </c>
      <c r="C277" s="1105">
        <v>1</v>
      </c>
      <c r="D277" s="395"/>
      <c r="E277" s="28"/>
      <c r="F277" s="2702" t="str">
        <f>IF(F274=$F$7,$G$4,IF(ROUNDDOWN(F274,0)=$F$4,$H$4,$G$4))</f>
        <v>■Level 3</v>
      </c>
      <c r="G277" s="4030" t="s">
        <v>3549</v>
      </c>
      <c r="H277" s="4068"/>
      <c r="I277" s="4069"/>
      <c r="J277" s="4030" t="s">
        <v>3549</v>
      </c>
      <c r="K277" s="4009"/>
      <c r="L277" s="3977"/>
      <c r="M277" s="3671" t="s">
        <v>3555</v>
      </c>
      <c r="N277" s="2776"/>
      <c r="O277" s="3599"/>
    </row>
    <row r="278" spans="2:15" ht="25.9" customHeight="1">
      <c r="B278" s="1105">
        <v>2</v>
      </c>
      <c r="C278" s="1105">
        <v>2</v>
      </c>
      <c r="D278" s="395"/>
      <c r="E278" s="28"/>
      <c r="F278" s="2702" t="str">
        <f>IF(F274=$F$7,$G$5,IF(ROUNDDOWN(F274,0)=$F$5,$H$5,$G$5))</f>
        <v>　Level 4</v>
      </c>
      <c r="G278" s="4030" t="s">
        <v>3468</v>
      </c>
      <c r="H278" s="4009"/>
      <c r="I278" s="3977"/>
      <c r="J278" s="3671" t="s">
        <v>2528</v>
      </c>
      <c r="K278" s="2776"/>
      <c r="L278" s="3599"/>
      <c r="M278" s="4030" t="s">
        <v>3552</v>
      </c>
      <c r="N278" s="4009"/>
      <c r="O278" s="3977"/>
    </row>
    <row r="279" spans="2:15" ht="25.9" customHeight="1">
      <c r="B279" s="1105">
        <v>3</v>
      </c>
      <c r="C279" s="1105">
        <v>2</v>
      </c>
      <c r="D279" s="395"/>
      <c r="E279" s="28"/>
      <c r="F279" s="2704" t="str">
        <f>IF(F274=$F$7,$G$6,IF(ROUNDDOWN(F274,0)=$F$6,$H$6,$G$6))</f>
        <v>　Level 5</v>
      </c>
      <c r="G279" s="4056" t="s">
        <v>3550</v>
      </c>
      <c r="H279" s="4010"/>
      <c r="I279" s="4011"/>
      <c r="J279" s="4056" t="s">
        <v>3551</v>
      </c>
      <c r="K279" s="4010"/>
      <c r="L279" s="4011"/>
      <c r="M279" s="4056" t="s">
        <v>3551</v>
      </c>
      <c r="N279" s="4010"/>
      <c r="O279" s="4011"/>
    </row>
    <row r="280" spans="2:15">
      <c r="D280" s="1105"/>
      <c r="F280" s="2067" t="s">
        <v>3045</v>
      </c>
      <c r="G280" s="2708"/>
      <c r="H280" s="2759"/>
      <c r="I280" s="2709"/>
      <c r="J280" s="2710"/>
      <c r="K280" s="2779" t="str">
        <f>K74</f>
        <v>Note; Describe introduced technics for each effort.</v>
      </c>
    </row>
    <row r="281" spans="2:15">
      <c r="B281" s="2712"/>
      <c r="C281" s="1105" t="s">
        <v>1064</v>
      </c>
      <c r="D281" s="1105"/>
      <c r="F281" s="1173" t="s">
        <v>3286</v>
      </c>
    </row>
    <row r="282" spans="2:15" ht="15.75">
      <c r="C282" s="1105" t="s">
        <v>1049</v>
      </c>
      <c r="D282" s="395"/>
      <c r="E282" s="119"/>
      <c r="G282" s="3731">
        <f>IF(O274&lt;&gt;0,O288,IF(G283=M3,3,ROUND((K288*I274+M288*L274)/(I274+L274),1)))</f>
        <v>3</v>
      </c>
      <c r="H282" s="3229" t="s">
        <v>4057</v>
      </c>
      <c r="I282" s="3732"/>
      <c r="J282" s="2452"/>
      <c r="K282" s="2452"/>
      <c r="L282" s="2452"/>
      <c r="M282" s="2452"/>
      <c r="N282" s="2452"/>
      <c r="O282" s="3733"/>
    </row>
    <row r="283" spans="2:15" ht="16.5" thickBot="1">
      <c r="C283" s="1105">
        <v>0</v>
      </c>
      <c r="D283" s="395"/>
      <c r="E283" s="119"/>
      <c r="F283" s="2321" t="s">
        <v>784</v>
      </c>
      <c r="G283" s="3326"/>
      <c r="H283" s="2345" t="s">
        <v>3547</v>
      </c>
      <c r="I283" s="3734"/>
      <c r="J283" s="3735"/>
      <c r="K283" s="3735"/>
      <c r="L283" s="3735"/>
      <c r="M283" s="3735"/>
      <c r="N283" s="3735"/>
      <c r="O283" s="3736"/>
    </row>
    <row r="284" spans="2:15" ht="38.450000000000003" customHeight="1">
      <c r="C284" s="1105">
        <v>0</v>
      </c>
      <c r="D284" s="395"/>
      <c r="E284" s="119"/>
      <c r="F284" s="2321" t="s">
        <v>1046</v>
      </c>
      <c r="G284" s="3389" t="s">
        <v>2830</v>
      </c>
      <c r="H284" s="4051" t="s">
        <v>3543</v>
      </c>
      <c r="I284" s="4052"/>
      <c r="J284" s="4052"/>
      <c r="K284" s="4052"/>
      <c r="L284" s="4052"/>
      <c r="M284" s="4052"/>
      <c r="N284" s="4052"/>
      <c r="O284" s="4053"/>
    </row>
    <row r="285" spans="2:15" ht="30.75" customHeight="1">
      <c r="C285" s="1105">
        <v>0</v>
      </c>
      <c r="D285" s="395"/>
      <c r="E285" s="119"/>
      <c r="F285" s="2321" t="s">
        <v>786</v>
      </c>
      <c r="G285" s="3394"/>
      <c r="H285" s="3502" t="s">
        <v>3544</v>
      </c>
      <c r="I285" s="3502"/>
      <c r="J285" s="3502"/>
      <c r="K285" s="3502"/>
      <c r="L285" s="3502"/>
      <c r="M285" s="3502"/>
      <c r="N285" s="3502"/>
      <c r="O285" s="3503"/>
    </row>
    <row r="286" spans="2:15" ht="30.75" customHeight="1">
      <c r="C286" s="1105">
        <v>1</v>
      </c>
      <c r="D286" s="395"/>
      <c r="E286" s="119"/>
      <c r="F286" s="2321" t="s">
        <v>787</v>
      </c>
      <c r="G286" s="3394"/>
      <c r="H286" s="4054" t="s">
        <v>3545</v>
      </c>
      <c r="I286" s="4009"/>
      <c r="J286" s="4009"/>
      <c r="K286" s="4009"/>
      <c r="L286" s="4009"/>
      <c r="M286" s="4009"/>
      <c r="N286" s="4009"/>
      <c r="O286" s="3977"/>
    </row>
    <row r="287" spans="2:15" ht="35.25" customHeight="1" thickBot="1">
      <c r="C287" s="1105">
        <v>2</v>
      </c>
      <c r="D287" s="395"/>
      <c r="E287" s="119"/>
      <c r="F287" s="2321" t="s">
        <v>788</v>
      </c>
      <c r="G287" s="3737"/>
      <c r="H287" s="4055" t="s">
        <v>3546</v>
      </c>
      <c r="I287" s="4010"/>
      <c r="J287" s="4010"/>
      <c r="K287" s="4010"/>
      <c r="L287" s="4010"/>
      <c r="M287" s="4010"/>
      <c r="N287" s="4010"/>
      <c r="O287" s="4011"/>
    </row>
    <row r="288" spans="2:15" ht="24">
      <c r="D288" s="395"/>
      <c r="E288" s="119"/>
      <c r="F288" s="2321" t="s">
        <v>1468</v>
      </c>
      <c r="G288" s="3404">
        <f>COUNTIF(G284:G287,$M$3)</f>
        <v>1</v>
      </c>
      <c r="H288" s="3739" t="s">
        <v>4055</v>
      </c>
      <c r="I288" s="3740" t="s">
        <v>4489</v>
      </c>
      <c r="J288" s="3790" t="s">
        <v>4983</v>
      </c>
      <c r="K288" s="3741">
        <f>IF(G288&gt;=B279,5,IF(G288&gt;=B278,4,IF(G288&gt;=B277,3,IF(G288&gt;=B276,2,1))))</f>
        <v>3</v>
      </c>
      <c r="L288" s="3742" t="s">
        <v>4984</v>
      </c>
      <c r="M288" s="3741">
        <f>IF(G288&gt;=C279,5,IF(G288&gt;=C278,4,IF(G288&gt;=C277,3,IF(G288&gt;=C276,2,1))))</f>
        <v>3</v>
      </c>
      <c r="N288" s="3742" t="s">
        <v>4488</v>
      </c>
      <c r="O288" s="3741">
        <f>IF(G288&gt;=C287,5,IF(G288&gt;=C286,4,IF(G288&gt;=C285,3,IF(G288&gt;=C284,2,1))))</f>
        <v>4</v>
      </c>
    </row>
    <row r="289" spans="2:15">
      <c r="D289" s="1105"/>
    </row>
    <row r="290" spans="2:15">
      <c r="D290" s="1105"/>
      <c r="F290" s="401" t="s">
        <v>3553</v>
      </c>
      <c r="J290" s="1105" t="str">
        <f>IF(OR(F292=0,J291=0),$L$3,"")</f>
        <v/>
      </c>
    </row>
    <row r="291" spans="2:15" ht="16.5" thickBot="1">
      <c r="D291" s="395"/>
      <c r="E291" s="119"/>
      <c r="F291" s="3220"/>
      <c r="G291" s="2688"/>
      <c r="H291" s="2853"/>
      <c r="I291" s="2690" t="s">
        <v>2629</v>
      </c>
      <c r="J291" s="3221">
        <f>Weight!M95</f>
        <v>0.2</v>
      </c>
      <c r="K291" s="2764"/>
      <c r="L291" s="2764"/>
      <c r="M291" s="2764"/>
      <c r="N291" s="2766"/>
    </row>
    <row r="292" spans="2:15" ht="27" customHeight="1" thickBot="1">
      <c r="B292" s="1105" t="s">
        <v>1049</v>
      </c>
      <c r="C292" s="1105" t="s">
        <v>1049</v>
      </c>
      <c r="D292" s="395"/>
      <c r="E292" s="119"/>
      <c r="F292" s="3338">
        <f>G300</f>
        <v>3</v>
      </c>
      <c r="G292" s="3726" t="s">
        <v>4098</v>
      </c>
      <c r="H292" s="2689"/>
      <c r="I292" s="2689"/>
      <c r="J292" s="3727">
        <f>Main!J47+Main!J50+Main!J60+Main!J64+Main!J65+Main!J67+Main!J63</f>
        <v>7000</v>
      </c>
      <c r="K292" s="3728" t="s">
        <v>2874</v>
      </c>
      <c r="L292" s="3729"/>
      <c r="M292" s="3729"/>
      <c r="N292" s="3730">
        <f>Main!J55+Main!J59</f>
        <v>0</v>
      </c>
    </row>
    <row r="293" spans="2:15" ht="21" customHeight="1">
      <c r="B293" s="1105">
        <v>0</v>
      </c>
      <c r="C293" s="1105">
        <v>0</v>
      </c>
      <c r="D293" s="395"/>
      <c r="E293" s="119"/>
      <c r="F293" s="2699" t="str">
        <f>IF(F292=$F$7,$G$2,IF(ROUNDDOWN(F292,0)=$F$2,$H$2,$G$2))</f>
        <v>　Level 1</v>
      </c>
      <c r="G293" s="3743" t="s">
        <v>2651</v>
      </c>
      <c r="H293" s="3744"/>
      <c r="I293" s="3744"/>
      <c r="J293" s="3745"/>
      <c r="K293" s="3746" t="s">
        <v>2651</v>
      </c>
      <c r="L293" s="2297"/>
      <c r="M293" s="2297"/>
      <c r="N293" s="3747"/>
    </row>
    <row r="294" spans="2:15" ht="21" customHeight="1">
      <c r="B294" s="1105">
        <v>1</v>
      </c>
      <c r="C294" s="1105">
        <v>1</v>
      </c>
      <c r="D294" s="395"/>
      <c r="E294" s="119"/>
      <c r="F294" s="2702" t="str">
        <f>IF(F292=$F$7,$G$3,IF(ROUNDDOWN(F292,0)=$F$3,$H$3,$G$3))</f>
        <v>　Level 2</v>
      </c>
      <c r="G294" s="3671" t="s">
        <v>3552</v>
      </c>
      <c r="H294" s="3724"/>
      <c r="I294" s="3724"/>
      <c r="J294" s="3725"/>
      <c r="K294" s="3671" t="s">
        <v>3552</v>
      </c>
      <c r="L294" s="3724"/>
      <c r="M294" s="3724"/>
      <c r="N294" s="3725"/>
    </row>
    <row r="295" spans="2:15" ht="21" customHeight="1">
      <c r="B295" s="1105">
        <v>2</v>
      </c>
      <c r="C295" s="1105">
        <v>2</v>
      </c>
      <c r="D295" s="395"/>
      <c r="E295" s="119"/>
      <c r="F295" s="2702" t="str">
        <f>IF(F292=$F$7,$G$4,IF(ROUNDDOWN(F292,0)=$F$4,$H$4,$G$4))</f>
        <v>■Level 3</v>
      </c>
      <c r="G295" s="3671" t="s">
        <v>3468</v>
      </c>
      <c r="H295" s="3724"/>
      <c r="I295" s="3724"/>
      <c r="J295" s="3725"/>
      <c r="K295" s="3671" t="s">
        <v>3468</v>
      </c>
      <c r="L295" s="3724"/>
      <c r="M295" s="3724"/>
      <c r="N295" s="3725"/>
    </row>
    <row r="296" spans="2:15" ht="21" customHeight="1">
      <c r="B296" s="1105">
        <v>3</v>
      </c>
      <c r="C296" s="1105">
        <v>3</v>
      </c>
      <c r="D296" s="395"/>
      <c r="E296" s="119"/>
      <c r="F296" s="2702" t="str">
        <f>IF(F292=$F$7,$G$5,IF(ROUNDDOWN(F292,0)=$F$5,$H$5,$G$5))</f>
        <v>　Level 4</v>
      </c>
      <c r="G296" s="3671" t="s">
        <v>3470</v>
      </c>
      <c r="H296" s="3724"/>
      <c r="I296" s="3724"/>
      <c r="J296" s="3725"/>
      <c r="K296" s="3671" t="s">
        <v>2528</v>
      </c>
      <c r="L296" s="3724"/>
      <c r="M296" s="3724"/>
      <c r="N296" s="3725"/>
    </row>
    <row r="297" spans="2:15" ht="25.9" customHeight="1">
      <c r="B297" s="1105">
        <v>4</v>
      </c>
      <c r="C297" s="1105">
        <v>3</v>
      </c>
      <c r="D297" s="395"/>
      <c r="E297" s="119"/>
      <c r="F297" s="2704" t="str">
        <f>IF(F292=$F$7,$G$6,IF(ROUNDDOWN(F292,0)=$F$6,$H$6,$G$6))</f>
        <v>　Level 5</v>
      </c>
      <c r="G297" s="4056" t="s">
        <v>3563</v>
      </c>
      <c r="H297" s="4057"/>
      <c r="I297" s="4057"/>
      <c r="J297" s="4058"/>
      <c r="K297" s="4056" t="s">
        <v>3550</v>
      </c>
      <c r="L297" s="4010"/>
      <c r="M297" s="4010"/>
      <c r="N297" s="4011"/>
    </row>
    <row r="298" spans="2:15" ht="16.5" customHeight="1">
      <c r="D298" s="1105"/>
      <c r="F298" s="2067" t="s">
        <v>3045</v>
      </c>
      <c r="G298" s="2708"/>
      <c r="H298" s="2759"/>
      <c r="I298" s="2709"/>
      <c r="J298" s="2710"/>
      <c r="K298" s="2711"/>
    </row>
    <row r="299" spans="2:15">
      <c r="D299" s="1105"/>
      <c r="F299" s="1173" t="s">
        <v>3286</v>
      </c>
    </row>
    <row r="300" spans="2:15" ht="16.5" thickBot="1">
      <c r="D300" s="395"/>
      <c r="E300" s="119"/>
      <c r="G300" s="3731">
        <f>IF(J292+N292=0,0,ROUND((K308*J292+O308*N292)/(J292+N292),1))</f>
        <v>3</v>
      </c>
      <c r="H300" s="3749" t="s">
        <v>4057</v>
      </c>
      <c r="I300" s="3750"/>
      <c r="J300" s="3751"/>
      <c r="K300" s="3750"/>
      <c r="L300" s="3750"/>
      <c r="M300" s="3750"/>
      <c r="N300" s="3750"/>
      <c r="O300" s="3752"/>
    </row>
    <row r="301" spans="2:15" ht="25.15" customHeight="1">
      <c r="D301" s="395"/>
      <c r="E301" s="119"/>
      <c r="F301" s="2321" t="s">
        <v>784</v>
      </c>
      <c r="G301" s="3389" t="s">
        <v>2830</v>
      </c>
      <c r="H301" s="4059" t="s">
        <v>3556</v>
      </c>
      <c r="I301" s="3949"/>
      <c r="J301" s="3949"/>
      <c r="K301" s="3949"/>
      <c r="L301" s="3949"/>
      <c r="M301" s="3949"/>
      <c r="N301" s="3949"/>
      <c r="O301" s="3950"/>
    </row>
    <row r="302" spans="2:15" ht="36" customHeight="1">
      <c r="D302" s="395"/>
      <c r="E302" s="119"/>
      <c r="F302" s="2321" t="s">
        <v>1046</v>
      </c>
      <c r="G302" s="3394"/>
      <c r="H302" s="4024" t="s">
        <v>3557</v>
      </c>
      <c r="I302" s="4009"/>
      <c r="J302" s="4009"/>
      <c r="K302" s="4009"/>
      <c r="L302" s="4009"/>
      <c r="M302" s="4009"/>
      <c r="N302" s="4009"/>
      <c r="O302" s="3977"/>
    </row>
    <row r="303" spans="2:15" ht="31.5" customHeight="1">
      <c r="D303" s="395"/>
      <c r="E303" s="119"/>
      <c r="F303" s="2321" t="s">
        <v>786</v>
      </c>
      <c r="G303" s="3394"/>
      <c r="H303" s="4024" t="s">
        <v>3558</v>
      </c>
      <c r="I303" s="4009"/>
      <c r="J303" s="4009"/>
      <c r="K303" s="4009"/>
      <c r="L303" s="4009"/>
      <c r="M303" s="4009"/>
      <c r="N303" s="4009"/>
      <c r="O303" s="3977"/>
    </row>
    <row r="304" spans="2:15" ht="26.45" customHeight="1">
      <c r="D304" s="395"/>
      <c r="E304" s="119"/>
      <c r="F304" s="2321" t="s">
        <v>787</v>
      </c>
      <c r="G304" s="3394"/>
      <c r="H304" s="4024" t="s">
        <v>3559</v>
      </c>
      <c r="I304" s="4009"/>
      <c r="J304" s="4009"/>
      <c r="K304" s="4009"/>
      <c r="L304" s="4009"/>
      <c r="M304" s="4009"/>
      <c r="N304" s="4009"/>
      <c r="O304" s="3977"/>
    </row>
    <row r="305" spans="2:15" ht="15.75" customHeight="1">
      <c r="D305" s="395"/>
      <c r="E305" s="119"/>
      <c r="F305" s="2321" t="s">
        <v>788</v>
      </c>
      <c r="G305" s="3394"/>
      <c r="H305" s="3753" t="s">
        <v>3560</v>
      </c>
      <c r="I305" s="3724"/>
      <c r="J305" s="3724"/>
      <c r="K305" s="3724"/>
      <c r="L305" s="3724"/>
      <c r="M305" s="3724"/>
      <c r="N305" s="3724"/>
      <c r="O305" s="3725"/>
    </row>
    <row r="306" spans="2:15" ht="15.75">
      <c r="D306" s="395"/>
      <c r="E306" s="119"/>
      <c r="F306" s="2321" t="s">
        <v>789</v>
      </c>
      <c r="G306" s="3394" t="s">
        <v>2830</v>
      </c>
      <c r="H306" s="3753" t="s">
        <v>3561</v>
      </c>
      <c r="I306" s="3724"/>
      <c r="J306" s="3724"/>
      <c r="K306" s="3724"/>
      <c r="L306" s="3724"/>
      <c r="M306" s="3724"/>
      <c r="N306" s="3724"/>
      <c r="O306" s="3725"/>
    </row>
    <row r="307" spans="2:15" ht="29.45" customHeight="1" thickBot="1">
      <c r="D307" s="395"/>
      <c r="E307" s="119"/>
      <c r="F307" s="2321" t="s">
        <v>790</v>
      </c>
      <c r="G307" s="3737"/>
      <c r="H307" s="4042" t="s">
        <v>3562</v>
      </c>
      <c r="I307" s="4010"/>
      <c r="J307" s="4010"/>
      <c r="K307" s="4010"/>
      <c r="L307" s="4010"/>
      <c r="M307" s="4010"/>
      <c r="N307" s="4010"/>
      <c r="O307" s="4011"/>
    </row>
    <row r="308" spans="2:15" ht="15.75">
      <c r="D308" s="395"/>
      <c r="E308" s="119"/>
      <c r="F308" s="2321" t="s">
        <v>1468</v>
      </c>
      <c r="G308" s="3754"/>
      <c r="H308" s="3755" t="s">
        <v>4985</v>
      </c>
      <c r="I308" s="3756">
        <f>COUNTIF(G301:G307,$M$3)</f>
        <v>2</v>
      </c>
      <c r="J308" s="3405" t="s">
        <v>4054</v>
      </c>
      <c r="K308" s="3741">
        <f>IF(I308&gt;=B297,5,IF(I308&gt;=B296,4,IF(I308&gt;=B295,3,IF(I308&gt;=B294,2,1))))</f>
        <v>3</v>
      </c>
      <c r="L308" s="3757" t="s">
        <v>4986</v>
      </c>
      <c r="M308" s="3756">
        <f>I308-COUNTIF(G306,$M$3)</f>
        <v>1</v>
      </c>
      <c r="N308" s="3405" t="s">
        <v>4054</v>
      </c>
      <c r="O308" s="3741">
        <f>IF(M308&gt;=C297,5,IF(M308&gt;=C296,4,IF(M308&gt;=C295,3,IF(M308&gt;=C294,2,1))))</f>
        <v>2</v>
      </c>
    </row>
    <row r="309" spans="2:15">
      <c r="D309" s="1105"/>
    </row>
    <row r="310" spans="2:15">
      <c r="D310" s="1105"/>
      <c r="F310" s="401" t="s">
        <v>3564</v>
      </c>
      <c r="J310" s="1105" t="str">
        <f>IF(OR(F312=0,J311=0),$L$3,"")</f>
        <v/>
      </c>
    </row>
    <row r="311" spans="2:15" ht="16.5" thickBot="1">
      <c r="D311" s="395"/>
      <c r="E311" s="119"/>
      <c r="F311" s="3220"/>
      <c r="G311" s="2688"/>
      <c r="H311" s="2853"/>
      <c r="I311" s="2690" t="s">
        <v>2629</v>
      </c>
      <c r="J311" s="3221">
        <f>Weight!M96</f>
        <v>0.2</v>
      </c>
      <c r="K311" s="2764"/>
      <c r="L311" s="2764"/>
      <c r="M311" s="2764"/>
      <c r="N311" s="2766"/>
    </row>
    <row r="312" spans="2:15" ht="27" customHeight="1" thickBot="1">
      <c r="B312" s="1105" t="s">
        <v>1049</v>
      </c>
      <c r="C312" s="1105" t="s">
        <v>1049</v>
      </c>
      <c r="D312" s="395"/>
      <c r="E312" s="119"/>
      <c r="F312" s="3338">
        <f>G320</f>
        <v>3</v>
      </c>
      <c r="G312" s="2774" t="s">
        <v>2618</v>
      </c>
      <c r="H312" s="2774"/>
      <c r="I312" s="2697"/>
      <c r="J312" s="3727">
        <f>IF(Main!J69&gt;=2000,Main!J69,0)</f>
        <v>7000</v>
      </c>
      <c r="K312" s="3789" t="s">
        <v>4987</v>
      </c>
      <c r="L312" s="2697"/>
      <c r="M312" s="2697"/>
      <c r="N312" s="3730">
        <f>IF(Main!J69&lt;2000,Main!J69,0)</f>
        <v>0</v>
      </c>
    </row>
    <row r="313" spans="2:15" ht="21" customHeight="1">
      <c r="B313" s="1105">
        <v>0</v>
      </c>
      <c r="C313" s="1105">
        <v>0</v>
      </c>
      <c r="D313" s="395"/>
      <c r="E313" s="2763"/>
      <c r="F313" s="2699" t="str">
        <f>IF(F312=$F$7,$G$2,IF(ROUNDDOWN(F312,0)=$F$2,$H$2,$G$2))</f>
        <v>　Level 1</v>
      </c>
      <c r="G313" s="3677" t="s">
        <v>3548</v>
      </c>
      <c r="H313" s="3758"/>
      <c r="I313" s="3758"/>
      <c r="J313" s="3745"/>
      <c r="K313" s="3677" t="s">
        <v>2528</v>
      </c>
      <c r="L313" s="3758"/>
      <c r="M313" s="3758"/>
      <c r="N313" s="3759"/>
    </row>
    <row r="314" spans="2:15" ht="21" customHeight="1">
      <c r="B314" s="1105">
        <v>1</v>
      </c>
      <c r="C314" s="1105">
        <v>0</v>
      </c>
      <c r="D314" s="395"/>
      <c r="E314" s="2763"/>
      <c r="F314" s="2702" t="str">
        <f>IF(F312=$F$7,$G$3,IF(ROUNDDOWN(F312,0)=$F$3,$H$3,$G$3))</f>
        <v>　Level 2</v>
      </c>
      <c r="G314" s="3671" t="s">
        <v>2528</v>
      </c>
      <c r="H314" s="3724"/>
      <c r="I314" s="3753"/>
      <c r="J314" s="3725"/>
      <c r="K314" s="3671" t="s">
        <v>2528</v>
      </c>
      <c r="L314" s="3753"/>
      <c r="M314" s="3753"/>
      <c r="N314" s="3725"/>
    </row>
    <row r="315" spans="2:15" ht="21" customHeight="1">
      <c r="B315" s="1105">
        <v>1</v>
      </c>
      <c r="C315" s="1105">
        <v>0</v>
      </c>
      <c r="D315" s="395"/>
      <c r="E315" s="2763"/>
      <c r="F315" s="2702" t="str">
        <f>IF(F312=$F$7,$G$4,IF(ROUNDDOWN(F312,0)=$F$4,$H$4,$G$4))</f>
        <v>■Level 3</v>
      </c>
      <c r="G315" s="3671" t="s">
        <v>3571</v>
      </c>
      <c r="H315" s="3724"/>
      <c r="I315" s="3753"/>
      <c r="J315" s="3725"/>
      <c r="K315" s="3671" t="s">
        <v>3554</v>
      </c>
      <c r="L315" s="3753"/>
      <c r="M315" s="3753"/>
      <c r="N315" s="3725"/>
    </row>
    <row r="316" spans="2:15" ht="21" customHeight="1">
      <c r="B316" s="1105">
        <v>3</v>
      </c>
      <c r="C316" s="1105">
        <v>1</v>
      </c>
      <c r="D316" s="395"/>
      <c r="E316" s="2763"/>
      <c r="F316" s="2702" t="str">
        <f>IF(F312=$F$7,$G$5,IF(ROUNDDOWN(F312,0)=$F$5,$H$5,$G$5))</f>
        <v>　Level 4</v>
      </c>
      <c r="G316" s="3671" t="s">
        <v>3470</v>
      </c>
      <c r="H316" s="3724"/>
      <c r="I316" s="3753"/>
      <c r="J316" s="3725"/>
      <c r="K316" s="3671" t="s">
        <v>3552</v>
      </c>
      <c r="L316" s="3753"/>
      <c r="M316" s="3753"/>
      <c r="N316" s="3725"/>
    </row>
    <row r="317" spans="2:15" ht="25.9" customHeight="1">
      <c r="B317" s="1105">
        <v>4</v>
      </c>
      <c r="C317" s="1105">
        <v>2</v>
      </c>
      <c r="D317" s="395"/>
      <c r="E317" s="2763"/>
      <c r="F317" s="2704" t="str">
        <f>IF(F312=$F$7,$G$6,IF(ROUNDDOWN(F312,0)=$F$6,$H$6,$G$6))</f>
        <v>　Level 5</v>
      </c>
      <c r="G317" s="4056" t="s">
        <v>3563</v>
      </c>
      <c r="H317" s="4057"/>
      <c r="I317" s="4057"/>
      <c r="J317" s="4058"/>
      <c r="K317" s="4056" t="s">
        <v>3551</v>
      </c>
      <c r="L317" s="4010"/>
      <c r="M317" s="4010"/>
      <c r="N317" s="4011"/>
    </row>
    <row r="318" spans="2:15">
      <c r="D318" s="1105"/>
      <c r="F318" s="2067" t="s">
        <v>3045</v>
      </c>
      <c r="G318" s="2708"/>
      <c r="H318" s="2759"/>
      <c r="I318" s="2709"/>
      <c r="J318" s="2710"/>
      <c r="K318" s="2711"/>
    </row>
    <row r="319" spans="2:15">
      <c r="D319" s="1105"/>
      <c r="F319" s="1173" t="s">
        <v>3286</v>
      </c>
    </row>
    <row r="320" spans="2:15" ht="16.5" thickBot="1">
      <c r="D320" s="395"/>
      <c r="E320" s="119"/>
      <c r="G320" s="3731">
        <f>IF(N312&lt;&gt;0,O327,K327)</f>
        <v>3</v>
      </c>
      <c r="H320" s="2857" t="s">
        <v>4057</v>
      </c>
      <c r="I320" s="3563"/>
      <c r="J320" s="3563"/>
      <c r="K320" s="3563"/>
      <c r="L320" s="3563"/>
      <c r="M320" s="3563"/>
      <c r="N320" s="3563"/>
      <c r="O320" s="3418"/>
    </row>
    <row r="321" spans="2:15" ht="15.75" customHeight="1">
      <c r="D321" s="395"/>
      <c r="E321" s="119"/>
      <c r="F321" s="2321" t="s">
        <v>784</v>
      </c>
      <c r="G321" s="3389"/>
      <c r="H321" s="3760" t="s">
        <v>3565</v>
      </c>
      <c r="I321" s="3761"/>
      <c r="J321" s="3761"/>
      <c r="K321" s="3761"/>
      <c r="L321" s="3761"/>
      <c r="M321" s="3761"/>
      <c r="N321" s="3761"/>
      <c r="O321" s="3759"/>
    </row>
    <row r="322" spans="2:15" ht="15.75" customHeight="1">
      <c r="D322" s="395"/>
      <c r="E322" s="119"/>
      <c r="F322" s="2321" t="s">
        <v>1046</v>
      </c>
      <c r="G322" s="3394"/>
      <c r="H322" s="3762" t="s">
        <v>3566</v>
      </c>
      <c r="I322" s="3724"/>
      <c r="J322" s="3724"/>
      <c r="K322" s="3724"/>
      <c r="L322" s="3724"/>
      <c r="M322" s="3724"/>
      <c r="N322" s="3724"/>
      <c r="O322" s="3725"/>
    </row>
    <row r="323" spans="2:15" ht="15.75">
      <c r="D323" s="395"/>
      <c r="E323" s="119"/>
      <c r="F323" s="2321" t="s">
        <v>786</v>
      </c>
      <c r="G323" s="3394" t="s">
        <v>2830</v>
      </c>
      <c r="H323" s="3762" t="s">
        <v>3567</v>
      </c>
      <c r="I323" s="3724"/>
      <c r="J323" s="3724"/>
      <c r="K323" s="3724"/>
      <c r="L323" s="3724"/>
      <c r="M323" s="3724"/>
      <c r="N323" s="3724"/>
      <c r="O323" s="3725"/>
    </row>
    <row r="324" spans="2:15" ht="95.45" customHeight="1">
      <c r="D324" s="395"/>
      <c r="E324" s="119"/>
      <c r="F324" s="2321" t="s">
        <v>787</v>
      </c>
      <c r="G324" s="3396"/>
      <c r="H324" s="4024" t="s">
        <v>3570</v>
      </c>
      <c r="I324" s="4068"/>
      <c r="J324" s="4068"/>
      <c r="K324" s="4068"/>
      <c r="L324" s="4068"/>
      <c r="M324" s="4068"/>
      <c r="N324" s="4068"/>
      <c r="O324" s="4069"/>
    </row>
    <row r="325" spans="2:15" ht="15.75">
      <c r="B325" s="2712"/>
      <c r="C325" s="2712"/>
      <c r="D325" s="395"/>
      <c r="E325" s="119"/>
      <c r="F325" s="2321" t="s">
        <v>788</v>
      </c>
      <c r="G325" s="3396" t="s">
        <v>2830</v>
      </c>
      <c r="H325" s="3762" t="s">
        <v>3568</v>
      </c>
      <c r="I325" s="3724"/>
      <c r="J325" s="3724"/>
      <c r="K325" s="3724"/>
      <c r="L325" s="3724"/>
      <c r="M325" s="3724"/>
      <c r="N325" s="3724"/>
      <c r="O325" s="3725"/>
    </row>
    <row r="326" spans="2:15" ht="16.5" customHeight="1" thickBot="1">
      <c r="D326" s="395"/>
      <c r="E326" s="119"/>
      <c r="F326" s="2321" t="s">
        <v>789</v>
      </c>
      <c r="G326" s="3507"/>
      <c r="H326" s="3763" t="s">
        <v>3569</v>
      </c>
      <c r="I326" s="3601"/>
      <c r="J326" s="3601"/>
      <c r="K326" s="3601"/>
      <c r="L326" s="3601"/>
      <c r="M326" s="3601"/>
      <c r="N326" s="3601"/>
      <c r="O326" s="3602"/>
    </row>
    <row r="327" spans="2:15" ht="15.75">
      <c r="D327" s="395"/>
      <c r="E327" s="119"/>
      <c r="F327" s="2321" t="s">
        <v>1468</v>
      </c>
      <c r="G327" s="3656"/>
      <c r="H327" s="3656" t="s">
        <v>4489</v>
      </c>
      <c r="I327" s="3756">
        <f>COUNTIF(G321:G326,$M$3)</f>
        <v>2</v>
      </c>
      <c r="J327" s="3405" t="s">
        <v>4054</v>
      </c>
      <c r="K327" s="3741">
        <f>IF(I327&gt;=B317,5,IF(I327&gt;=B316,4,IF(I327&gt;=B315,3,IF(I327&gt;=B314,2,1))))</f>
        <v>3</v>
      </c>
      <c r="L327" s="3742" t="s">
        <v>4488</v>
      </c>
      <c r="M327" s="3756">
        <f>COUNTIF(G325:G326,$M$3)+COUNTIF(G321:G323,$M$3)</f>
        <v>2</v>
      </c>
      <c r="N327" s="3405" t="s">
        <v>4054</v>
      </c>
      <c r="O327" s="3741">
        <f>IF(M327&gt;=C317,5,IF(M327&gt;=C316,4,IF(M327&gt;=C315,3,IF(M327&gt;=C314,2,1))))</f>
        <v>5</v>
      </c>
    </row>
    <row r="328" spans="2:15">
      <c r="D328" s="1105"/>
    </row>
    <row r="329" spans="2:15">
      <c r="D329" s="1105"/>
      <c r="F329" s="401" t="s">
        <v>3572</v>
      </c>
      <c r="J329" s="1105" t="str">
        <f>IF(OR(F331=0,J330=0),$L$3,"")</f>
        <v/>
      </c>
    </row>
    <row r="330" spans="2:15" ht="16.5" thickBot="1">
      <c r="D330" s="395"/>
      <c r="E330" s="119"/>
      <c r="F330" s="3220"/>
      <c r="G330" s="2688"/>
      <c r="H330" s="2853"/>
      <c r="I330" s="2690" t="s">
        <v>2629</v>
      </c>
      <c r="J330" s="3221">
        <f>Weight!M97</f>
        <v>0.2</v>
      </c>
      <c r="K330" s="2764"/>
      <c r="L330" s="2764"/>
      <c r="M330" s="2764"/>
      <c r="N330" s="2764"/>
      <c r="O330" s="3188"/>
    </row>
    <row r="331" spans="2:15" ht="27" customHeight="1" thickBot="1">
      <c r="D331" s="395"/>
      <c r="E331" s="119"/>
      <c r="F331" s="2693">
        <v>3</v>
      </c>
      <c r="G331" s="2774" t="s">
        <v>2618</v>
      </c>
      <c r="H331" s="2697"/>
      <c r="I331" s="2697"/>
      <c r="J331" s="2697"/>
      <c r="K331" s="2697"/>
      <c r="L331" s="2697"/>
      <c r="M331" s="2697"/>
      <c r="N331" s="2697"/>
      <c r="O331" s="2698"/>
    </row>
    <row r="332" spans="2:15" ht="21" customHeight="1">
      <c r="B332" s="2014">
        <v>1</v>
      </c>
      <c r="D332" s="395"/>
      <c r="E332" s="119"/>
      <c r="F332" s="2699" t="str">
        <f>IF(F331=$F$7,$G$2,IF(ROUNDDOWN(F331,0)=$F$2,$H$2,$G$2))</f>
        <v>　Level 1</v>
      </c>
      <c r="G332" s="2582" t="s">
        <v>2699</v>
      </c>
      <c r="H332" s="2620"/>
      <c r="I332" s="2620"/>
      <c r="J332" s="2620"/>
      <c r="K332" s="2620"/>
      <c r="L332" s="3184"/>
      <c r="M332" s="2620"/>
      <c r="N332" s="2620"/>
      <c r="O332" s="2670"/>
    </row>
    <row r="333" spans="2:15" ht="21" customHeight="1">
      <c r="B333" s="2014" t="s">
        <v>358</v>
      </c>
      <c r="D333" s="395"/>
      <c r="E333" s="119"/>
      <c r="F333" s="2702" t="str">
        <f>IF(F331=$F$7,$G$3,IF(ROUNDDOWN(F331,0)=$F$3,$H$3,$G$3))</f>
        <v>　Level 2</v>
      </c>
      <c r="G333" s="2583" t="s">
        <v>2528</v>
      </c>
      <c r="H333" s="2621"/>
      <c r="I333" s="2621"/>
      <c r="J333" s="2621"/>
      <c r="K333" s="2621"/>
      <c r="L333" s="3185"/>
      <c r="M333" s="2621"/>
      <c r="N333" s="2621"/>
      <c r="O333" s="2671"/>
    </row>
    <row r="334" spans="2:15" ht="27" customHeight="1">
      <c r="B334" s="2014">
        <v>3</v>
      </c>
      <c r="D334" s="395"/>
      <c r="E334" s="119"/>
      <c r="F334" s="2702" t="str">
        <f>IF(F331=$F$7,$G$4,IF(ROUNDDOWN(F331,0)=$F$4,$H$4,$G$4))</f>
        <v>■Level 3</v>
      </c>
      <c r="G334" s="3927" t="s">
        <v>3575</v>
      </c>
      <c r="H334" s="3928"/>
      <c r="I334" s="3928"/>
      <c r="J334" s="3928"/>
      <c r="K334" s="3928"/>
      <c r="L334" s="3928"/>
      <c r="M334" s="3928"/>
      <c r="N334" s="3928"/>
      <c r="O334" s="3929"/>
    </row>
    <row r="335" spans="2:15" ht="27" customHeight="1">
      <c r="B335" s="2014">
        <v>4</v>
      </c>
      <c r="D335" s="395"/>
      <c r="E335" s="119"/>
      <c r="F335" s="2702" t="str">
        <f>IF(F331=$F$7,$G$5,IF(ROUNDDOWN(F331,0)=$F$5,$H$5,$G$5))</f>
        <v>　Level 4</v>
      </c>
      <c r="G335" s="3927" t="s">
        <v>3573</v>
      </c>
      <c r="H335" s="3928"/>
      <c r="I335" s="3928"/>
      <c r="J335" s="3928"/>
      <c r="K335" s="3928"/>
      <c r="L335" s="3928"/>
      <c r="M335" s="3928"/>
      <c r="N335" s="3928"/>
      <c r="O335" s="3929"/>
    </row>
    <row r="336" spans="2:15" ht="27" customHeight="1">
      <c r="B336" s="2014">
        <v>5</v>
      </c>
      <c r="D336" s="395"/>
      <c r="E336" s="119"/>
      <c r="F336" s="2704" t="str">
        <f>IF(F331=$F$7,$G$6,IF(ROUNDDOWN(F331,0)=$F$6,$H$6,$G$6))</f>
        <v>　Level 5</v>
      </c>
      <c r="G336" s="3930" t="s">
        <v>3574</v>
      </c>
      <c r="H336" s="3931"/>
      <c r="I336" s="3931"/>
      <c r="J336" s="3931"/>
      <c r="K336" s="3931"/>
      <c r="L336" s="3931"/>
      <c r="M336" s="3931"/>
      <c r="N336" s="3931"/>
      <c r="O336" s="3932"/>
    </row>
    <row r="337" spans="2:15">
      <c r="B337" s="2850">
        <v>0</v>
      </c>
      <c r="C337" s="2850">
        <v>0</v>
      </c>
      <c r="D337" s="1105"/>
      <c r="F337" s="2067" t="s">
        <v>3045</v>
      </c>
      <c r="G337" s="2708"/>
      <c r="H337" s="2759"/>
      <c r="I337" s="2709"/>
      <c r="J337" s="2710"/>
      <c r="K337" s="2711"/>
    </row>
    <row r="338" spans="2:15">
      <c r="B338" s="2712"/>
      <c r="D338" s="1105"/>
      <c r="I338" s="1529"/>
      <c r="J338" s="1529"/>
      <c r="K338" s="2711"/>
    </row>
    <row r="339" spans="2:15">
      <c r="D339" s="1105"/>
      <c r="F339" s="401" t="s">
        <v>3576</v>
      </c>
      <c r="J339" s="1105" t="str">
        <f>IF(OR(F341=0,J340=0),$L$3,"")</f>
        <v/>
      </c>
    </row>
    <row r="340" spans="2:15" ht="16.5" thickBot="1">
      <c r="D340" s="395"/>
      <c r="E340" s="119"/>
      <c r="F340" s="2655"/>
      <c r="G340" s="2688"/>
      <c r="H340" s="2853"/>
      <c r="I340" s="2690" t="s">
        <v>2629</v>
      </c>
      <c r="J340" s="2692">
        <f>Weight!M98</f>
        <v>0.2</v>
      </c>
    </row>
    <row r="341" spans="2:15" ht="27" customHeight="1" thickBot="1">
      <c r="B341" s="1105" t="s">
        <v>1049</v>
      </c>
      <c r="D341" s="395"/>
      <c r="E341" s="119"/>
      <c r="F341" s="2865">
        <f>G349</f>
        <v>3</v>
      </c>
      <c r="G341" s="2697" t="s">
        <v>2618</v>
      </c>
      <c r="H341" s="2826"/>
      <c r="I341" s="2826"/>
      <c r="J341" s="2760"/>
    </row>
    <row r="342" spans="2:15" ht="21" customHeight="1">
      <c r="B342" s="1105">
        <v>0</v>
      </c>
      <c r="D342" s="395"/>
      <c r="E342" s="3594"/>
      <c r="F342" s="2702" t="str">
        <f>IF(F341=$F$7,$G$2,IF(ROUNDDOWN(F341,0)=$F$2,$H$2,$G$2))</f>
        <v>　Level 1</v>
      </c>
      <c r="G342" s="2814" t="s">
        <v>2651</v>
      </c>
      <c r="H342" s="3381"/>
      <c r="I342" s="3381"/>
      <c r="J342" s="3764"/>
    </row>
    <row r="343" spans="2:15" ht="21" customHeight="1">
      <c r="B343" s="1105">
        <v>1</v>
      </c>
      <c r="D343" s="395"/>
      <c r="E343" s="3594"/>
      <c r="F343" s="2702" t="str">
        <f>IF(F341=$F$7,$G$3,IF(ROUNDDOWN(F341,0)=$F$3,$H$3,$G$3))</f>
        <v>　Level 2</v>
      </c>
      <c r="G343" s="2789" t="s">
        <v>3552</v>
      </c>
      <c r="H343" s="2334"/>
      <c r="I343" s="2334"/>
      <c r="J343" s="3765"/>
    </row>
    <row r="344" spans="2:15" ht="21" customHeight="1">
      <c r="B344" s="1105">
        <v>2</v>
      </c>
      <c r="D344" s="395"/>
      <c r="E344" s="3594"/>
      <c r="F344" s="2702" t="str">
        <f>IF(F341=$F$7,$G$4,IF(ROUNDDOWN(F341,0)=$F$4,$H$4,$G$4))</f>
        <v>■Level 3</v>
      </c>
      <c r="G344" s="2789" t="s">
        <v>3468</v>
      </c>
      <c r="H344" s="2334"/>
      <c r="I344" s="2334"/>
      <c r="J344" s="3765"/>
    </row>
    <row r="345" spans="2:15" ht="21" customHeight="1">
      <c r="B345" s="1105">
        <v>3</v>
      </c>
      <c r="D345" s="395"/>
      <c r="E345" s="3594"/>
      <c r="F345" s="2702" t="str">
        <f>IF(F341=$F$7,$G$5,IF(ROUNDDOWN(F341,0)=$F$5,$H$5,$G$5))</f>
        <v>　Level 4</v>
      </c>
      <c r="G345" s="2789" t="s">
        <v>3470</v>
      </c>
      <c r="H345" s="2334"/>
      <c r="I345" s="2334"/>
      <c r="J345" s="3765"/>
    </row>
    <row r="346" spans="2:15" ht="21" customHeight="1">
      <c r="B346" s="1105">
        <v>4</v>
      </c>
      <c r="D346" s="395"/>
      <c r="E346" s="3594"/>
      <c r="F346" s="2704" t="str">
        <f>IF(F341=$F$7,$G$6,IF(ROUNDDOWN(F341,0)=$F$6,$H$6,$G$6))</f>
        <v>　Level 5</v>
      </c>
      <c r="G346" s="2819" t="s">
        <v>3563</v>
      </c>
      <c r="H346" s="3382"/>
      <c r="I346" s="3382"/>
      <c r="J346" s="3766"/>
    </row>
    <row r="347" spans="2:15">
      <c r="D347" s="1105"/>
      <c r="F347" s="2067" t="s">
        <v>3045</v>
      </c>
      <c r="G347" s="2708"/>
      <c r="H347" s="2759"/>
      <c r="I347" s="2709"/>
      <c r="J347" s="2710"/>
      <c r="K347" s="2779" t="str">
        <f>K74</f>
        <v>Note; Describe introduced technics for each effort.</v>
      </c>
    </row>
    <row r="348" spans="2:15">
      <c r="D348" s="1105"/>
      <c r="F348" s="1173" t="s">
        <v>3286</v>
      </c>
    </row>
    <row r="349" spans="2:15" ht="16.5" customHeight="1" thickBot="1">
      <c r="D349" s="395"/>
      <c r="E349" s="119"/>
      <c r="G349" s="3562">
        <f>IF(G356&gt;=B346,5,IF(G356&gt;=B345,4,IF(G356&gt;=B344,3,IF(G356&gt;=B343,2,1))))</f>
        <v>3</v>
      </c>
      <c r="H349" s="2857" t="s">
        <v>4057</v>
      </c>
      <c r="I349" s="3563"/>
      <c r="J349" s="3563"/>
      <c r="K349" s="3563"/>
      <c r="L349" s="3563"/>
      <c r="M349" s="3563"/>
      <c r="N349" s="3563"/>
      <c r="O349" s="3418"/>
    </row>
    <row r="350" spans="2:15" ht="26.45" customHeight="1">
      <c r="D350" s="395"/>
      <c r="E350" s="119"/>
      <c r="F350" s="2321" t="s">
        <v>784</v>
      </c>
      <c r="G350" s="3389"/>
      <c r="H350" s="4059" t="s">
        <v>3578</v>
      </c>
      <c r="I350" s="3949"/>
      <c r="J350" s="3949"/>
      <c r="K350" s="3949"/>
      <c r="L350" s="3949"/>
      <c r="M350" s="3949"/>
      <c r="N350" s="3949"/>
      <c r="O350" s="3950"/>
    </row>
    <row r="351" spans="2:15" ht="15.75" customHeight="1">
      <c r="D351" s="395"/>
      <c r="E351" s="119"/>
      <c r="F351" s="2321" t="s">
        <v>1046</v>
      </c>
      <c r="G351" s="3394" t="s">
        <v>2830</v>
      </c>
      <c r="H351" s="3395" t="s">
        <v>3579</v>
      </c>
      <c r="I351" s="3181"/>
      <c r="J351" s="3181"/>
      <c r="K351" s="3181"/>
      <c r="L351" s="3181"/>
      <c r="M351" s="3181"/>
      <c r="N351" s="3181"/>
      <c r="O351" s="3366"/>
    </row>
    <row r="352" spans="2:15" ht="90" customHeight="1">
      <c r="D352" s="395"/>
      <c r="E352" s="119"/>
      <c r="F352" s="2321" t="s">
        <v>786</v>
      </c>
      <c r="G352" s="3396"/>
      <c r="H352" s="4070" t="s">
        <v>3577</v>
      </c>
      <c r="I352" s="3809"/>
      <c r="J352" s="3809"/>
      <c r="K352" s="3809"/>
      <c r="L352" s="3809"/>
      <c r="M352" s="3809"/>
      <c r="N352" s="3809"/>
      <c r="O352" s="3810"/>
    </row>
    <row r="353" spans="2:15" ht="25.9" customHeight="1">
      <c r="D353" s="395"/>
      <c r="E353" s="119"/>
      <c r="F353" s="2321" t="s">
        <v>787</v>
      </c>
      <c r="G353" s="3396" t="s">
        <v>2830</v>
      </c>
      <c r="H353" s="4070" t="s">
        <v>3580</v>
      </c>
      <c r="I353" s="4009"/>
      <c r="J353" s="4009"/>
      <c r="K353" s="4009"/>
      <c r="L353" s="4009"/>
      <c r="M353" s="4009"/>
      <c r="N353" s="4009"/>
      <c r="O353" s="3977"/>
    </row>
    <row r="354" spans="2:15" ht="15.75" customHeight="1">
      <c r="D354" s="395"/>
      <c r="E354" s="119"/>
      <c r="F354" s="2321" t="s">
        <v>788</v>
      </c>
      <c r="G354" s="3396"/>
      <c r="H354" s="3568" t="s">
        <v>3581</v>
      </c>
      <c r="I354" s="3569"/>
      <c r="J354" s="3569"/>
      <c r="K354" s="3569"/>
      <c r="L354" s="3569"/>
      <c r="M354" s="3569"/>
      <c r="N354" s="3569"/>
      <c r="O354" s="2859"/>
    </row>
    <row r="355" spans="2:15" ht="16.5" customHeight="1" thickBot="1">
      <c r="D355" s="395"/>
      <c r="E355" s="119"/>
      <c r="F355" s="2321" t="s">
        <v>789</v>
      </c>
      <c r="G355" s="3507"/>
      <c r="H355" s="3570" t="s">
        <v>3582</v>
      </c>
      <c r="I355" s="3569"/>
      <c r="J355" s="3569"/>
      <c r="K355" s="3569"/>
      <c r="L355" s="3569"/>
      <c r="M355" s="3569"/>
      <c r="N355" s="3569"/>
      <c r="O355" s="2859"/>
    </row>
    <row r="356" spans="2:15" ht="15.75">
      <c r="D356" s="395"/>
      <c r="E356" s="119"/>
      <c r="F356" s="2321" t="s">
        <v>1468</v>
      </c>
      <c r="G356" s="3512">
        <f>COUNTIF(G350:G355,$M$3)</f>
        <v>2</v>
      </c>
      <c r="H356" s="3405" t="s">
        <v>4055</v>
      </c>
      <c r="I356" s="3513"/>
      <c r="J356" s="3513"/>
      <c r="K356" s="3513"/>
      <c r="L356" s="3513"/>
      <c r="M356" s="3513"/>
      <c r="N356" s="3513"/>
      <c r="O356" s="3514"/>
    </row>
    <row r="357" spans="2:15" ht="15.75">
      <c r="D357" s="395"/>
      <c r="E357" s="119"/>
    </row>
    <row r="358" spans="2:15" ht="15.75">
      <c r="D358" s="393">
        <v>3</v>
      </c>
      <c r="E358" s="13" t="s">
        <v>1614</v>
      </c>
    </row>
    <row r="359" spans="2:15" ht="15.75">
      <c r="D359" s="393">
        <v>3.1</v>
      </c>
      <c r="E359" s="13" t="s">
        <v>1615</v>
      </c>
    </row>
    <row r="360" spans="2:15" ht="15.75">
      <c r="D360" s="395"/>
      <c r="E360" s="28"/>
      <c r="F360" s="396" t="s">
        <v>2938</v>
      </c>
      <c r="J360" s="1105" t="str">
        <f>IF(OR(F362=0,AND(J361=0,O361=0)),$L$3,"")</f>
        <v/>
      </c>
    </row>
    <row r="361" spans="2:15" ht="19.149999999999999" customHeight="1" thickBot="1">
      <c r="D361" s="395"/>
      <c r="E361" s="28"/>
      <c r="F361" s="2843" t="s">
        <v>2613</v>
      </c>
      <c r="G361" s="2688"/>
      <c r="H361" s="2853"/>
      <c r="I361" s="2842" t="s">
        <v>2629</v>
      </c>
      <c r="J361" s="2692">
        <f>Weight!M102</f>
        <v>0.6</v>
      </c>
      <c r="K361" s="2843" t="s">
        <v>2615</v>
      </c>
      <c r="L361" s="2688"/>
      <c r="M361" s="2853"/>
      <c r="N361" s="2842" t="s">
        <v>2629</v>
      </c>
      <c r="O361" s="2692">
        <f>Weight!N102</f>
        <v>0</v>
      </c>
    </row>
    <row r="362" spans="2:15" ht="27" customHeight="1" thickBot="1">
      <c r="D362" s="395"/>
      <c r="E362" s="28"/>
      <c r="F362" s="2693">
        <v>3</v>
      </c>
      <c r="G362" s="2753" t="s">
        <v>2960</v>
      </c>
      <c r="H362" s="2698"/>
      <c r="I362" s="4060" t="s">
        <v>2961</v>
      </c>
      <c r="J362" s="4071"/>
      <c r="K362" s="2693">
        <v>3</v>
      </c>
      <c r="L362" s="2652" t="s">
        <v>2959</v>
      </c>
      <c r="M362" s="2678"/>
      <c r="N362" s="2652" t="s">
        <v>1679</v>
      </c>
      <c r="O362" s="2698"/>
    </row>
    <row r="363" spans="2:15" ht="21" customHeight="1">
      <c r="B363" s="2014">
        <v>1</v>
      </c>
      <c r="C363" s="2014">
        <v>1</v>
      </c>
      <c r="D363" s="395"/>
      <c r="E363" s="28"/>
      <c r="F363" s="2699" t="str">
        <f>IF(F362=$F$7,$G$2,IF(ROUNDDOWN(F362,0)=$F$2,$H$2,$G$2))</f>
        <v>　Level 1</v>
      </c>
      <c r="G363" s="2755" t="s">
        <v>2946</v>
      </c>
      <c r="H363" s="3596"/>
      <c r="I363" s="3767" t="s">
        <v>2947</v>
      </c>
      <c r="J363" s="3768"/>
      <c r="K363" s="3586" t="str">
        <f>IF(K362=$F$7,$G$2,IF(ROUNDDOWN(K362,0)=$F$2,$H$2,$G$2))</f>
        <v>　Level 1</v>
      </c>
      <c r="L363" s="3677" t="s">
        <v>2946</v>
      </c>
      <c r="M363" s="3679"/>
      <c r="N363" s="3677" t="s">
        <v>2954</v>
      </c>
      <c r="O363" s="3679"/>
    </row>
    <row r="364" spans="2:15" ht="22.9" customHeight="1">
      <c r="B364" s="2014">
        <v>2</v>
      </c>
      <c r="C364" s="2014">
        <v>2</v>
      </c>
      <c r="D364" s="395"/>
      <c r="E364" s="28"/>
      <c r="F364" s="2702" t="str">
        <f>IF(F362=$F$7,$G$3,IF(ROUNDDOWN(F362,0)=$F$3,$H$3,$G$3))</f>
        <v>　Level 2</v>
      </c>
      <c r="G364" s="3808" t="s">
        <v>2948</v>
      </c>
      <c r="H364" s="3977"/>
      <c r="I364" s="4030" t="s">
        <v>2949</v>
      </c>
      <c r="J364" s="3977"/>
      <c r="K364" s="3589" t="str">
        <f>IF(K362=$F$7,$G$3,IF(ROUNDDOWN(K362,0)=$F$3,$H$3,$G$3))</f>
        <v>　Level 2</v>
      </c>
      <c r="L364" s="4030" t="s">
        <v>2948</v>
      </c>
      <c r="M364" s="3977"/>
      <c r="N364" s="4030" t="s">
        <v>2955</v>
      </c>
      <c r="O364" s="3977"/>
    </row>
    <row r="365" spans="2:15" ht="22.9" customHeight="1">
      <c r="B365" s="2014">
        <v>3</v>
      </c>
      <c r="C365" s="2014">
        <v>3</v>
      </c>
      <c r="D365" s="395"/>
      <c r="E365" s="28"/>
      <c r="F365" s="2702" t="str">
        <f>IF(F362=$F$7,$G$4,IF(ROUNDDOWN(F362,0)=$F$4,$H$4,$G$4))</f>
        <v>■Level 3</v>
      </c>
      <c r="G365" s="3808" t="s">
        <v>2950</v>
      </c>
      <c r="H365" s="3977"/>
      <c r="I365" s="4030" t="s">
        <v>2948</v>
      </c>
      <c r="J365" s="3977"/>
      <c r="K365" s="3589" t="str">
        <f>IF(K362=$F$7,$G$4,IF(ROUNDDOWN(K362,0)=$F$4,$H$4,$G$4))</f>
        <v>■Level 3</v>
      </c>
      <c r="L365" s="4030" t="s">
        <v>2950</v>
      </c>
      <c r="M365" s="3977"/>
      <c r="N365" s="4030" t="s">
        <v>2956</v>
      </c>
      <c r="O365" s="3977"/>
    </row>
    <row r="366" spans="2:15" ht="22.9" customHeight="1">
      <c r="B366" s="2014">
        <v>4</v>
      </c>
      <c r="C366" s="2014">
        <v>4</v>
      </c>
      <c r="D366" s="395"/>
      <c r="E366" s="28"/>
      <c r="F366" s="2702" t="str">
        <f>IF(F362=$F$7,$G$5,IF(ROUNDDOWN(F362,0)=$F$5,$H$5,$G$5))</f>
        <v>　Level 4</v>
      </c>
      <c r="G366" s="3808" t="s">
        <v>2951</v>
      </c>
      <c r="H366" s="3977"/>
      <c r="I366" s="4030" t="s">
        <v>2950</v>
      </c>
      <c r="J366" s="3977"/>
      <c r="K366" s="3589" t="str">
        <f>IF(K362=$F$7,$G$5,IF(ROUNDDOWN(K362,0)=$F$5,$H$5,$G$5))</f>
        <v>　Level 4</v>
      </c>
      <c r="L366" s="4030" t="s">
        <v>2951</v>
      </c>
      <c r="M366" s="3977"/>
      <c r="N366" s="4030" t="s">
        <v>2957</v>
      </c>
      <c r="O366" s="3977"/>
    </row>
    <row r="367" spans="2:15" ht="21" customHeight="1">
      <c r="B367" s="2014">
        <v>5</v>
      </c>
      <c r="C367" s="2014">
        <v>5</v>
      </c>
      <c r="D367" s="395"/>
      <c r="E367" s="28"/>
      <c r="F367" s="2704" t="str">
        <f>IF(F362=$F$7,$G$6,IF(ROUNDDOWN(F362,0)=$F$6,$H$6,$G$6))</f>
        <v>　Level 5</v>
      </c>
      <c r="G367" s="2756" t="s">
        <v>2952</v>
      </c>
      <c r="H367" s="3769"/>
      <c r="I367" s="3603" t="s">
        <v>2953</v>
      </c>
      <c r="J367" s="3770"/>
      <c r="K367" s="3592" t="str">
        <f>IF(K362=$F$7,$G$6,IF(ROUNDDOWN(K362,0)=$F$6,$H$6,$G$6))</f>
        <v>　Level 5</v>
      </c>
      <c r="L367" s="3668" t="s">
        <v>2952</v>
      </c>
      <c r="M367" s="3748"/>
      <c r="N367" s="3668" t="s">
        <v>2958</v>
      </c>
      <c r="O367" s="3602"/>
    </row>
    <row r="368" spans="2:15">
      <c r="B368" s="2850">
        <v>0</v>
      </c>
      <c r="C368" s="2850">
        <v>0</v>
      </c>
      <c r="D368" s="1105"/>
      <c r="F368" s="2067" t="s">
        <v>3045</v>
      </c>
      <c r="G368" s="2708"/>
      <c r="H368" s="2759"/>
      <c r="I368" s="2709"/>
      <c r="J368" s="2710"/>
      <c r="K368" s="2711"/>
    </row>
    <row r="369" spans="2:15">
      <c r="B369" s="2712"/>
      <c r="C369" s="2712"/>
      <c r="D369" s="1105"/>
      <c r="F369" s="1516" t="s">
        <v>2937</v>
      </c>
      <c r="G369" s="2780"/>
      <c r="H369" s="1529" t="s">
        <v>1067</v>
      </c>
      <c r="I369" s="1529"/>
      <c r="J369" s="1529"/>
      <c r="K369" s="2711"/>
    </row>
    <row r="370" spans="2:15">
      <c r="B370" s="2712"/>
      <c r="C370" s="2712"/>
      <c r="D370" s="1105"/>
      <c r="I370" s="1529"/>
      <c r="J370" s="1529"/>
      <c r="K370" s="2711"/>
    </row>
    <row r="371" spans="2:15">
      <c r="D371" s="1105"/>
      <c r="F371" s="396" t="s">
        <v>2939</v>
      </c>
      <c r="J371" s="1105" t="str">
        <f>IF(OR(F373=0,AND(J372=0,O372=0)),$L$3,"")</f>
        <v/>
      </c>
    </row>
    <row r="372" spans="2:15" ht="21" customHeight="1" thickBot="1">
      <c r="D372" s="395"/>
      <c r="E372" s="28"/>
      <c r="F372" s="2843" t="s">
        <v>2613</v>
      </c>
      <c r="G372" s="2688"/>
      <c r="H372" s="2853"/>
      <c r="I372" s="2842" t="s">
        <v>2629</v>
      </c>
      <c r="J372" s="2692">
        <f>Weight!M103</f>
        <v>0.4</v>
      </c>
      <c r="K372" s="2843" t="s">
        <v>2615</v>
      </c>
      <c r="L372" s="2688"/>
      <c r="M372" s="2853"/>
      <c r="N372" s="2842" t="s">
        <v>2629</v>
      </c>
      <c r="O372" s="2692">
        <f>Weight!N103</f>
        <v>0</v>
      </c>
    </row>
    <row r="373" spans="2:15" ht="27" customHeight="1" thickBot="1">
      <c r="D373" s="395"/>
      <c r="E373" s="28"/>
      <c r="F373" s="2693">
        <v>3</v>
      </c>
      <c r="G373" s="2753" t="s">
        <v>2940</v>
      </c>
      <c r="H373" s="2697"/>
      <c r="I373" s="2697"/>
      <c r="J373" s="2698"/>
      <c r="K373" s="2693">
        <v>3</v>
      </c>
      <c r="L373" s="2774" t="s">
        <v>2617</v>
      </c>
      <c r="M373" s="2697"/>
      <c r="N373" s="2697"/>
      <c r="O373" s="2760"/>
    </row>
    <row r="374" spans="2:15" ht="21" customHeight="1">
      <c r="B374" s="2014">
        <v>1</v>
      </c>
      <c r="C374" s="2014">
        <v>1</v>
      </c>
      <c r="D374" s="395"/>
      <c r="E374" s="28"/>
      <c r="F374" s="2699" t="str">
        <f>IF(F373=$F$7,$G$2,IF(ROUNDDOWN(F373,0)=$F$2,$H$2,$G$2))</f>
        <v>　Level 1</v>
      </c>
      <c r="G374" s="2755" t="s">
        <v>4490</v>
      </c>
      <c r="H374" s="2808"/>
      <c r="I374" s="2808"/>
      <c r="J374" s="3764"/>
      <c r="K374" s="2699" t="str">
        <f>IF(K373=$F$7,$G$2,IF(ROUNDDOWN(K373,0)=$F$2,$H$2,$G$2))</f>
        <v>　Level 1</v>
      </c>
      <c r="L374" s="3677" t="s">
        <v>4490</v>
      </c>
      <c r="M374" s="3596"/>
      <c r="N374" s="3596"/>
      <c r="O374" s="3597"/>
    </row>
    <row r="375" spans="2:15" ht="21" customHeight="1">
      <c r="B375" s="2014">
        <v>2</v>
      </c>
      <c r="C375" s="2014">
        <v>2</v>
      </c>
      <c r="D375" s="395"/>
      <c r="E375" s="28"/>
      <c r="F375" s="2702" t="str">
        <f>IF(F373=$F$7,$G$3,IF(ROUNDDOWN(F373,0)=$F$3,$H$3,$G$3))</f>
        <v>　Level 2</v>
      </c>
      <c r="G375" s="1170" t="s">
        <v>4491</v>
      </c>
      <c r="H375" s="2776"/>
      <c r="I375" s="2776"/>
      <c r="J375" s="3765"/>
      <c r="K375" s="2702" t="str">
        <f>IF(K373=$F$7,$G$3,IF(ROUNDDOWN(K373,0)=$F$3,$H$3,$G$3))</f>
        <v>　Level 2</v>
      </c>
      <c r="L375" s="3671" t="s">
        <v>4491</v>
      </c>
      <c r="M375" s="3598"/>
      <c r="N375" s="3598"/>
      <c r="O375" s="3599"/>
    </row>
    <row r="376" spans="2:15" ht="21" customHeight="1">
      <c r="B376" s="2014">
        <v>3</v>
      </c>
      <c r="C376" s="2014">
        <v>3</v>
      </c>
      <c r="D376" s="395"/>
      <c r="E376" s="1529"/>
      <c r="F376" s="2702" t="str">
        <f>IF(F373=$F$7,$G$4,IF(ROUNDDOWN(F373,0)=$F$4,$H$4,$G$4))</f>
        <v>■Level 3</v>
      </c>
      <c r="G376" s="1170" t="s">
        <v>4492</v>
      </c>
      <c r="H376" s="2776"/>
      <c r="I376" s="2776"/>
      <c r="J376" s="3765"/>
      <c r="K376" s="2702" t="str">
        <f>IF(K373=$F$7,$G$4,IF(ROUNDDOWN(K373,0)=$F$4,$H$4,$G$4))</f>
        <v>■Level 3</v>
      </c>
      <c r="L376" s="3671" t="s">
        <v>4492</v>
      </c>
      <c r="M376" s="3598"/>
      <c r="N376" s="3598"/>
      <c r="O376" s="3599"/>
    </row>
    <row r="377" spans="2:15" ht="21" customHeight="1">
      <c r="B377" s="2014">
        <v>4</v>
      </c>
      <c r="C377" s="2014">
        <v>4</v>
      </c>
      <c r="D377" s="395"/>
      <c r="E377" s="28"/>
      <c r="F377" s="2702" t="str">
        <f>IF(F373=$F$7,$G$5,IF(ROUNDDOWN(F373,0)=$F$5,$H$5,$G$5))</f>
        <v>　Level 4</v>
      </c>
      <c r="G377" s="1170" t="s">
        <v>4493</v>
      </c>
      <c r="H377" s="2776"/>
      <c r="I377" s="2776"/>
      <c r="J377" s="3765"/>
      <c r="K377" s="2702" t="str">
        <f>IF(K373=$F$7,$G$5,IF(ROUNDDOWN(K373,0)=$F$5,$H$5,$G$5))</f>
        <v>　Level 4</v>
      </c>
      <c r="L377" s="3671" t="s">
        <v>4493</v>
      </c>
      <c r="M377" s="3598"/>
      <c r="N377" s="3598"/>
      <c r="O377" s="3599"/>
    </row>
    <row r="378" spans="2:15" ht="21" customHeight="1">
      <c r="B378" s="2014">
        <v>5</v>
      </c>
      <c r="C378" s="2014">
        <v>5</v>
      </c>
      <c r="D378" s="395"/>
      <c r="E378" s="28"/>
      <c r="F378" s="2704" t="str">
        <f>IF(F373=$F$7,$G$6,IF(ROUNDDOWN(F373,0)=$F$6,$H$6,$G$6))</f>
        <v>　Level 5</v>
      </c>
      <c r="G378" s="2756" t="s">
        <v>2941</v>
      </c>
      <c r="H378" s="2810"/>
      <c r="I378" s="2810"/>
      <c r="J378" s="3766"/>
      <c r="K378" s="2704" t="str">
        <f>IF(K373=$F$7,$G$6,IF(ROUNDDOWN(K373,0)=$F$6,$H$6,$G$6))</f>
        <v>　Level 5</v>
      </c>
      <c r="L378" s="3668" t="s">
        <v>2942</v>
      </c>
      <c r="M378" s="3601"/>
      <c r="N378" s="3601"/>
      <c r="O378" s="3602"/>
    </row>
    <row r="379" spans="2:15" ht="15.75" customHeight="1">
      <c r="B379" s="2850">
        <v>0</v>
      </c>
      <c r="C379" s="2850">
        <v>0</v>
      </c>
      <c r="D379" s="395"/>
      <c r="E379" s="28"/>
      <c r="F379" s="2067" t="s">
        <v>3045</v>
      </c>
      <c r="G379" s="2708"/>
      <c r="H379" s="2759"/>
      <c r="I379" s="2709"/>
      <c r="J379" s="2710"/>
      <c r="K379" s="2711"/>
    </row>
    <row r="380" spans="2:15" ht="15.75" customHeight="1">
      <c r="B380" s="2712"/>
      <c r="C380" s="2712"/>
      <c r="D380" s="395"/>
      <c r="E380" s="28"/>
      <c r="F380" s="1516" t="s">
        <v>2943</v>
      </c>
      <c r="G380" s="3771"/>
      <c r="H380" s="3772" t="s">
        <v>4494</v>
      </c>
      <c r="I380" s="3773" t="s">
        <v>2944</v>
      </c>
      <c r="J380" s="3773"/>
      <c r="K380" s="2711"/>
    </row>
    <row r="381" spans="2:15" ht="15.75">
      <c r="D381" s="395"/>
      <c r="E381" s="28"/>
      <c r="G381" s="2784"/>
      <c r="I381" s="2784" t="s">
        <v>2945</v>
      </c>
      <c r="J381" s="2784"/>
    </row>
    <row r="382" spans="2:15" ht="15.75">
      <c r="D382" s="395"/>
      <c r="E382" s="28"/>
      <c r="G382" s="2784"/>
      <c r="J382" s="2784"/>
    </row>
    <row r="383" spans="2:15" ht="15.75">
      <c r="D383" s="393">
        <v>3.2</v>
      </c>
      <c r="E383" s="13" t="s">
        <v>2979</v>
      </c>
      <c r="J383" s="1105" t="str">
        <f>IF(OR(F385=0,AND(J384=0,O384=0)),$L$3,"")</f>
        <v/>
      </c>
    </row>
    <row r="384" spans="2:15" ht="19.899999999999999" customHeight="1" thickBot="1">
      <c r="D384" s="395"/>
      <c r="E384" s="28"/>
      <c r="F384" s="2843" t="s">
        <v>2613</v>
      </c>
      <c r="G384" s="2688"/>
      <c r="H384" s="2853"/>
      <c r="I384" s="2842" t="s">
        <v>2629</v>
      </c>
      <c r="J384" s="3221">
        <f>Weight!M104</f>
        <v>0.3</v>
      </c>
      <c r="K384" s="2764"/>
      <c r="L384" s="2766"/>
      <c r="M384" s="3785" t="s">
        <v>2615</v>
      </c>
      <c r="N384" s="2842" t="s">
        <v>2629</v>
      </c>
      <c r="O384" s="2691">
        <f>Weight!N104</f>
        <v>0</v>
      </c>
    </row>
    <row r="385" spans="2:16" ht="27" customHeight="1" thickBot="1">
      <c r="D385" s="395"/>
      <c r="E385" s="28"/>
      <c r="F385" s="2693">
        <v>3</v>
      </c>
      <c r="G385" s="3787" t="s">
        <v>2962</v>
      </c>
      <c r="H385" s="2678"/>
      <c r="I385" s="2652" t="s">
        <v>2963</v>
      </c>
      <c r="J385" s="2678"/>
      <c r="K385" s="2680" t="s">
        <v>2840</v>
      </c>
      <c r="L385" s="2681"/>
      <c r="M385" s="2693">
        <v>3</v>
      </c>
      <c r="N385" s="2652" t="s">
        <v>2617</v>
      </c>
      <c r="O385" s="2678"/>
    </row>
    <row r="386" spans="2:16" ht="21" customHeight="1">
      <c r="B386" s="2014" t="s">
        <v>512</v>
      </c>
      <c r="C386" s="2014" t="s">
        <v>512</v>
      </c>
      <c r="D386" s="395"/>
      <c r="E386" s="28"/>
      <c r="F386" s="2699" t="str">
        <f>IF(F385=$F$7,$G$2,IF(ROUNDDOWN(F385,0)=$F$2,$H$2,$G$2))</f>
        <v>　Level 1</v>
      </c>
      <c r="G386" s="2582" t="s">
        <v>2528</v>
      </c>
      <c r="H386" s="2682"/>
      <c r="I386" s="2582" t="s">
        <v>2528</v>
      </c>
      <c r="J386" s="2682"/>
      <c r="K386" s="2582" t="s">
        <v>2528</v>
      </c>
      <c r="L386" s="2682"/>
      <c r="M386" s="3586" t="str">
        <f>IF(M385=$F$7,$G$2,IF(ROUNDDOWN(M385,0)=$F$2,$H$2,$G$2))</f>
        <v>　Level 1</v>
      </c>
      <c r="N386" s="2582" t="s">
        <v>2528</v>
      </c>
      <c r="O386" s="2682"/>
    </row>
    <row r="387" spans="2:16" ht="21" customHeight="1">
      <c r="B387" s="2014">
        <v>2</v>
      </c>
      <c r="C387" s="2014">
        <v>2</v>
      </c>
      <c r="D387" s="395"/>
      <c r="E387" s="28"/>
      <c r="F387" s="2702" t="str">
        <f>IF(F385=$F$7,$G$3,IF(ROUNDDOWN(F385,0)=$F$3,$H$3,$G$3))</f>
        <v>　Level 2</v>
      </c>
      <c r="G387" s="2583" t="s">
        <v>2964</v>
      </c>
      <c r="H387" s="2683"/>
      <c r="I387" s="2583" t="s">
        <v>2965</v>
      </c>
      <c r="J387" s="2683"/>
      <c r="K387" s="2583" t="s">
        <v>2966</v>
      </c>
      <c r="L387" s="2683"/>
      <c r="M387" s="3589" t="str">
        <f>IF(M385=$F$7,$G$3,IF(ROUNDDOWN(M385,0)=$F$3,$H$3,$G$3))</f>
        <v>　Level 2</v>
      </c>
      <c r="N387" s="2583" t="s">
        <v>2975</v>
      </c>
      <c r="O387" s="2683"/>
    </row>
    <row r="388" spans="2:16" ht="36" customHeight="1">
      <c r="B388" s="2014">
        <v>3</v>
      </c>
      <c r="C388" s="2014">
        <v>3</v>
      </c>
      <c r="D388" s="395"/>
      <c r="E388" s="28"/>
      <c r="F388" s="2702" t="str">
        <f>IF(F385=$F$7,$G$4,IF(ROUNDDOWN(F385,0)=$F$4,$H$4,$G$4))</f>
        <v>■Level 3</v>
      </c>
      <c r="G388" s="3927" t="s">
        <v>2967</v>
      </c>
      <c r="H388" s="3936"/>
      <c r="I388" s="3927" t="s">
        <v>2968</v>
      </c>
      <c r="J388" s="3929"/>
      <c r="K388" s="3927" t="s">
        <v>2969</v>
      </c>
      <c r="L388" s="3929"/>
      <c r="M388" s="3589" t="str">
        <f>IF(M385=$F$7,$G$4,IF(ROUNDDOWN(M385,0)=$F$4,$H$4,$G$4))</f>
        <v>■Level 3</v>
      </c>
      <c r="N388" s="3927" t="s">
        <v>2976</v>
      </c>
      <c r="O388" s="3929"/>
    </row>
    <row r="389" spans="2:16" ht="36" customHeight="1">
      <c r="B389" s="2014">
        <v>4</v>
      </c>
      <c r="C389" s="2014">
        <v>4</v>
      </c>
      <c r="D389" s="395"/>
      <c r="E389" s="28"/>
      <c r="F389" s="2702" t="str">
        <f>IF(F385=$F$7,$G$5,IF(ROUNDDOWN(F385,0)=$F$5,$H$5,$G$5))</f>
        <v>　Level 4</v>
      </c>
      <c r="G389" s="3927" t="s">
        <v>2970</v>
      </c>
      <c r="H389" s="3929"/>
      <c r="I389" s="3927" t="s">
        <v>2971</v>
      </c>
      <c r="J389" s="3929"/>
      <c r="K389" s="3927" t="s">
        <v>2967</v>
      </c>
      <c r="L389" s="3929"/>
      <c r="M389" s="3589" t="str">
        <f>IF(M385=$F$7,$G$5,IF(ROUNDDOWN(M385,0)=$F$5,$H$5,$G$5))</f>
        <v>　Level 4</v>
      </c>
      <c r="N389" s="3927" t="s">
        <v>2977</v>
      </c>
      <c r="O389" s="3929"/>
    </row>
    <row r="390" spans="2:16" ht="21" customHeight="1">
      <c r="B390" s="2014">
        <v>5</v>
      </c>
      <c r="C390" s="2014">
        <v>5</v>
      </c>
      <c r="D390" s="395"/>
      <c r="E390" s="28"/>
      <c r="F390" s="2704" t="str">
        <f>IF(F385=$F$7,$G$6,IF(ROUNDDOWN(F385,0)=$F$6,$H$6,$G$6))</f>
        <v>　Level 5</v>
      </c>
      <c r="G390" s="2584" t="s">
        <v>2972</v>
      </c>
      <c r="H390" s="2684"/>
      <c r="I390" s="2584" t="s">
        <v>2973</v>
      </c>
      <c r="J390" s="2684"/>
      <c r="K390" s="2584" t="s">
        <v>2974</v>
      </c>
      <c r="L390" s="2684"/>
      <c r="M390" s="3592" t="str">
        <f>IF(M385=$F$7,$G$6,IF(ROUNDDOWN(M385,0)=$F$6,$H$6,$G$6))</f>
        <v>　Level 5</v>
      </c>
      <c r="N390" s="2584" t="s">
        <v>2978</v>
      </c>
      <c r="O390" s="2684"/>
    </row>
    <row r="391" spans="2:16" ht="15.75">
      <c r="B391" s="2850">
        <v>0</v>
      </c>
      <c r="C391" s="2850">
        <v>0</v>
      </c>
      <c r="D391" s="395"/>
      <c r="E391" s="119"/>
      <c r="F391" s="2067" t="s">
        <v>3045</v>
      </c>
      <c r="G391" s="2708"/>
      <c r="H391" s="2759"/>
      <c r="I391" s="2709"/>
      <c r="J391" s="2710"/>
      <c r="K391" s="2711"/>
    </row>
    <row r="392" spans="2:16" ht="15.75">
      <c r="B392" s="2712"/>
      <c r="C392" s="2712"/>
      <c r="D392" s="395"/>
      <c r="E392" s="119"/>
      <c r="F392" s="1516" t="s">
        <v>2980</v>
      </c>
      <c r="G392" s="3774"/>
      <c r="H392" s="2784" t="s">
        <v>1068</v>
      </c>
      <c r="I392" s="1529"/>
      <c r="J392" s="1529"/>
      <c r="K392" s="2711"/>
    </row>
    <row r="393" spans="2:16" ht="15.75">
      <c r="B393" s="2712"/>
      <c r="C393" s="2712"/>
      <c r="D393" s="395"/>
      <c r="E393" s="119"/>
      <c r="F393" s="119"/>
      <c r="G393" s="119"/>
      <c r="H393" s="119"/>
      <c r="I393" s="119"/>
      <c r="J393" s="119"/>
      <c r="K393" s="119"/>
      <c r="L393" s="119"/>
      <c r="M393" s="119"/>
      <c r="N393" s="119"/>
      <c r="O393" s="119"/>
      <c r="P393" s="119"/>
    </row>
    <row r="394" spans="2:16" ht="15.75">
      <c r="D394" s="393">
        <v>3.3</v>
      </c>
      <c r="E394" s="13" t="s">
        <v>3385</v>
      </c>
      <c r="F394" s="13"/>
    </row>
    <row r="395" spans="2:16" ht="15.75">
      <c r="D395" s="393"/>
      <c r="E395" s="13"/>
      <c r="F395" s="396" t="s">
        <v>3583</v>
      </c>
      <c r="J395" s="1105" t="str">
        <f>IF(OR(F397=0,J396=0),$L$3,"")</f>
        <v/>
      </c>
      <c r="K395" s="396" t="s">
        <v>3584</v>
      </c>
      <c r="O395" s="1105" t="str">
        <f>IF(OR(K397=0,O396=0),$L$3,"")</f>
        <v/>
      </c>
    </row>
    <row r="396" spans="2:16" ht="16.5" thickBot="1">
      <c r="D396" s="395"/>
      <c r="E396" s="28"/>
      <c r="F396" s="2655"/>
      <c r="G396" s="2688"/>
      <c r="H396" s="2853"/>
      <c r="I396" s="2690" t="s">
        <v>2629</v>
      </c>
      <c r="J396" s="2692">
        <f>Weight!M106</f>
        <v>0.2</v>
      </c>
      <c r="K396" s="2655"/>
      <c r="L396" s="2688"/>
      <c r="M396" s="2853"/>
      <c r="N396" s="2690" t="s">
        <v>2629</v>
      </c>
      <c r="O396" s="2692">
        <f>Weight!M107</f>
        <v>0.2</v>
      </c>
    </row>
    <row r="397" spans="2:16" ht="27" customHeight="1" thickBot="1">
      <c r="D397" s="395"/>
      <c r="E397" s="28"/>
      <c r="F397" s="2693">
        <v>3</v>
      </c>
      <c r="G397" s="2753" t="s">
        <v>2618</v>
      </c>
      <c r="H397" s="2697"/>
      <c r="I397" s="2697"/>
      <c r="J397" s="2698"/>
      <c r="K397" s="2693">
        <v>3</v>
      </c>
      <c r="L397" s="2753" t="s">
        <v>2618</v>
      </c>
      <c r="M397" s="2697"/>
      <c r="N397" s="2697"/>
      <c r="O397" s="2760"/>
    </row>
    <row r="398" spans="2:16" ht="24" customHeight="1">
      <c r="B398" s="2014">
        <v>1</v>
      </c>
      <c r="C398" s="2014">
        <v>1</v>
      </c>
      <c r="D398" s="395"/>
      <c r="E398" s="28"/>
      <c r="F398" s="2699" t="str">
        <f>IF(F397=$F$7,$G$2,IF(ROUNDDOWN(F397,0)=$F$2,$H$2,$G$2))</f>
        <v>　Level 1</v>
      </c>
      <c r="G398" s="3967" t="s">
        <v>3585</v>
      </c>
      <c r="H398" s="3999"/>
      <c r="I398" s="3999"/>
      <c r="J398" s="3968"/>
      <c r="K398" s="3586" t="str">
        <f>IF(K397=$F$7,$G$2,IF(ROUNDDOWN(K397,0)=$F$2,$H$2,$G$2))</f>
        <v>　Level 1</v>
      </c>
      <c r="L398" s="3967" t="s">
        <v>3590</v>
      </c>
      <c r="M398" s="4029"/>
      <c r="N398" s="4029"/>
      <c r="O398" s="3969"/>
    </row>
    <row r="399" spans="2:16" ht="49.15" customHeight="1">
      <c r="B399" s="2014">
        <v>2</v>
      </c>
      <c r="C399" s="2014">
        <v>2</v>
      </c>
      <c r="D399" s="395"/>
      <c r="E399" s="28"/>
      <c r="F399" s="2702" t="str">
        <f>IF(F397=$F$7,$G$3,IF(ROUNDDOWN(F397,0)=$F$3,$H$3,$G$3))</f>
        <v>　Level 2</v>
      </c>
      <c r="G399" s="3927" t="s">
        <v>3586</v>
      </c>
      <c r="H399" s="3928"/>
      <c r="I399" s="3928"/>
      <c r="J399" s="3929"/>
      <c r="K399" s="3589" t="str">
        <f>IF(K397=$F$7,$G$3,IF(ROUNDDOWN(K397,0)=$F$3,$H$3,$G$3))</f>
        <v>　Level 2</v>
      </c>
      <c r="L399" s="3927" t="s">
        <v>3591</v>
      </c>
      <c r="M399" s="3928"/>
      <c r="N399" s="3928"/>
      <c r="O399" s="3929"/>
    </row>
    <row r="400" spans="2:16" ht="61.9" customHeight="1">
      <c r="B400" s="2014">
        <v>3</v>
      </c>
      <c r="C400" s="2014">
        <v>3</v>
      </c>
      <c r="D400" s="395"/>
      <c r="E400" s="28"/>
      <c r="F400" s="2702" t="str">
        <f>IF(F397=$F$7,$G$4,IF(ROUNDDOWN(F397,0)=$F$4,$H$4,$G$4))</f>
        <v>■Level 3</v>
      </c>
      <c r="G400" s="3927" t="s">
        <v>3587</v>
      </c>
      <c r="H400" s="3928"/>
      <c r="I400" s="3928"/>
      <c r="J400" s="3929"/>
      <c r="K400" s="3589" t="str">
        <f>IF(K397=$F$7,$G$4,IF(ROUNDDOWN(K397,0)=$F$4,$H$4,$G$4))</f>
        <v>■Level 3</v>
      </c>
      <c r="L400" s="3927" t="s">
        <v>3592</v>
      </c>
      <c r="M400" s="3928"/>
      <c r="N400" s="3928"/>
      <c r="O400" s="3929"/>
    </row>
    <row r="401" spans="2:20" ht="48.6" customHeight="1">
      <c r="B401" s="2014">
        <v>4</v>
      </c>
      <c r="C401" s="2014">
        <v>4</v>
      </c>
      <c r="D401" s="395"/>
      <c r="E401" s="28"/>
      <c r="F401" s="2702" t="str">
        <f>IF(F397=$F$7,$G$5,IF(ROUNDDOWN(F397,0)=$F$5,$H$5,$G$5))</f>
        <v>　Level 4</v>
      </c>
      <c r="G401" s="3927" t="s">
        <v>3588</v>
      </c>
      <c r="H401" s="3928"/>
      <c r="I401" s="3928"/>
      <c r="J401" s="3929"/>
      <c r="K401" s="3589" t="str">
        <f>IF(K397=$F$7,$G$5,IF(ROUNDDOWN(K397,0)=$F$5,$H$5,$G$5))</f>
        <v>　Level 4</v>
      </c>
      <c r="L401" s="3927" t="s">
        <v>3593</v>
      </c>
      <c r="M401" s="3928"/>
      <c r="N401" s="3928"/>
      <c r="O401" s="3929"/>
    </row>
    <row r="402" spans="2:20" ht="34.5" customHeight="1">
      <c r="B402" s="2014">
        <v>5</v>
      </c>
      <c r="C402" s="2014">
        <v>5</v>
      </c>
      <c r="D402" s="395"/>
      <c r="E402" s="28"/>
      <c r="F402" s="2704" t="str">
        <f>IF(F397=$F$7,$G$6,IF(ROUNDDOWN(F397,0)=$F$6,$H$6,$G$6))</f>
        <v>　Level 5</v>
      </c>
      <c r="G402" s="3930" t="s">
        <v>3589</v>
      </c>
      <c r="H402" s="3931"/>
      <c r="I402" s="3931"/>
      <c r="J402" s="3932"/>
      <c r="K402" s="3592" t="str">
        <f>IF(K397=$F$7,$G$6,IF(ROUNDDOWN(K397,0)=$F$6,$H$6,$G$6))</f>
        <v>　Level 5</v>
      </c>
      <c r="L402" s="3930" t="s">
        <v>3594</v>
      </c>
      <c r="M402" s="3931"/>
      <c r="N402" s="3931"/>
      <c r="O402" s="3932"/>
    </row>
    <row r="403" spans="2:20" ht="15.75">
      <c r="B403" s="2850">
        <v>0</v>
      </c>
      <c r="C403" s="2850">
        <v>0</v>
      </c>
      <c r="D403" s="395"/>
      <c r="E403" s="2763"/>
      <c r="F403" s="2067" t="s">
        <v>3045</v>
      </c>
      <c r="G403" s="2708"/>
      <c r="H403" s="2759"/>
      <c r="I403" s="2709"/>
      <c r="J403" s="2710"/>
      <c r="K403" s="2067" t="s">
        <v>3045</v>
      </c>
      <c r="L403" s="2708"/>
      <c r="M403" s="2759"/>
      <c r="N403" s="2709"/>
      <c r="O403" s="2710"/>
      <c r="P403" s="1516"/>
    </row>
    <row r="404" spans="2:20" ht="15.75">
      <c r="B404" s="2712"/>
      <c r="C404" s="2712"/>
      <c r="D404" s="395"/>
      <c r="E404" s="2763"/>
      <c r="P404" s="2711"/>
    </row>
    <row r="405" spans="2:20" ht="15.75">
      <c r="D405" s="395"/>
      <c r="E405" s="2763"/>
      <c r="F405" s="396" t="s">
        <v>3595</v>
      </c>
      <c r="J405" s="1105" t="str">
        <f>IF(OR(F407=0,J406=0),$L$3,"")</f>
        <v/>
      </c>
      <c r="K405" s="396" t="s">
        <v>3596</v>
      </c>
      <c r="O405" s="1105" t="str">
        <f>IF(OR(K407=0,O406=0),$L$3,"")</f>
        <v/>
      </c>
    </row>
    <row r="406" spans="2:20" ht="16.5" thickBot="1">
      <c r="D406" s="395"/>
      <c r="E406" s="2763"/>
      <c r="F406" s="2655"/>
      <c r="G406" s="2688"/>
      <c r="H406" s="2853"/>
      <c r="I406" s="2690" t="s">
        <v>2629</v>
      </c>
      <c r="J406" s="2692">
        <f>Weight!M108</f>
        <v>0.1</v>
      </c>
      <c r="K406" s="2655"/>
      <c r="L406" s="2688"/>
      <c r="M406" s="2853"/>
      <c r="N406" s="2690" t="s">
        <v>2629</v>
      </c>
      <c r="O406" s="2692">
        <f>Weight!M109</f>
        <v>0.1</v>
      </c>
    </row>
    <row r="407" spans="2:20" ht="27" customHeight="1" thickBot="1">
      <c r="D407" s="395"/>
      <c r="E407" s="2763"/>
      <c r="F407" s="2693">
        <v>3</v>
      </c>
      <c r="G407" s="2753" t="s">
        <v>2618</v>
      </c>
      <c r="H407" s="2697"/>
      <c r="I407" s="2697"/>
      <c r="J407" s="2698"/>
      <c r="K407" s="2693">
        <v>3</v>
      </c>
      <c r="L407" s="2753" t="s">
        <v>2618</v>
      </c>
      <c r="M407" s="2697"/>
      <c r="N407" s="2697"/>
      <c r="O407" s="2760"/>
    </row>
    <row r="408" spans="2:20" ht="24.6" customHeight="1">
      <c r="B408" s="2014">
        <v>1</v>
      </c>
      <c r="C408" s="2014">
        <v>1</v>
      </c>
      <c r="D408" s="395"/>
      <c r="E408" s="2763"/>
      <c r="F408" s="2699" t="str">
        <f>IF(F407=$F$7,$G$2,IF(ROUNDDOWN(F407,0)=$F$2,$H$2,$G$2))</f>
        <v>　Level 1</v>
      </c>
      <c r="G408" s="3967" t="s">
        <v>3597</v>
      </c>
      <c r="H408" s="4029"/>
      <c r="I408" s="4029"/>
      <c r="J408" s="3969"/>
      <c r="K408" s="3586" t="str">
        <f>IF(K407=$F$7,$G$2,IF(ROUNDDOWN(K407,0)=$F$2,$H$2,$G$2))</f>
        <v>　Level 1</v>
      </c>
      <c r="L408" s="3967" t="s">
        <v>3600</v>
      </c>
      <c r="M408" s="4029"/>
      <c r="N408" s="4029"/>
      <c r="O408" s="3969"/>
    </row>
    <row r="409" spans="2:20" ht="21" customHeight="1">
      <c r="B409" s="2014" t="s">
        <v>358</v>
      </c>
      <c r="C409" s="2014" t="s">
        <v>358</v>
      </c>
      <c r="D409" s="395"/>
      <c r="E409" s="2763"/>
      <c r="F409" s="2702" t="str">
        <f>IF(F407=$F$7,$G$3,IF(ROUNDDOWN(F407,0)=$F$3,$H$3,$G$3))</f>
        <v>　Level 2</v>
      </c>
      <c r="G409" s="2627" t="s">
        <v>2528</v>
      </c>
      <c r="H409" s="2668"/>
      <c r="I409" s="2668"/>
      <c r="J409" s="2683"/>
      <c r="K409" s="3589" t="str">
        <f>IF(K407=$F$7,$G$3,IF(ROUNDDOWN(K407,0)=$F$3,$H$3,$G$3))</f>
        <v>　Level 2</v>
      </c>
      <c r="L409" s="2627" t="s">
        <v>2528</v>
      </c>
      <c r="M409" s="2668"/>
      <c r="N409" s="2668"/>
      <c r="O409" s="2683"/>
    </row>
    <row r="410" spans="2:20" ht="25.9" customHeight="1">
      <c r="B410" s="2014">
        <v>3</v>
      </c>
      <c r="C410" s="2014">
        <v>3</v>
      </c>
      <c r="D410" s="395"/>
      <c r="E410" s="2763"/>
      <c r="F410" s="2702" t="str">
        <f>IF(F407=$F$7,$G$4,IF(ROUNDDOWN(F407,0)=$F$4,$H$4,$G$4))</f>
        <v>■Level 3</v>
      </c>
      <c r="G410" s="3927" t="s">
        <v>3598</v>
      </c>
      <c r="H410" s="3928"/>
      <c r="I410" s="3928"/>
      <c r="J410" s="3929"/>
      <c r="K410" s="3589" t="str">
        <f>IF(K407=$F$7,$G$4,IF(ROUNDDOWN(K407,0)=$F$4,$H$4,$G$4))</f>
        <v>■Level 3</v>
      </c>
      <c r="L410" s="3927" t="s">
        <v>3601</v>
      </c>
      <c r="M410" s="3928"/>
      <c r="N410" s="3928"/>
      <c r="O410" s="3929"/>
    </row>
    <row r="411" spans="2:20" ht="21" customHeight="1">
      <c r="B411" s="2014" t="s">
        <v>358</v>
      </c>
      <c r="C411" s="2014" t="s">
        <v>358</v>
      </c>
      <c r="D411" s="395"/>
      <c r="E411" s="2763" t="s">
        <v>17</v>
      </c>
      <c r="F411" s="2702" t="str">
        <f>IF(F407=$F$7,$G$5,IF(ROUNDDOWN(F407,0)=$F$5,$H$5,$G$5))</f>
        <v>　Level 4</v>
      </c>
      <c r="G411" s="2627" t="s">
        <v>2528</v>
      </c>
      <c r="H411" s="2668"/>
      <c r="I411" s="2668"/>
      <c r="J411" s="2683"/>
      <c r="K411" s="3589" t="str">
        <f>IF(K407=$F$7,$G$5,IF(ROUNDDOWN(K407,0)=$F$5,$H$5,$G$5))</f>
        <v>　Level 4</v>
      </c>
      <c r="L411" s="2627" t="s">
        <v>2528</v>
      </c>
      <c r="M411" s="2668"/>
      <c r="N411" s="2668"/>
      <c r="O411" s="2683"/>
    </row>
    <row r="412" spans="2:20" ht="37.15" customHeight="1">
      <c r="B412" s="2014">
        <v>5</v>
      </c>
      <c r="C412" s="2014">
        <v>5</v>
      </c>
      <c r="D412" s="395"/>
      <c r="E412" s="2763"/>
      <c r="F412" s="2704" t="str">
        <f>IF(F407=$F$7,$G$6,IF(ROUNDDOWN(F407,0)=$F$6,$H$6,$G$6))</f>
        <v>　Level 5</v>
      </c>
      <c r="G412" s="3930" t="s">
        <v>3599</v>
      </c>
      <c r="H412" s="3931"/>
      <c r="I412" s="3931"/>
      <c r="J412" s="3932"/>
      <c r="K412" s="3592" t="str">
        <f>IF(K407=$F$7,$G$6,IF(ROUNDDOWN(K407,0)=$F$6,$H$6,$G$6))</f>
        <v>　Level 5</v>
      </c>
      <c r="L412" s="3930" t="s">
        <v>3602</v>
      </c>
      <c r="M412" s="3931"/>
      <c r="N412" s="3931"/>
      <c r="O412" s="3932"/>
    </row>
    <row r="413" spans="2:20" ht="15.75">
      <c r="B413" s="2850">
        <v>0</v>
      </c>
      <c r="C413" s="2850">
        <v>0</v>
      </c>
      <c r="D413" s="395"/>
      <c r="E413" s="2763"/>
      <c r="F413" s="2067" t="s">
        <v>3045</v>
      </c>
      <c r="G413" s="2708"/>
      <c r="H413" s="2759"/>
      <c r="I413" s="2709"/>
      <c r="J413" s="2710"/>
      <c r="K413" s="2067" t="s">
        <v>3045</v>
      </c>
      <c r="L413" s="2708"/>
      <c r="M413" s="2759"/>
      <c r="N413" s="2709"/>
      <c r="O413" s="2710"/>
      <c r="P413" s="1516"/>
    </row>
    <row r="414" spans="2:20" ht="15.75">
      <c r="B414" s="2712"/>
      <c r="C414" s="2712"/>
      <c r="D414" s="395"/>
      <c r="E414" s="395"/>
      <c r="F414" s="395"/>
      <c r="G414" s="395"/>
      <c r="H414" s="395"/>
      <c r="I414" s="395"/>
      <c r="J414" s="395"/>
      <c r="K414" s="395"/>
      <c r="L414" s="395"/>
      <c r="M414" s="395"/>
      <c r="N414" s="395"/>
      <c r="O414" s="395"/>
      <c r="P414" s="395"/>
      <c r="Q414" s="395"/>
      <c r="R414" s="395"/>
      <c r="S414" s="395"/>
      <c r="T414" s="395"/>
    </row>
    <row r="415" spans="2:20" ht="15.75">
      <c r="D415" s="395"/>
      <c r="E415" s="2763"/>
      <c r="F415" s="396" t="s">
        <v>3603</v>
      </c>
      <c r="J415" s="1105" t="str">
        <f>IF(OR(F417=0,J416=0),$L$3,"")</f>
        <v/>
      </c>
      <c r="K415" s="396" t="s">
        <v>3604</v>
      </c>
      <c r="O415" s="1105" t="str">
        <f>IF(OR(K417=0,O416=0),$L$3,"")</f>
        <v/>
      </c>
    </row>
    <row r="416" spans="2:20" ht="16.5" thickBot="1">
      <c r="D416" s="395"/>
      <c r="E416" s="2763"/>
      <c r="F416" s="2655"/>
      <c r="G416" s="2688"/>
      <c r="H416" s="2853"/>
      <c r="I416" s="2690" t="s">
        <v>2629</v>
      </c>
      <c r="J416" s="2692">
        <f>Weight!M110</f>
        <v>0.2</v>
      </c>
      <c r="K416" s="2655"/>
      <c r="L416" s="2688"/>
      <c r="M416" s="2853"/>
      <c r="N416" s="2690" t="s">
        <v>2629</v>
      </c>
      <c r="O416" s="2692">
        <f>Weight!M111</f>
        <v>0.2</v>
      </c>
    </row>
    <row r="417" spans="2:16" ht="27" customHeight="1" thickBot="1">
      <c r="D417" s="395"/>
      <c r="E417" s="2763"/>
      <c r="F417" s="2693">
        <v>3</v>
      </c>
      <c r="G417" s="2753" t="s">
        <v>2618</v>
      </c>
      <c r="H417" s="2697"/>
      <c r="I417" s="2697"/>
      <c r="J417" s="2698"/>
      <c r="K417" s="2693">
        <v>3</v>
      </c>
      <c r="L417" s="2753" t="s">
        <v>2618</v>
      </c>
      <c r="M417" s="2697"/>
      <c r="N417" s="2697"/>
      <c r="O417" s="2760"/>
    </row>
    <row r="418" spans="2:16" ht="46.15" customHeight="1">
      <c r="B418" s="2014">
        <v>1</v>
      </c>
      <c r="C418" s="2014" t="s">
        <v>358</v>
      </c>
      <c r="D418" s="395"/>
      <c r="E418" s="32" t="str">
        <f>IF(AND(D420="対象外",H419&gt;0.001),"★入力エラー：レベル１～５を選択し直してください！","")</f>
        <v/>
      </c>
      <c r="F418" s="2699" t="str">
        <f>IF(F417=$F$7,$G$2,IF(ROUNDDOWN(F417,0)=$F$2,$H$2,$G$2))</f>
        <v>　Level 1</v>
      </c>
      <c r="G418" s="3967" t="s">
        <v>3605</v>
      </c>
      <c r="H418" s="4029"/>
      <c r="I418" s="4029"/>
      <c r="J418" s="3969"/>
      <c r="K418" s="3586" t="str">
        <f>IF(K417=$F$7,$G$2,IF(ROUNDDOWN(K417,0)=$F$2,$H$2,$G$2))</f>
        <v>　Level 1</v>
      </c>
      <c r="L418" s="2582" t="s">
        <v>2528</v>
      </c>
      <c r="M418" s="2667"/>
      <c r="N418" s="2667"/>
      <c r="O418" s="2682"/>
    </row>
    <row r="419" spans="2:16" ht="21" customHeight="1">
      <c r="B419" s="2014" t="s">
        <v>358</v>
      </c>
      <c r="C419" s="2014" t="s">
        <v>358</v>
      </c>
      <c r="D419" s="395"/>
      <c r="E419" s="2763"/>
      <c r="F419" s="2702" t="str">
        <f>IF(F417=$F$7,$G$3,IF(ROUNDDOWN(F417,0)=$F$3,$H$3,$G$3))</f>
        <v>　Level 2</v>
      </c>
      <c r="G419" s="2627" t="s">
        <v>2528</v>
      </c>
      <c r="H419" s="2668"/>
      <c r="I419" s="2668"/>
      <c r="J419" s="2683"/>
      <c r="K419" s="3589" t="str">
        <f>IF(K417=$F$7,$G$3,IF(ROUNDDOWN(K417,0)=$F$3,$H$3,$G$3))</f>
        <v>　Level 2</v>
      </c>
      <c r="L419" s="2627" t="s">
        <v>2528</v>
      </c>
      <c r="M419" s="2668"/>
      <c r="N419" s="2668"/>
      <c r="O419" s="2683"/>
    </row>
    <row r="420" spans="2:16" ht="49.15" customHeight="1">
      <c r="B420" s="2014">
        <v>3</v>
      </c>
      <c r="C420" s="2014">
        <v>3</v>
      </c>
      <c r="D420" s="395"/>
      <c r="E420" s="2763"/>
      <c r="F420" s="2702" t="str">
        <f>IF(F417=$F$7,$G$4,IF(ROUNDDOWN(F417,0)=$F$4,$H$4,$G$4))</f>
        <v>■Level 3</v>
      </c>
      <c r="G420" s="3927" t="s">
        <v>3606</v>
      </c>
      <c r="H420" s="3928"/>
      <c r="I420" s="3928"/>
      <c r="J420" s="3929"/>
      <c r="K420" s="3589" t="str">
        <f>IF(K417=$F$7,$G$4,IF(ROUNDDOWN(K417,0)=$F$4,$H$4,$G$4))</f>
        <v>■Level 3</v>
      </c>
      <c r="L420" s="4073" t="s">
        <v>3609</v>
      </c>
      <c r="M420" s="4074"/>
      <c r="N420" s="4074"/>
      <c r="O420" s="4075"/>
    </row>
    <row r="421" spans="2:16" ht="45.6" customHeight="1">
      <c r="B421" s="2014">
        <v>4</v>
      </c>
      <c r="C421" s="2014">
        <v>4</v>
      </c>
      <c r="D421" s="395"/>
      <c r="E421" s="2763"/>
      <c r="F421" s="2702" t="str">
        <f>IF(F417=$F$7,$G$5,IF(ROUNDDOWN(F417,0)=$F$5,$H$5,$G$5))</f>
        <v>　Level 4</v>
      </c>
      <c r="G421" s="3927" t="s">
        <v>3607</v>
      </c>
      <c r="H421" s="3928"/>
      <c r="I421" s="3928"/>
      <c r="J421" s="3929"/>
      <c r="K421" s="3589" t="str">
        <f>IF(K417=$F$7,$G$5,IF(ROUNDDOWN(K417,0)=$F$5,$H$5,$G$5))</f>
        <v>　Level 4</v>
      </c>
      <c r="L421" s="4073" t="s">
        <v>3610</v>
      </c>
      <c r="M421" s="4076"/>
      <c r="N421" s="4076"/>
      <c r="O421" s="4077"/>
    </row>
    <row r="422" spans="2:16" ht="49.9" customHeight="1">
      <c r="B422" s="2014">
        <v>5</v>
      </c>
      <c r="C422" s="2014" t="s">
        <v>358</v>
      </c>
      <c r="D422" s="395"/>
      <c r="E422" s="2763"/>
      <c r="F422" s="2704" t="str">
        <f>IF(F417=$F$7,$G$6,IF(ROUNDDOWN(F417,0)=$F$6,$H$6,$G$6))</f>
        <v>　Level 5</v>
      </c>
      <c r="G422" s="3930" t="s">
        <v>3608</v>
      </c>
      <c r="H422" s="3931"/>
      <c r="I422" s="3931"/>
      <c r="J422" s="3932"/>
      <c r="K422" s="3592" t="str">
        <f>IF(K417=$F$7,$G$6,IF(ROUNDDOWN(K417,0)=$F$6,$H$6,$G$6))</f>
        <v>　Level 5</v>
      </c>
      <c r="L422" s="2628" t="s">
        <v>2528</v>
      </c>
      <c r="M422" s="3186"/>
      <c r="N422" s="3186"/>
      <c r="O422" s="2684"/>
    </row>
    <row r="423" spans="2:16">
      <c r="B423" s="2850">
        <v>0</v>
      </c>
      <c r="C423" s="2850">
        <v>0</v>
      </c>
      <c r="F423" s="2067" t="s">
        <v>3045</v>
      </c>
      <c r="G423" s="2708"/>
      <c r="H423" s="2759"/>
      <c r="I423" s="2709"/>
      <c r="J423" s="2710"/>
      <c r="K423" s="2067" t="s">
        <v>3045</v>
      </c>
      <c r="L423" s="2708"/>
      <c r="M423" s="2759"/>
      <c r="N423" s="2709"/>
      <c r="O423" s="2710"/>
      <c r="P423" s="1516"/>
    </row>
    <row r="424" spans="2:16" ht="13.5" hidden="1" customHeight="1"/>
    <row r="425" spans="2:16" ht="13.5" hidden="1" customHeight="1"/>
    <row r="426" spans="2:16" ht="13.5" hidden="1" customHeight="1"/>
    <row r="427" spans="2:16"/>
    <row r="428" spans="2:16"/>
  </sheetData>
  <sheetProtection algorithmName="SHA-512" hashValue="WF1DAp7TSHzAxjeghrCeQGfi30XCRn3mSiksvPGDCsc6mXFxDnsaeYINR9f4A19GIDFMmdtZ5McfwmCgAwwaUQ==" saltValue="lKhSr5dOn6wIVtLMC0iOuA==" spinCount="100000" sheet="1" objects="1" scenarios="1"/>
  <mergeCells count="176">
    <mergeCell ref="F206:I206"/>
    <mergeCell ref="K206:N206"/>
    <mergeCell ref="K239:N239"/>
    <mergeCell ref="L420:O420"/>
    <mergeCell ref="L421:O421"/>
    <mergeCell ref="L366:M366"/>
    <mergeCell ref="N365:O365"/>
    <mergeCell ref="N366:O366"/>
    <mergeCell ref="G364:H364"/>
    <mergeCell ref="G365:H365"/>
    <mergeCell ref="G366:H366"/>
    <mergeCell ref="I364:J364"/>
    <mergeCell ref="I365:J365"/>
    <mergeCell ref="I366:J366"/>
    <mergeCell ref="G412:J412"/>
    <mergeCell ref="G420:J420"/>
    <mergeCell ref="G421:J421"/>
    <mergeCell ref="K389:L389"/>
    <mergeCell ref="G398:J398"/>
    <mergeCell ref="L398:O398"/>
    <mergeCell ref="L399:O399"/>
    <mergeCell ref="L401:O401"/>
    <mergeCell ref="L402:O402"/>
    <mergeCell ref="G408:J408"/>
    <mergeCell ref="H303:O303"/>
    <mergeCell ref="H302:O302"/>
    <mergeCell ref="H304:O304"/>
    <mergeCell ref="H307:O307"/>
    <mergeCell ref="G317:J317"/>
    <mergeCell ref="K317:N317"/>
    <mergeCell ref="H350:O350"/>
    <mergeCell ref="H353:O353"/>
    <mergeCell ref="N364:O364"/>
    <mergeCell ref="L364:M364"/>
    <mergeCell ref="G334:O334"/>
    <mergeCell ref="G335:O335"/>
    <mergeCell ref="G336:O336"/>
    <mergeCell ref="H352:O352"/>
    <mergeCell ref="I362:J362"/>
    <mergeCell ref="H324:O324"/>
    <mergeCell ref="G90:O90"/>
    <mergeCell ref="G91:O91"/>
    <mergeCell ref="I226:J226"/>
    <mergeCell ref="G244:J244"/>
    <mergeCell ref="G245:J245"/>
    <mergeCell ref="G277:I277"/>
    <mergeCell ref="J277:L277"/>
    <mergeCell ref="M278:O278"/>
    <mergeCell ref="M279:O279"/>
    <mergeCell ref="J279:L279"/>
    <mergeCell ref="G279:I279"/>
    <mergeCell ref="G278:I278"/>
    <mergeCell ref="G222:J222"/>
    <mergeCell ref="G223:J223"/>
    <mergeCell ref="G224:J224"/>
    <mergeCell ref="G246:J246"/>
    <mergeCell ref="G232:H232"/>
    <mergeCell ref="G234:H234"/>
    <mergeCell ref="I232:J232"/>
    <mergeCell ref="I234:J234"/>
    <mergeCell ref="L234:O234"/>
    <mergeCell ref="I213:J213"/>
    <mergeCell ref="L149:O149"/>
    <mergeCell ref="G212:H212"/>
    <mergeCell ref="L412:O412"/>
    <mergeCell ref="G402:J402"/>
    <mergeCell ref="L400:O400"/>
    <mergeCell ref="N388:O388"/>
    <mergeCell ref="N389:O389"/>
    <mergeCell ref="L365:M365"/>
    <mergeCell ref="G399:J399"/>
    <mergeCell ref="G400:J400"/>
    <mergeCell ref="G401:J401"/>
    <mergeCell ref="G388:H388"/>
    <mergeCell ref="G389:H389"/>
    <mergeCell ref="I388:J388"/>
    <mergeCell ref="I389:J389"/>
    <mergeCell ref="K388:L388"/>
    <mergeCell ref="G410:J410"/>
    <mergeCell ref="L408:O408"/>
    <mergeCell ref="L410:O410"/>
    <mergeCell ref="H284:O284"/>
    <mergeCell ref="H286:O286"/>
    <mergeCell ref="H287:O287"/>
    <mergeCell ref="G297:J297"/>
    <mergeCell ref="K297:N297"/>
    <mergeCell ref="H301:O301"/>
    <mergeCell ref="L29:O29"/>
    <mergeCell ref="L30:O30"/>
    <mergeCell ref="L31:O31"/>
    <mergeCell ref="G40:J40"/>
    <mergeCell ref="G41:J41"/>
    <mergeCell ref="G42:J42"/>
    <mergeCell ref="K40:N40"/>
    <mergeCell ref="K41:N41"/>
    <mergeCell ref="K42:N42"/>
    <mergeCell ref="M37:N37"/>
    <mergeCell ref="K37:L37"/>
    <mergeCell ref="H77:J77"/>
    <mergeCell ref="H78:J78"/>
    <mergeCell ref="H79:J79"/>
    <mergeCell ref="H80:J80"/>
    <mergeCell ref="M77:O77"/>
    <mergeCell ref="M78:O78"/>
    <mergeCell ref="M79:O79"/>
    <mergeCell ref="N18:O18"/>
    <mergeCell ref="N19:O19"/>
    <mergeCell ref="N20:O20"/>
    <mergeCell ref="G28:J28"/>
    <mergeCell ref="G29:J29"/>
    <mergeCell ref="G18:H18"/>
    <mergeCell ref="G19:H19"/>
    <mergeCell ref="G20:H20"/>
    <mergeCell ref="L18:M18"/>
    <mergeCell ref="L20:M20"/>
    <mergeCell ref="M80:O80"/>
    <mergeCell ref="I51:J51"/>
    <mergeCell ref="I52:J52"/>
    <mergeCell ref="I53:J53"/>
    <mergeCell ref="G30:J30"/>
    <mergeCell ref="G31:J31"/>
    <mergeCell ref="L28:O28"/>
    <mergeCell ref="L212:O212"/>
    <mergeCell ref="L150:O150"/>
    <mergeCell ref="L152:O152"/>
    <mergeCell ref="L153:O153"/>
    <mergeCell ref="G208:H208"/>
    <mergeCell ref="G137:M137"/>
    <mergeCell ref="I99:O99"/>
    <mergeCell ref="H144:K144"/>
    <mergeCell ref="H145:K145"/>
    <mergeCell ref="G51:H51"/>
    <mergeCell ref="G52:H52"/>
    <mergeCell ref="G53:H53"/>
    <mergeCell ref="N51:O51"/>
    <mergeCell ref="N52:O52"/>
    <mergeCell ref="N53:O53"/>
    <mergeCell ref="I210:J210"/>
    <mergeCell ref="I211:J211"/>
    <mergeCell ref="G422:J422"/>
    <mergeCell ref="G418:J418"/>
    <mergeCell ref="I102:O102"/>
    <mergeCell ref="N133:O137"/>
    <mergeCell ref="H141:K141"/>
    <mergeCell ref="H142:K142"/>
    <mergeCell ref="H143:K143"/>
    <mergeCell ref="G211:H211"/>
    <mergeCell ref="L143:O143"/>
    <mergeCell ref="L144:O144"/>
    <mergeCell ref="L145:O145"/>
    <mergeCell ref="L147:O147"/>
    <mergeCell ref="L148:O148"/>
    <mergeCell ref="H147:K147"/>
    <mergeCell ref="H148:K148"/>
    <mergeCell ref="H150:K150"/>
    <mergeCell ref="H152:K152"/>
    <mergeCell ref="H153:K153"/>
    <mergeCell ref="L235:O235"/>
    <mergeCell ref="G213:H213"/>
    <mergeCell ref="K228:N228"/>
    <mergeCell ref="K217:N217"/>
    <mergeCell ref="F228:I228"/>
    <mergeCell ref="F239:I239"/>
    <mergeCell ref="H149:K149"/>
    <mergeCell ref="L142:O142"/>
    <mergeCell ref="H151:K151"/>
    <mergeCell ref="L151:O151"/>
    <mergeCell ref="I101:O101"/>
    <mergeCell ref="I103:O103"/>
    <mergeCell ref="I105:O105"/>
    <mergeCell ref="G136:M136"/>
    <mergeCell ref="G135:M135"/>
    <mergeCell ref="G134:M134"/>
    <mergeCell ref="H140:K140"/>
    <mergeCell ref="L140:O140"/>
    <mergeCell ref="H146:K146"/>
  </mergeCells>
  <phoneticPr fontId="26"/>
  <conditionalFormatting sqref="F15 F26 F37 F48 F58 F208 F230 F241 F253 F263 F331 F362 F373 F385 F397 F407 F417 K407 K417">
    <cfRule type="expression" dxfId="59" priority="83" stopIfTrue="1">
      <formula>$J14&gt;0</formula>
    </cfRule>
  </conditionalFormatting>
  <conditionalFormatting sqref="F15 F26 F37 F48 F58 F208 F230 F241 F253 F263 F331 F362 F373 F385 F397 F407 F417">
    <cfRule type="expression" dxfId="58" priority="82" stopIfTrue="1">
      <formula>AND(OR(F15&lt;1,F15&gt;5),F15&lt;&gt;0)</formula>
    </cfRule>
  </conditionalFormatting>
  <conditionalFormatting sqref="F219">
    <cfRule type="expression" dxfId="57" priority="1" stopIfTrue="1">
      <formula>AND(OR(F219&lt;1,F219&gt;5),F219&lt;&gt;0)</formula>
    </cfRule>
    <cfRule type="expression" dxfId="56" priority="2" stopIfTrue="1">
      <formula>$J218&gt;0</formula>
    </cfRule>
  </conditionalFormatting>
  <conditionalFormatting sqref="G77:G80">
    <cfRule type="expression" dxfId="55" priority="418" stopIfTrue="1">
      <formula>$J$67&gt;0</formula>
    </cfRule>
  </conditionalFormatting>
  <conditionalFormatting sqref="K15 K26 M48 K208 K219 K230 K241 K253 K362 K373 M385 K397">
    <cfRule type="expression" dxfId="54" priority="76" stopIfTrue="1">
      <formula>AND(OR(K15&lt;1,K15&gt;5),K15&lt;&gt;0)</formula>
    </cfRule>
    <cfRule type="expression" dxfId="53" priority="77" stopIfTrue="1">
      <formula>$O14&gt;0</formula>
    </cfRule>
  </conditionalFormatting>
  <conditionalFormatting sqref="L77:L80">
    <cfRule type="expression" dxfId="52" priority="191" stopIfTrue="1">
      <formula>$O$67&gt;0</formula>
    </cfRule>
  </conditionalFormatting>
  <dataValidations count="9">
    <dataValidation type="list" allowBlank="1" showInputMessage="1" sqref="K15 K26 M48 K208 K219 K230 K241 K253 K362 K373 M385 K397 K407 K417" xr:uid="{00000000-0002-0000-0A00-000000000000}">
      <formula1>$C16:$C21</formula1>
    </dataValidation>
    <dataValidation type="list" allowBlank="1" showInputMessage="1" sqref="F15 F26 F37 F48 F58 F230 F208 F241 F362 F373 F385 F397 F407 F417 F331 F263 F253 F219" xr:uid="{00000000-0002-0000-0A00-000001000000}">
      <formula1>$B16:$B21</formula1>
    </dataValidation>
    <dataValidation type="list" allowBlank="1" showInputMessage="1" showErrorMessage="1" sqref="G193 G199 G196" xr:uid="{00000000-0002-0000-0A00-000002000000}">
      <formula1>"0,-1"</formula1>
    </dataValidation>
    <dataValidation type="list" allowBlank="1" showInputMessage="1" showErrorMessage="1" sqref="G168:G170 G116 G118 G165:G166 G161 G126:G127 G113 G200 G197 G194:G195" xr:uid="{00000000-0002-0000-0A00-000003000000}">
      <formula1>"0,1"</formula1>
    </dataValidation>
    <dataValidation type="list" allowBlank="1" showInputMessage="1" showErrorMessage="1" sqref="G114 G122:G124 G112 G162:G163" xr:uid="{00000000-0002-0000-0A00-000004000000}">
      <formula1>"0,3"</formula1>
    </dataValidation>
    <dataValidation type="list" allowBlank="1" showInputMessage="1" showErrorMessage="1" sqref="G125 G115 G117 G167 G164 G171" xr:uid="{00000000-0002-0000-0A00-000005000000}">
      <formula1>"0,2"</formula1>
    </dataValidation>
    <dataValidation type="list" allowBlank="1" showInputMessage="1" showErrorMessage="1" sqref="G141:G153 G77:G80 L77:L80 G95:G107" xr:uid="{00000000-0002-0000-0A00-000007000000}">
      <formula1>$M$2:$M$3</formula1>
    </dataValidation>
    <dataValidation type="list" allowBlank="1" showInputMessage="1" showErrorMessage="1" sqref="G321:G326 G283:G287 G301:G307 G350:G355" xr:uid="{00000000-0002-0000-0A00-000008000000}">
      <formula1>$M$3:$M$4</formula1>
    </dataValidation>
    <dataValidation type="list" allowBlank="1" showInputMessage="1" showErrorMessage="1" sqref="I159:K159" xr:uid="{00000000-0002-0000-0A00-000009000000}">
      <formula1>$V$9:$V$10</formula1>
    </dataValidation>
  </dataValidations>
  <printOptions horizontalCentered="1"/>
  <pageMargins left="0.59055118110236227" right="0.59055118110236227" top="0.78740157480314965" bottom="0.59055118110236227" header="0.51181102362204722" footer="0.51181102362204722"/>
  <pageSetup paperSize="9" scale="79" fitToHeight="0" orientation="portrait" verticalDpi="4294967293" r:id="rId1"/>
  <headerFooter alignWithMargins="0">
    <oddHeader>&amp;L&amp;F&amp;R&amp;A</oddHeader>
    <oddFooter>&amp;C&amp;P/&amp;N</oddFooter>
  </headerFooter>
  <rowBreaks count="11" manualBreakCount="11">
    <brk id="34" min="2" max="15" man="1"/>
    <brk id="64" min="2" max="15" man="1"/>
    <brk id="82" min="2" max="15" man="1"/>
    <brk id="129" min="2" max="15" man="1"/>
    <brk id="203" min="2" max="15" man="1"/>
    <brk id="227" min="2" max="15" man="1"/>
    <brk id="270" min="2" max="15" man="1"/>
    <brk id="309" min="2" max="15" man="1"/>
    <brk id="338" min="2" max="15" man="1"/>
    <brk id="382" min="2" max="15" man="1"/>
    <brk id="414" min="2" max="15" man="1"/>
  </rowBreak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9">
    <pageSetUpPr autoPageBreaks="0" fitToPage="1"/>
  </sheetPr>
  <dimension ref="A1:U333"/>
  <sheetViews>
    <sheetView showGridLines="0" zoomScaleNormal="100" workbookViewId="0">
      <selection activeCell="G19" sqref="G19"/>
    </sheetView>
  </sheetViews>
  <sheetFormatPr defaultColWidth="0" defaultRowHeight="14.25" zeroHeight="1"/>
  <cols>
    <col min="1" max="1" width="2.625" style="1105" customWidth="1"/>
    <col min="2" max="3" width="4.625" style="1105" hidden="1" customWidth="1"/>
    <col min="4" max="4" width="5" style="2687" customWidth="1"/>
    <col min="5" max="5" width="1.5" style="1105" customWidth="1"/>
    <col min="6" max="15" width="10.625" style="1105" customWidth="1"/>
    <col min="16" max="16" width="1.75" style="1105" customWidth="1"/>
    <col min="17" max="17" width="10.125" style="1105" hidden="1" customWidth="1"/>
    <col min="18" max="18" width="16.25" style="1105" hidden="1" customWidth="1"/>
    <col min="19" max="19" width="6.75" style="1105" hidden="1" customWidth="1"/>
    <col min="20" max="20" width="10.25" style="1105" hidden="1" customWidth="1"/>
    <col min="21" max="21" width="13" style="1105" hidden="1" customWidth="1"/>
    <col min="22" max="16384" width="9" style="1105" hidden="1"/>
  </cols>
  <sheetData>
    <row r="1" spans="2:15" ht="15.75">
      <c r="D1" s="395"/>
      <c r="E1" s="119"/>
      <c r="F1" s="119"/>
      <c r="G1" s="119"/>
      <c r="H1" s="119"/>
      <c r="I1" s="119"/>
      <c r="J1" s="2322"/>
      <c r="K1" s="119"/>
      <c r="L1" s="119"/>
      <c r="M1" s="1516" t="s">
        <v>1517</v>
      </c>
      <c r="N1" s="2564" t="str">
        <f>Main!C11</f>
        <v>XXX Building</v>
      </c>
      <c r="O1" s="2564"/>
    </row>
    <row r="2" spans="2:15" ht="15.75" hidden="1">
      <c r="D2" s="395"/>
      <c r="E2" s="119"/>
      <c r="F2" s="1105">
        <v>1</v>
      </c>
      <c r="G2" s="1105" t="s">
        <v>4133</v>
      </c>
      <c r="H2" s="1105" t="s">
        <v>4134</v>
      </c>
      <c r="I2" s="119"/>
      <c r="J2" s="2322"/>
      <c r="K2" s="119"/>
      <c r="L2" s="119"/>
      <c r="M2" s="3438"/>
      <c r="N2" s="1959"/>
      <c r="O2" s="1959"/>
    </row>
    <row r="3" spans="2:15" ht="15.75" hidden="1">
      <c r="D3" s="395"/>
      <c r="E3" s="119"/>
      <c r="F3" s="1105">
        <v>2</v>
      </c>
      <c r="G3" s="1105" t="s">
        <v>4135</v>
      </c>
      <c r="H3" s="1105" t="s">
        <v>4136</v>
      </c>
      <c r="I3" s="119"/>
      <c r="J3" s="2322"/>
      <c r="K3" s="1105" t="s">
        <v>4132</v>
      </c>
      <c r="L3" s="1105" t="s">
        <v>2829</v>
      </c>
      <c r="M3" s="1105" t="s">
        <v>2418</v>
      </c>
      <c r="N3" s="1105" t="s">
        <v>2832</v>
      </c>
      <c r="O3" s="1105" t="str">
        <f>Main!I37</f>
        <v>Preliminary design stage</v>
      </c>
    </row>
    <row r="4" spans="2:15" ht="15.75" hidden="1">
      <c r="D4" s="395"/>
      <c r="E4" s="119"/>
      <c r="F4" s="1105">
        <v>3</v>
      </c>
      <c r="G4" s="1105" t="s">
        <v>4137</v>
      </c>
      <c r="H4" s="1105" t="s">
        <v>4138</v>
      </c>
      <c r="I4" s="119"/>
      <c r="J4" s="2322"/>
      <c r="K4" s="119"/>
      <c r="L4" s="1105">
        <v>0</v>
      </c>
      <c r="N4" s="1105" t="s">
        <v>2833</v>
      </c>
      <c r="O4" s="1105" t="str">
        <f>Main!I38</f>
        <v>Execution design stage</v>
      </c>
    </row>
    <row r="5" spans="2:15" ht="15.75" hidden="1">
      <c r="D5" s="395"/>
      <c r="E5" s="119"/>
      <c r="F5" s="1105">
        <v>4</v>
      </c>
      <c r="G5" s="1105" t="s">
        <v>4139</v>
      </c>
      <c r="H5" s="1105" t="s">
        <v>4140</v>
      </c>
      <c r="I5" s="119"/>
      <c r="J5" s="2322"/>
      <c r="K5" s="119"/>
      <c r="L5" s="1105">
        <v>1</v>
      </c>
      <c r="O5" s="1105" t="str">
        <f>Main!I39</f>
        <v>Construction completion stage</v>
      </c>
    </row>
    <row r="6" spans="2:15" ht="15.75" hidden="1">
      <c r="D6" s="395"/>
      <c r="E6" s="119"/>
      <c r="F6" s="1105">
        <v>5</v>
      </c>
      <c r="G6" s="1105" t="s">
        <v>4141</v>
      </c>
      <c r="H6" s="1105" t="s">
        <v>4142</v>
      </c>
      <c r="I6" s="119"/>
      <c r="J6" s="2322"/>
      <c r="K6" s="119"/>
      <c r="L6" s="1105">
        <v>2</v>
      </c>
      <c r="M6" s="1105" t="s">
        <v>2418</v>
      </c>
    </row>
    <row r="7" spans="2:15" ht="15.75" hidden="1">
      <c r="D7" s="395"/>
      <c r="E7" s="119"/>
      <c r="F7" s="1105">
        <v>0</v>
      </c>
      <c r="G7" s="1105" t="s">
        <v>4143</v>
      </c>
      <c r="H7" s="1105" t="s">
        <v>4143</v>
      </c>
      <c r="I7" s="119"/>
      <c r="J7" s="2322"/>
      <c r="K7" s="119"/>
      <c r="M7" s="1105" t="s">
        <v>2831</v>
      </c>
    </row>
    <row r="8" spans="2:15" ht="16.5" thickBot="1">
      <c r="D8" s="395"/>
      <c r="E8" s="119"/>
      <c r="F8" s="119"/>
      <c r="G8" s="119"/>
      <c r="H8" s="119"/>
      <c r="I8" s="119"/>
      <c r="J8" s="2322"/>
      <c r="K8" s="119"/>
      <c r="L8" s="119"/>
      <c r="M8" s="119"/>
      <c r="N8" s="119"/>
      <c r="O8" s="119"/>
    </row>
    <row r="9" spans="2:15" ht="18.75" thickBot="1">
      <c r="D9" s="404" t="s">
        <v>3613</v>
      </c>
      <c r="E9" s="1550"/>
      <c r="F9" s="2685"/>
      <c r="G9" s="2685"/>
      <c r="I9" s="2686"/>
      <c r="J9" s="53" t="s">
        <v>2520</v>
      </c>
      <c r="K9" s="28"/>
      <c r="L9" s="28"/>
      <c r="M9" s="119"/>
      <c r="N9" s="119"/>
      <c r="O9" s="2567" t="str">
        <f>IF(Main!E39=0,"",Main!E39)</f>
        <v>Execution design stage</v>
      </c>
    </row>
    <row r="10" spans="2:15" ht="18">
      <c r="D10" s="395"/>
      <c r="E10" s="1550"/>
      <c r="F10" s="2685"/>
      <c r="G10" s="2685"/>
      <c r="H10" s="2685"/>
      <c r="I10" s="2685"/>
      <c r="J10" s="2568"/>
      <c r="K10" s="119"/>
      <c r="L10" s="119"/>
      <c r="M10" s="119"/>
      <c r="N10" s="119"/>
      <c r="O10" s="2569" t="s">
        <v>3044</v>
      </c>
    </row>
    <row r="11" spans="2:15" ht="18">
      <c r="D11" s="395">
        <v>1</v>
      </c>
      <c r="E11" s="13" t="s">
        <v>1625</v>
      </c>
      <c r="F11" s="9"/>
      <c r="G11" s="2685"/>
      <c r="H11" s="2685"/>
      <c r="I11" s="2685"/>
      <c r="J11" s="3439"/>
      <c r="K11" s="2685"/>
      <c r="L11" s="2685"/>
      <c r="M11" s="2685"/>
      <c r="N11" s="2685"/>
      <c r="O11" s="2685"/>
    </row>
    <row r="12" spans="2:15" ht="15.75" thickBot="1">
      <c r="D12" s="10"/>
      <c r="E12" s="9"/>
      <c r="F12" s="2655"/>
      <c r="G12" s="2688"/>
      <c r="H12" s="2688" t="s">
        <v>2629</v>
      </c>
      <c r="I12" s="2752"/>
      <c r="J12" s="2864">
        <f>Weight!M113</f>
        <v>0.3</v>
      </c>
      <c r="K12" s="2689"/>
      <c r="L12" s="2689"/>
      <c r="M12" s="2689"/>
      <c r="N12" s="2689"/>
      <c r="O12" s="2744"/>
    </row>
    <row r="13" spans="2:15" ht="27" customHeight="1" thickBot="1">
      <c r="B13" s="1105" t="s">
        <v>1061</v>
      </c>
      <c r="D13" s="395"/>
      <c r="E13" s="13"/>
      <c r="F13" s="2865">
        <f>G24</f>
        <v>3</v>
      </c>
      <c r="G13" s="2826" t="s">
        <v>2619</v>
      </c>
      <c r="H13" s="2697"/>
      <c r="I13" s="2697"/>
      <c r="J13" s="2697"/>
      <c r="K13" s="2697"/>
      <c r="L13" s="2697"/>
      <c r="M13" s="2697"/>
      <c r="N13" s="2697"/>
      <c r="O13" s="2760"/>
    </row>
    <row r="14" spans="2:15" ht="23.45" customHeight="1">
      <c r="B14" s="1105">
        <v>0</v>
      </c>
      <c r="D14" s="395"/>
      <c r="E14" s="13"/>
      <c r="F14" s="2699" t="str">
        <f>IF(ROUNDDOWN($F$13,0)=$F$2,$H$2,$G$2)</f>
        <v>　Level 1</v>
      </c>
      <c r="G14" s="2755" t="s">
        <v>4070</v>
      </c>
      <c r="H14" s="2700"/>
      <c r="I14" s="2700"/>
      <c r="J14" s="2700"/>
      <c r="K14" s="2700"/>
      <c r="L14" s="2700"/>
      <c r="M14" s="2700"/>
      <c r="N14" s="2700"/>
      <c r="O14" s="2701"/>
    </row>
    <row r="15" spans="2:15" ht="23.45" customHeight="1">
      <c r="B15" s="1105">
        <v>4</v>
      </c>
      <c r="D15" s="395"/>
      <c r="E15" s="13"/>
      <c r="F15" s="2702" t="str">
        <f>IF(ROUNDDOWN($F$13,0)=$F$3,$H$3,$G$3)</f>
        <v>　Level 2</v>
      </c>
      <c r="G15" s="3808" t="s">
        <v>4071</v>
      </c>
      <c r="H15" s="3809"/>
      <c r="I15" s="3809"/>
      <c r="J15" s="3809"/>
      <c r="K15" s="3809"/>
      <c r="L15" s="3809"/>
      <c r="M15" s="3809"/>
      <c r="N15" s="3809"/>
      <c r="O15" s="3810"/>
    </row>
    <row r="16" spans="2:15" ht="23.45" customHeight="1">
      <c r="B16" s="1105">
        <v>7</v>
      </c>
      <c r="D16" s="395"/>
      <c r="E16" s="13"/>
      <c r="F16" s="2702" t="str">
        <f>IF(ROUNDDOWN($F$13,0)=$F$4,$H$4,$G$4)</f>
        <v>■Level 3</v>
      </c>
      <c r="G16" s="3808" t="s">
        <v>4072</v>
      </c>
      <c r="H16" s="4009"/>
      <c r="I16" s="4009"/>
      <c r="J16" s="4009"/>
      <c r="K16" s="4009"/>
      <c r="L16" s="4009"/>
      <c r="M16" s="4009"/>
      <c r="N16" s="4009"/>
      <c r="O16" s="3977"/>
    </row>
    <row r="17" spans="1:15" ht="23.45" customHeight="1">
      <c r="B17" s="1105">
        <v>10</v>
      </c>
      <c r="D17" s="395"/>
      <c r="E17" s="13"/>
      <c r="F17" s="2702" t="str">
        <f>IF(ROUNDDOWN($F$13,0)=$F$5,$H$5,$G$5)</f>
        <v>　Level 4</v>
      </c>
      <c r="G17" s="3808" t="s">
        <v>4073</v>
      </c>
      <c r="H17" s="4009"/>
      <c r="I17" s="4009"/>
      <c r="J17" s="4009"/>
      <c r="K17" s="4009"/>
      <c r="L17" s="4009"/>
      <c r="M17" s="4009"/>
      <c r="N17" s="4009"/>
      <c r="O17" s="3977"/>
    </row>
    <row r="18" spans="1:15" ht="23.45" customHeight="1">
      <c r="B18" s="1105">
        <v>13</v>
      </c>
      <c r="D18" s="395"/>
      <c r="E18" s="13"/>
      <c r="F18" s="2704" t="str">
        <f>IF(ROUNDDOWN($F$13,0)=$F$6,$H$6,$G$6)</f>
        <v>　Level 5</v>
      </c>
      <c r="G18" s="3937" t="s">
        <v>4074</v>
      </c>
      <c r="H18" s="4010"/>
      <c r="I18" s="4010"/>
      <c r="J18" s="4010"/>
      <c r="K18" s="4010"/>
      <c r="L18" s="4010"/>
      <c r="M18" s="4010"/>
      <c r="N18" s="4010"/>
      <c r="O18" s="4011"/>
    </row>
    <row r="19" spans="1:15">
      <c r="A19" s="1529"/>
      <c r="B19" s="1529"/>
      <c r="C19" s="1529"/>
      <c r="D19" s="1172"/>
      <c r="E19" s="1173"/>
      <c r="F19" s="2067" t="s">
        <v>3045</v>
      </c>
      <c r="G19" s="2708"/>
      <c r="H19" s="2709"/>
      <c r="I19" s="2709"/>
      <c r="J19" s="2710"/>
      <c r="K19" s="2779" t="s">
        <v>3637</v>
      </c>
      <c r="L19" s="2784"/>
      <c r="M19" s="1529"/>
      <c r="N19" s="1529"/>
      <c r="O19" s="1529"/>
    </row>
    <row r="20" spans="1:15" ht="22.5">
      <c r="A20" s="1529"/>
      <c r="B20" s="1529"/>
      <c r="C20" s="1529"/>
      <c r="D20" s="1529"/>
      <c r="E20" s="1529"/>
      <c r="F20" s="3178" t="s">
        <v>3624</v>
      </c>
      <c r="G20" s="3258" t="e">
        <f>ROUNDDOWN(H20,2)</f>
        <v>#DIV/0!</v>
      </c>
      <c r="H20" s="3440" t="e">
        <f>(M21+M22)/M20</f>
        <v>#DIV/0!</v>
      </c>
      <c r="J20" s="1516" t="s">
        <v>4256</v>
      </c>
      <c r="K20" s="2784"/>
      <c r="L20" s="1516" t="s">
        <v>2987</v>
      </c>
      <c r="M20" s="3259"/>
      <c r="N20" s="3178" t="s">
        <v>3346</v>
      </c>
      <c r="O20" s="3441">
        <f>Main!C18</f>
        <v>4000</v>
      </c>
    </row>
    <row r="21" spans="1:15" ht="22.5">
      <c r="A21" s="1529"/>
      <c r="B21" s="1529"/>
      <c r="C21" s="1529"/>
      <c r="D21" s="1529"/>
      <c r="E21" s="1529"/>
      <c r="F21" s="3178" t="s">
        <v>3621</v>
      </c>
      <c r="G21" s="3258">
        <f>ROUNDDOWN(H21,2)</f>
        <v>0</v>
      </c>
      <c r="H21" s="3440">
        <f>(O21+O22)/O20</f>
        <v>0</v>
      </c>
      <c r="K21" s="2784"/>
      <c r="L21" s="1516" t="s">
        <v>2990</v>
      </c>
      <c r="M21" s="3259"/>
      <c r="N21" s="1516" t="s">
        <v>2988</v>
      </c>
      <c r="O21" s="3259"/>
    </row>
    <row r="22" spans="1:15">
      <c r="A22" s="1529"/>
      <c r="B22" s="1529"/>
      <c r="C22" s="1529"/>
      <c r="D22" s="1529"/>
      <c r="E22" s="1529"/>
      <c r="F22" s="1529"/>
      <c r="G22" s="1529"/>
      <c r="H22" s="1529"/>
      <c r="I22" s="1529"/>
      <c r="J22" s="1529"/>
      <c r="K22" s="2784"/>
      <c r="L22" s="1516" t="s">
        <v>2991</v>
      </c>
      <c r="M22" s="3259"/>
      <c r="N22" s="1516" t="s">
        <v>2989</v>
      </c>
      <c r="O22" s="3259"/>
    </row>
    <row r="23" spans="1:15">
      <c r="A23" s="1529"/>
      <c r="B23" s="1529"/>
      <c r="C23" s="1529"/>
      <c r="D23" s="1172"/>
      <c r="E23" s="1173"/>
      <c r="F23" s="1173" t="s">
        <v>3286</v>
      </c>
      <c r="G23" s="1529"/>
      <c r="H23" s="119"/>
      <c r="I23" s="1173"/>
      <c r="J23" s="2322"/>
      <c r="K23" s="119"/>
      <c r="L23" s="119"/>
      <c r="M23" s="119"/>
      <c r="N23" s="119"/>
      <c r="O23" s="119"/>
    </row>
    <row r="24" spans="1:15" ht="24.75" thickBot="1">
      <c r="B24" s="1105" t="s">
        <v>1058</v>
      </c>
      <c r="D24" s="395"/>
      <c r="E24" s="13"/>
      <c r="F24" s="119"/>
      <c r="G24" s="2866">
        <f>IF(G41&gt;=B18,5,IF(G41&gt;=B17,4,IF(G41&gt;=B16,3,IF(G41&gt;=B15,2,1))))</f>
        <v>3</v>
      </c>
      <c r="H24" s="2857" t="s">
        <v>3287</v>
      </c>
      <c r="I24" s="2458"/>
      <c r="J24" s="2857" t="s">
        <v>4057</v>
      </c>
      <c r="K24" s="2458"/>
      <c r="L24" s="2458"/>
      <c r="M24" s="2458"/>
      <c r="N24" s="2858"/>
      <c r="O24" s="2867" t="s">
        <v>3300</v>
      </c>
    </row>
    <row r="25" spans="1:15" ht="34.5" customHeight="1">
      <c r="B25" s="1105">
        <v>2</v>
      </c>
      <c r="C25" s="2813" t="s">
        <v>4257</v>
      </c>
      <c r="D25" s="395"/>
      <c r="E25" s="119"/>
      <c r="F25" s="2321" t="s">
        <v>784</v>
      </c>
      <c r="G25" s="3274"/>
      <c r="H25" s="4059" t="s">
        <v>3614</v>
      </c>
      <c r="I25" s="3950"/>
      <c r="J25" s="4022" t="s">
        <v>3615</v>
      </c>
      <c r="K25" s="4062"/>
      <c r="L25" s="4062"/>
      <c r="M25" s="4062"/>
      <c r="N25" s="4063"/>
      <c r="O25" s="2869">
        <v>2</v>
      </c>
    </row>
    <row r="26" spans="1:15" ht="27" customHeight="1">
      <c r="B26" s="1105">
        <v>2</v>
      </c>
      <c r="C26" s="2813"/>
      <c r="D26" s="395"/>
      <c r="E26" s="119"/>
      <c r="F26" s="2321" t="s">
        <v>1046</v>
      </c>
      <c r="G26" s="2870">
        <v>2</v>
      </c>
      <c r="H26" s="4079" t="s">
        <v>3616</v>
      </c>
      <c r="I26" s="4080"/>
      <c r="J26" s="3808" t="s">
        <v>3617</v>
      </c>
      <c r="K26" s="3809"/>
      <c r="L26" s="3809"/>
      <c r="M26" s="3809"/>
      <c r="N26" s="3810"/>
      <c r="O26" s="2871">
        <v>2</v>
      </c>
    </row>
    <row r="27" spans="1:15" ht="15.75">
      <c r="C27" s="2813"/>
      <c r="D27" s="395"/>
      <c r="E27" s="119"/>
      <c r="F27" s="2321"/>
      <c r="G27" s="3275"/>
      <c r="H27" s="4146"/>
      <c r="I27" s="4147"/>
      <c r="J27" s="3420" t="s">
        <v>3619</v>
      </c>
      <c r="K27" s="3442"/>
      <c r="L27" s="3442"/>
      <c r="M27" s="3442"/>
      <c r="N27" s="3443"/>
      <c r="O27" s="3277" t="s">
        <v>1254</v>
      </c>
    </row>
    <row r="28" spans="1:15" ht="24" customHeight="1">
      <c r="B28" s="1105">
        <v>3</v>
      </c>
      <c r="D28" s="395"/>
      <c r="E28" s="119"/>
      <c r="F28" s="2321" t="s">
        <v>786</v>
      </c>
      <c r="G28" s="4081"/>
      <c r="H28" s="4135" t="s">
        <v>3620</v>
      </c>
      <c r="I28" s="4136"/>
      <c r="J28" s="4078" t="s">
        <v>3623</v>
      </c>
      <c r="K28" s="4079"/>
      <c r="L28" s="4079"/>
      <c r="M28" s="4079"/>
      <c r="N28" s="4080"/>
      <c r="O28" s="4133" t="s">
        <v>4178</v>
      </c>
    </row>
    <row r="29" spans="1:15" ht="47.45" customHeight="1">
      <c r="D29" s="395"/>
      <c r="E29" s="119"/>
      <c r="F29" s="2321"/>
      <c r="G29" s="4141"/>
      <c r="H29" s="4137"/>
      <c r="I29" s="4138"/>
      <c r="J29" s="4144" t="s">
        <v>3622</v>
      </c>
      <c r="K29" s="4093"/>
      <c r="L29" s="4093"/>
      <c r="M29" s="4093"/>
      <c r="N29" s="3278" t="e">
        <f>F20&amp;"="&amp;G20*100&amp;"%"</f>
        <v>#DIV/0!</v>
      </c>
      <c r="O29" s="4134"/>
    </row>
    <row r="30" spans="1:15" ht="22.15" customHeight="1">
      <c r="B30" s="1105">
        <v>2</v>
      </c>
      <c r="D30" s="395"/>
      <c r="E30" s="119"/>
      <c r="F30" s="2321" t="s">
        <v>1059</v>
      </c>
      <c r="G30" s="4081"/>
      <c r="H30" s="4137"/>
      <c r="I30" s="4138"/>
      <c r="J30" s="4078" t="s">
        <v>3625</v>
      </c>
      <c r="K30" s="4079"/>
      <c r="L30" s="4079"/>
      <c r="M30" s="4079"/>
      <c r="N30" s="4080"/>
      <c r="O30" s="4133" t="s">
        <v>4175</v>
      </c>
    </row>
    <row r="31" spans="1:15" ht="40.15" customHeight="1">
      <c r="D31" s="395"/>
      <c r="E31" s="119"/>
      <c r="F31" s="2321"/>
      <c r="G31" s="4142"/>
      <c r="H31" s="4139"/>
      <c r="I31" s="4140"/>
      <c r="J31" s="4145" t="s">
        <v>3626</v>
      </c>
      <c r="K31" s="4090"/>
      <c r="L31" s="4090"/>
      <c r="M31" s="4090"/>
      <c r="N31" s="3278" t="str">
        <f>F21&amp;"="&amp;G21*100&amp;"%"</f>
        <v>Building Planting Index =0%</v>
      </c>
      <c r="O31" s="4143"/>
    </row>
    <row r="32" spans="1:15" ht="27" customHeight="1">
      <c r="B32" s="1105">
        <v>1</v>
      </c>
      <c r="D32" s="395"/>
      <c r="E32" s="119"/>
      <c r="F32" s="2321" t="s">
        <v>1060</v>
      </c>
      <c r="G32" s="2870">
        <v>1</v>
      </c>
      <c r="H32" s="4079" t="s">
        <v>3628</v>
      </c>
      <c r="I32" s="4116"/>
      <c r="J32" s="3808" t="s">
        <v>3632</v>
      </c>
      <c r="K32" s="4009"/>
      <c r="L32" s="4009"/>
      <c r="M32" s="4009"/>
      <c r="N32" s="3977"/>
      <c r="O32" s="2871">
        <v>1</v>
      </c>
    </row>
    <row r="33" spans="2:15" ht="27" customHeight="1">
      <c r="B33" s="1105">
        <v>1</v>
      </c>
      <c r="D33" s="395"/>
      <c r="E33" s="119"/>
      <c r="F33" s="2321" t="s">
        <v>789</v>
      </c>
      <c r="G33" s="2870">
        <v>1</v>
      </c>
      <c r="H33" s="4117"/>
      <c r="I33" s="4118"/>
      <c r="J33" s="1170" t="s">
        <v>3629</v>
      </c>
      <c r="K33" s="2676"/>
      <c r="L33" s="2676"/>
      <c r="M33" s="2676"/>
      <c r="N33" s="2677"/>
      <c r="O33" s="2871">
        <v>1</v>
      </c>
    </row>
    <row r="34" spans="2:15" ht="27" customHeight="1">
      <c r="B34" s="1105">
        <v>1</v>
      </c>
      <c r="D34" s="395"/>
      <c r="E34" s="119"/>
      <c r="F34" s="2321" t="s">
        <v>790</v>
      </c>
      <c r="G34" s="2870">
        <v>1</v>
      </c>
      <c r="H34" s="4119"/>
      <c r="I34" s="4118"/>
      <c r="J34" s="3808" t="s">
        <v>3630</v>
      </c>
      <c r="K34" s="4009"/>
      <c r="L34" s="4009"/>
      <c r="M34" s="4009"/>
      <c r="N34" s="3977"/>
      <c r="O34" s="2871">
        <v>1</v>
      </c>
    </row>
    <row r="35" spans="2:15" ht="27" customHeight="1">
      <c r="B35" s="1105">
        <v>1</v>
      </c>
      <c r="D35" s="395"/>
      <c r="E35" s="119"/>
      <c r="F35" s="2321" t="s">
        <v>791</v>
      </c>
      <c r="G35" s="2870"/>
      <c r="H35" s="4120"/>
      <c r="I35" s="4121"/>
      <c r="J35" s="3808" t="s">
        <v>3631</v>
      </c>
      <c r="K35" s="4009"/>
      <c r="L35" s="4009"/>
      <c r="M35" s="4009"/>
      <c r="N35" s="3977"/>
      <c r="O35" s="2871">
        <v>1</v>
      </c>
    </row>
    <row r="36" spans="2:15" ht="33" customHeight="1">
      <c r="B36" s="1105">
        <v>1</v>
      </c>
      <c r="D36" s="395"/>
      <c r="E36" s="119"/>
      <c r="F36" s="2321" t="s">
        <v>792</v>
      </c>
      <c r="G36" s="2870">
        <v>1</v>
      </c>
      <c r="H36" s="4079" t="s">
        <v>3627</v>
      </c>
      <c r="I36" s="4116"/>
      <c r="J36" s="3808" t="s">
        <v>3633</v>
      </c>
      <c r="K36" s="4009"/>
      <c r="L36" s="4009"/>
      <c r="M36" s="4009"/>
      <c r="N36" s="3977"/>
      <c r="O36" s="2871">
        <v>1</v>
      </c>
    </row>
    <row r="37" spans="2:15" ht="15.75">
      <c r="D37" s="395"/>
      <c r="E37" s="119"/>
      <c r="F37" s="2321"/>
      <c r="G37" s="3446"/>
      <c r="H37" s="4117"/>
      <c r="I37" s="4118"/>
      <c r="J37" s="3420" t="s">
        <v>3618</v>
      </c>
      <c r="K37" s="3442"/>
      <c r="L37" s="3442"/>
      <c r="M37" s="3442"/>
      <c r="N37" s="3443"/>
      <c r="O37" s="3277" t="s">
        <v>1254</v>
      </c>
    </row>
    <row r="38" spans="2:15" ht="15.75">
      <c r="D38" s="395"/>
      <c r="E38" s="119"/>
      <c r="F38" s="2321"/>
      <c r="G38" s="3275"/>
      <c r="H38" s="4117"/>
      <c r="I38" s="4118"/>
      <c r="J38" s="3420" t="s">
        <v>3634</v>
      </c>
      <c r="K38" s="3442"/>
      <c r="L38" s="3442"/>
      <c r="M38" s="3442"/>
      <c r="N38" s="3443"/>
      <c r="O38" s="3277" t="s">
        <v>1254</v>
      </c>
    </row>
    <row r="39" spans="2:15" ht="37.9" customHeight="1">
      <c r="B39" s="1105">
        <v>1</v>
      </c>
      <c r="D39" s="395"/>
      <c r="E39" s="119"/>
      <c r="F39" s="2321" t="s">
        <v>793</v>
      </c>
      <c r="G39" s="2870">
        <v>1</v>
      </c>
      <c r="H39" s="4120"/>
      <c r="I39" s="4121"/>
      <c r="J39" s="3808" t="s">
        <v>3635</v>
      </c>
      <c r="K39" s="4009"/>
      <c r="L39" s="4009"/>
      <c r="M39" s="4009"/>
      <c r="N39" s="3977"/>
      <c r="O39" s="2871">
        <v>1</v>
      </c>
    </row>
    <row r="40" spans="2:15" ht="27" customHeight="1" thickBot="1">
      <c r="B40" s="1105">
        <v>1</v>
      </c>
      <c r="D40" s="395"/>
      <c r="E40" s="119"/>
      <c r="F40" s="2321" t="s">
        <v>794</v>
      </c>
      <c r="G40" s="3291"/>
      <c r="H40" s="4079" t="s">
        <v>3485</v>
      </c>
      <c r="I40" s="4080"/>
      <c r="J40" s="4078" t="s">
        <v>3638</v>
      </c>
      <c r="K40" s="4079"/>
      <c r="L40" s="4079"/>
      <c r="M40" s="4079"/>
      <c r="N40" s="4080"/>
      <c r="O40" s="3444">
        <v>1</v>
      </c>
    </row>
    <row r="41" spans="2:15" ht="21" customHeight="1">
      <c r="D41" s="395"/>
      <c r="E41" s="119"/>
      <c r="F41" s="2321" t="s">
        <v>1468</v>
      </c>
      <c r="G41" s="2875">
        <f>SUM(G25:G40)</f>
        <v>7</v>
      </c>
      <c r="H41" s="2876" t="s">
        <v>4130</v>
      </c>
      <c r="I41" s="2877"/>
      <c r="J41" s="2877"/>
      <c r="K41" s="2878"/>
      <c r="L41" s="2877"/>
      <c r="M41" s="2878"/>
      <c r="N41" s="2877"/>
      <c r="O41" s="2879">
        <f>SUM(B25:B40)</f>
        <v>16</v>
      </c>
    </row>
    <row r="42" spans="2:15" ht="14.25" customHeight="1"/>
    <row r="43" spans="2:15" ht="14.25" customHeight="1">
      <c r="D43" s="395">
        <v>2</v>
      </c>
      <c r="E43" s="13" t="s">
        <v>3285</v>
      </c>
      <c r="F43" s="9"/>
    </row>
    <row r="44" spans="2:15" ht="15.75" thickBot="1">
      <c r="D44" s="10"/>
      <c r="E44" s="9"/>
      <c r="F44" s="2655"/>
      <c r="G44" s="2688"/>
      <c r="H44" s="2688" t="s">
        <v>2629</v>
      </c>
      <c r="I44" s="2752"/>
      <c r="J44" s="2864">
        <f>Weight!M116</f>
        <v>0.4</v>
      </c>
      <c r="K44" s="2689"/>
      <c r="L44" s="2689"/>
      <c r="M44" s="2689"/>
      <c r="N44" s="2689"/>
      <c r="O44" s="2744"/>
    </row>
    <row r="45" spans="2:15" ht="27" customHeight="1" thickBot="1">
      <c r="B45" s="1105" t="s">
        <v>1061</v>
      </c>
      <c r="D45" s="395"/>
      <c r="E45" s="13"/>
      <c r="F45" s="2865">
        <f>G54</f>
        <v>3</v>
      </c>
      <c r="G45" s="2774" t="s">
        <v>2619</v>
      </c>
      <c r="H45" s="2697"/>
      <c r="I45" s="2697"/>
      <c r="J45" s="2697"/>
      <c r="K45" s="2697"/>
      <c r="L45" s="2697"/>
      <c r="M45" s="2697"/>
      <c r="N45" s="2697"/>
      <c r="O45" s="2698"/>
    </row>
    <row r="46" spans="2:15" ht="23.45" customHeight="1">
      <c r="B46" s="1105">
        <v>0</v>
      </c>
      <c r="D46" s="395"/>
      <c r="E46" s="13"/>
      <c r="F46" s="2702" t="str">
        <f>IF(ROUNDDOWN($F$45,0)=$F$2,$H$2,$G$2)</f>
        <v>　Level 1</v>
      </c>
      <c r="G46" s="2814" t="s">
        <v>3284</v>
      </c>
      <c r="H46" s="2808"/>
      <c r="I46" s="2808"/>
      <c r="J46" s="2808"/>
      <c r="K46" s="2808"/>
      <c r="L46" s="2808"/>
      <c r="M46" s="2808"/>
      <c r="N46" s="2808"/>
      <c r="O46" s="2809"/>
    </row>
    <row r="47" spans="2:15" ht="23.45" customHeight="1">
      <c r="B47" s="1105">
        <v>1</v>
      </c>
      <c r="D47" s="395"/>
      <c r="E47" s="13"/>
      <c r="F47" s="2702" t="str">
        <f>IF(ROUNDDOWN($F$45,0)=$F$3,$H$3,$G$3)</f>
        <v>　Level 2</v>
      </c>
      <c r="G47" s="2789" t="s">
        <v>3281</v>
      </c>
      <c r="H47" s="2776"/>
      <c r="I47" s="2776"/>
      <c r="J47" s="2776"/>
      <c r="K47" s="2776"/>
      <c r="L47" s="2776"/>
      <c r="M47" s="2776"/>
      <c r="N47" s="2776"/>
      <c r="O47" s="2777"/>
    </row>
    <row r="48" spans="2:15" ht="23.45" customHeight="1">
      <c r="B48" s="1105">
        <v>3</v>
      </c>
      <c r="D48" s="395"/>
      <c r="E48" s="13"/>
      <c r="F48" s="2702" t="str">
        <f>IF(ROUNDDOWN($F$45,0)=$F$4,$H$4,$G$4)</f>
        <v>■Level 3</v>
      </c>
      <c r="G48" s="2789" t="s">
        <v>3282</v>
      </c>
      <c r="H48" s="2776"/>
      <c r="I48" s="2776"/>
      <c r="J48" s="2776"/>
      <c r="K48" s="2776"/>
      <c r="L48" s="2776"/>
      <c r="M48" s="2776"/>
      <c r="N48" s="2776"/>
      <c r="O48" s="2777"/>
    </row>
    <row r="49" spans="2:15" ht="23.45" customHeight="1">
      <c r="B49" s="1105">
        <v>4</v>
      </c>
      <c r="D49" s="395"/>
      <c r="E49" s="13"/>
      <c r="F49" s="2702" t="str">
        <f>IF(ROUNDDOWN($F$45,0)=$F$5,$H$5,$G$5)</f>
        <v>　Level 4</v>
      </c>
      <c r="G49" s="2789" t="s">
        <v>3283</v>
      </c>
      <c r="H49" s="2776"/>
      <c r="I49" s="2776"/>
      <c r="J49" s="2776"/>
      <c r="K49" s="2776"/>
      <c r="L49" s="2776"/>
      <c r="M49" s="2776"/>
      <c r="N49" s="2776"/>
      <c r="O49" s="2777"/>
    </row>
    <row r="50" spans="2:15" ht="23.45" customHeight="1">
      <c r="B50" s="1105">
        <v>5</v>
      </c>
      <c r="D50" s="395"/>
      <c r="E50" s="13"/>
      <c r="F50" s="2704" t="str">
        <f>IF(ROUNDDOWN($F$45,0)=$F$6,$H$6,$G$6)</f>
        <v>　Level 5</v>
      </c>
      <c r="G50" s="3937" t="s">
        <v>3367</v>
      </c>
      <c r="H50" s="3973"/>
      <c r="I50" s="3973"/>
      <c r="J50" s="3973"/>
      <c r="K50" s="3973"/>
      <c r="L50" s="3973"/>
      <c r="M50" s="3973"/>
      <c r="N50" s="3973"/>
      <c r="O50" s="3990"/>
    </row>
    <row r="51" spans="2:15" ht="15.75">
      <c r="D51" s="395"/>
      <c r="E51" s="13"/>
      <c r="F51" s="2067" t="s">
        <v>3045</v>
      </c>
      <c r="G51" s="2708"/>
      <c r="H51" s="2759"/>
      <c r="I51" s="2709"/>
      <c r="J51" s="2710"/>
      <c r="K51" s="2880" t="s">
        <v>3636</v>
      </c>
      <c r="M51" s="2711"/>
    </row>
    <row r="52" spans="2:15" ht="66.599999999999994" customHeight="1">
      <c r="D52" s="395"/>
      <c r="E52" s="14"/>
      <c r="F52" s="14"/>
      <c r="G52" s="4122" t="s">
        <v>3301</v>
      </c>
      <c r="H52" s="4123"/>
      <c r="I52" s="4123"/>
      <c r="J52" s="4123"/>
      <c r="K52" s="4123"/>
      <c r="L52" s="4123"/>
      <c r="M52" s="4123"/>
      <c r="N52" s="4123"/>
      <c r="O52" s="4123"/>
    </row>
    <row r="53" spans="2:15" ht="15.75">
      <c r="D53" s="395"/>
      <c r="E53" s="14"/>
      <c r="F53" s="1173" t="s">
        <v>3286</v>
      </c>
    </row>
    <row r="54" spans="2:15" ht="25.5" customHeight="1" thickBot="1">
      <c r="B54" s="1105" t="s">
        <v>1058</v>
      </c>
      <c r="D54" s="395"/>
      <c r="E54" s="13"/>
      <c r="G54" s="2866">
        <f>IF(G61&gt;=B50,5,IF(G61&gt;=B49,4,IF(G61&gt;=B48,3,IF(G61&gt;=B47,2,1))))</f>
        <v>3</v>
      </c>
      <c r="H54" s="2857" t="s">
        <v>3287</v>
      </c>
      <c r="I54" s="2458"/>
      <c r="J54" s="2857" t="s">
        <v>3288</v>
      </c>
      <c r="K54" s="2458"/>
      <c r="L54" s="2458"/>
      <c r="M54" s="2458"/>
      <c r="N54" s="2858"/>
      <c r="O54" s="2867" t="s">
        <v>3300</v>
      </c>
    </row>
    <row r="55" spans="2:15" ht="51" customHeight="1">
      <c r="B55" s="1105">
        <v>2</v>
      </c>
      <c r="D55" s="395"/>
      <c r="E55" s="119"/>
      <c r="F55" s="2321" t="s">
        <v>784</v>
      </c>
      <c r="G55" s="2868">
        <v>2</v>
      </c>
      <c r="H55" s="4059" t="s">
        <v>3289</v>
      </c>
      <c r="I55" s="3950"/>
      <c r="J55" s="4022" t="s">
        <v>3290</v>
      </c>
      <c r="K55" s="4029"/>
      <c r="L55" s="4029"/>
      <c r="M55" s="4029"/>
      <c r="N55" s="3969"/>
      <c r="O55" s="2869">
        <v>2</v>
      </c>
    </row>
    <row r="56" spans="2:15" ht="25.5" customHeight="1">
      <c r="B56" s="1105">
        <v>1</v>
      </c>
      <c r="D56" s="395"/>
      <c r="E56" s="119"/>
      <c r="F56" s="2321" t="s">
        <v>1046</v>
      </c>
      <c r="G56" s="2870">
        <v>1</v>
      </c>
      <c r="H56" s="4070" t="s">
        <v>3291</v>
      </c>
      <c r="I56" s="3929"/>
      <c r="J56" s="2789" t="s">
        <v>3292</v>
      </c>
      <c r="K56" s="2790"/>
      <c r="L56" s="2790"/>
      <c r="M56" s="2790"/>
      <c r="N56" s="2854"/>
      <c r="O56" s="2871">
        <v>1</v>
      </c>
    </row>
    <row r="57" spans="2:15" ht="39.75" customHeight="1">
      <c r="B57" s="1105">
        <v>1</v>
      </c>
      <c r="D57" s="395"/>
      <c r="E57" s="119"/>
      <c r="F57" s="2321" t="s">
        <v>786</v>
      </c>
      <c r="G57" s="2870"/>
      <c r="H57" s="4070" t="s">
        <v>3293</v>
      </c>
      <c r="I57" s="3810"/>
      <c r="J57" s="3808" t="s">
        <v>3294</v>
      </c>
      <c r="K57" s="3928"/>
      <c r="L57" s="3928"/>
      <c r="M57" s="3928"/>
      <c r="N57" s="3929"/>
      <c r="O57" s="2872">
        <v>1</v>
      </c>
    </row>
    <row r="58" spans="2:15" ht="25.5" customHeight="1">
      <c r="B58" s="1105">
        <v>1</v>
      </c>
      <c r="D58" s="395"/>
      <c r="E58" s="119"/>
      <c r="F58" s="2321" t="s">
        <v>787</v>
      </c>
      <c r="G58" s="2870"/>
      <c r="H58" s="4070" t="s">
        <v>3295</v>
      </c>
      <c r="I58" s="3929"/>
      <c r="J58" s="3808" t="s">
        <v>3296</v>
      </c>
      <c r="K58" s="3928"/>
      <c r="L58" s="3928"/>
      <c r="M58" s="3928"/>
      <c r="N58" s="3929"/>
      <c r="O58" s="2872">
        <v>1</v>
      </c>
    </row>
    <row r="59" spans="2:15" ht="36" customHeight="1">
      <c r="B59" s="1105">
        <v>1</v>
      </c>
      <c r="D59" s="395"/>
      <c r="E59" s="119"/>
      <c r="F59" s="2321" t="s">
        <v>788</v>
      </c>
      <c r="G59" s="2870"/>
      <c r="H59" s="4070" t="s">
        <v>3297</v>
      </c>
      <c r="I59" s="3929"/>
      <c r="J59" s="3808" t="s">
        <v>3298</v>
      </c>
      <c r="K59" s="3928"/>
      <c r="L59" s="3928"/>
      <c r="M59" s="3928"/>
      <c r="N59" s="3929"/>
      <c r="O59" s="2872">
        <v>1</v>
      </c>
    </row>
    <row r="60" spans="2:15" ht="25.5" customHeight="1" thickBot="1">
      <c r="B60" s="1105">
        <v>1</v>
      </c>
      <c r="D60" s="395"/>
      <c r="E60" s="119"/>
      <c r="F60" s="2321" t="s">
        <v>789</v>
      </c>
      <c r="G60" s="2873"/>
      <c r="H60" s="2860" t="s">
        <v>3299</v>
      </c>
      <c r="I60" s="2859"/>
      <c r="J60" s="2861" t="s">
        <v>3638</v>
      </c>
      <c r="K60" s="2862"/>
      <c r="L60" s="2862"/>
      <c r="M60" s="2862"/>
      <c r="N60" s="2863"/>
      <c r="O60" s="2874">
        <v>1</v>
      </c>
    </row>
    <row r="61" spans="2:15" ht="21" customHeight="1">
      <c r="D61" s="395"/>
      <c r="E61" s="119"/>
      <c r="F61" s="2321" t="s">
        <v>1468</v>
      </c>
      <c r="G61" s="2875">
        <f>SUM(G55:G60)</f>
        <v>3</v>
      </c>
      <c r="H61" s="2876" t="s">
        <v>4130</v>
      </c>
      <c r="I61" s="2877"/>
      <c r="J61" s="2877"/>
      <c r="K61" s="2878"/>
      <c r="L61" s="2877"/>
      <c r="M61" s="2878"/>
      <c r="N61" s="2877"/>
      <c r="O61" s="2879">
        <f>SUM(B55:B60)</f>
        <v>7</v>
      </c>
    </row>
    <row r="62" spans="2:15" ht="15.75">
      <c r="D62" s="395"/>
      <c r="E62" s="28"/>
      <c r="F62" s="2763"/>
      <c r="G62" s="2793"/>
      <c r="H62" s="2793"/>
      <c r="I62" s="2793"/>
      <c r="J62" s="2793"/>
      <c r="K62" s="2793"/>
      <c r="L62" s="2793"/>
      <c r="M62" s="2793"/>
      <c r="N62" s="2793"/>
      <c r="O62" s="2793"/>
    </row>
    <row r="63" spans="2:15" ht="15.75">
      <c r="D63" s="561">
        <v>3</v>
      </c>
      <c r="E63" s="13" t="s">
        <v>1627</v>
      </c>
      <c r="F63" s="13"/>
      <c r="G63" s="9"/>
      <c r="H63" s="9"/>
      <c r="I63" s="3447"/>
      <c r="J63" s="9"/>
      <c r="K63" s="9"/>
      <c r="L63" s="9"/>
      <c r="M63" s="9"/>
      <c r="N63" s="9"/>
      <c r="O63" s="9"/>
    </row>
    <row r="64" spans="2:15" ht="15.75">
      <c r="D64" s="395">
        <v>3.1</v>
      </c>
      <c r="E64" s="13" t="s">
        <v>3408</v>
      </c>
      <c r="F64" s="9"/>
      <c r="G64" s="9"/>
      <c r="H64" s="9"/>
      <c r="I64" s="3447"/>
      <c r="J64" s="9"/>
      <c r="K64" s="9"/>
      <c r="L64" s="9"/>
      <c r="M64" s="9"/>
      <c r="N64" s="9"/>
      <c r="O64" s="9"/>
    </row>
    <row r="65" spans="2:15" ht="15.75" thickBot="1">
      <c r="D65" s="10"/>
      <c r="E65" s="9"/>
      <c r="F65" s="2655"/>
      <c r="G65" s="2688"/>
      <c r="H65" s="2688" t="s">
        <v>2629</v>
      </c>
      <c r="I65" s="2752"/>
      <c r="J65" s="2864">
        <f>Weight!M118</f>
        <v>0.5</v>
      </c>
      <c r="K65" s="2689"/>
      <c r="L65" s="2689"/>
      <c r="M65" s="2689"/>
      <c r="N65" s="2689"/>
      <c r="O65" s="2744"/>
    </row>
    <row r="66" spans="2:15" ht="27" customHeight="1" thickBot="1">
      <c r="B66" s="1105" t="s">
        <v>1061</v>
      </c>
      <c r="C66" s="2813" t="s">
        <v>4258</v>
      </c>
      <c r="D66" s="395"/>
      <c r="E66" s="13"/>
      <c r="F66" s="2865">
        <f>G74</f>
        <v>3</v>
      </c>
      <c r="G66" s="2774" t="s">
        <v>2619</v>
      </c>
      <c r="H66" s="2697"/>
      <c r="I66" s="2697"/>
      <c r="J66" s="2697"/>
      <c r="K66" s="2697"/>
      <c r="L66" s="2697"/>
      <c r="M66" s="2697"/>
      <c r="N66" s="2697"/>
      <c r="O66" s="2698"/>
    </row>
    <row r="67" spans="2:15" ht="21" customHeight="1">
      <c r="B67" s="1105">
        <v>0</v>
      </c>
      <c r="D67" s="395"/>
      <c r="E67" s="13"/>
      <c r="F67" s="2699" t="str">
        <f>IF(ROUNDDOWN($F$66,0)=$F$2,$H$2,$G$2)</f>
        <v>　Level 1</v>
      </c>
      <c r="G67" s="2755" t="s">
        <v>3639</v>
      </c>
      <c r="H67" s="2700"/>
      <c r="I67" s="2700"/>
      <c r="J67" s="2700"/>
      <c r="K67" s="2700"/>
      <c r="L67" s="2700"/>
      <c r="M67" s="2700"/>
      <c r="N67" s="2700"/>
      <c r="O67" s="2701"/>
    </row>
    <row r="68" spans="2:15" ht="21" customHeight="1">
      <c r="B68" s="1105">
        <v>1</v>
      </c>
      <c r="D68" s="395"/>
      <c r="E68" s="13"/>
      <c r="F68" s="2702" t="str">
        <f>IF(ROUNDDOWN($F$66,0)=$F$3,$H$3,$G$3)</f>
        <v>　Level 2</v>
      </c>
      <c r="G68" s="1170" t="s">
        <v>4989</v>
      </c>
      <c r="H68" s="2333"/>
      <c r="I68" s="2333"/>
      <c r="J68" s="2333"/>
      <c r="K68" s="2333"/>
      <c r="L68" s="2333"/>
      <c r="M68" s="2333"/>
      <c r="N68" s="2333"/>
      <c r="O68" s="2703"/>
    </row>
    <row r="69" spans="2:15" ht="21" customHeight="1">
      <c r="B69" s="1105">
        <v>2</v>
      </c>
      <c r="D69" s="395"/>
      <c r="E69" s="13"/>
      <c r="F69" s="2702" t="str">
        <f>IF(ROUNDDOWN($F$66,0)=$F$4,$H$4,$G$4)</f>
        <v>■Level 3</v>
      </c>
      <c r="G69" s="1170" t="s">
        <v>3640</v>
      </c>
      <c r="H69" s="2333"/>
      <c r="I69" s="2333"/>
      <c r="J69" s="2333"/>
      <c r="K69" s="2333"/>
      <c r="L69" s="2333"/>
      <c r="M69" s="2333"/>
      <c r="N69" s="2333"/>
      <c r="O69" s="2703"/>
    </row>
    <row r="70" spans="2:15" ht="21" customHeight="1">
      <c r="B70" s="1105">
        <v>4</v>
      </c>
      <c r="D70" s="395"/>
      <c r="E70" s="13"/>
      <c r="F70" s="2702" t="str">
        <f>IF(ROUNDDOWN($F$66,0)=$F$5,$H$5,$G$5)</f>
        <v>　Level 4</v>
      </c>
      <c r="G70" s="1170" t="s">
        <v>3641</v>
      </c>
      <c r="H70" s="2333"/>
      <c r="I70" s="2333"/>
      <c r="J70" s="2333"/>
      <c r="K70" s="2333"/>
      <c r="L70" s="2333"/>
      <c r="M70" s="2333"/>
      <c r="N70" s="2333"/>
      <c r="O70" s="2703"/>
    </row>
    <row r="71" spans="2:15" ht="21" customHeight="1">
      <c r="B71" s="1105">
        <v>5</v>
      </c>
      <c r="D71" s="395"/>
      <c r="E71" s="13"/>
      <c r="F71" s="2704" t="str">
        <f>IF(ROUNDDOWN($F$66,0)=$F$6,$H$6,$G$6)</f>
        <v>　Level 5</v>
      </c>
      <c r="G71" s="2756" t="s">
        <v>4988</v>
      </c>
      <c r="H71" s="2705"/>
      <c r="I71" s="2705"/>
      <c r="J71" s="2705"/>
      <c r="K71" s="2705"/>
      <c r="L71" s="2705"/>
      <c r="M71" s="2705"/>
      <c r="N71" s="2705"/>
      <c r="O71" s="2706"/>
    </row>
    <row r="72" spans="2:15" ht="15.75">
      <c r="D72" s="395"/>
      <c r="E72" s="13"/>
      <c r="F72" s="2067" t="s">
        <v>3045</v>
      </c>
      <c r="G72" s="2708"/>
      <c r="H72" s="2709"/>
      <c r="I72" s="2709"/>
      <c r="J72" s="2710"/>
      <c r="K72" s="2779" t="s">
        <v>3637</v>
      </c>
    </row>
    <row r="73" spans="2:15" ht="15.75">
      <c r="D73" s="395"/>
      <c r="E73" s="13"/>
      <c r="F73" s="1173" t="s">
        <v>3286</v>
      </c>
      <c r="H73" s="119"/>
      <c r="I73" s="47"/>
      <c r="J73" s="2322"/>
      <c r="K73" s="119"/>
      <c r="L73" s="119"/>
      <c r="M73" s="119"/>
      <c r="N73" s="119"/>
      <c r="O73" s="119"/>
    </row>
    <row r="74" spans="2:15" ht="28.5" customHeight="1" thickBot="1">
      <c r="B74" s="1105" t="s">
        <v>1058</v>
      </c>
      <c r="D74" s="395"/>
      <c r="E74" s="13"/>
      <c r="F74" s="119"/>
      <c r="G74" s="2866">
        <f>IF(G96&gt;=B71,5,IF(G96&gt;=B70,4,IF(G96&gt;=B69,3,IF(G96&gt;=B68,2,1))))</f>
        <v>3</v>
      </c>
      <c r="H74" s="2857" t="s">
        <v>3287</v>
      </c>
      <c r="I74" s="2458"/>
      <c r="J74" s="2857" t="s">
        <v>3288</v>
      </c>
      <c r="K74" s="2458"/>
      <c r="L74" s="2458"/>
      <c r="M74" s="2458"/>
      <c r="N74" s="2858"/>
      <c r="O74" s="2867" t="s">
        <v>3300</v>
      </c>
    </row>
    <row r="75" spans="2:15" ht="15.6" customHeight="1">
      <c r="B75" s="1105">
        <v>1</v>
      </c>
      <c r="D75" s="395"/>
      <c r="E75" s="119"/>
      <c r="F75" s="2321" t="s">
        <v>784</v>
      </c>
      <c r="G75" s="4127">
        <v>1</v>
      </c>
      <c r="H75" s="4113" t="s">
        <v>3642</v>
      </c>
      <c r="I75" s="4114"/>
      <c r="J75" s="3958" t="s">
        <v>3651</v>
      </c>
      <c r="K75" s="4115"/>
      <c r="L75" s="4115"/>
      <c r="M75" s="4115"/>
      <c r="N75" s="3959"/>
      <c r="O75" s="4124">
        <v>1</v>
      </c>
    </row>
    <row r="76" spans="2:15" ht="48" customHeight="1">
      <c r="D76" s="395"/>
      <c r="E76" s="119"/>
      <c r="F76" s="2321"/>
      <c r="G76" s="4082"/>
      <c r="H76" s="4100"/>
      <c r="I76" s="4101"/>
      <c r="J76" s="4089" t="s">
        <v>3652</v>
      </c>
      <c r="K76" s="4090"/>
      <c r="L76" s="4090"/>
      <c r="M76" s="4090"/>
      <c r="N76" s="4091"/>
      <c r="O76" s="4125"/>
    </row>
    <row r="77" spans="2:15" ht="15.6" customHeight="1">
      <c r="B77" s="1105">
        <v>1</v>
      </c>
      <c r="D77" s="395"/>
      <c r="E77" s="119"/>
      <c r="F77" s="2321" t="s">
        <v>1046</v>
      </c>
      <c r="G77" s="4081"/>
      <c r="H77" s="4100"/>
      <c r="I77" s="4101"/>
      <c r="J77" s="3448" t="s">
        <v>3653</v>
      </c>
      <c r="K77" s="1502"/>
      <c r="L77" s="1502"/>
      <c r="M77" s="1502"/>
      <c r="N77" s="3195"/>
      <c r="O77" s="4126">
        <v>1</v>
      </c>
    </row>
    <row r="78" spans="2:15" ht="33.75" customHeight="1">
      <c r="D78" s="395"/>
      <c r="E78" s="119"/>
      <c r="G78" s="4082"/>
      <c r="H78" s="4096"/>
      <c r="I78" s="4102"/>
      <c r="J78" s="4089" t="s">
        <v>3654</v>
      </c>
      <c r="K78" s="4090"/>
      <c r="L78" s="4090"/>
      <c r="M78" s="4090"/>
      <c r="N78" s="4091"/>
      <c r="O78" s="4125"/>
    </row>
    <row r="79" spans="2:15" ht="15.75" customHeight="1">
      <c r="B79" s="1105">
        <v>1</v>
      </c>
      <c r="D79" s="395"/>
      <c r="E79" s="119"/>
      <c r="F79" s="2321" t="s">
        <v>786</v>
      </c>
      <c r="G79" s="4081">
        <v>1</v>
      </c>
      <c r="H79" s="4094" t="s">
        <v>3664</v>
      </c>
      <c r="I79" s="4099"/>
      <c r="J79" s="2861" t="s">
        <v>3643</v>
      </c>
      <c r="K79" s="2862"/>
      <c r="L79" s="2862"/>
      <c r="M79" s="2862"/>
      <c r="N79" s="2863"/>
      <c r="O79" s="4126">
        <v>1</v>
      </c>
    </row>
    <row r="80" spans="2:15" ht="37.15" customHeight="1">
      <c r="D80" s="395"/>
      <c r="E80" s="119"/>
      <c r="F80" s="119"/>
      <c r="G80" s="4098"/>
      <c r="H80" s="4100"/>
      <c r="I80" s="4101"/>
      <c r="J80" s="4089" t="s">
        <v>3644</v>
      </c>
      <c r="K80" s="4090"/>
      <c r="L80" s="4090"/>
      <c r="M80" s="4090"/>
      <c r="N80" s="4091"/>
      <c r="O80" s="4132"/>
    </row>
    <row r="81" spans="2:15" ht="34.9" customHeight="1">
      <c r="D81" s="395"/>
      <c r="E81" s="119"/>
      <c r="F81" s="119"/>
      <c r="G81" s="4082"/>
      <c r="H81" s="4100"/>
      <c r="I81" s="4101"/>
      <c r="J81" s="4089" t="s">
        <v>3655</v>
      </c>
      <c r="K81" s="4090"/>
      <c r="L81" s="4090"/>
      <c r="M81" s="4090"/>
      <c r="N81" s="4091"/>
      <c r="O81" s="4125"/>
    </row>
    <row r="82" spans="2:15" ht="15.6" customHeight="1">
      <c r="B82" s="1105">
        <v>1</v>
      </c>
      <c r="D82" s="395"/>
      <c r="E82" s="119"/>
      <c r="F82" s="2321" t="s">
        <v>787</v>
      </c>
      <c r="G82" s="4081"/>
      <c r="H82" s="4100"/>
      <c r="I82" s="4101"/>
      <c r="J82" s="3420" t="s">
        <v>4259</v>
      </c>
      <c r="K82" s="3449"/>
      <c r="L82" s="3449"/>
      <c r="M82" s="3449"/>
      <c r="N82" s="3450"/>
      <c r="O82" s="4126">
        <v>1</v>
      </c>
    </row>
    <row r="83" spans="2:15" ht="51" customHeight="1">
      <c r="G83" s="4082"/>
      <c r="H83" s="4096"/>
      <c r="I83" s="4102"/>
      <c r="J83" s="4089" t="s">
        <v>3656</v>
      </c>
      <c r="K83" s="4090"/>
      <c r="L83" s="4090"/>
      <c r="M83" s="4090"/>
      <c r="N83" s="4091"/>
      <c r="O83" s="4125"/>
    </row>
    <row r="84" spans="2:15" ht="15.6" customHeight="1">
      <c r="B84" s="1105">
        <v>1</v>
      </c>
      <c r="D84" s="395"/>
      <c r="E84" s="119"/>
      <c r="F84" s="2321" t="s">
        <v>788</v>
      </c>
      <c r="G84" s="4081"/>
      <c r="H84" s="4094" t="s">
        <v>3645</v>
      </c>
      <c r="I84" s="4099"/>
      <c r="J84" s="2861" t="s">
        <v>3646</v>
      </c>
      <c r="K84" s="2862"/>
      <c r="L84" s="2862"/>
      <c r="M84" s="2862"/>
      <c r="N84" s="2863"/>
      <c r="O84" s="4126">
        <v>1</v>
      </c>
    </row>
    <row r="85" spans="2:15" ht="37.15" customHeight="1">
      <c r="D85" s="395"/>
      <c r="E85" s="119"/>
      <c r="G85" s="4098"/>
      <c r="H85" s="4100"/>
      <c r="I85" s="4101"/>
      <c r="J85" s="4089" t="s">
        <v>3647</v>
      </c>
      <c r="K85" s="4090"/>
      <c r="L85" s="4090"/>
      <c r="M85" s="4090"/>
      <c r="N85" s="4091"/>
      <c r="O85" s="4132"/>
    </row>
    <row r="86" spans="2:15" ht="51.6" customHeight="1">
      <c r="D86" s="395"/>
      <c r="E86" s="119"/>
      <c r="F86" s="2321"/>
      <c r="G86" s="4082"/>
      <c r="H86" s="4096"/>
      <c r="I86" s="4102"/>
      <c r="J86" s="4089" t="s">
        <v>3657</v>
      </c>
      <c r="K86" s="4090"/>
      <c r="L86" s="4090"/>
      <c r="M86" s="4090"/>
      <c r="N86" s="4091"/>
      <c r="O86" s="4125"/>
    </row>
    <row r="87" spans="2:15" ht="15.6" customHeight="1">
      <c r="B87" s="1105">
        <v>1</v>
      </c>
      <c r="D87" s="395"/>
      <c r="E87" s="119"/>
      <c r="F87" s="2321" t="s">
        <v>789</v>
      </c>
      <c r="G87" s="4081"/>
      <c r="H87" s="4094" t="s">
        <v>3648</v>
      </c>
      <c r="I87" s="4099"/>
      <c r="J87" s="2861" t="s">
        <v>3649</v>
      </c>
      <c r="K87" s="2862"/>
      <c r="L87" s="2862"/>
      <c r="M87" s="2862"/>
      <c r="N87" s="2863"/>
      <c r="O87" s="4084">
        <v>1</v>
      </c>
    </row>
    <row r="88" spans="2:15" ht="59.45" customHeight="1">
      <c r="D88" s="395"/>
      <c r="E88" s="119"/>
      <c r="F88" s="2321"/>
      <c r="G88" s="4098"/>
      <c r="H88" s="4100"/>
      <c r="I88" s="4101"/>
      <c r="J88" s="4089" t="s">
        <v>3658</v>
      </c>
      <c r="K88" s="4090"/>
      <c r="L88" s="4090"/>
      <c r="M88" s="4090"/>
      <c r="N88" s="4091"/>
      <c r="O88" s="4085"/>
    </row>
    <row r="89" spans="2:15" ht="60.6" customHeight="1">
      <c r="D89" s="395"/>
      <c r="E89" s="119"/>
      <c r="F89" s="2321"/>
      <c r="G89" s="4098"/>
      <c r="H89" s="4100"/>
      <c r="I89" s="4101"/>
      <c r="J89" s="4089" t="s">
        <v>3659</v>
      </c>
      <c r="K89" s="4090"/>
      <c r="L89" s="4090"/>
      <c r="M89" s="4090"/>
      <c r="N89" s="4091"/>
      <c r="O89" s="4085"/>
    </row>
    <row r="90" spans="2:15" ht="48.6" customHeight="1">
      <c r="D90" s="395"/>
      <c r="E90" s="119"/>
      <c r="F90" s="2321"/>
      <c r="G90" s="4098"/>
      <c r="H90" s="4096"/>
      <c r="I90" s="4102"/>
      <c r="J90" s="4089" t="s">
        <v>3660</v>
      </c>
      <c r="K90" s="4090"/>
      <c r="L90" s="4090"/>
      <c r="M90" s="4090"/>
      <c r="N90" s="4091"/>
      <c r="O90" s="4086"/>
    </row>
    <row r="91" spans="2:15" ht="15.75" hidden="1" customHeight="1">
      <c r="B91" s="2813" t="s">
        <v>4260</v>
      </c>
      <c r="D91" s="395"/>
      <c r="E91" s="119"/>
      <c r="F91" s="2321"/>
      <c r="G91" s="2870">
        <v>0</v>
      </c>
      <c r="H91" s="4128" t="s">
        <v>4261</v>
      </c>
      <c r="I91" s="4129"/>
      <c r="J91" s="3808" t="s">
        <v>4262</v>
      </c>
      <c r="K91" s="3809"/>
      <c r="L91" s="3809"/>
      <c r="M91" s="3809"/>
      <c r="N91" s="3810"/>
      <c r="O91" s="3451">
        <v>1</v>
      </c>
    </row>
    <row r="92" spans="2:15" ht="15.75">
      <c r="B92" s="1105">
        <v>1</v>
      </c>
      <c r="D92" s="395"/>
      <c r="E92" s="119"/>
      <c r="F92" s="2321" t="s">
        <v>1063</v>
      </c>
      <c r="G92" s="4081"/>
      <c r="H92" s="4094" t="s">
        <v>3650</v>
      </c>
      <c r="I92" s="4095"/>
      <c r="J92" s="4078" t="s">
        <v>4263</v>
      </c>
      <c r="K92" s="4079"/>
      <c r="L92" s="4079"/>
      <c r="M92" s="4079"/>
      <c r="N92" s="4080"/>
      <c r="O92" s="4105">
        <v>1</v>
      </c>
    </row>
    <row r="93" spans="2:15" ht="57.6" customHeight="1">
      <c r="D93" s="395"/>
      <c r="E93" s="119"/>
      <c r="F93" s="2321"/>
      <c r="G93" s="4082"/>
      <c r="H93" s="4096"/>
      <c r="I93" s="4097"/>
      <c r="J93" s="4089" t="s">
        <v>3661</v>
      </c>
      <c r="K93" s="4090"/>
      <c r="L93" s="4090"/>
      <c r="M93" s="4090"/>
      <c r="N93" s="4091"/>
      <c r="O93" s="4106"/>
    </row>
    <row r="94" spans="2:15" ht="31.15" customHeight="1">
      <c r="D94" s="395"/>
      <c r="E94" s="119"/>
      <c r="F94" s="2321"/>
      <c r="G94" s="3446"/>
      <c r="H94" s="4103" t="s">
        <v>3662</v>
      </c>
      <c r="I94" s="4104"/>
      <c r="J94" s="1170" t="s">
        <v>3663</v>
      </c>
      <c r="K94" s="2676"/>
      <c r="L94" s="2676"/>
      <c r="M94" s="2676"/>
      <c r="N94" s="2677"/>
      <c r="O94" s="2871" t="s">
        <v>1254</v>
      </c>
    </row>
    <row r="95" spans="2:15" ht="21.75" customHeight="1" thickBot="1">
      <c r="B95" s="1105">
        <v>1</v>
      </c>
      <c r="D95" s="395"/>
      <c r="E95" s="119"/>
      <c r="F95" s="2321" t="s">
        <v>1062</v>
      </c>
      <c r="G95" s="2873"/>
      <c r="H95" s="4130" t="s">
        <v>4990</v>
      </c>
      <c r="I95" s="4131"/>
      <c r="J95" s="3951" t="s">
        <v>3638</v>
      </c>
      <c r="K95" s="4107"/>
      <c r="L95" s="4107"/>
      <c r="M95" s="4107"/>
      <c r="N95" s="3952"/>
      <c r="O95" s="3454">
        <v>1</v>
      </c>
    </row>
    <row r="96" spans="2:15" ht="21" customHeight="1">
      <c r="D96" s="395"/>
      <c r="E96" s="119"/>
      <c r="F96" s="2321" t="s">
        <v>1468</v>
      </c>
      <c r="G96" s="2875">
        <f>SUM(G75:G95)</f>
        <v>2</v>
      </c>
      <c r="H96" s="2876" t="s">
        <v>4130</v>
      </c>
      <c r="I96" s="2878"/>
      <c r="J96" s="2877"/>
      <c r="K96" s="2878"/>
      <c r="L96" s="2877"/>
      <c r="M96" s="2878"/>
      <c r="N96" s="2877"/>
      <c r="O96" s="2879">
        <f>SUM(B75:B95)</f>
        <v>8</v>
      </c>
    </row>
    <row r="97" spans="2:15" ht="15.75">
      <c r="D97" s="395"/>
      <c r="E97" s="119"/>
      <c r="F97" s="119"/>
      <c r="G97" s="119"/>
      <c r="H97" s="119"/>
      <c r="I97" s="119"/>
      <c r="J97" s="2322"/>
      <c r="K97" s="119"/>
      <c r="L97" s="119"/>
      <c r="M97" s="119"/>
      <c r="N97" s="119"/>
      <c r="O97" s="119"/>
    </row>
    <row r="98" spans="2:15" ht="21.75" customHeight="1">
      <c r="D98" s="395">
        <v>3.2</v>
      </c>
      <c r="E98" s="13" t="s">
        <v>1628</v>
      </c>
      <c r="F98" s="9"/>
      <c r="G98" s="119"/>
      <c r="H98" s="119"/>
      <c r="I98" s="119"/>
      <c r="J98" s="2322"/>
      <c r="K98" s="119"/>
      <c r="L98" s="119"/>
      <c r="M98" s="119"/>
      <c r="N98" s="119"/>
      <c r="O98" s="119"/>
    </row>
    <row r="99" spans="2:15" ht="15" thickBot="1">
      <c r="D99" s="28"/>
      <c r="E99" s="119"/>
      <c r="F99" s="2655"/>
      <c r="G99" s="2688"/>
      <c r="H99" s="2688"/>
      <c r="I99" s="2752" t="s">
        <v>2629</v>
      </c>
      <c r="J99" s="2864">
        <f>Weight!M119</f>
        <v>0.5</v>
      </c>
      <c r="K99" s="2689"/>
      <c r="L99" s="2689"/>
      <c r="M99" s="2689"/>
      <c r="N99" s="2689"/>
      <c r="O99" s="2744"/>
    </row>
    <row r="100" spans="2:15" ht="27" customHeight="1" thickBot="1">
      <c r="B100" s="1105" t="s">
        <v>1061</v>
      </c>
      <c r="D100" s="395"/>
      <c r="E100" s="13"/>
      <c r="F100" s="2865">
        <f>G121</f>
        <v>3</v>
      </c>
      <c r="G100" s="2774" t="s">
        <v>2619</v>
      </c>
      <c r="H100" s="2697"/>
      <c r="I100" s="2697"/>
      <c r="J100" s="2697"/>
      <c r="K100" s="2697"/>
      <c r="L100" s="2697"/>
      <c r="M100" s="2697"/>
      <c r="N100" s="2697"/>
      <c r="O100" s="2698"/>
    </row>
    <row r="101" spans="2:15" ht="21" customHeight="1">
      <c r="B101" s="1105">
        <v>0</v>
      </c>
      <c r="D101" s="395"/>
      <c r="E101" s="13"/>
      <c r="F101" s="2699" t="str">
        <f>IF(ROUNDDOWN($F$100,0)=$F$2,$H$2,$G$2)</f>
        <v>　Level 1</v>
      </c>
      <c r="G101" s="2814" t="s">
        <v>3665</v>
      </c>
      <c r="H101" s="2808"/>
      <c r="I101" s="2808"/>
      <c r="J101" s="2808"/>
      <c r="K101" s="2808"/>
      <c r="L101" s="2808"/>
      <c r="M101" s="2808"/>
      <c r="N101" s="2808"/>
      <c r="O101" s="2809"/>
    </row>
    <row r="102" spans="2:15" ht="21" customHeight="1">
      <c r="B102" s="1105">
        <v>1</v>
      </c>
      <c r="D102" s="395"/>
      <c r="E102" s="13"/>
      <c r="F102" s="2702" t="str">
        <f>IF(ROUNDDOWN($F$100,0)=$F$3,$H$3,$G$3)</f>
        <v>　Level 2</v>
      </c>
      <c r="G102" s="2789" t="s">
        <v>3666</v>
      </c>
      <c r="H102" s="2776"/>
      <c r="I102" s="2776"/>
      <c r="J102" s="2776"/>
      <c r="K102" s="2776"/>
      <c r="L102" s="2776"/>
      <c r="M102" s="2776"/>
      <c r="N102" s="2776"/>
      <c r="O102" s="2777"/>
    </row>
    <row r="103" spans="2:15" ht="21" customHeight="1">
      <c r="B103" s="1105">
        <v>6</v>
      </c>
      <c r="D103" s="395"/>
      <c r="E103" s="13"/>
      <c r="F103" s="2702" t="str">
        <f>IF(ROUNDDOWN($F$100,0)=$F$4,$H$4,$G$4)</f>
        <v>■Level 3</v>
      </c>
      <c r="G103" s="2789" t="s">
        <v>3667</v>
      </c>
      <c r="H103" s="2776"/>
      <c r="I103" s="2776"/>
      <c r="J103" s="2776"/>
      <c r="K103" s="2776"/>
      <c r="L103" s="2776"/>
      <c r="M103" s="2776"/>
      <c r="N103" s="2776"/>
      <c r="O103" s="2777"/>
    </row>
    <row r="104" spans="2:15" ht="21" customHeight="1">
      <c r="B104" s="1105">
        <v>12</v>
      </c>
      <c r="D104" s="395"/>
      <c r="E104" s="13"/>
      <c r="F104" s="2702" t="str">
        <f>IF(ROUNDDOWN($F$100,0)=$F$5,$H$5,$G$5)</f>
        <v>　Level 4</v>
      </c>
      <c r="G104" s="2789" t="s">
        <v>4264</v>
      </c>
      <c r="H104" s="2776"/>
      <c r="I104" s="2776"/>
      <c r="J104" s="2776"/>
      <c r="K104" s="2776"/>
      <c r="L104" s="2776"/>
      <c r="M104" s="2776"/>
      <c r="N104" s="2776"/>
      <c r="O104" s="2777"/>
    </row>
    <row r="105" spans="2:15" ht="15.6" customHeight="1">
      <c r="B105" s="1105">
        <v>18</v>
      </c>
      <c r="D105" s="395"/>
      <c r="E105" s="13"/>
      <c r="F105" s="2704" t="str">
        <f>IF(ROUNDDOWN($F$100,0)=$F$6,$H$6,$G$6)</f>
        <v>　Level 5</v>
      </c>
      <c r="G105" s="2819" t="s">
        <v>3668</v>
      </c>
      <c r="H105" s="2810"/>
      <c r="I105" s="2810"/>
      <c r="J105" s="2810"/>
      <c r="K105" s="2810"/>
      <c r="L105" s="2810"/>
      <c r="M105" s="2810"/>
      <c r="N105" s="2810"/>
      <c r="O105" s="2811"/>
    </row>
    <row r="106" spans="2:15" ht="15.75">
      <c r="D106" s="395"/>
      <c r="E106" s="13"/>
      <c r="F106" s="2067" t="s">
        <v>3045</v>
      </c>
      <c r="G106" s="2708"/>
      <c r="H106" s="2709"/>
      <c r="I106" s="2709"/>
      <c r="J106" s="2710"/>
      <c r="K106" s="2779" t="s">
        <v>3637</v>
      </c>
    </row>
    <row r="107" spans="2:15">
      <c r="D107" s="1105"/>
      <c r="F107" s="2784" t="s">
        <v>4265</v>
      </c>
      <c r="G107" s="2784" t="s">
        <v>315</v>
      </c>
      <c r="H107" s="3258"/>
    </row>
    <row r="108" spans="2:15" ht="48.75">
      <c r="D108" s="1105"/>
      <c r="F108" s="3455" t="s">
        <v>3002</v>
      </c>
      <c r="H108" s="1529"/>
      <c r="I108" s="3261" t="s">
        <v>2996</v>
      </c>
      <c r="J108" s="3262" t="s">
        <v>2999</v>
      </c>
      <c r="K108" s="3456" t="s">
        <v>3034</v>
      </c>
      <c r="L108" s="3457" t="s">
        <v>3006</v>
      </c>
      <c r="M108" s="3263" t="s">
        <v>3433</v>
      </c>
      <c r="N108" s="3458" t="s">
        <v>3003</v>
      </c>
      <c r="O108" s="3261" t="s">
        <v>3004</v>
      </c>
    </row>
    <row r="109" spans="2:15">
      <c r="D109" s="1105"/>
      <c r="F109" s="2784" t="s">
        <v>2997</v>
      </c>
      <c r="H109" s="3258">
        <f>ROUNDDOWN(I109,2)</f>
        <v>0</v>
      </c>
      <c r="I109" s="3265">
        <f>M109+N109</f>
        <v>0</v>
      </c>
      <c r="J109" s="3265"/>
      <c r="K109" s="3265"/>
      <c r="L109" s="3265"/>
      <c r="M109" s="3265">
        <f>M110</f>
        <v>0</v>
      </c>
      <c r="N109" s="3265">
        <f>N114/$I114</f>
        <v>0</v>
      </c>
      <c r="O109" s="3265"/>
    </row>
    <row r="110" spans="2:15">
      <c r="D110" s="1105"/>
      <c r="F110" s="2784" t="s">
        <v>3001</v>
      </c>
      <c r="H110" s="3258">
        <f>ROUNDDOWN(I110,2)</f>
        <v>0</v>
      </c>
      <c r="I110" s="3265">
        <f>J110+2*K110+1.5*M110</f>
        <v>0</v>
      </c>
      <c r="J110" s="3265">
        <f>J114/$I114</f>
        <v>0</v>
      </c>
      <c r="K110" s="3265">
        <f>K114/$I114</f>
        <v>0</v>
      </c>
      <c r="L110" s="3265"/>
      <c r="M110" s="3265">
        <f>M114/$I114</f>
        <v>0</v>
      </c>
      <c r="N110" s="3265"/>
      <c r="O110" s="3265"/>
    </row>
    <row r="111" spans="2:15">
      <c r="D111" s="1105"/>
      <c r="F111" s="2784" t="s">
        <v>2998</v>
      </c>
      <c r="H111" s="3258">
        <f>ROUNDDOWN(I111,2)</f>
        <v>0</v>
      </c>
      <c r="I111" s="3265">
        <f>O111</f>
        <v>0</v>
      </c>
      <c r="J111" s="3265"/>
      <c r="K111" s="3265"/>
      <c r="L111" s="3265"/>
      <c r="M111" s="3265"/>
      <c r="N111" s="3265"/>
      <c r="O111" s="3265">
        <f>O114/$I114</f>
        <v>0</v>
      </c>
    </row>
    <row r="112" spans="2:15">
      <c r="D112" s="1105"/>
      <c r="F112" s="3791" t="s">
        <v>3000</v>
      </c>
      <c r="H112" s="3258" t="e">
        <f>ROUNDDOWN(I112,2)</f>
        <v>#DIV/0!</v>
      </c>
      <c r="I112" s="3265" t="e">
        <f>J112+K112+L112</f>
        <v>#DIV/0!</v>
      </c>
      <c r="J112" s="3265" t="e">
        <f>J116/$I116</f>
        <v>#DIV/0!</v>
      </c>
      <c r="K112" s="3265" t="e">
        <f>K116/$I116</f>
        <v>#DIV/0!</v>
      </c>
      <c r="L112" s="3265" t="e">
        <f>L116/$I116</f>
        <v>#DIV/0!</v>
      </c>
      <c r="M112" s="3265"/>
      <c r="N112" s="3265"/>
      <c r="O112" s="3265"/>
    </row>
    <row r="113" spans="2:15" ht="45">
      <c r="D113" s="1105"/>
      <c r="I113" s="3266" t="s">
        <v>2995</v>
      </c>
      <c r="J113" s="3266" t="s">
        <v>2992</v>
      </c>
      <c r="K113" s="3457" t="s">
        <v>3434</v>
      </c>
      <c r="L113" s="3457" t="s">
        <v>3435</v>
      </c>
      <c r="M113" s="3263" t="s">
        <v>3436</v>
      </c>
      <c r="N113" s="3458" t="s">
        <v>2993</v>
      </c>
      <c r="O113" s="3266" t="s">
        <v>3005</v>
      </c>
    </row>
    <row r="114" spans="2:15">
      <c r="D114" s="1105"/>
      <c r="G114" s="2784" t="s">
        <v>4266</v>
      </c>
      <c r="H114" s="1516" t="s">
        <v>2994</v>
      </c>
      <c r="I114" s="3459">
        <f>Main!C17</f>
        <v>5000</v>
      </c>
      <c r="J114" s="3268">
        <f>M22</f>
        <v>0</v>
      </c>
      <c r="K114" s="3268"/>
      <c r="L114" s="3459"/>
      <c r="M114" s="3459">
        <f>M21</f>
        <v>0</v>
      </c>
      <c r="N114" s="3268"/>
      <c r="O114" s="3268"/>
    </row>
    <row r="115" spans="2:15" hidden="1">
      <c r="D115" s="1105"/>
      <c r="H115" s="1516"/>
      <c r="I115" s="3460"/>
      <c r="J115" s="3461"/>
      <c r="K115" s="3460"/>
      <c r="L115" s="3460"/>
      <c r="M115" s="3460"/>
      <c r="N115" s="3460"/>
      <c r="O115" s="3460"/>
    </row>
    <row r="116" spans="2:15">
      <c r="D116" s="1105"/>
      <c r="H116" s="1516" t="s">
        <v>3007</v>
      </c>
      <c r="I116" s="3268"/>
      <c r="J116" s="3459">
        <f>O22</f>
        <v>0</v>
      </c>
      <c r="K116" s="3268"/>
      <c r="L116" s="3268"/>
      <c r="M116" s="3459"/>
      <c r="N116" s="3459"/>
      <c r="O116" s="3459"/>
    </row>
    <row r="117" spans="2:15" hidden="1">
      <c r="D117" s="1105"/>
    </row>
    <row r="118" spans="2:15" hidden="1">
      <c r="D118" s="1105"/>
    </row>
    <row r="119" spans="2:15" hidden="1">
      <c r="D119" s="1105"/>
    </row>
    <row r="120" spans="2:15">
      <c r="D120" s="28"/>
      <c r="E120" s="119"/>
      <c r="F120" s="1173" t="s">
        <v>3286</v>
      </c>
      <c r="H120" s="119"/>
    </row>
    <row r="121" spans="2:15" ht="25.5" customHeight="1" thickBot="1">
      <c r="B121" s="1105" t="s">
        <v>1058</v>
      </c>
      <c r="D121" s="395"/>
      <c r="E121" s="119"/>
      <c r="G121" s="2866">
        <f>IF(G139&gt;=B105,5,IF(G139&gt;=B104,4,IF(G139&gt;=B103,3,IF(G139&gt;=B102,2,1))))</f>
        <v>3</v>
      </c>
      <c r="H121" s="2857" t="s">
        <v>3287</v>
      </c>
      <c r="I121" s="2458"/>
      <c r="J121" s="2857" t="s">
        <v>3288</v>
      </c>
      <c r="K121" s="2458"/>
      <c r="L121" s="2458"/>
      <c r="M121" s="2458"/>
      <c r="N121" s="2858"/>
      <c r="O121" s="2867" t="s">
        <v>3300</v>
      </c>
    </row>
    <row r="122" spans="2:15" ht="36" customHeight="1">
      <c r="B122" s="1105">
        <v>2</v>
      </c>
      <c r="F122" s="2321" t="s">
        <v>784</v>
      </c>
      <c r="G122" s="2868">
        <v>2</v>
      </c>
      <c r="H122" s="4094" t="s">
        <v>3675</v>
      </c>
      <c r="I122" s="4095"/>
      <c r="J122" s="3948" t="s">
        <v>3669</v>
      </c>
      <c r="K122" s="3949"/>
      <c r="L122" s="3949"/>
      <c r="M122" s="3949"/>
      <c r="N122" s="3950"/>
      <c r="O122" s="3348">
        <v>2</v>
      </c>
    </row>
    <row r="123" spans="2:15" ht="41.45" customHeight="1">
      <c r="B123" s="1105">
        <v>3</v>
      </c>
      <c r="F123" s="2321" t="s">
        <v>1046</v>
      </c>
      <c r="G123" s="4081"/>
      <c r="H123" s="4100"/>
      <c r="I123" s="4108"/>
      <c r="J123" s="4078" t="s">
        <v>3670</v>
      </c>
      <c r="K123" s="4087"/>
      <c r="L123" s="4087"/>
      <c r="M123" s="4087"/>
      <c r="N123" s="4088"/>
      <c r="O123" s="4083" t="s">
        <v>4178</v>
      </c>
    </row>
    <row r="124" spans="2:15" ht="47.25" customHeight="1">
      <c r="G124" s="4082"/>
      <c r="H124" s="4100"/>
      <c r="I124" s="4108"/>
      <c r="J124" s="4092" t="s">
        <v>3671</v>
      </c>
      <c r="K124" s="4093"/>
      <c r="L124" s="4093"/>
      <c r="M124" s="4093"/>
      <c r="N124" s="3278" t="str">
        <f>F107&amp;"="&amp;H107*100&amp;"%"</f>
        <v>　Open space =0%</v>
      </c>
      <c r="O124" s="4083"/>
    </row>
    <row r="125" spans="2:15" ht="34.5" customHeight="1">
      <c r="B125" s="1105">
        <v>3</v>
      </c>
      <c r="F125" s="2321" t="s">
        <v>786</v>
      </c>
      <c r="G125" s="4081"/>
      <c r="H125" s="4094" t="s">
        <v>3676</v>
      </c>
      <c r="I125" s="4095"/>
      <c r="J125" s="4078" t="s">
        <v>3673</v>
      </c>
      <c r="K125" s="4087"/>
      <c r="L125" s="4087"/>
      <c r="M125" s="4087"/>
      <c r="N125" s="4088"/>
      <c r="O125" s="4083" t="s">
        <v>4178</v>
      </c>
    </row>
    <row r="126" spans="2:15" ht="60" customHeight="1">
      <c r="F126" s="119"/>
      <c r="G126" s="4082"/>
      <c r="H126" s="4096"/>
      <c r="I126" s="4097"/>
      <c r="J126" s="4092" t="s">
        <v>3674</v>
      </c>
      <c r="K126" s="4093"/>
      <c r="L126" s="4093"/>
      <c r="M126" s="4093"/>
      <c r="N126" s="3278" t="str">
        <f>$I$108&amp;"="&amp;H109*100&amp;"%"</f>
        <v>Countermeasure area ratio=0%</v>
      </c>
      <c r="O126" s="4083"/>
    </row>
    <row r="127" spans="2:15" ht="30" customHeight="1">
      <c r="B127" s="1105">
        <v>3</v>
      </c>
      <c r="F127" s="2321" t="s">
        <v>787</v>
      </c>
      <c r="G127" s="4081"/>
      <c r="H127" s="4094" t="s">
        <v>3677</v>
      </c>
      <c r="I127" s="4095"/>
      <c r="J127" s="4078" t="s">
        <v>3672</v>
      </c>
      <c r="K127" s="4087"/>
      <c r="L127" s="4087"/>
      <c r="M127" s="4087"/>
      <c r="N127" s="4088"/>
      <c r="O127" s="4083" t="s">
        <v>4178</v>
      </c>
    </row>
    <row r="128" spans="2:15" ht="75" customHeight="1">
      <c r="G128" s="4082"/>
      <c r="H128" s="4100"/>
      <c r="I128" s="4108"/>
      <c r="J128" s="4092" t="s">
        <v>4059</v>
      </c>
      <c r="K128" s="4093"/>
      <c r="L128" s="4093"/>
      <c r="M128" s="4093"/>
      <c r="N128" s="3278" t="str">
        <f>$I$108&amp;"="&amp;H110*100&amp;"%"</f>
        <v>Countermeasure area ratio=0%</v>
      </c>
      <c r="O128" s="4083"/>
    </row>
    <row r="129" spans="2:15">
      <c r="B129" s="1105">
        <v>3</v>
      </c>
      <c r="F129" s="2321" t="s">
        <v>788</v>
      </c>
      <c r="G129" s="4081"/>
      <c r="H129" s="4100"/>
      <c r="I129" s="4108"/>
      <c r="J129" s="4078" t="s">
        <v>3680</v>
      </c>
      <c r="K129" s="4079"/>
      <c r="L129" s="4079"/>
      <c r="M129" s="4079"/>
      <c r="N129" s="4080"/>
      <c r="O129" s="4083" t="s">
        <v>4178</v>
      </c>
    </row>
    <row r="130" spans="2:15" ht="53.25" customHeight="1">
      <c r="D130" s="395"/>
      <c r="F130" s="2321"/>
      <c r="G130" s="4082"/>
      <c r="H130" s="4096"/>
      <c r="I130" s="4097"/>
      <c r="J130" s="4092" t="s">
        <v>3681</v>
      </c>
      <c r="K130" s="4093"/>
      <c r="L130" s="4093"/>
      <c r="M130" s="4093"/>
      <c r="N130" s="3278" t="str">
        <f>$I$108&amp;"="&amp;H111*100&amp;"%"</f>
        <v>Countermeasure area ratio=0%</v>
      </c>
      <c r="O130" s="4083"/>
    </row>
    <row r="131" spans="2:15" ht="28.15" customHeight="1">
      <c r="B131" s="1105">
        <v>3</v>
      </c>
      <c r="D131" s="395"/>
      <c r="F131" s="2321" t="s">
        <v>789</v>
      </c>
      <c r="G131" s="4081">
        <v>2</v>
      </c>
      <c r="H131" s="4094" t="s">
        <v>3678</v>
      </c>
      <c r="I131" s="4095"/>
      <c r="J131" s="4078" t="s">
        <v>3682</v>
      </c>
      <c r="K131" s="4079"/>
      <c r="L131" s="4079"/>
      <c r="M131" s="4079"/>
      <c r="N131" s="4080"/>
      <c r="O131" s="4083" t="s">
        <v>4267</v>
      </c>
    </row>
    <row r="132" spans="2:15" ht="51" customHeight="1">
      <c r="D132" s="395"/>
      <c r="G132" s="4082"/>
      <c r="H132" s="4100"/>
      <c r="I132" s="4108"/>
      <c r="J132" s="4089" t="s">
        <v>3683</v>
      </c>
      <c r="K132" s="4090"/>
      <c r="L132" s="4090"/>
      <c r="M132" s="4090"/>
      <c r="N132" s="4091"/>
      <c r="O132" s="4083"/>
    </row>
    <row r="133" spans="2:15" ht="15.75">
      <c r="B133" s="1105">
        <v>3</v>
      </c>
      <c r="D133" s="395"/>
      <c r="F133" s="2321" t="s">
        <v>790</v>
      </c>
      <c r="G133" s="4081"/>
      <c r="H133" s="4100"/>
      <c r="I133" s="4108"/>
      <c r="J133" s="4078" t="s">
        <v>3684</v>
      </c>
      <c r="K133" s="4079"/>
      <c r="L133" s="4079"/>
      <c r="M133" s="4079"/>
      <c r="N133" s="4080"/>
      <c r="O133" s="4083" t="s">
        <v>4178</v>
      </c>
    </row>
    <row r="134" spans="2:15" ht="61.15" customHeight="1">
      <c r="D134" s="395"/>
      <c r="G134" s="4082"/>
      <c r="H134" s="4096"/>
      <c r="I134" s="4097"/>
      <c r="J134" s="4092" t="s">
        <v>4268</v>
      </c>
      <c r="K134" s="4093"/>
      <c r="L134" s="4093"/>
      <c r="M134" s="4093"/>
      <c r="N134" s="3278" t="e">
        <f>$I$108&amp;"="&amp;H112*100&amp;"%"</f>
        <v>#DIV/0!</v>
      </c>
      <c r="O134" s="4083"/>
    </row>
    <row r="135" spans="2:15" ht="30.75" customHeight="1">
      <c r="B135" s="1105">
        <v>2</v>
      </c>
      <c r="D135" s="395"/>
      <c r="F135" s="2321" t="s">
        <v>791</v>
      </c>
      <c r="G135" s="4081">
        <v>2</v>
      </c>
      <c r="H135" s="4094" t="s">
        <v>3679</v>
      </c>
      <c r="I135" s="4095"/>
      <c r="J135" s="4078" t="s">
        <v>3685</v>
      </c>
      <c r="K135" s="4079"/>
      <c r="L135" s="4079"/>
      <c r="M135" s="4079"/>
      <c r="N135" s="4080"/>
      <c r="O135" s="4109" t="s">
        <v>4177</v>
      </c>
    </row>
    <row r="136" spans="2:15" ht="76.900000000000006" customHeight="1">
      <c r="D136" s="395"/>
      <c r="G136" s="4082"/>
      <c r="H136" s="4100"/>
      <c r="I136" s="4108"/>
      <c r="J136" s="4089" t="s">
        <v>3686</v>
      </c>
      <c r="K136" s="4090"/>
      <c r="L136" s="4090"/>
      <c r="M136" s="4090"/>
      <c r="N136" s="4091"/>
      <c r="O136" s="4110"/>
    </row>
    <row r="137" spans="2:15" ht="27.75" customHeight="1">
      <c r="B137" s="1105">
        <v>2</v>
      </c>
      <c r="D137" s="395"/>
      <c r="F137" s="2321" t="s">
        <v>792</v>
      </c>
      <c r="G137" s="4081"/>
      <c r="H137" s="4100"/>
      <c r="I137" s="4108"/>
      <c r="J137" s="4078" t="s">
        <v>3687</v>
      </c>
      <c r="K137" s="4079"/>
      <c r="L137" s="4079"/>
      <c r="M137" s="4079"/>
      <c r="N137" s="4080"/>
      <c r="O137" s="4109" t="s">
        <v>4177</v>
      </c>
    </row>
    <row r="138" spans="2:15" ht="53.25" customHeight="1" thickBot="1">
      <c r="D138" s="395"/>
      <c r="F138" s="2321"/>
      <c r="G138" s="4112"/>
      <c r="H138" s="4096"/>
      <c r="I138" s="4097"/>
      <c r="J138" s="4089" t="s">
        <v>3688</v>
      </c>
      <c r="K138" s="4090"/>
      <c r="L138" s="4090"/>
      <c r="M138" s="4090"/>
      <c r="N138" s="4091"/>
      <c r="O138" s="4111"/>
    </row>
    <row r="139" spans="2:15" ht="21" customHeight="1">
      <c r="E139" s="119"/>
      <c r="F139" s="2321" t="s">
        <v>1468</v>
      </c>
      <c r="G139" s="2875">
        <f>SUM(G122:G138)</f>
        <v>6</v>
      </c>
      <c r="H139" s="2876" t="s">
        <v>4130</v>
      </c>
      <c r="I139" s="2877"/>
      <c r="J139" s="2877"/>
      <c r="K139" s="2878"/>
      <c r="L139" s="2877"/>
      <c r="M139" s="2878"/>
      <c r="N139" s="2877"/>
      <c r="O139" s="2879">
        <f>SUM(B122:B138)</f>
        <v>24</v>
      </c>
    </row>
    <row r="140" spans="2:15"/>
    <row r="141" spans="2:15" ht="13.5" hidden="1" customHeight="1"/>
    <row r="142" spans="2:15" ht="13.5" hidden="1" customHeight="1"/>
    <row r="143" spans="2:15" ht="13.5" hidden="1" customHeight="1"/>
    <row r="144" spans="2:15" ht="13.5" hidden="1" customHeight="1"/>
    <row r="289"/>
    <row r="290"/>
    <row r="291"/>
    <row r="292"/>
    <row r="304"/>
    <row r="305"/>
    <row r="306"/>
    <row r="307"/>
    <row r="308"/>
    <row r="309"/>
    <row r="310"/>
    <row r="311"/>
    <row r="312"/>
    <row r="313"/>
    <row r="314"/>
    <row r="315"/>
    <row r="316"/>
    <row r="317"/>
    <row r="318"/>
    <row r="319"/>
    <row r="320"/>
    <row r="321"/>
    <row r="322"/>
    <row r="323"/>
    <row r="324"/>
    <row r="325"/>
    <row r="326"/>
    <row r="327"/>
    <row r="328"/>
    <row r="329"/>
    <row r="330"/>
    <row r="331"/>
    <row r="332"/>
    <row r="333"/>
  </sheetData>
  <sheetProtection algorithmName="SHA-512" hashValue="fK7ReodaliqFYGRi81PXH5WSoY12iBgVfVS831ndNyTJb52aGH2mauYYNZdPBk6ZfEaOoilSnLn7MgYzahvTJQ==" saltValue="StiQhqvYF30ik+uunuWOiQ==" spinCount="100000" sheet="1" objects="1" scenarios="1"/>
  <mergeCells count="112">
    <mergeCell ref="G15:O15"/>
    <mergeCell ref="G16:O16"/>
    <mergeCell ref="G17:O17"/>
    <mergeCell ref="G18:O18"/>
    <mergeCell ref="J32:N32"/>
    <mergeCell ref="J34:N34"/>
    <mergeCell ref="J35:N35"/>
    <mergeCell ref="J36:N36"/>
    <mergeCell ref="J39:N39"/>
    <mergeCell ref="H36:I39"/>
    <mergeCell ref="H25:I25"/>
    <mergeCell ref="O28:O29"/>
    <mergeCell ref="J25:N25"/>
    <mergeCell ref="J26:N26"/>
    <mergeCell ref="H28:I31"/>
    <mergeCell ref="G28:G29"/>
    <mergeCell ref="G30:G31"/>
    <mergeCell ref="J30:N30"/>
    <mergeCell ref="J28:N28"/>
    <mergeCell ref="O30:O31"/>
    <mergeCell ref="J29:M29"/>
    <mergeCell ref="J31:M31"/>
    <mergeCell ref="H26:I27"/>
    <mergeCell ref="O125:O126"/>
    <mergeCell ref="J83:N83"/>
    <mergeCell ref="H91:I91"/>
    <mergeCell ref="J91:N91"/>
    <mergeCell ref="J88:N88"/>
    <mergeCell ref="J125:N125"/>
    <mergeCell ref="H95:I95"/>
    <mergeCell ref="G77:G78"/>
    <mergeCell ref="G79:G81"/>
    <mergeCell ref="G84:G86"/>
    <mergeCell ref="H84:I86"/>
    <mergeCell ref="O84:O86"/>
    <mergeCell ref="J85:N85"/>
    <mergeCell ref="J86:N86"/>
    <mergeCell ref="O79:O81"/>
    <mergeCell ref="J80:N80"/>
    <mergeCell ref="J81:N81"/>
    <mergeCell ref="G82:G83"/>
    <mergeCell ref="O82:O83"/>
    <mergeCell ref="H79:I83"/>
    <mergeCell ref="J40:N40"/>
    <mergeCell ref="J55:N55"/>
    <mergeCell ref="H75:I78"/>
    <mergeCell ref="J75:N75"/>
    <mergeCell ref="J78:N78"/>
    <mergeCell ref="H57:I57"/>
    <mergeCell ref="H40:I40"/>
    <mergeCell ref="H32:I35"/>
    <mergeCell ref="H59:I59"/>
    <mergeCell ref="G50:O50"/>
    <mergeCell ref="J58:N58"/>
    <mergeCell ref="G52:O52"/>
    <mergeCell ref="J57:N57"/>
    <mergeCell ref="H58:I58"/>
    <mergeCell ref="H55:I55"/>
    <mergeCell ref="H56:I56"/>
    <mergeCell ref="J59:N59"/>
    <mergeCell ref="J76:N76"/>
    <mergeCell ref="O75:O76"/>
    <mergeCell ref="O77:O78"/>
    <mergeCell ref="G75:G76"/>
    <mergeCell ref="H135:I138"/>
    <mergeCell ref="J135:N135"/>
    <mergeCell ref="J138:N138"/>
    <mergeCell ref="H122:I124"/>
    <mergeCell ref="H127:I130"/>
    <mergeCell ref="G129:G130"/>
    <mergeCell ref="O129:O130"/>
    <mergeCell ref="G131:G132"/>
    <mergeCell ref="H131:I134"/>
    <mergeCell ref="J131:N131"/>
    <mergeCell ref="O131:O132"/>
    <mergeCell ref="J132:N132"/>
    <mergeCell ref="G133:G134"/>
    <mergeCell ref="J133:N133"/>
    <mergeCell ref="O133:O134"/>
    <mergeCell ref="G125:G126"/>
    <mergeCell ref="J130:M130"/>
    <mergeCell ref="J134:M134"/>
    <mergeCell ref="J136:N136"/>
    <mergeCell ref="J137:N137"/>
    <mergeCell ref="O135:O136"/>
    <mergeCell ref="O137:O138"/>
    <mergeCell ref="G137:G138"/>
    <mergeCell ref="G135:G136"/>
    <mergeCell ref="J129:N129"/>
    <mergeCell ref="G123:G124"/>
    <mergeCell ref="O127:O128"/>
    <mergeCell ref="O87:O90"/>
    <mergeCell ref="J127:N127"/>
    <mergeCell ref="J89:N89"/>
    <mergeCell ref="J90:N90"/>
    <mergeCell ref="J126:M126"/>
    <mergeCell ref="J124:M124"/>
    <mergeCell ref="J122:N122"/>
    <mergeCell ref="H125:I126"/>
    <mergeCell ref="G87:G90"/>
    <mergeCell ref="H87:I90"/>
    <mergeCell ref="G92:G93"/>
    <mergeCell ref="H92:I93"/>
    <mergeCell ref="J92:N92"/>
    <mergeCell ref="J93:N93"/>
    <mergeCell ref="H94:I94"/>
    <mergeCell ref="O92:O93"/>
    <mergeCell ref="J128:M128"/>
    <mergeCell ref="J95:N95"/>
    <mergeCell ref="J123:N123"/>
    <mergeCell ref="G127:G128"/>
    <mergeCell ref="O123:O124"/>
  </mergeCells>
  <phoneticPr fontId="26"/>
  <printOptions horizontalCentered="1"/>
  <pageMargins left="0.59055118110236227" right="0.59055118110236227" top="0.78740157480314965" bottom="0.59055118110236227" header="0.51181102362204722" footer="0.51181102362204722"/>
  <pageSetup paperSize="9" scale="79" fitToHeight="0" orientation="portrait" verticalDpi="4294967293" r:id="rId1"/>
  <headerFooter alignWithMargins="0">
    <oddHeader>&amp;L&amp;F&amp;R&amp;A</oddHeader>
    <oddFooter>&amp;C&amp;P/&amp;N</oddFooter>
  </headerFooter>
  <rowBreaks count="4" manualBreakCount="4">
    <brk id="42" max="16383" man="1"/>
    <brk id="62" max="16383" man="1"/>
    <brk id="97" max="16383" man="1"/>
    <brk id="134" max="14" man="1"/>
  </rowBreaks>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0">
    <pageSetUpPr autoPageBreaks="0" fitToPage="1"/>
  </sheetPr>
  <dimension ref="A1:IV388"/>
  <sheetViews>
    <sheetView showGridLines="0" topLeftCell="A24" zoomScaleNormal="100" workbookViewId="0">
      <selection activeCell="G31" sqref="G31"/>
    </sheetView>
  </sheetViews>
  <sheetFormatPr defaultColWidth="0" defaultRowHeight="14.25" zeroHeight="1"/>
  <cols>
    <col min="1" max="1" width="2.5" style="1105" customWidth="1"/>
    <col min="2" max="2" width="12.25" style="1105" hidden="1" customWidth="1"/>
    <col min="3" max="3" width="6.625" style="1105" hidden="1" customWidth="1"/>
    <col min="4" max="4" width="4.875" style="2687" customWidth="1"/>
    <col min="5" max="5" width="1.375" style="1105" customWidth="1"/>
    <col min="6" max="15" width="10.625" style="1105" customWidth="1"/>
    <col min="16" max="16" width="1.625" style="1105" customWidth="1"/>
    <col min="17" max="35" width="11.375" style="1105" hidden="1" customWidth="1"/>
    <col min="36" max="256" width="0" style="1105" hidden="1" customWidth="1"/>
    <col min="257" max="16384" width="9" style="1105" hidden="1"/>
  </cols>
  <sheetData>
    <row r="1" spans="2:15" ht="15.75">
      <c r="D1" s="393"/>
      <c r="E1" s="1529"/>
      <c r="F1" s="1529"/>
      <c r="G1" s="1529"/>
      <c r="H1" s="1529"/>
      <c r="I1" s="1529"/>
      <c r="J1" s="1529"/>
      <c r="K1" s="1529"/>
      <c r="L1" s="1529"/>
      <c r="M1" s="1516" t="s">
        <v>1517</v>
      </c>
      <c r="N1" s="2564" t="str">
        <f>Main!C11</f>
        <v>XXX Building</v>
      </c>
      <c r="O1" s="2564"/>
    </row>
    <row r="2" spans="2:15" ht="15.75" hidden="1">
      <c r="D2" s="395"/>
      <c r="E2" s="119"/>
      <c r="F2" s="1105">
        <v>1</v>
      </c>
      <c r="G2" s="1105" t="s">
        <v>4133</v>
      </c>
      <c r="H2" s="1105" t="s">
        <v>4134</v>
      </c>
      <c r="I2" s="119"/>
      <c r="J2" s="119"/>
      <c r="K2" s="119"/>
      <c r="L2" s="119"/>
      <c r="M2" s="119"/>
      <c r="N2" s="119"/>
      <c r="O2" s="119"/>
    </row>
    <row r="3" spans="2:15" ht="15.75" hidden="1">
      <c r="D3" s="395"/>
      <c r="E3" s="119"/>
      <c r="F3" s="1105">
        <v>2</v>
      </c>
      <c r="G3" s="1105" t="s">
        <v>4135</v>
      </c>
      <c r="H3" s="1105" t="s">
        <v>4136</v>
      </c>
      <c r="I3" s="119"/>
      <c r="J3" s="119"/>
      <c r="K3" s="1105" t="s">
        <v>4132</v>
      </c>
      <c r="L3" s="1105" t="s">
        <v>2829</v>
      </c>
      <c r="M3" s="1105" t="s">
        <v>2418</v>
      </c>
      <c r="N3" s="1105" t="s">
        <v>2832</v>
      </c>
      <c r="O3" s="1105" t="str">
        <f>Main!I37</f>
        <v>Preliminary design stage</v>
      </c>
    </row>
    <row r="4" spans="2:15" ht="15.75" hidden="1">
      <c r="D4" s="395"/>
      <c r="E4" s="119"/>
      <c r="F4" s="1105">
        <v>3</v>
      </c>
      <c r="G4" s="1105" t="s">
        <v>4137</v>
      </c>
      <c r="H4" s="1105" t="s">
        <v>4138</v>
      </c>
      <c r="I4" s="119"/>
      <c r="J4" s="119"/>
      <c r="K4" s="119"/>
      <c r="N4" s="1105" t="s">
        <v>2833</v>
      </c>
      <c r="O4" s="1105" t="str">
        <f>Main!I38</f>
        <v>Execution design stage</v>
      </c>
    </row>
    <row r="5" spans="2:15" ht="15.75" hidden="1">
      <c r="D5" s="395"/>
      <c r="E5" s="119"/>
      <c r="F5" s="1105">
        <v>4</v>
      </c>
      <c r="G5" s="1105" t="s">
        <v>4139</v>
      </c>
      <c r="H5" s="1105" t="s">
        <v>4140</v>
      </c>
      <c r="I5" s="119"/>
      <c r="J5" s="119"/>
      <c r="K5" s="119"/>
      <c r="O5" s="1105" t="str">
        <f>Main!I39</f>
        <v>Construction completion stage</v>
      </c>
    </row>
    <row r="6" spans="2:15" ht="15.75" hidden="1">
      <c r="D6" s="395"/>
      <c r="E6" s="119"/>
      <c r="F6" s="1105">
        <v>5</v>
      </c>
      <c r="G6" s="1105" t="s">
        <v>4141</v>
      </c>
      <c r="H6" s="1105" t="s">
        <v>4142</v>
      </c>
      <c r="I6" s="119"/>
      <c r="J6" s="119"/>
      <c r="K6" s="119"/>
      <c r="L6" s="119"/>
      <c r="M6" s="119" t="s">
        <v>2418</v>
      </c>
      <c r="N6" s="119"/>
      <c r="O6" s="119"/>
    </row>
    <row r="7" spans="2:15" ht="15.75" hidden="1">
      <c r="D7" s="395"/>
      <c r="E7" s="119"/>
      <c r="F7" s="1105">
        <v>0</v>
      </c>
      <c r="G7" s="1105" t="s">
        <v>4143</v>
      </c>
      <c r="H7" s="1105" t="s">
        <v>4143</v>
      </c>
      <c r="I7" s="119"/>
      <c r="J7" s="119"/>
      <c r="K7" s="119"/>
      <c r="L7" s="119"/>
      <c r="M7" s="119" t="s">
        <v>2831</v>
      </c>
      <c r="N7" s="119"/>
      <c r="O7" s="119"/>
    </row>
    <row r="8" spans="2:15" ht="16.5" thickBot="1">
      <c r="D8" s="395"/>
      <c r="E8" s="119"/>
      <c r="F8" s="119"/>
      <c r="G8" s="119"/>
      <c r="H8" s="119"/>
      <c r="I8" s="119"/>
      <c r="J8" s="119"/>
      <c r="K8" s="119"/>
      <c r="L8" s="119"/>
      <c r="M8" s="119"/>
      <c r="N8" s="119"/>
      <c r="O8" s="119"/>
    </row>
    <row r="9" spans="2:15" ht="18.75" thickBot="1">
      <c r="D9" s="409" t="s">
        <v>3692</v>
      </c>
      <c r="E9" s="119"/>
      <c r="F9" s="119"/>
      <c r="G9" s="119"/>
      <c r="I9" s="2686"/>
      <c r="J9" s="53" t="s">
        <v>2520</v>
      </c>
      <c r="K9" s="28"/>
      <c r="L9" s="28"/>
      <c r="M9" s="119"/>
      <c r="N9" s="119"/>
      <c r="O9" s="2567" t="str">
        <f>IF(Main!E39=0,"",Main!E39)</f>
        <v>Execution design stage</v>
      </c>
    </row>
    <row r="10" spans="2:15" ht="15.75">
      <c r="D10" s="395"/>
      <c r="E10" s="119"/>
      <c r="F10" s="119"/>
      <c r="G10" s="119"/>
      <c r="H10" s="119"/>
      <c r="I10" s="119"/>
      <c r="J10" s="2568"/>
      <c r="K10" s="119"/>
      <c r="L10" s="119"/>
      <c r="M10" s="119"/>
      <c r="N10" s="119"/>
      <c r="O10" s="2569" t="s">
        <v>3044</v>
      </c>
    </row>
    <row r="11" spans="2:15" ht="15.75">
      <c r="D11" s="393">
        <v>1</v>
      </c>
      <c r="E11" s="13" t="s">
        <v>2406</v>
      </c>
      <c r="F11" s="13"/>
      <c r="O11" s="1105" t="str">
        <f>IF(OR(F21=0,AND(K21=0,O21=0)),$L$3,"")</f>
        <v/>
      </c>
    </row>
    <row r="12" spans="2:15" ht="15.75" hidden="1" thickBot="1">
      <c r="B12" s="1105" t="s">
        <v>4200</v>
      </c>
      <c r="D12" s="562"/>
      <c r="E12" s="3284"/>
      <c r="F12" s="3220"/>
      <c r="G12" s="2688"/>
      <c r="H12" s="2689"/>
      <c r="I12" s="2690" t="s">
        <v>2629</v>
      </c>
      <c r="J12" s="3221">
        <f>Weight!M113</f>
        <v>0.3</v>
      </c>
      <c r="K12" s="2764"/>
      <c r="L12" s="2764"/>
      <c r="M12" s="2764"/>
      <c r="N12" s="2764"/>
      <c r="O12" s="2766"/>
    </row>
    <row r="13" spans="2:15" ht="15.75" hidden="1" thickBot="1">
      <c r="B13" s="3314">
        <v>0</v>
      </c>
      <c r="D13" s="562"/>
      <c r="E13" s="3284"/>
      <c r="F13" s="2656">
        <v>3</v>
      </c>
      <c r="G13" s="2697" t="s">
        <v>4269</v>
      </c>
      <c r="H13" s="2697"/>
      <c r="I13" s="2697"/>
      <c r="J13" s="2697"/>
      <c r="K13" s="2697"/>
      <c r="L13" s="2697"/>
      <c r="M13" s="2753"/>
      <c r="N13" s="3462"/>
      <c r="O13" s="2698"/>
    </row>
    <row r="14" spans="2:15" ht="15" hidden="1">
      <c r="B14" s="2014" t="s">
        <v>211</v>
      </c>
      <c r="C14" s="2014">
        <v>1</v>
      </c>
      <c r="D14" s="562"/>
      <c r="E14" s="3284"/>
      <c r="F14" s="3463"/>
      <c r="G14" s="3464" t="s">
        <v>4270</v>
      </c>
      <c r="H14" s="3464"/>
      <c r="I14" s="4161" t="s">
        <v>4271</v>
      </c>
      <c r="J14" s="4162"/>
      <c r="K14" s="4161" t="s">
        <v>4272</v>
      </c>
      <c r="L14" s="4162"/>
      <c r="M14" s="3465"/>
      <c r="N14" s="3466"/>
      <c r="O14" s="3467"/>
    </row>
    <row r="15" spans="2:15" ht="15" hidden="1">
      <c r="B15" s="2014">
        <v>2</v>
      </c>
      <c r="C15" s="2014">
        <v>3</v>
      </c>
      <c r="D15" s="562"/>
      <c r="E15" s="3284"/>
      <c r="F15" s="3468" t="str">
        <f>IF(F13=$F$7,$G$2,IF(ROUNDDOWN(F13,0)=$F$2,$H$2,$G$2))</f>
        <v>　Level 1</v>
      </c>
      <c r="G15" s="1170" t="s">
        <v>3135</v>
      </c>
      <c r="H15" s="2700"/>
      <c r="I15" s="1170" t="s">
        <v>3135</v>
      </c>
      <c r="J15" s="2700"/>
      <c r="K15" s="1170" t="s">
        <v>3135</v>
      </c>
      <c r="L15" s="2700"/>
      <c r="M15" s="3948"/>
      <c r="N15" s="4029"/>
      <c r="O15" s="3969"/>
    </row>
    <row r="16" spans="2:15" ht="15" hidden="1">
      <c r="B16" s="2014">
        <v>3</v>
      </c>
      <c r="C16" s="2014">
        <v>3</v>
      </c>
      <c r="D16" s="562"/>
      <c r="E16" s="3284"/>
      <c r="F16" s="3469" t="str">
        <f>IF(F13=$F$7,$G$3,IF(ROUNDDOWN(F13,0)=$F$3,$H$3,$G$3))</f>
        <v>　Level 2</v>
      </c>
      <c r="G16" s="1170" t="s">
        <v>4273</v>
      </c>
      <c r="H16" s="2333"/>
      <c r="I16" s="1170" t="s">
        <v>4273</v>
      </c>
      <c r="J16" s="2333"/>
      <c r="K16" s="1170" t="s">
        <v>4273</v>
      </c>
      <c r="L16" s="2333"/>
      <c r="M16" s="3808"/>
      <c r="N16" s="3928"/>
      <c r="O16" s="3929"/>
    </row>
    <row r="17" spans="2:256" ht="15" hidden="1">
      <c r="B17" s="2014">
        <v>4</v>
      </c>
      <c r="C17" s="2014">
        <v>4</v>
      </c>
      <c r="D17" s="562"/>
      <c r="E17" s="3284"/>
      <c r="F17" s="3469" t="str">
        <f>IF(F13=$F$7,$G$4,IF(ROUNDDOWN(F13,0)=$F$4,$H$4,$G$4))</f>
        <v>■Level 3</v>
      </c>
      <c r="G17" s="3808" t="s">
        <v>4274</v>
      </c>
      <c r="H17" s="3944"/>
      <c r="I17" s="3808" t="s">
        <v>4275</v>
      </c>
      <c r="J17" s="3944"/>
      <c r="K17" s="3808" t="s">
        <v>4276</v>
      </c>
      <c r="L17" s="3944"/>
      <c r="M17" s="3808"/>
      <c r="N17" s="3928"/>
      <c r="O17" s="3929"/>
    </row>
    <row r="18" spans="2:256" ht="15" hidden="1">
      <c r="B18" s="2014">
        <v>5</v>
      </c>
      <c r="C18" s="2014">
        <v>5</v>
      </c>
      <c r="D18" s="562"/>
      <c r="E18" s="3284"/>
      <c r="F18" s="3469" t="str">
        <f>IF(F13=$F$7,$G$5,IF(ROUNDDOWN(F13,0)=$F$5,$H$5,$G$5))</f>
        <v>　Level 4</v>
      </c>
      <c r="G18" s="3808" t="s">
        <v>4277</v>
      </c>
      <c r="H18" s="3944"/>
      <c r="I18" s="3808" t="s">
        <v>4278</v>
      </c>
      <c r="J18" s="3944"/>
      <c r="K18" s="3808" t="s">
        <v>4279</v>
      </c>
      <c r="L18" s="3944"/>
      <c r="M18" s="3808"/>
      <c r="N18" s="3809"/>
      <c r="O18" s="3810"/>
    </row>
    <row r="19" spans="2:256" ht="15" hidden="1">
      <c r="B19" s="2707">
        <v>0</v>
      </c>
      <c r="C19" s="2707">
        <v>0</v>
      </c>
      <c r="D19" s="562"/>
      <c r="E19" s="3284"/>
      <c r="F19" s="3470" t="str">
        <f>IF(F13=$F$7,$G$6,IF(ROUNDDOWN(F13,0)=$F$6,$H$6,$G$6))</f>
        <v>　Level 5</v>
      </c>
      <c r="G19" s="3808" t="s">
        <v>4280</v>
      </c>
      <c r="H19" s="3944"/>
      <c r="I19" s="3808" t="s">
        <v>4280</v>
      </c>
      <c r="J19" s="3944"/>
      <c r="K19" s="3808" t="s">
        <v>4281</v>
      </c>
      <c r="L19" s="3944"/>
      <c r="M19" s="3937"/>
      <c r="N19" s="3931"/>
      <c r="O19" s="3932"/>
    </row>
    <row r="20" spans="2:256" ht="15">
      <c r="D20" s="562"/>
      <c r="E20" s="3284"/>
      <c r="F20" s="3471" t="s">
        <v>3689</v>
      </c>
      <c r="G20" s="3220"/>
      <c r="H20" s="2689"/>
      <c r="I20" s="2690" t="s">
        <v>2629</v>
      </c>
      <c r="J20" s="3221">
        <f>Weight!M123</f>
        <v>0.2</v>
      </c>
      <c r="K20" s="2764"/>
      <c r="L20" s="2764"/>
      <c r="M20" s="3472"/>
      <c r="N20" s="3473"/>
      <c r="O20" s="3474"/>
    </row>
    <row r="21" spans="2:256" ht="15">
      <c r="D21" s="562"/>
      <c r="E21" s="1529"/>
      <c r="F21" s="4193">
        <f>ROUNDDOWN(ENcalc!H15,1)</f>
        <v>3</v>
      </c>
      <c r="G21" s="4193">
        <f>ENcalc!J12</f>
        <v>3.0000000000000018</v>
      </c>
      <c r="H21" s="3462" t="s">
        <v>2917</v>
      </c>
      <c r="I21" s="3462"/>
      <c r="J21" s="3462"/>
      <c r="K21" s="3475">
        <f>ENcalc!G12</f>
        <v>7000</v>
      </c>
      <c r="L21" s="4163">
        <f>ENcalc!J13</f>
        <v>1</v>
      </c>
      <c r="M21" s="3476"/>
      <c r="N21" s="3477"/>
      <c r="O21" s="3478">
        <f>Main!C67</f>
        <v>0</v>
      </c>
    </row>
    <row r="22" spans="2:256" ht="15.75" customHeight="1">
      <c r="D22" s="562"/>
      <c r="E22" s="1529"/>
      <c r="F22" s="4194"/>
      <c r="G22" s="4194"/>
      <c r="H22" s="3479" t="s">
        <v>3690</v>
      </c>
      <c r="I22" s="3479"/>
      <c r="J22" s="3480" t="s">
        <v>3691</v>
      </c>
      <c r="K22" s="3481"/>
      <c r="L22" s="4164"/>
      <c r="M22" s="3482" t="s">
        <v>2433</v>
      </c>
      <c r="N22" s="3483"/>
      <c r="O22" s="3484"/>
    </row>
    <row r="23" spans="2:256" ht="29.45" customHeight="1">
      <c r="B23" s="2014">
        <v>1</v>
      </c>
      <c r="C23" s="2014">
        <v>1</v>
      </c>
      <c r="D23" s="562"/>
      <c r="E23" s="1529"/>
      <c r="F23" s="3485" t="str">
        <f>IF(F21=$F$7,$G$2,IF(ROUNDDOWN(F21,0)=$F$2,$H$2,$G$2))</f>
        <v>　Level 1</v>
      </c>
      <c r="G23" s="3485" t="str">
        <f>IF(G21=$F$7,$G$2,IF(ROUNDDOWN(G21,0)=$F$2,$H$2,$G$2))</f>
        <v>　Level 1</v>
      </c>
      <c r="H23" s="4195" t="s">
        <v>4282</v>
      </c>
      <c r="I23" s="4196"/>
      <c r="J23" s="4195" t="s">
        <v>4283</v>
      </c>
      <c r="K23" s="4196"/>
      <c r="L23" s="3485" t="str">
        <f>IF(L21=$F$7,$G$2,IF(ROUNDDOWN(L21,0)=$F$2,$H$2,$G$2))</f>
        <v>■Level 1</v>
      </c>
      <c r="M23" s="4170" t="s">
        <v>2666</v>
      </c>
      <c r="N23" s="4171"/>
      <c r="O23" s="4172"/>
    </row>
    <row r="24" spans="2:256" ht="47.45" customHeight="1">
      <c r="B24" s="2014">
        <v>2</v>
      </c>
      <c r="C24" s="2014">
        <v>2</v>
      </c>
      <c r="D24" s="562"/>
      <c r="E24" s="1529"/>
      <c r="F24" s="3486" t="str">
        <f>IF(F21=$F$7,$G$3,IF(ROUNDDOWN(F21,0)=$F$3,$H$3,$G$3))</f>
        <v>　Level 2</v>
      </c>
      <c r="G24" s="3486" t="str">
        <f>IF(G21=$F$7,$G$3,IF(ROUNDDOWN(G21,0)=$F$3,$H$3,$G$3))</f>
        <v>　Level 2</v>
      </c>
      <c r="H24" s="4197"/>
      <c r="I24" s="4198"/>
      <c r="J24" s="4197"/>
      <c r="K24" s="4198"/>
      <c r="L24" s="3486" t="str">
        <f>IF(L21=$F$7,$G$3,IF(ROUNDDOWN(L21,0)=$F$3,$H$3,$G$3))</f>
        <v>　Level 2</v>
      </c>
      <c r="M24" s="4007" t="s">
        <v>2667</v>
      </c>
      <c r="N24" s="3928"/>
      <c r="O24" s="3929"/>
    </row>
    <row r="25" spans="2:256" ht="47.45" customHeight="1">
      <c r="B25" s="2014">
        <v>3</v>
      </c>
      <c r="C25" s="2014">
        <v>3</v>
      </c>
      <c r="D25" s="562"/>
      <c r="E25" s="1529"/>
      <c r="F25" s="3486" t="str">
        <f>IF(F21=$F$7,$G$4,IF(ROUNDDOWN(F21,0)=$F$4,$H$4,$G$4))</f>
        <v>■Level 3</v>
      </c>
      <c r="G25" s="3486" t="str">
        <f>IF(G21=$F$7,$G$4,IF(ROUNDDOWN(G21,0)=$F$4,$H$4,$G$4))</f>
        <v>■Level 3</v>
      </c>
      <c r="H25" s="4197"/>
      <c r="I25" s="4198"/>
      <c r="J25" s="4197"/>
      <c r="K25" s="4198"/>
      <c r="L25" s="3486" t="str">
        <f>IF(L21=$F$7,$G$4,IF(ROUNDDOWN(L21,0)=$F$4,$H$4,$G$4))</f>
        <v>　Level 3</v>
      </c>
      <c r="M25" s="4007" t="s">
        <v>2668</v>
      </c>
      <c r="N25" s="4165"/>
      <c r="O25" s="4166"/>
    </row>
    <row r="26" spans="2:256" ht="47.45" customHeight="1">
      <c r="B26" s="2014">
        <v>4</v>
      </c>
      <c r="C26" s="2014">
        <v>4</v>
      </c>
      <c r="D26" s="395"/>
      <c r="E26" s="395"/>
      <c r="F26" s="3486" t="str">
        <f>IF(F21=$F$7,$G$5,IF(ROUNDDOWN(F21,0)=$F$5,$H$5,$G$5))</f>
        <v>　Level 4</v>
      </c>
      <c r="G26" s="3486" t="str">
        <f>IF(G21=$F$7,$G$5,IF(ROUNDDOWN(G21,0)=$F$5,$H$5,$G$5))</f>
        <v>　Level 4</v>
      </c>
      <c r="H26" s="4197"/>
      <c r="I26" s="4198"/>
      <c r="J26" s="4197"/>
      <c r="K26" s="4198"/>
      <c r="L26" s="3486" t="str">
        <f>IF(L21=$F$7,$G$5,IF(ROUNDDOWN(L21,0)=$F$5,$H$5,$G$5))</f>
        <v>　Level 4</v>
      </c>
      <c r="M26" s="4007" t="s">
        <v>2669</v>
      </c>
      <c r="N26" s="4165"/>
      <c r="O26" s="4166"/>
    </row>
    <row r="27" spans="2:256" ht="47.45" customHeight="1">
      <c r="B27" s="2014">
        <v>5</v>
      </c>
      <c r="C27" s="2014">
        <v>5</v>
      </c>
      <c r="D27" s="395"/>
      <c r="E27" s="395"/>
      <c r="F27" s="3487" t="str">
        <f>IF(F21=$F$7,$G$6,IF(ROUNDDOWN(F21,0)=$F$6,$H$6,$G$6))</f>
        <v>　Level 5</v>
      </c>
      <c r="G27" s="3487" t="str">
        <f>IF(G21=$F$7,$G$6,IF(ROUNDDOWN(G21,0)=$F$6,$H$6,$G$6))</f>
        <v>　Level 5</v>
      </c>
      <c r="H27" s="4199"/>
      <c r="I27" s="4200"/>
      <c r="J27" s="4199"/>
      <c r="K27" s="4200"/>
      <c r="L27" s="3487" t="str">
        <f>IF(L21=$F$7,$G$6,IF(ROUNDDOWN(L21,0)=$F$6,$H$6,$G$6))</f>
        <v>　Level 5</v>
      </c>
      <c r="M27" s="4008" t="s">
        <v>3693</v>
      </c>
      <c r="N27" s="4167"/>
      <c r="O27" s="4168"/>
    </row>
    <row r="28" spans="2:256" ht="26.45" customHeight="1">
      <c r="B28" s="2850">
        <v>0</v>
      </c>
      <c r="C28" s="2850">
        <v>0</v>
      </c>
      <c r="D28" s="395"/>
      <c r="E28" s="522"/>
      <c r="F28" s="2067" t="s">
        <v>3045</v>
      </c>
      <c r="G28" s="2708"/>
      <c r="H28" s="2709"/>
      <c r="I28" s="2709"/>
      <c r="J28" s="2710"/>
      <c r="K28" s="4158" t="s">
        <v>3020</v>
      </c>
      <c r="L28" s="4159"/>
      <c r="M28" s="4159"/>
      <c r="N28" s="4159"/>
      <c r="O28" s="4159"/>
      <c r="P28" s="522"/>
      <c r="Q28" s="522"/>
      <c r="S28" s="522"/>
      <c r="T28" s="522"/>
      <c r="U28" s="522"/>
      <c r="V28" s="522"/>
      <c r="W28" s="522"/>
      <c r="X28" s="522"/>
      <c r="Y28" s="522"/>
      <c r="Z28" s="522"/>
      <c r="AA28" s="522"/>
      <c r="AB28" s="522"/>
      <c r="AC28" s="522"/>
      <c r="AD28" s="522"/>
      <c r="AE28" s="522"/>
      <c r="AF28" s="522"/>
      <c r="AG28" s="522"/>
      <c r="AH28" s="522"/>
      <c r="AI28" s="522"/>
      <c r="AJ28" s="522"/>
      <c r="AK28" s="522"/>
      <c r="AL28" s="522"/>
      <c r="AM28" s="522"/>
      <c r="AN28" s="522"/>
      <c r="AO28" s="522"/>
      <c r="AP28" s="522"/>
      <c r="AQ28" s="522"/>
      <c r="AR28" s="522"/>
      <c r="AS28" s="522"/>
      <c r="AT28" s="522"/>
      <c r="AU28" s="522"/>
      <c r="AV28" s="522"/>
      <c r="AW28" s="522"/>
      <c r="AX28" s="522"/>
      <c r="AY28" s="522"/>
      <c r="AZ28" s="522"/>
      <c r="BA28" s="522"/>
      <c r="BB28" s="522"/>
      <c r="BC28" s="522"/>
      <c r="BD28" s="522"/>
      <c r="BE28" s="522"/>
      <c r="BF28" s="522"/>
      <c r="BG28" s="522"/>
      <c r="BH28" s="522"/>
      <c r="BI28" s="522"/>
      <c r="BJ28" s="522"/>
      <c r="BK28" s="522"/>
      <c r="BL28" s="522"/>
      <c r="BM28" s="522"/>
      <c r="BN28" s="522"/>
      <c r="BO28" s="522"/>
      <c r="BP28" s="522"/>
      <c r="BQ28" s="522"/>
      <c r="BR28" s="522"/>
      <c r="BS28" s="522"/>
      <c r="BT28" s="522"/>
      <c r="BU28" s="522"/>
      <c r="BV28" s="522"/>
      <c r="BW28" s="522"/>
      <c r="BX28" s="522"/>
      <c r="BY28" s="522"/>
      <c r="BZ28" s="522"/>
      <c r="CA28" s="522"/>
      <c r="CB28" s="522"/>
      <c r="CC28" s="522"/>
      <c r="CD28" s="522"/>
      <c r="CE28" s="522"/>
      <c r="CF28" s="522"/>
      <c r="CG28" s="522"/>
      <c r="CH28" s="522"/>
      <c r="CI28" s="522"/>
      <c r="CJ28" s="522"/>
      <c r="CK28" s="522"/>
      <c r="CL28" s="522"/>
      <c r="CM28" s="522"/>
      <c r="CN28" s="522"/>
      <c r="CO28" s="522"/>
      <c r="CP28" s="522"/>
      <c r="CQ28" s="522"/>
      <c r="CR28" s="522"/>
      <c r="CS28" s="522"/>
      <c r="CT28" s="522"/>
      <c r="CU28" s="522"/>
      <c r="CV28" s="522"/>
      <c r="CW28" s="522"/>
      <c r="CX28" s="522"/>
      <c r="CY28" s="522"/>
      <c r="CZ28" s="522"/>
      <c r="DA28" s="522"/>
      <c r="DB28" s="522"/>
      <c r="DC28" s="522"/>
      <c r="DD28" s="522"/>
      <c r="DE28" s="522"/>
      <c r="DF28" s="522"/>
      <c r="DG28" s="522"/>
      <c r="DH28" s="522"/>
      <c r="DI28" s="522"/>
      <c r="DJ28" s="522"/>
      <c r="DK28" s="522"/>
      <c r="DL28" s="522"/>
      <c r="DM28" s="522"/>
      <c r="DN28" s="522"/>
      <c r="DO28" s="522"/>
      <c r="DP28" s="522"/>
      <c r="DQ28" s="522"/>
      <c r="DR28" s="522"/>
      <c r="DS28" s="522"/>
      <c r="DT28" s="522"/>
      <c r="DU28" s="522"/>
      <c r="DV28" s="522"/>
      <c r="DW28" s="522"/>
      <c r="DX28" s="522"/>
      <c r="DY28" s="522"/>
      <c r="DZ28" s="522"/>
      <c r="EA28" s="522"/>
      <c r="EB28" s="522"/>
      <c r="EC28" s="522"/>
      <c r="ED28" s="522"/>
      <c r="EE28" s="522"/>
      <c r="EF28" s="522"/>
      <c r="EG28" s="522"/>
      <c r="EH28" s="522"/>
      <c r="EI28" s="522"/>
      <c r="EJ28" s="522"/>
      <c r="EK28" s="522"/>
      <c r="EL28" s="522"/>
      <c r="EM28" s="522"/>
      <c r="EN28" s="522"/>
      <c r="EO28" s="522"/>
      <c r="EP28" s="522"/>
      <c r="EQ28" s="522"/>
      <c r="ER28" s="522"/>
      <c r="ES28" s="522"/>
      <c r="ET28" s="522"/>
      <c r="EU28" s="522"/>
      <c r="EV28" s="522"/>
      <c r="EW28" s="522"/>
      <c r="EX28" s="522"/>
      <c r="EY28" s="522"/>
      <c r="EZ28" s="522"/>
      <c r="FA28" s="522"/>
      <c r="FB28" s="522"/>
      <c r="FC28" s="522"/>
      <c r="FD28" s="522"/>
      <c r="FE28" s="522"/>
      <c r="FF28" s="522"/>
      <c r="FG28" s="522"/>
      <c r="FH28" s="522"/>
      <c r="FI28" s="522"/>
      <c r="FJ28" s="522"/>
      <c r="FK28" s="522"/>
      <c r="FL28" s="522"/>
      <c r="FM28" s="522"/>
      <c r="FN28" s="522"/>
      <c r="FO28" s="522"/>
      <c r="FP28" s="522"/>
      <c r="FQ28" s="522"/>
      <c r="FR28" s="522"/>
      <c r="FS28" s="522"/>
      <c r="FT28" s="522"/>
      <c r="FU28" s="522"/>
      <c r="FV28" s="522"/>
      <c r="FW28" s="522"/>
      <c r="FX28" s="522"/>
      <c r="FY28" s="522"/>
      <c r="FZ28" s="522"/>
      <c r="GA28" s="522"/>
      <c r="GB28" s="522"/>
      <c r="GC28" s="522"/>
      <c r="GD28" s="522"/>
      <c r="GE28" s="522"/>
      <c r="GF28" s="522"/>
      <c r="GG28" s="522"/>
      <c r="GH28" s="522"/>
      <c r="GI28" s="522"/>
      <c r="GJ28" s="522"/>
      <c r="GK28" s="522"/>
      <c r="GL28" s="522"/>
      <c r="GM28" s="522"/>
      <c r="GN28" s="522"/>
      <c r="GO28" s="522"/>
      <c r="GP28" s="522"/>
      <c r="GQ28" s="522"/>
      <c r="GR28" s="522"/>
      <c r="GS28" s="522"/>
      <c r="GT28" s="522"/>
      <c r="GU28" s="522"/>
      <c r="GV28" s="522"/>
      <c r="GW28" s="522"/>
      <c r="GX28" s="522"/>
      <c r="GY28" s="522"/>
      <c r="GZ28" s="522"/>
      <c r="HA28" s="522"/>
      <c r="HB28" s="522"/>
      <c r="HC28" s="522"/>
      <c r="HD28" s="522"/>
      <c r="HE28" s="522"/>
      <c r="HF28" s="522"/>
      <c r="HG28" s="522"/>
      <c r="HH28" s="522"/>
      <c r="HI28" s="522"/>
      <c r="HJ28" s="522"/>
      <c r="HK28" s="522"/>
      <c r="HL28" s="522"/>
      <c r="HM28" s="522"/>
      <c r="HN28" s="522"/>
      <c r="HO28" s="522"/>
      <c r="HP28" s="522"/>
      <c r="HQ28" s="522"/>
      <c r="HR28" s="522"/>
      <c r="HS28" s="522"/>
      <c r="HT28" s="522"/>
      <c r="HU28" s="522"/>
      <c r="HV28" s="522"/>
      <c r="HW28" s="522"/>
      <c r="HX28" s="522"/>
      <c r="HY28" s="522"/>
      <c r="HZ28" s="522"/>
      <c r="IA28" s="522"/>
      <c r="IB28" s="522"/>
      <c r="IC28" s="522"/>
      <c r="ID28" s="522"/>
      <c r="IE28" s="522"/>
      <c r="IF28" s="522"/>
      <c r="IG28" s="522"/>
      <c r="IH28" s="522"/>
      <c r="II28" s="522"/>
      <c r="IJ28" s="522"/>
      <c r="IK28" s="522"/>
      <c r="IL28" s="522"/>
      <c r="IM28" s="522"/>
      <c r="IN28" s="522"/>
      <c r="IO28" s="522"/>
      <c r="IP28" s="522"/>
      <c r="IQ28" s="522"/>
      <c r="IR28" s="522"/>
      <c r="IS28" s="522"/>
      <c r="IT28" s="522"/>
      <c r="IU28" s="522"/>
      <c r="IV28" s="522"/>
    </row>
    <row r="29" spans="2:256" ht="15.75" hidden="1">
      <c r="B29" s="2712"/>
      <c r="C29" s="2712"/>
      <c r="D29" s="395"/>
      <c r="E29" s="395"/>
      <c r="F29" s="643" t="s">
        <v>751</v>
      </c>
      <c r="I29" s="395"/>
      <c r="O29" s="522"/>
      <c r="P29" s="522"/>
      <c r="Q29" s="522"/>
      <c r="R29" s="522"/>
      <c r="S29" s="522"/>
      <c r="T29" s="522"/>
      <c r="U29" s="522"/>
      <c r="V29" s="522"/>
      <c r="W29" s="522"/>
      <c r="X29" s="522"/>
      <c r="Y29" s="522"/>
      <c r="Z29" s="522"/>
      <c r="AA29" s="522"/>
      <c r="AB29" s="522"/>
      <c r="AC29" s="522"/>
      <c r="AD29" s="522"/>
      <c r="AE29" s="522"/>
      <c r="AF29" s="522"/>
      <c r="AG29" s="522"/>
      <c r="AH29" s="522"/>
      <c r="AI29" s="522"/>
      <c r="AJ29" s="522"/>
      <c r="AK29" s="522"/>
      <c r="AL29" s="522"/>
      <c r="AM29" s="522"/>
      <c r="AN29" s="522"/>
      <c r="AO29" s="522"/>
      <c r="AP29" s="522"/>
      <c r="AQ29" s="522"/>
      <c r="AR29" s="522"/>
      <c r="AS29" s="522"/>
      <c r="AT29" s="522"/>
      <c r="AU29" s="522"/>
      <c r="AV29" s="522"/>
      <c r="AW29" s="522"/>
      <c r="AX29" s="522"/>
      <c r="AY29" s="522"/>
      <c r="AZ29" s="522"/>
      <c r="BA29" s="522"/>
      <c r="BB29" s="522"/>
      <c r="BC29" s="522"/>
      <c r="BD29" s="522"/>
      <c r="BE29" s="522"/>
      <c r="BF29" s="522"/>
      <c r="BG29" s="522"/>
      <c r="BH29" s="522"/>
      <c r="BI29" s="522"/>
      <c r="BJ29" s="522"/>
      <c r="BK29" s="522"/>
      <c r="BL29" s="522"/>
      <c r="BM29" s="522"/>
      <c r="BN29" s="522"/>
      <c r="BO29" s="522"/>
      <c r="BP29" s="522"/>
      <c r="BQ29" s="522"/>
      <c r="BR29" s="522"/>
      <c r="BS29" s="522"/>
      <c r="BT29" s="522"/>
      <c r="BU29" s="522"/>
      <c r="BV29" s="522"/>
      <c r="BW29" s="522"/>
      <c r="BX29" s="522"/>
      <c r="BY29" s="522"/>
      <c r="BZ29" s="522"/>
      <c r="CA29" s="522"/>
      <c r="CB29" s="522"/>
      <c r="CC29" s="522"/>
      <c r="CD29" s="522"/>
      <c r="CE29" s="522"/>
      <c r="CF29" s="522"/>
      <c r="CG29" s="522"/>
      <c r="CH29" s="522"/>
      <c r="CI29" s="522"/>
      <c r="CJ29" s="522"/>
      <c r="CK29" s="522"/>
      <c r="CL29" s="522"/>
      <c r="CM29" s="522"/>
      <c r="CN29" s="522"/>
      <c r="CO29" s="522"/>
      <c r="CP29" s="522"/>
      <c r="CQ29" s="522"/>
      <c r="CR29" s="522"/>
      <c r="CS29" s="522"/>
      <c r="CT29" s="522"/>
      <c r="CU29" s="522"/>
      <c r="CV29" s="522"/>
      <c r="CW29" s="522"/>
      <c r="CX29" s="522"/>
      <c r="CY29" s="522"/>
      <c r="CZ29" s="522"/>
      <c r="DA29" s="522"/>
      <c r="DB29" s="522"/>
      <c r="DC29" s="522"/>
      <c r="DD29" s="522"/>
      <c r="DE29" s="522"/>
      <c r="DF29" s="522"/>
      <c r="DG29" s="522"/>
      <c r="DH29" s="522"/>
      <c r="DI29" s="522"/>
      <c r="DJ29" s="522"/>
      <c r="DK29" s="522"/>
      <c r="DL29" s="522"/>
      <c r="DM29" s="522"/>
      <c r="DN29" s="522"/>
      <c r="DO29" s="522"/>
      <c r="DP29" s="522"/>
      <c r="DQ29" s="522"/>
      <c r="DR29" s="522"/>
      <c r="DS29" s="522"/>
      <c r="DT29" s="522"/>
      <c r="DU29" s="522"/>
      <c r="DV29" s="522"/>
      <c r="DW29" s="522"/>
      <c r="DX29" s="522"/>
      <c r="DY29" s="522"/>
      <c r="DZ29" s="522"/>
      <c r="EA29" s="522"/>
      <c r="EB29" s="522"/>
      <c r="EC29" s="522"/>
      <c r="ED29" s="522"/>
      <c r="EE29" s="522"/>
      <c r="EF29" s="522"/>
      <c r="EG29" s="522"/>
      <c r="EH29" s="522"/>
      <c r="EI29" s="522"/>
      <c r="EJ29" s="522"/>
      <c r="EK29" s="522"/>
      <c r="EL29" s="522"/>
      <c r="EM29" s="522"/>
      <c r="EN29" s="522"/>
      <c r="EO29" s="522"/>
      <c r="EP29" s="522"/>
      <c r="EQ29" s="522"/>
      <c r="ER29" s="522"/>
      <c r="ES29" s="522"/>
      <c r="ET29" s="522"/>
      <c r="EU29" s="522"/>
      <c r="EV29" s="522"/>
      <c r="EW29" s="522"/>
      <c r="EX29" s="522"/>
      <c r="EY29" s="522"/>
      <c r="EZ29" s="522"/>
      <c r="FA29" s="522"/>
      <c r="FB29" s="522"/>
      <c r="FC29" s="522"/>
      <c r="FD29" s="522"/>
      <c r="FE29" s="522"/>
      <c r="FF29" s="522"/>
      <c r="FG29" s="522"/>
      <c r="FH29" s="522"/>
      <c r="FI29" s="522"/>
      <c r="FJ29" s="522"/>
      <c r="FK29" s="522"/>
      <c r="FL29" s="522"/>
      <c r="FM29" s="522"/>
      <c r="FN29" s="522"/>
      <c r="FO29" s="522"/>
      <c r="FP29" s="522"/>
      <c r="FQ29" s="522"/>
      <c r="FR29" s="522"/>
      <c r="FS29" s="522"/>
      <c r="FT29" s="522"/>
      <c r="FU29" s="522"/>
      <c r="FV29" s="522"/>
      <c r="FW29" s="522"/>
      <c r="FX29" s="522"/>
      <c r="FY29" s="522"/>
      <c r="FZ29" s="522"/>
      <c r="GA29" s="522"/>
      <c r="GB29" s="522"/>
      <c r="GC29" s="522"/>
      <c r="GD29" s="522"/>
      <c r="GE29" s="522"/>
      <c r="GF29" s="522"/>
      <c r="GG29" s="522"/>
      <c r="GH29" s="522"/>
      <c r="GI29" s="522"/>
      <c r="GJ29" s="522"/>
      <c r="GK29" s="522"/>
      <c r="GL29" s="522"/>
      <c r="GM29" s="522"/>
      <c r="GN29" s="522"/>
      <c r="GO29" s="522"/>
      <c r="GP29" s="522"/>
      <c r="GQ29" s="522"/>
      <c r="GR29" s="522"/>
      <c r="GS29" s="522"/>
      <c r="GT29" s="522"/>
      <c r="GU29" s="522"/>
      <c r="GV29" s="522"/>
      <c r="GW29" s="522"/>
      <c r="GX29" s="522"/>
      <c r="GY29" s="522"/>
      <c r="GZ29" s="522"/>
      <c r="HA29" s="522"/>
      <c r="HB29" s="522"/>
      <c r="HC29" s="522"/>
      <c r="HD29" s="522"/>
      <c r="HE29" s="522"/>
      <c r="HF29" s="522"/>
      <c r="HG29" s="522"/>
      <c r="HH29" s="522"/>
      <c r="HI29" s="522"/>
      <c r="HJ29" s="522"/>
      <c r="HK29" s="522"/>
      <c r="HL29" s="522"/>
      <c r="HM29" s="522"/>
      <c r="HN29" s="522"/>
      <c r="HO29" s="522"/>
      <c r="HP29" s="522"/>
      <c r="HQ29" s="522"/>
      <c r="HR29" s="522"/>
      <c r="HS29" s="522"/>
      <c r="HT29" s="522"/>
      <c r="HU29" s="522"/>
      <c r="HV29" s="522"/>
      <c r="HW29" s="522"/>
      <c r="HX29" s="522"/>
      <c r="HY29" s="522"/>
      <c r="HZ29" s="522"/>
      <c r="IA29" s="522"/>
      <c r="IB29" s="522"/>
      <c r="IC29" s="522"/>
      <c r="ID29" s="522"/>
      <c r="IE29" s="522"/>
      <c r="IF29" s="522"/>
      <c r="IG29" s="522"/>
      <c r="IH29" s="522"/>
      <c r="II29" s="522"/>
      <c r="IJ29" s="522"/>
      <c r="IK29" s="522"/>
      <c r="IL29" s="522"/>
      <c r="IM29" s="522"/>
      <c r="IN29" s="522"/>
      <c r="IO29" s="522"/>
      <c r="IP29" s="522"/>
      <c r="IQ29" s="522"/>
      <c r="IR29" s="522"/>
      <c r="IS29" s="522"/>
      <c r="IT29" s="522"/>
      <c r="IU29" s="522"/>
      <c r="IV29" s="522"/>
    </row>
    <row r="30" spans="2:256" ht="15">
      <c r="D30" s="562"/>
      <c r="E30" s="1529"/>
    </row>
    <row r="31" spans="2:256" ht="15.75">
      <c r="D31" s="395">
        <v>2</v>
      </c>
      <c r="E31" s="395" t="s">
        <v>3348</v>
      </c>
      <c r="F31" s="395"/>
      <c r="J31" s="1105" t="str">
        <f>IF(OR(F33=0,AND(J33=0,O33=0)),$L$3,"")</f>
        <v/>
      </c>
    </row>
    <row r="32" spans="2:256" ht="16.5" thickBot="1">
      <c r="D32" s="395"/>
      <c r="E32" s="395"/>
      <c r="F32" s="2655"/>
      <c r="G32" s="3488"/>
      <c r="H32" s="2689"/>
      <c r="I32" s="2690" t="s">
        <v>2629</v>
      </c>
      <c r="J32" s="3221">
        <f>Weight!M124</f>
        <v>0.1</v>
      </c>
      <c r="K32" s="2764"/>
      <c r="L32" s="2764"/>
      <c r="M32" s="2764"/>
      <c r="N32" s="2764"/>
      <c r="O32" s="2698"/>
    </row>
    <row r="33" spans="2:17" ht="27" customHeight="1" thickBot="1">
      <c r="D33" s="395"/>
      <c r="E33" s="395"/>
      <c r="F33" s="2865">
        <f>IF((J33+O33)=0,0,IF(AND(G33=0,O33&gt;0),L33,G33*J33/(J33+O33)+L33*O33/(J33+O33)))</f>
        <v>3</v>
      </c>
      <c r="G33" s="2693">
        <v>3</v>
      </c>
      <c r="H33" s="3987" t="s">
        <v>4107</v>
      </c>
      <c r="I33" s="4201"/>
      <c r="J33" s="3489">
        <f>ENcalc!H108</f>
        <v>7000</v>
      </c>
      <c r="K33" s="3223" t="s">
        <v>3272</v>
      </c>
      <c r="L33" s="2693">
        <v>3</v>
      </c>
      <c r="M33" s="3490" t="s">
        <v>4108</v>
      </c>
      <c r="N33" s="3491"/>
      <c r="O33" s="3489">
        <f>ENcalc!H107</f>
        <v>0</v>
      </c>
    </row>
    <row r="34" spans="2:17" ht="26.25" customHeight="1">
      <c r="B34" s="2014" t="s">
        <v>697</v>
      </c>
      <c r="C34" s="2014" t="s">
        <v>697</v>
      </c>
      <c r="D34" s="395"/>
      <c r="E34" s="395"/>
      <c r="F34" s="3492" t="str">
        <f>IF(F33=$F$7,"",IF(ROUNDDOWN(F33,0)=$F$2,$H$2,$G$2))</f>
        <v>　Level 1</v>
      </c>
      <c r="G34" s="3492" t="str">
        <f>IF(G33=$F$7,"",IF(ROUNDDOWN(G33,0)=$F$2,$H$2,$G$2))</f>
        <v>　Level 1</v>
      </c>
      <c r="H34" s="2755" t="s">
        <v>2528</v>
      </c>
      <c r="I34" s="2700"/>
      <c r="J34" s="2700"/>
      <c r="K34" s="4202"/>
      <c r="L34" s="3492" t="str">
        <f>IF(L33=$F$7,"",IF(ROUNDDOWN(L33,0)=$F$2,$H$2,$G$2))</f>
        <v>　Level 1</v>
      </c>
      <c r="M34" s="2755" t="s">
        <v>2528</v>
      </c>
      <c r="N34" s="2700"/>
      <c r="O34" s="2701"/>
    </row>
    <row r="35" spans="2:17" ht="26.25" customHeight="1">
      <c r="B35" s="2014" t="s">
        <v>697</v>
      </c>
      <c r="C35" s="2014">
        <v>2</v>
      </c>
      <c r="D35" s="395"/>
      <c r="E35" s="395"/>
      <c r="F35" s="3493" t="str">
        <f>IF(F33=$F$7,"",IF(ROUNDDOWN(F33,0)=$F$3,$H$3,$G$3))</f>
        <v>　Level 2</v>
      </c>
      <c r="G35" s="3493" t="str">
        <f>IF(G33=$F$7,"",IF(ROUNDDOWN(G33,0)=$F$3,$H$3,$G$3))</f>
        <v>　Level 2</v>
      </c>
      <c r="H35" s="1170" t="s">
        <v>2528</v>
      </c>
      <c r="I35" s="2333"/>
      <c r="J35" s="2333"/>
      <c r="K35" s="4203"/>
      <c r="L35" s="3493" t="str">
        <f>IF(L33=$F$7,"",IF(ROUNDDOWN(L33,0)=$F$3,$H$3,$G$3))</f>
        <v>　Level 2</v>
      </c>
      <c r="M35" s="4185" t="s">
        <v>3697</v>
      </c>
      <c r="N35" s="4188"/>
      <c r="O35" s="4189"/>
    </row>
    <row r="36" spans="2:17" ht="48.6" customHeight="1">
      <c r="B36" s="2014">
        <v>3</v>
      </c>
      <c r="C36" s="2014">
        <v>3</v>
      </c>
      <c r="D36" s="395"/>
      <c r="E36" s="395"/>
      <c r="F36" s="3493" t="str">
        <f>IF(F33=$F$7,"",IF(ROUNDDOWN(F33,0)=$F$4,$H$4,$G$4))</f>
        <v>■Level 3</v>
      </c>
      <c r="G36" s="3493" t="str">
        <f>IF(G33=$F$7,"",IF(ROUNDDOWN(G33,0)=$F$4,$H$4,$G$4))</f>
        <v>■Level 3</v>
      </c>
      <c r="H36" s="4185" t="s">
        <v>3694</v>
      </c>
      <c r="I36" s="4186"/>
      <c r="J36" s="4187"/>
      <c r="K36" s="3966"/>
      <c r="L36" s="3493" t="str">
        <f>IF(L33=$F$7,"",IF(ROUNDDOWN(L33,0)=$F$4,$H$4,$G$4))</f>
        <v>■Level 3</v>
      </c>
      <c r="M36" s="4185" t="s">
        <v>3698</v>
      </c>
      <c r="N36" s="4188"/>
      <c r="O36" s="4189"/>
    </row>
    <row r="37" spans="2:17" ht="70.900000000000006" customHeight="1">
      <c r="B37" s="2014">
        <v>4</v>
      </c>
      <c r="C37" s="2014">
        <v>4</v>
      </c>
      <c r="D37" s="395"/>
      <c r="E37" s="395"/>
      <c r="F37" s="3493" t="str">
        <f>IF(F33=$F$7,"",IF(ROUNDDOWN(F33,0)=$F$5,$H$5,$G$5))</f>
        <v>　Level 4</v>
      </c>
      <c r="G37" s="3493" t="str">
        <f>IF(G33=$F$7,"",IF(ROUNDDOWN(G33,0)=$F$5,$H$5,$G$5))</f>
        <v>　Level 4</v>
      </c>
      <c r="H37" s="4185" t="s">
        <v>3695</v>
      </c>
      <c r="I37" s="4188"/>
      <c r="J37" s="4189"/>
      <c r="K37" s="3966"/>
      <c r="L37" s="3493" t="str">
        <f>IF(L33=$F$7,"",IF(ROUNDDOWN(L33,0)=$F$5,$H$5,$G$5))</f>
        <v>　Level 4</v>
      </c>
      <c r="M37" s="4185" t="s">
        <v>3699</v>
      </c>
      <c r="N37" s="4188"/>
      <c r="O37" s="4189"/>
    </row>
    <row r="38" spans="2:17" ht="71.45" customHeight="1">
      <c r="B38" s="2014">
        <v>5</v>
      </c>
      <c r="C38" s="2014">
        <v>5</v>
      </c>
      <c r="D38" s="395"/>
      <c r="E38" s="395"/>
      <c r="F38" s="3494" t="str">
        <f>IF(F33=$F$7,"",IF(ROUNDDOWN(F33,0)=$F$6,$H$6,$G$6))</f>
        <v>　Level 5</v>
      </c>
      <c r="G38" s="3494" t="str">
        <f>IF(G33=$F$7,"",IF(ROUNDDOWN(G33,0)=$F$6,$H$6,$G$6))</f>
        <v>　Level 5</v>
      </c>
      <c r="H38" s="4190" t="s">
        <v>3696</v>
      </c>
      <c r="I38" s="4191"/>
      <c r="J38" s="4192"/>
      <c r="K38" s="3495"/>
      <c r="L38" s="3494" t="str">
        <f>IF(L33=$F$7,"",IF(ROUNDDOWN(L33,0)=$F$6,$H$6,$G$6))</f>
        <v>　Level 5</v>
      </c>
      <c r="M38" s="4190" t="s">
        <v>3700</v>
      </c>
      <c r="N38" s="4191"/>
      <c r="O38" s="4192"/>
    </row>
    <row r="39" spans="2:17" ht="24" customHeight="1">
      <c r="B39" s="2850">
        <v>0</v>
      </c>
      <c r="C39" s="2850">
        <v>0</v>
      </c>
      <c r="F39" s="2067" t="s">
        <v>3045</v>
      </c>
      <c r="G39" s="2708"/>
      <c r="H39" s="2709"/>
      <c r="I39" s="2709"/>
      <c r="J39" s="2710"/>
      <c r="K39" s="4158" t="s">
        <v>3021</v>
      </c>
      <c r="L39" s="4159"/>
      <c r="M39" s="4159"/>
      <c r="N39" s="4159"/>
      <c r="O39" s="4159"/>
    </row>
    <row r="40" spans="2:17" ht="15.6" hidden="1" customHeight="1">
      <c r="B40" s="2712"/>
      <c r="C40" s="2712"/>
      <c r="F40" s="643" t="s">
        <v>751</v>
      </c>
      <c r="G40" s="395"/>
      <c r="H40" s="395"/>
    </row>
    <row r="41" spans="2:17" ht="15.75" customHeight="1">
      <c r="G41" s="1516" t="s">
        <v>3013</v>
      </c>
      <c r="H41" s="2812"/>
      <c r="K41" s="1516" t="s">
        <v>3017</v>
      </c>
      <c r="L41" s="2812"/>
      <c r="N41" s="1516" t="s">
        <v>3016</v>
      </c>
      <c r="O41" s="2812"/>
    </row>
    <row r="42" spans="2:17" ht="15.75" customHeight="1">
      <c r="K42" s="1516" t="s">
        <v>3014</v>
      </c>
      <c r="L42" s="2812"/>
      <c r="N42" s="1516" t="s">
        <v>3015</v>
      </c>
      <c r="O42" s="2812"/>
    </row>
    <row r="43" spans="2:17" ht="18.75" customHeight="1">
      <c r="F43" s="1173" t="s">
        <v>3286</v>
      </c>
    </row>
    <row r="44" spans="2:17" ht="19.5" customHeight="1" thickBot="1">
      <c r="D44" s="395"/>
      <c r="E44" s="3496"/>
      <c r="F44" s="395"/>
      <c r="G44" s="3497"/>
      <c r="H44" s="3498" t="s">
        <v>4992</v>
      </c>
      <c r="I44" s="2857" t="s">
        <v>4057</v>
      </c>
      <c r="J44" s="2458"/>
      <c r="K44" s="2458"/>
      <c r="L44" s="3229" t="s">
        <v>3709</v>
      </c>
      <c r="M44" s="2458"/>
      <c r="N44" s="2458"/>
      <c r="O44" s="2858"/>
      <c r="P44" s="522"/>
      <c r="Q44" s="522"/>
    </row>
    <row r="45" spans="2:17" ht="15.75">
      <c r="D45" s="395"/>
      <c r="E45" s="3496"/>
      <c r="F45" s="2321" t="s">
        <v>784</v>
      </c>
      <c r="G45" s="4175" t="str">
        <f>IF(COUNTIF(L45:L48,$M$3)&gt;0,$M$3,"")</f>
        <v/>
      </c>
      <c r="H45" s="4114" t="s">
        <v>3702</v>
      </c>
      <c r="I45" s="3958" t="s">
        <v>3701</v>
      </c>
      <c r="J45" s="4115"/>
      <c r="K45" s="4211"/>
      <c r="L45" s="3389"/>
      <c r="M45" s="3499" t="s">
        <v>4993</v>
      </c>
      <c r="N45" s="3499"/>
      <c r="O45" s="3500"/>
    </row>
    <row r="46" spans="2:17" ht="15.75">
      <c r="D46" s="395"/>
      <c r="E46" s="3496"/>
      <c r="F46" s="2321" t="s">
        <v>785</v>
      </c>
      <c r="G46" s="4176"/>
      <c r="H46" s="4101"/>
      <c r="I46" s="4181"/>
      <c r="J46" s="4117"/>
      <c r="K46" s="4182"/>
      <c r="L46" s="3501"/>
      <c r="M46" s="3502" t="s">
        <v>4994</v>
      </c>
      <c r="N46" s="3502"/>
      <c r="O46" s="3503"/>
    </row>
    <row r="47" spans="2:17" ht="15.75">
      <c r="D47" s="395"/>
      <c r="E47" s="3496"/>
      <c r="F47" s="2321" t="s">
        <v>786</v>
      </c>
      <c r="G47" s="4176"/>
      <c r="H47" s="4101"/>
      <c r="I47" s="4181"/>
      <c r="J47" s="4117"/>
      <c r="K47" s="4182"/>
      <c r="L47" s="3501"/>
      <c r="M47" s="3502" t="s">
        <v>4995</v>
      </c>
      <c r="N47" s="3502"/>
      <c r="O47" s="3503"/>
    </row>
    <row r="48" spans="2:17" ht="27.6" customHeight="1">
      <c r="D48" s="395"/>
      <c r="E48" s="3496"/>
      <c r="F48" s="2321" t="s">
        <v>787</v>
      </c>
      <c r="G48" s="4177"/>
      <c r="H48" s="4131"/>
      <c r="I48" s="4181"/>
      <c r="J48" s="4117"/>
      <c r="K48" s="4182"/>
      <c r="L48" s="3504"/>
      <c r="M48" s="4055" t="s">
        <v>4991</v>
      </c>
      <c r="N48" s="4206"/>
      <c r="O48" s="4207"/>
    </row>
    <row r="49" spans="4:15" ht="51" customHeight="1">
      <c r="D49" s="395"/>
      <c r="E49" s="3496"/>
      <c r="F49" s="2321" t="s">
        <v>788</v>
      </c>
      <c r="G49" s="4175" t="str">
        <f>IF(COUNTIF(L49:L54,$M$3)&gt;0,$M$3,"")</f>
        <v/>
      </c>
      <c r="H49" s="4114" t="s">
        <v>3703</v>
      </c>
      <c r="I49" s="3958" t="s">
        <v>3704</v>
      </c>
      <c r="J49" s="4115"/>
      <c r="K49" s="4211"/>
      <c r="L49" s="3505"/>
      <c r="M49" s="4051" t="s">
        <v>4996</v>
      </c>
      <c r="N49" s="4052"/>
      <c r="O49" s="4053"/>
    </row>
    <row r="50" spans="4:15" ht="15.75">
      <c r="D50" s="395"/>
      <c r="E50" s="3496"/>
      <c r="F50" s="2321" t="s">
        <v>789</v>
      </c>
      <c r="G50" s="4176"/>
      <c r="H50" s="4101"/>
      <c r="I50" s="4181"/>
      <c r="J50" s="4117"/>
      <c r="K50" s="4182"/>
      <c r="L50" s="3394"/>
      <c r="M50" s="3502" t="s">
        <v>4997</v>
      </c>
      <c r="N50" s="3502"/>
      <c r="O50" s="3503"/>
    </row>
    <row r="51" spans="4:15" ht="15.75">
      <c r="D51" s="395"/>
      <c r="E51" s="3496"/>
      <c r="F51" s="2321" t="s">
        <v>790</v>
      </c>
      <c r="G51" s="4176"/>
      <c r="H51" s="4101"/>
      <c r="I51" s="4181"/>
      <c r="J51" s="4117"/>
      <c r="K51" s="4182"/>
      <c r="L51" s="3394"/>
      <c r="M51" s="3502" t="s">
        <v>4998</v>
      </c>
      <c r="N51" s="3502"/>
      <c r="O51" s="3503"/>
    </row>
    <row r="52" spans="4:15" ht="15.75">
      <c r="D52" s="395"/>
      <c r="E52" s="3496"/>
      <c r="F52" s="2321" t="s">
        <v>791</v>
      </c>
      <c r="G52" s="4176"/>
      <c r="H52" s="4101"/>
      <c r="I52" s="4181"/>
      <c r="J52" s="4117"/>
      <c r="K52" s="4182"/>
      <c r="L52" s="3394"/>
      <c r="M52" s="3502" t="s">
        <v>4999</v>
      </c>
      <c r="N52" s="3502"/>
      <c r="O52" s="3503"/>
    </row>
    <row r="53" spans="4:15" ht="15.75">
      <c r="D53" s="395"/>
      <c r="E53" s="3496"/>
      <c r="F53" s="2321" t="s">
        <v>792</v>
      </c>
      <c r="G53" s="4176"/>
      <c r="H53" s="4101"/>
      <c r="I53" s="4181"/>
      <c r="J53" s="4117"/>
      <c r="K53" s="4182"/>
      <c r="L53" s="3394"/>
      <c r="M53" s="3502" t="s">
        <v>3705</v>
      </c>
      <c r="N53" s="3502"/>
      <c r="O53" s="3503"/>
    </row>
    <row r="54" spans="4:15" ht="30" customHeight="1">
      <c r="D54" s="395"/>
      <c r="E54" s="3496"/>
      <c r="F54" s="2321" t="s">
        <v>793</v>
      </c>
      <c r="G54" s="4177"/>
      <c r="H54" s="4131"/>
      <c r="I54" s="3951"/>
      <c r="J54" s="4107"/>
      <c r="K54" s="4183"/>
      <c r="L54" s="3506"/>
      <c r="M54" s="4055" t="s">
        <v>3638</v>
      </c>
      <c r="N54" s="4010"/>
      <c r="O54" s="4011"/>
    </row>
    <row r="55" spans="4:15" ht="29.45" customHeight="1">
      <c r="D55" s="395"/>
      <c r="E55" s="3496"/>
      <c r="F55" s="2321" t="s">
        <v>794</v>
      </c>
      <c r="G55" s="4175" t="str">
        <f>IF(COUNTIF(L55:L56,$M$3)&gt;0,$M$3,"")</f>
        <v/>
      </c>
      <c r="H55" s="4114" t="s">
        <v>3706</v>
      </c>
      <c r="I55" s="4181" t="s">
        <v>3707</v>
      </c>
      <c r="J55" s="4117"/>
      <c r="K55" s="4182"/>
      <c r="L55" s="3501"/>
      <c r="M55" s="3499" t="s">
        <v>5000</v>
      </c>
      <c r="N55" s="3499"/>
      <c r="O55" s="3500"/>
    </row>
    <row r="56" spans="4:15" ht="29.45" customHeight="1" thickBot="1">
      <c r="D56" s="395"/>
      <c r="E56" s="3496"/>
      <c r="F56" s="2321" t="s">
        <v>795</v>
      </c>
      <c r="G56" s="4176"/>
      <c r="H56" s="4131"/>
      <c r="I56" s="3951"/>
      <c r="J56" s="4107"/>
      <c r="K56" s="4183"/>
      <c r="L56" s="3507"/>
      <c r="M56" s="4055" t="s">
        <v>3638</v>
      </c>
      <c r="N56" s="4010"/>
      <c r="O56" s="4011"/>
    </row>
    <row r="57" spans="4:15" ht="27.75" customHeight="1" thickBot="1">
      <c r="D57" s="395"/>
      <c r="E57" s="3496"/>
      <c r="F57" s="2321" t="s">
        <v>796</v>
      </c>
      <c r="G57" s="3508" t="str">
        <f>IF(L57=0,"",L57)</f>
        <v/>
      </c>
      <c r="H57" s="3509" t="s">
        <v>3711</v>
      </c>
      <c r="I57" s="4178" t="s">
        <v>3708</v>
      </c>
      <c r="J57" s="4179"/>
      <c r="K57" s="4180"/>
      <c r="L57" s="3511"/>
      <c r="M57" s="4204" t="s">
        <v>3638</v>
      </c>
      <c r="N57" s="4179"/>
      <c r="O57" s="4205"/>
    </row>
    <row r="58" spans="4:15" ht="15.75">
      <c r="D58" s="395"/>
      <c r="E58" s="3496"/>
      <c r="F58" s="2321" t="s">
        <v>1468</v>
      </c>
      <c r="G58" s="3512">
        <f>COUNTIF(G45:G57,$M$3)</f>
        <v>0</v>
      </c>
      <c r="H58" s="3434" t="s">
        <v>4055</v>
      </c>
      <c r="I58" s="3513"/>
      <c r="J58" s="3513"/>
      <c r="K58" s="3513"/>
      <c r="L58" s="3513"/>
      <c r="M58" s="3513"/>
      <c r="N58" s="3513"/>
      <c r="O58" s="3514"/>
    </row>
    <row r="59" spans="4:15"/>
    <row r="60" spans="4:15" ht="15.75">
      <c r="D60" s="393">
        <v>3</v>
      </c>
      <c r="E60" s="13" t="s">
        <v>2408</v>
      </c>
      <c r="F60" s="47"/>
      <c r="J60" s="1105" t="str">
        <f>IF(OR(F63=0,AND(O62=0,N70=0)),$L$3,"")</f>
        <v/>
      </c>
    </row>
    <row r="61" spans="4:15" ht="15.75" hidden="1">
      <c r="D61" s="393">
        <v>3.1</v>
      </c>
      <c r="E61" s="13" t="s">
        <v>4284</v>
      </c>
      <c r="F61" s="47"/>
      <c r="G61" s="47"/>
      <c r="H61" s="47"/>
      <c r="I61" s="47"/>
      <c r="J61" s="2674"/>
      <c r="K61" s="47"/>
      <c r="L61" s="47"/>
      <c r="M61" s="47"/>
      <c r="N61" s="47"/>
      <c r="O61" s="47"/>
    </row>
    <row r="62" spans="4:15" ht="15">
      <c r="D62" s="562"/>
      <c r="E62" s="3284"/>
      <c r="F62" s="3471" t="s">
        <v>3689</v>
      </c>
      <c r="G62" s="3225" t="s">
        <v>4285</v>
      </c>
      <c r="H62" s="2688"/>
      <c r="I62" s="2688"/>
      <c r="J62" s="2688"/>
      <c r="K62" s="2688"/>
      <c r="L62" s="2688"/>
      <c r="M62" s="2688"/>
      <c r="N62" s="2690" t="s">
        <v>2629</v>
      </c>
      <c r="O62" s="2692">
        <f>Weight!M129</f>
        <v>0.5</v>
      </c>
    </row>
    <row r="63" spans="4:15" ht="27" customHeight="1">
      <c r="D63" s="395"/>
      <c r="E63" s="1529"/>
      <c r="F63" s="3515">
        <f>ROUNDDOWN(IF(K63+K77=0,0,(G63*K63+G77*K77)/(K63+K77)),1)</f>
        <v>5</v>
      </c>
      <c r="G63" s="3515">
        <f>ROUNDDOWN(ENcalc!J36,1)</f>
        <v>5</v>
      </c>
      <c r="H63" s="3516" t="s">
        <v>3710</v>
      </c>
      <c r="I63" s="2697"/>
      <c r="J63" s="2697"/>
      <c r="K63" s="3517">
        <f>ENcalc!G47</f>
        <v>7000</v>
      </c>
      <c r="L63" s="2753" t="s">
        <v>3272</v>
      </c>
      <c r="M63" s="2697"/>
      <c r="N63" s="2697"/>
      <c r="O63" s="2698"/>
    </row>
    <row r="64" spans="4:15" ht="21" customHeight="1">
      <c r="D64" s="395"/>
      <c r="E64" s="1529"/>
      <c r="F64" s="2758" t="str">
        <f>IF(F63=$F$7,$G$2,IF(ROUNDDOWN(F63,0)=$F$2,$H$2,$G$2))</f>
        <v>　Level 1</v>
      </c>
      <c r="G64" s="2758" t="str">
        <f>IF(G63=$F$7,$G$2,IF(ROUNDDOWN(G63,0)=$F$2,$H$2,$G$2))</f>
        <v>　Level 1</v>
      </c>
      <c r="H64" s="2755"/>
      <c r="I64" s="3518" t="s">
        <v>4286</v>
      </c>
      <c r="J64" s="3519">
        <f>ROUNDDOWN(ENcalc!J47,2)</f>
        <v>0.9</v>
      </c>
      <c r="K64" s="3520" t="s">
        <v>3792</v>
      </c>
      <c r="L64" s="2755" t="s">
        <v>3791</v>
      </c>
      <c r="M64" s="3521"/>
      <c r="N64" s="3521"/>
      <c r="O64" s="3522"/>
    </row>
    <row r="65" spans="4:15" ht="21" customHeight="1">
      <c r="D65" s="395"/>
      <c r="E65" s="1529"/>
      <c r="F65" s="3523" t="str">
        <f>IF(F63=$F$7,$G$3,IF(ROUNDDOWN(F63,0)=$F$3,$H$3,$G$3))</f>
        <v>　Level 2</v>
      </c>
      <c r="G65" s="3523" t="str">
        <f>IF(G63=$F$7,$G$3,IF(ROUNDDOWN(G63,0)=$F$3,$H$3,$G$3))</f>
        <v>　Level 2</v>
      </c>
      <c r="H65" s="3204"/>
      <c r="I65" s="3524" t="s">
        <v>4287</v>
      </c>
      <c r="J65" s="3525">
        <f>ROUNDDOWN(ENcalc!K47,2)</f>
        <v>0.8</v>
      </c>
      <c r="K65" s="3526" t="s">
        <v>3793</v>
      </c>
      <c r="L65" s="1170" t="s">
        <v>3786</v>
      </c>
      <c r="M65" s="2333"/>
      <c r="N65" s="2333"/>
      <c r="O65" s="3527"/>
    </row>
    <row r="66" spans="4:15" ht="21" customHeight="1">
      <c r="D66" s="395"/>
      <c r="E66" s="1529"/>
      <c r="F66" s="3523" t="str">
        <f>IF(F63=$F$7,$G$4,IF(ROUNDDOWN(F63,0)=$F$4,$H$4,$G$4))</f>
        <v>　Level 3</v>
      </c>
      <c r="G66" s="3523" t="str">
        <f>IF(G63=$F$7,$G$4,IF(ROUNDDOWN(G63,0)=$F$4,$H$4,$G$4))</f>
        <v>　Level 3</v>
      </c>
      <c r="H66" s="1170"/>
      <c r="I66" s="3524" t="s">
        <v>4288</v>
      </c>
      <c r="J66" s="3528">
        <f>ROUNDDOWN(ENcalc!L47,2)</f>
        <v>0.6</v>
      </c>
      <c r="K66" s="2703"/>
      <c r="L66" s="1170" t="s">
        <v>3787</v>
      </c>
      <c r="M66" s="2333"/>
      <c r="N66" s="2333"/>
      <c r="O66" s="2703"/>
    </row>
    <row r="67" spans="4:15" ht="21" customHeight="1">
      <c r="D67" s="395"/>
      <c r="E67" s="1529"/>
      <c r="F67" s="3523" t="str">
        <f>IF(F63=$F$7,$G$5,IF(ROUNDDOWN(F63,0)=$F$5,$H$5,$G$5))</f>
        <v>　Level 4</v>
      </c>
      <c r="G67" s="3523" t="str">
        <f>IF(G63=$F$7,$G$5,IF(ROUNDDOWN(G63,0)=$F$5,$H$5,$G$5))</f>
        <v>　Level 4</v>
      </c>
      <c r="H67" s="1170" t="str">
        <f>H74</f>
        <v>[BEI][BEIm] ＝ 0.5, and [BEI*][BEIm*] ≦ 0.5</v>
      </c>
      <c r="I67" s="3528"/>
      <c r="J67" s="2333"/>
      <c r="K67" s="2703"/>
      <c r="L67" s="1170" t="s">
        <v>3788</v>
      </c>
      <c r="M67" s="2333"/>
      <c r="N67" s="2333"/>
      <c r="O67" s="2703"/>
    </row>
    <row r="68" spans="4:15" ht="21" customHeight="1">
      <c r="D68" s="395"/>
      <c r="E68" s="1529"/>
      <c r="F68" s="3529" t="str">
        <f>IF(F63=$F$7,$G$6,IF(ROUNDDOWN(F63,0)=$F$6,$H$6,$G$6))</f>
        <v>■Level 5</v>
      </c>
      <c r="G68" s="3529" t="str">
        <f>IF(G63=$F$7,$G$6,IF(ROUNDDOWN(G63,0)=$F$6,$H$6,$G$6))</f>
        <v>■Level 5</v>
      </c>
      <c r="H68" s="1170" t="str">
        <f>H75</f>
        <v>[BEI][BEIm] ≦ 0.25, and [BEI*][BEIm*] ≦ 0.5</v>
      </c>
      <c r="I68" s="3525"/>
      <c r="J68" s="2333"/>
      <c r="K68" s="2703"/>
      <c r="L68" s="1170" t="s">
        <v>3789</v>
      </c>
      <c r="M68" s="2333"/>
      <c r="N68" s="2333"/>
      <c r="O68" s="2703"/>
    </row>
    <row r="69" spans="4:15" ht="41.45" customHeight="1">
      <c r="D69" s="395"/>
      <c r="E69" s="1529"/>
      <c r="F69" s="3298"/>
      <c r="G69" s="3298"/>
      <c r="H69" s="2756" t="str">
        <f>H76</f>
        <v>Or, [BEI+] ≦ 0.25, and [BEI*] ≦ 0.5, and [BEI]＜[BEI*]</v>
      </c>
      <c r="I69" s="3530"/>
      <c r="J69" s="2705"/>
      <c r="K69" s="2706"/>
      <c r="L69" s="4208" t="s">
        <v>3790</v>
      </c>
      <c r="M69" s="4209"/>
      <c r="N69" s="4209"/>
      <c r="O69" s="4210"/>
    </row>
    <row r="70" spans="4:15" ht="21" customHeight="1">
      <c r="D70" s="1105"/>
      <c r="G70" s="3531"/>
      <c r="H70" s="2753" t="s">
        <v>4104</v>
      </c>
      <c r="I70" s="3517">
        <f>ENcalc!G43</f>
        <v>7000</v>
      </c>
      <c r="J70" s="2835" t="s">
        <v>4105</v>
      </c>
      <c r="K70" s="3517">
        <f>ENcalc!G44</f>
        <v>0</v>
      </c>
      <c r="L70" s="2835" t="s">
        <v>4106</v>
      </c>
      <c r="M70" s="3517">
        <f>ENcalc!G45</f>
        <v>0</v>
      </c>
      <c r="N70" s="2753" t="s">
        <v>2432</v>
      </c>
      <c r="O70" s="3517">
        <f>ENcalc!G46</f>
        <v>0</v>
      </c>
    </row>
    <row r="71" spans="4:15" ht="20.45" customHeight="1">
      <c r="D71" s="1105"/>
      <c r="G71" s="2758" t="str">
        <f>IF(G70=$F$7,$G$2,IF(ROUNDDOWN(G70,0)=$F$2,$H$2,$G$2))</f>
        <v>　Level 1</v>
      </c>
      <c r="H71" s="2755" t="s">
        <v>4289</v>
      </c>
      <c r="I71" s="3521"/>
      <c r="J71" s="3521"/>
      <c r="K71" s="3521"/>
      <c r="L71" s="2700"/>
      <c r="M71" s="3521"/>
      <c r="N71" s="3521"/>
      <c r="O71" s="3522"/>
    </row>
    <row r="72" spans="4:15" ht="20.45" customHeight="1">
      <c r="D72" s="1105"/>
      <c r="G72" s="3523" t="str">
        <f>IF(G70=$F$7,$G$3,IF(ROUNDDOWN(G70,0)=$F$3,$H$3,$G$3))</f>
        <v>　Level 2</v>
      </c>
      <c r="H72" s="1170" t="s">
        <v>4290</v>
      </c>
      <c r="I72" s="3532"/>
      <c r="J72" s="1170" t="s">
        <v>4290</v>
      </c>
      <c r="K72" s="2333"/>
      <c r="L72" s="1170" t="s">
        <v>4291</v>
      </c>
      <c r="M72" s="2333"/>
      <c r="N72" s="1170" t="s">
        <v>4292</v>
      </c>
      <c r="O72" s="2703"/>
    </row>
    <row r="73" spans="4:15" ht="20.45" customHeight="1">
      <c r="D73" s="1105"/>
      <c r="G73" s="3523" t="str">
        <f>IF(G70=$F$7,$G$4,IF(ROUNDDOWN(G70,0)=$F$4,$H$4,$G$4))</f>
        <v>　Level 3</v>
      </c>
      <c r="H73" s="1170" t="s">
        <v>4293</v>
      </c>
      <c r="I73" s="3532"/>
      <c r="J73" s="1170" t="s">
        <v>4294</v>
      </c>
      <c r="K73" s="2333"/>
      <c r="L73" s="1170" t="s">
        <v>4294</v>
      </c>
      <c r="M73" s="2333"/>
      <c r="N73" s="1170" t="s">
        <v>4293</v>
      </c>
      <c r="O73" s="2703"/>
    </row>
    <row r="74" spans="4:15" ht="20.45" customHeight="1">
      <c r="D74" s="1105"/>
      <c r="G74" s="3523" t="str">
        <f>IF(G70=$F$7,$G$5,IF(ROUNDDOWN(G70,0)=$F$5,$H$5,$G$5))</f>
        <v>　Level 4</v>
      </c>
      <c r="H74" s="1170" t="s">
        <v>4295</v>
      </c>
      <c r="I74" s="3532"/>
      <c r="J74" s="2333"/>
      <c r="K74" s="2333"/>
      <c r="L74" s="2333"/>
      <c r="M74" s="2333"/>
      <c r="N74" s="2333"/>
      <c r="O74" s="2703"/>
    </row>
    <row r="75" spans="4:15" ht="20.45" customHeight="1">
      <c r="D75" s="1105"/>
      <c r="G75" s="3529" t="str">
        <f>IF(G70=$F$7,$G$6,IF(ROUNDDOWN(G70,0)=$F$6,$H$6,$G$6))</f>
        <v>　Level 5</v>
      </c>
      <c r="H75" s="1170" t="s">
        <v>4296</v>
      </c>
      <c r="I75" s="3532"/>
      <c r="J75" s="2333"/>
      <c r="K75" s="2333"/>
      <c r="L75" s="2333"/>
      <c r="M75" s="2333"/>
      <c r="N75" s="2333"/>
      <c r="O75" s="2703"/>
    </row>
    <row r="76" spans="4:15" ht="20.45" customHeight="1">
      <c r="D76" s="1105"/>
      <c r="G76" s="3298"/>
      <c r="H76" s="2756" t="s">
        <v>4297</v>
      </c>
      <c r="I76" s="3533"/>
      <c r="J76" s="2705"/>
      <c r="K76" s="2705"/>
      <c r="L76" s="2705"/>
      <c r="M76" s="2705"/>
      <c r="N76" s="2705"/>
      <c r="O76" s="2706"/>
    </row>
    <row r="77" spans="4:15" ht="25.9" customHeight="1">
      <c r="D77" s="1105"/>
      <c r="G77" s="3534">
        <f>ROUNDDOWN(ENcalc!K36,1)</f>
        <v>0</v>
      </c>
      <c r="H77" s="3535" t="s">
        <v>2433</v>
      </c>
      <c r="I77" s="3536"/>
      <c r="J77" s="3536"/>
      <c r="K77" s="3489">
        <f>Main!C67</f>
        <v>0</v>
      </c>
      <c r="L77" s="3225" t="s">
        <v>3272</v>
      </c>
      <c r="M77" s="3223"/>
      <c r="N77" s="3223"/>
      <c r="O77" s="3537"/>
    </row>
    <row r="78" spans="4:15" ht="29.45" customHeight="1">
      <c r="D78" s="1105"/>
      <c r="G78" s="3228" t="str">
        <f>IF(G77=$F$7,$G$2,IF(ROUNDDOWN(G77,0)=$F$2,$H$2,$G$2))</f>
        <v>　Level 1</v>
      </c>
      <c r="H78" s="3948" t="s">
        <v>4298</v>
      </c>
      <c r="I78" s="3949"/>
      <c r="J78" s="3949"/>
      <c r="K78" s="3950"/>
      <c r="L78" s="2755" t="s">
        <v>3712</v>
      </c>
      <c r="M78" s="2700"/>
      <c r="N78" s="2700"/>
      <c r="O78" s="2701"/>
    </row>
    <row r="79" spans="4:15" ht="29.45" customHeight="1">
      <c r="D79" s="1105"/>
      <c r="G79" s="3538" t="str">
        <f>IF(G77=$F$7,$G$3,IF(ROUNDDOWN(G77,0)=$F$3,$H$3,$G$3))</f>
        <v>　Level 2</v>
      </c>
      <c r="H79" s="3808" t="s">
        <v>4299</v>
      </c>
      <c r="I79" s="4009"/>
      <c r="J79" s="4009"/>
      <c r="K79" s="3977"/>
      <c r="L79" s="1170" t="s">
        <v>4300</v>
      </c>
      <c r="M79" s="3532"/>
      <c r="N79" s="2333"/>
      <c r="O79" s="3206"/>
    </row>
    <row r="80" spans="4:15" ht="29.45" customHeight="1">
      <c r="D80" s="1105"/>
      <c r="G80" s="3538" t="str">
        <f>IF(G77=$F$7,$G$4,IF(ROUNDDOWN(G77,0)=$F$4,$H$4,$G$4))</f>
        <v>　Level 3</v>
      </c>
      <c r="H80" s="3808" t="s">
        <v>4301</v>
      </c>
      <c r="I80" s="4009"/>
      <c r="J80" s="4009"/>
      <c r="K80" s="3977"/>
      <c r="L80" s="1170" t="s">
        <v>4302</v>
      </c>
      <c r="M80" s="3532"/>
      <c r="N80" s="2333"/>
      <c r="O80" s="3206"/>
    </row>
    <row r="81" spans="4:15" ht="29.45" customHeight="1">
      <c r="D81" s="1105"/>
      <c r="G81" s="3538" t="str">
        <f>IF(G77=$F$7,$G$5,IF(ROUNDDOWN(G77,0)=$F$5,$H$5,$G$5))</f>
        <v>　Level 4</v>
      </c>
      <c r="H81" s="3808" t="s">
        <v>4303</v>
      </c>
      <c r="I81" s="4009"/>
      <c r="J81" s="4009"/>
      <c r="K81" s="3977"/>
      <c r="L81" s="3808" t="s">
        <v>4304</v>
      </c>
      <c r="M81" s="3809"/>
      <c r="N81" s="3809"/>
      <c r="O81" s="3810"/>
    </row>
    <row r="82" spans="4:15" ht="51" customHeight="1">
      <c r="D82" s="1105"/>
      <c r="G82" s="3539" t="str">
        <f>IF(G77=$F$7,$G$6,IF(ROUNDDOWN(G77,0)=$F$6,$H$6,$G$6))</f>
        <v>　Level 5</v>
      </c>
      <c r="H82" s="3808" t="s">
        <v>4305</v>
      </c>
      <c r="I82" s="3809"/>
      <c r="J82" s="3809"/>
      <c r="K82" s="3810"/>
      <c r="L82" s="1170" t="s">
        <v>3713</v>
      </c>
      <c r="M82" s="3532"/>
      <c r="N82" s="2333"/>
      <c r="O82" s="3206"/>
    </row>
    <row r="83" spans="4:15" ht="52.9" customHeight="1">
      <c r="D83" s="1105"/>
      <c r="G83" s="3540"/>
      <c r="H83" s="3937" t="s">
        <v>4306</v>
      </c>
      <c r="I83" s="4010"/>
      <c r="J83" s="4010"/>
      <c r="K83" s="4011"/>
      <c r="L83" s="3937" t="s">
        <v>4307</v>
      </c>
      <c r="M83" s="3973"/>
      <c r="N83" s="3973"/>
      <c r="O83" s="3990"/>
    </row>
    <row r="84" spans="4:15" ht="26.45" customHeight="1">
      <c r="F84" s="2067" t="s">
        <v>3045</v>
      </c>
      <c r="G84" s="2708"/>
      <c r="H84" s="3541"/>
      <c r="I84" s="3541"/>
      <c r="J84" s="3542"/>
      <c r="K84" s="4158" t="s">
        <v>3019</v>
      </c>
      <c r="L84" s="4159"/>
      <c r="M84" s="4159"/>
      <c r="N84" s="4159"/>
      <c r="O84" s="4159"/>
    </row>
    <row r="85" spans="4:15">
      <c r="D85" s="1105"/>
      <c r="F85" s="1516"/>
      <c r="G85" s="1516"/>
      <c r="H85" s="1516" t="s">
        <v>3018</v>
      </c>
      <c r="I85" s="2780"/>
      <c r="J85" s="1516" t="s">
        <v>4308</v>
      </c>
      <c r="K85" s="2780"/>
      <c r="L85" s="1516" t="s">
        <v>4309</v>
      </c>
      <c r="M85" s="2780"/>
      <c r="N85" s="2784" t="s">
        <v>1372</v>
      </c>
    </row>
    <row r="86" spans="4:15" hidden="1">
      <c r="F86" s="643" t="s">
        <v>752</v>
      </c>
    </row>
    <row r="87" spans="4:15" ht="15.75" hidden="1">
      <c r="D87" s="393"/>
      <c r="E87" s="13"/>
      <c r="F87" s="393" t="s">
        <v>710</v>
      </c>
      <c r="J87" s="3496"/>
    </row>
    <row r="88" spans="4:15" ht="15" hidden="1">
      <c r="E88" s="3496"/>
      <c r="F88" s="3496" t="s">
        <v>4310</v>
      </c>
    </row>
    <row r="89" spans="4:15" ht="15" hidden="1">
      <c r="E89" s="3496"/>
      <c r="F89" s="3543" t="e">
        <f>ENcalc!#REF!</f>
        <v>#REF!</v>
      </c>
      <c r="G89" s="2461" t="s">
        <v>4311</v>
      </c>
      <c r="H89" s="3405"/>
      <c r="I89" s="3405"/>
      <c r="J89" s="3405"/>
      <c r="K89" s="3544">
        <v>1</v>
      </c>
    </row>
    <row r="90" spans="4:15" hidden="1">
      <c r="G90" s="2461" t="s">
        <v>4312</v>
      </c>
      <c r="H90" s="3405"/>
      <c r="I90" s="3405"/>
      <c r="J90" s="3405"/>
      <c r="K90" s="3544" t="s">
        <v>4313</v>
      </c>
    </row>
    <row r="91" spans="4:15" hidden="1">
      <c r="G91" s="1529"/>
      <c r="H91" s="1529"/>
      <c r="I91" s="1529"/>
      <c r="J91" s="1529"/>
      <c r="K91" s="3545"/>
    </row>
    <row r="92" spans="4:15" ht="15.75" hidden="1" thickBot="1">
      <c r="F92" s="3496" t="s">
        <v>4314</v>
      </c>
      <c r="I92" s="3546"/>
    </row>
    <row r="93" spans="4:15" hidden="1">
      <c r="F93" s="3543" t="e">
        <f>ENcalc!#REF!</f>
        <v>#REF!</v>
      </c>
      <c r="G93" s="3547" t="s">
        <v>4315</v>
      </c>
      <c r="H93" s="3548" t="s">
        <v>4316</v>
      </c>
      <c r="I93" s="3548" t="s">
        <v>4317</v>
      </c>
      <c r="J93" s="3548" t="s">
        <v>4318</v>
      </c>
    </row>
    <row r="94" spans="4:15" hidden="1">
      <c r="G94" s="1269" t="s">
        <v>4319</v>
      </c>
      <c r="H94" s="3544">
        <v>2</v>
      </c>
      <c r="I94" s="3544">
        <v>1</v>
      </c>
      <c r="J94" s="3544">
        <v>1</v>
      </c>
    </row>
    <row r="95" spans="4:15" hidden="1">
      <c r="G95" s="1269" t="s">
        <v>4320</v>
      </c>
      <c r="H95" s="3544">
        <v>2.5</v>
      </c>
      <c r="I95" s="3544">
        <v>1.5</v>
      </c>
      <c r="J95" s="3544">
        <v>1</v>
      </c>
    </row>
    <row r="96" spans="4:15" hidden="1">
      <c r="G96" s="1269" t="s">
        <v>4321</v>
      </c>
      <c r="H96" s="3544">
        <v>3</v>
      </c>
      <c r="I96" s="3544">
        <v>2</v>
      </c>
      <c r="J96" s="3544">
        <v>1</v>
      </c>
    </row>
    <row r="97" spans="2:15" hidden="1">
      <c r="G97" s="1269" t="s">
        <v>4322</v>
      </c>
      <c r="H97" s="3544">
        <v>3.5</v>
      </c>
      <c r="I97" s="3544">
        <v>2.5</v>
      </c>
      <c r="J97" s="3544">
        <v>1.5</v>
      </c>
    </row>
    <row r="98" spans="2:15" hidden="1">
      <c r="G98" s="1269" t="s">
        <v>4323</v>
      </c>
      <c r="H98" s="3544">
        <v>4</v>
      </c>
      <c r="I98" s="3544">
        <v>3</v>
      </c>
      <c r="J98" s="3544">
        <v>2</v>
      </c>
    </row>
    <row r="99" spans="2:15" hidden="1">
      <c r="G99" s="1269" t="s">
        <v>4324</v>
      </c>
      <c r="H99" s="3544">
        <v>4.5</v>
      </c>
      <c r="I99" s="3544">
        <v>3.5</v>
      </c>
      <c r="J99" s="3544">
        <v>2.5</v>
      </c>
    </row>
    <row r="100" spans="2:15" hidden="1">
      <c r="G100" s="3549">
        <v>4</v>
      </c>
      <c r="H100" s="3544">
        <v>5</v>
      </c>
      <c r="I100" s="3544">
        <v>4</v>
      </c>
      <c r="J100" s="3544">
        <v>3</v>
      </c>
    </row>
    <row r="101" spans="2:15" ht="15.75" hidden="1">
      <c r="F101" s="13" t="s">
        <v>4325</v>
      </c>
      <c r="I101" s="3271"/>
      <c r="J101" s="1529"/>
      <c r="K101" s="1529"/>
    </row>
    <row r="102" spans="2:15" hidden="1">
      <c r="B102" s="1105" t="s">
        <v>4200</v>
      </c>
      <c r="F102" s="3220" t="s">
        <v>4326</v>
      </c>
      <c r="G102" s="2688"/>
      <c r="H102" s="2689"/>
      <c r="I102" s="2690" t="s">
        <v>2629</v>
      </c>
      <c r="J102" s="3221">
        <v>0.5</v>
      </c>
      <c r="K102" s="2764"/>
      <c r="L102" s="2764"/>
      <c r="M102" s="2764"/>
      <c r="N102" s="2764"/>
      <c r="O102" s="2698"/>
    </row>
    <row r="103" spans="2:15" ht="15" hidden="1" thickBot="1">
      <c r="B103" s="3314">
        <v>0</v>
      </c>
      <c r="F103" s="2656">
        <v>0</v>
      </c>
      <c r="G103" s="2697" t="s">
        <v>4269</v>
      </c>
      <c r="H103" s="2697"/>
      <c r="I103" s="2697"/>
      <c r="J103" s="2697"/>
      <c r="K103" s="2697"/>
      <c r="L103" s="2697"/>
      <c r="M103" s="2698"/>
      <c r="N103" s="2753" t="s">
        <v>3163</v>
      </c>
      <c r="O103" s="2698"/>
    </row>
    <row r="104" spans="2:15" hidden="1">
      <c r="B104" s="2014" t="s">
        <v>697</v>
      </c>
      <c r="C104" s="2014">
        <v>1</v>
      </c>
      <c r="F104" s="3468" t="str">
        <f>IF(F103=$F$7,"",IF(ROUNDDOWN(F103,0)=$F$2,$H$2,$G$2))</f>
        <v/>
      </c>
      <c r="G104" s="2755" t="s">
        <v>3135</v>
      </c>
      <c r="H104" s="3550"/>
      <c r="I104" s="3550"/>
      <c r="J104" s="3550"/>
      <c r="K104" s="3550"/>
      <c r="L104" s="3550"/>
      <c r="M104" s="3550"/>
      <c r="N104" s="3958"/>
      <c r="O104" s="4032"/>
    </row>
    <row r="105" spans="2:15" hidden="1">
      <c r="B105" s="2014">
        <v>2</v>
      </c>
      <c r="C105" s="2014">
        <v>3</v>
      </c>
      <c r="F105" s="3469" t="str">
        <f>IF(F103=$F$7,"",IF(ROUNDDOWN(F103,0)=$F$3,$H$3,$G$3))</f>
        <v/>
      </c>
      <c r="G105" s="1170" t="s">
        <v>4327</v>
      </c>
      <c r="H105" s="3550"/>
      <c r="I105" s="3550"/>
      <c r="J105" s="3550"/>
      <c r="K105" s="3550"/>
      <c r="L105" s="3550"/>
      <c r="M105" s="3550"/>
      <c r="N105" s="4033"/>
      <c r="O105" s="4034"/>
    </row>
    <row r="106" spans="2:15" hidden="1">
      <c r="B106" s="2014">
        <v>3</v>
      </c>
      <c r="C106" s="2014">
        <v>3</v>
      </c>
      <c r="F106" s="3469" t="str">
        <f>IF(F103=$F$7,"",IF(ROUNDDOWN(F103,0)=$F$4,$H$4,$G$4))</f>
        <v/>
      </c>
      <c r="G106" s="1170" t="s">
        <v>4328</v>
      </c>
      <c r="H106" s="3550"/>
      <c r="I106" s="3550"/>
      <c r="J106" s="3550"/>
      <c r="K106" s="3550"/>
      <c r="L106" s="3550"/>
      <c r="M106" s="3550"/>
      <c r="N106" s="4033"/>
      <c r="O106" s="4034"/>
    </row>
    <row r="107" spans="2:15" hidden="1">
      <c r="B107" s="2014">
        <v>4</v>
      </c>
      <c r="C107" s="2014">
        <v>4</v>
      </c>
      <c r="F107" s="3469" t="str">
        <f>IF(F103=$F$7,"",IF(ROUNDDOWN(F103,0)=$F$5,$H$5,$G$5))</f>
        <v/>
      </c>
      <c r="G107" s="1170" t="s">
        <v>4329</v>
      </c>
      <c r="H107" s="3550"/>
      <c r="I107" s="3550"/>
      <c r="J107" s="3550"/>
      <c r="K107" s="3550"/>
      <c r="L107" s="3550"/>
      <c r="M107" s="3550"/>
      <c r="N107" s="4033"/>
      <c r="O107" s="4034"/>
    </row>
    <row r="108" spans="2:15" hidden="1">
      <c r="B108" s="2014">
        <v>5</v>
      </c>
      <c r="C108" s="2014">
        <v>5</v>
      </c>
      <c r="F108" s="3470" t="str">
        <f>IF(F103=$F$7,"",IF(ROUNDDOWN(F103,0)=$F$6,$H$6,$G$6))</f>
        <v/>
      </c>
      <c r="G108" s="2756" t="s">
        <v>4330</v>
      </c>
      <c r="H108" s="2705"/>
      <c r="I108" s="2705"/>
      <c r="J108" s="2705"/>
      <c r="K108" s="2705"/>
      <c r="L108" s="2705"/>
      <c r="M108" s="2705"/>
      <c r="N108" s="4035"/>
      <c r="O108" s="4036"/>
    </row>
    <row r="109" spans="2:15" hidden="1">
      <c r="B109" s="2707">
        <v>0</v>
      </c>
      <c r="C109" s="2707">
        <v>0</v>
      </c>
    </row>
    <row r="110" spans="2:15" ht="15.75" hidden="1">
      <c r="F110" s="13" t="s">
        <v>4331</v>
      </c>
      <c r="G110" s="1529"/>
      <c r="H110" s="1529" t="s">
        <v>4332</v>
      </c>
      <c r="I110" s="1529"/>
    </row>
    <row r="111" spans="2:15"/>
    <row r="112" spans="2:15" ht="15.75" hidden="1">
      <c r="F112" s="13" t="s">
        <v>4333</v>
      </c>
      <c r="G112" s="407"/>
      <c r="H112" s="13"/>
      <c r="I112" s="1529"/>
      <c r="K112" s="1529"/>
    </row>
    <row r="113" spans="2:15" hidden="1">
      <c r="B113" s="1105" t="s">
        <v>4200</v>
      </c>
      <c r="F113" s="3220" t="s">
        <v>4326</v>
      </c>
      <c r="G113" s="2688"/>
      <c r="H113" s="2689"/>
      <c r="I113" s="2690" t="s">
        <v>2629</v>
      </c>
      <c r="J113" s="3221">
        <v>0.5</v>
      </c>
      <c r="K113" s="2764"/>
      <c r="L113" s="2764"/>
      <c r="M113" s="2764"/>
      <c r="N113" s="2764"/>
      <c r="O113" s="2698"/>
    </row>
    <row r="114" spans="2:15" ht="15" hidden="1" thickBot="1">
      <c r="B114" s="3314">
        <v>0</v>
      </c>
      <c r="F114" s="2656">
        <v>0</v>
      </c>
      <c r="G114" s="2697" t="s">
        <v>4269</v>
      </c>
      <c r="H114" s="2697"/>
      <c r="I114" s="2697"/>
      <c r="J114" s="2697"/>
      <c r="K114" s="2697"/>
      <c r="L114" s="2697"/>
      <c r="M114" s="2698"/>
      <c r="N114" s="2753" t="s">
        <v>3163</v>
      </c>
      <c r="O114" s="2698"/>
    </row>
    <row r="115" spans="2:15" hidden="1">
      <c r="B115" s="2014" t="s">
        <v>697</v>
      </c>
      <c r="C115" s="2014">
        <v>1</v>
      </c>
      <c r="F115" s="3468" t="str">
        <f>IF(F114=$F$7,"",IF(ROUNDDOWN(F114,0)=$F$2,$H$2,$G$2))</f>
        <v/>
      </c>
      <c r="G115" s="2755" t="s">
        <v>3135</v>
      </c>
      <c r="H115" s="3550"/>
      <c r="I115" s="3550"/>
      <c r="J115" s="3550"/>
      <c r="K115" s="3550"/>
      <c r="L115" s="3550"/>
      <c r="M115" s="3550"/>
      <c r="N115" s="3958" t="s">
        <v>4334</v>
      </c>
      <c r="O115" s="4032"/>
    </row>
    <row r="116" spans="2:15" hidden="1">
      <c r="B116" s="2014">
        <v>2</v>
      </c>
      <c r="C116" s="2014">
        <v>3</v>
      </c>
      <c r="F116" s="3469" t="str">
        <f>IF(F114=$F$7,"",IF(ROUNDDOWN(F114,0)=$F$3,$H$3,$G$3))</f>
        <v/>
      </c>
      <c r="G116" s="1170" t="s">
        <v>4273</v>
      </c>
      <c r="H116" s="3550"/>
      <c r="I116" s="3550"/>
      <c r="J116" s="3550"/>
      <c r="K116" s="3550"/>
      <c r="L116" s="3550"/>
      <c r="M116" s="3550"/>
      <c r="N116" s="4033"/>
      <c r="O116" s="4034"/>
    </row>
    <row r="117" spans="2:15" hidden="1">
      <c r="B117" s="2014">
        <v>3</v>
      </c>
      <c r="C117" s="2014">
        <v>3</v>
      </c>
      <c r="F117" s="3469" t="str">
        <f>IF(F114=$F$7,"",IF(ROUNDDOWN(F114,0)=$F$4,$H$4,$G$4))</f>
        <v/>
      </c>
      <c r="G117" s="1170" t="s">
        <v>4335</v>
      </c>
      <c r="H117" s="3550"/>
      <c r="I117" s="3550"/>
      <c r="J117" s="3550"/>
      <c r="K117" s="3550"/>
      <c r="L117" s="3550"/>
      <c r="M117" s="3550"/>
      <c r="N117" s="4033"/>
      <c r="O117" s="4034"/>
    </row>
    <row r="118" spans="2:15" hidden="1">
      <c r="B118" s="2014">
        <v>4</v>
      </c>
      <c r="C118" s="2014">
        <v>4</v>
      </c>
      <c r="F118" s="3469" t="str">
        <f>IF(F114=$F$7,"",IF(ROUNDDOWN(F114,0)=$F$5,$H$5,$G$5))</f>
        <v/>
      </c>
      <c r="G118" s="1170" t="s">
        <v>4336</v>
      </c>
      <c r="H118" s="3550"/>
      <c r="I118" s="3550"/>
      <c r="J118" s="3550"/>
      <c r="K118" s="3550"/>
      <c r="L118" s="3550"/>
      <c r="M118" s="3550"/>
      <c r="N118" s="4033"/>
      <c r="O118" s="4034"/>
    </row>
    <row r="119" spans="2:15" hidden="1">
      <c r="B119" s="2014">
        <v>5</v>
      </c>
      <c r="C119" s="2014">
        <v>5</v>
      </c>
      <c r="F119" s="3470" t="str">
        <f>IF(F114=$F$7,"",IF(ROUNDDOWN(F114,0)=$F$6,$H$6,$G$6))</f>
        <v/>
      </c>
      <c r="G119" s="2756" t="s">
        <v>4337</v>
      </c>
      <c r="H119" s="2705"/>
      <c r="I119" s="2705"/>
      <c r="J119" s="2705"/>
      <c r="K119" s="2705"/>
      <c r="L119" s="2705"/>
      <c r="M119" s="2705"/>
      <c r="N119" s="4035"/>
      <c r="O119" s="4036"/>
    </row>
    <row r="120" spans="2:15" hidden="1">
      <c r="B120" s="2707">
        <v>0</v>
      </c>
      <c r="C120" s="2707">
        <v>0</v>
      </c>
    </row>
    <row r="121" spans="2:15" ht="15.75" hidden="1">
      <c r="F121" s="13" t="s">
        <v>4338</v>
      </c>
      <c r="H121" s="1529" t="s">
        <v>4332</v>
      </c>
      <c r="I121" s="1529"/>
    </row>
    <row r="122" spans="2:15" hidden="1">
      <c r="I122" s="1529"/>
    </row>
    <row r="123" spans="2:15" ht="15.75" hidden="1">
      <c r="F123" s="13" t="s">
        <v>4339</v>
      </c>
      <c r="H123" s="1529" t="s">
        <v>4332</v>
      </c>
      <c r="I123" s="1529"/>
    </row>
    <row r="124" spans="2:15"/>
    <row r="125" spans="2:15" ht="15.75">
      <c r="D125" s="393">
        <v>4</v>
      </c>
      <c r="E125" s="13" t="s">
        <v>2505</v>
      </c>
      <c r="F125" s="13"/>
    </row>
    <row r="126" spans="2:15" ht="15.75">
      <c r="D126" s="393">
        <v>4.0999999999999996</v>
      </c>
      <c r="E126" s="13" t="s">
        <v>3714</v>
      </c>
      <c r="F126" s="13"/>
      <c r="J126" s="1105" t="str">
        <f>IF(OR(F128=0,AND(J127=0,O127=0)),$L$3,"")</f>
        <v/>
      </c>
    </row>
    <row r="127" spans="2:15" ht="15.75" thickBot="1">
      <c r="D127" s="562"/>
      <c r="E127" s="3284"/>
      <c r="F127" s="3220"/>
      <c r="G127" s="2688"/>
      <c r="H127" s="2689"/>
      <c r="I127" s="2690" t="s">
        <v>2629</v>
      </c>
      <c r="J127" s="3221">
        <f>Weight!M140</f>
        <v>0.4</v>
      </c>
      <c r="K127" s="3220"/>
      <c r="L127" s="2688"/>
      <c r="M127" s="2689"/>
      <c r="N127" s="2690" t="s">
        <v>2629</v>
      </c>
      <c r="O127" s="2692">
        <f>Weight!M145</f>
        <v>0</v>
      </c>
    </row>
    <row r="128" spans="2:15" ht="27" customHeight="1" thickBot="1">
      <c r="D128" s="395"/>
      <c r="E128" s="1529"/>
      <c r="F128" s="2693">
        <v>3</v>
      </c>
      <c r="G128" s="3222" t="s">
        <v>2917</v>
      </c>
      <c r="H128" s="3223"/>
      <c r="I128" s="3223"/>
      <c r="J128" s="3223"/>
      <c r="K128" s="2693">
        <v>3</v>
      </c>
      <c r="L128" s="2774" t="s">
        <v>2433</v>
      </c>
      <c r="M128" s="2697"/>
      <c r="N128" s="2697"/>
      <c r="O128" s="2698"/>
    </row>
    <row r="129" spans="2:16" ht="21" customHeight="1">
      <c r="B129" s="2014" t="s">
        <v>697</v>
      </c>
      <c r="C129" s="2014" t="s">
        <v>697</v>
      </c>
      <c r="D129" s="395"/>
      <c r="E129" s="1529"/>
      <c r="F129" s="2699" t="str">
        <f>IF(F128=$F$7,$G$2,IF(ROUNDDOWN(F128,0)=$F$2,$H$2,$G$2))</f>
        <v>　Level 1</v>
      </c>
      <c r="G129" s="2755" t="s">
        <v>2528</v>
      </c>
      <c r="H129" s="3551"/>
      <c r="I129" s="3551"/>
      <c r="J129" s="3551"/>
      <c r="K129" s="2699" t="str">
        <f>IF(K128=$F$7,$G$2,IF(ROUNDDOWN(K128,0)=$F$2,$H$2,$G$2))</f>
        <v>　Level 1</v>
      </c>
      <c r="L129" s="2761" t="s">
        <v>2762</v>
      </c>
      <c r="M129" s="2762"/>
      <c r="N129" s="2762"/>
      <c r="O129" s="3552"/>
    </row>
    <row r="130" spans="2:16" ht="54" customHeight="1">
      <c r="B130" s="2014">
        <v>2</v>
      </c>
      <c r="C130" s="2014" t="s">
        <v>697</v>
      </c>
      <c r="D130" s="395"/>
      <c r="E130" s="1529"/>
      <c r="F130" s="3523" t="str">
        <f>IF(F128=$F$7,$G$3,IF(ROUNDDOWN(F128,0)=$F$3,$H$3,$G$3))</f>
        <v>　Level 2</v>
      </c>
      <c r="G130" s="3808" t="s">
        <v>4340</v>
      </c>
      <c r="H130" s="3809"/>
      <c r="I130" s="3809"/>
      <c r="J130" s="3810"/>
      <c r="K130" s="3523" t="str">
        <f>IF(K128=$F$7,$G$3,IF(ROUNDDOWN(K128,0)=$F$3,$H$3,$G$3))</f>
        <v>　Level 2</v>
      </c>
      <c r="L130" s="1170" t="s">
        <v>2762</v>
      </c>
      <c r="M130" s="2333"/>
      <c r="N130" s="2333"/>
      <c r="O130" s="2703"/>
    </row>
    <row r="131" spans="2:16" ht="72.599999999999994" customHeight="1">
      <c r="B131" s="2014">
        <v>3</v>
      </c>
      <c r="C131" s="2014">
        <v>3</v>
      </c>
      <c r="D131" s="395"/>
      <c r="E131" s="1529"/>
      <c r="F131" s="3523" t="str">
        <f>IF(F128=$F$7,$G$4,IF(ROUNDDOWN(F128,0)=$F$4,$H$4,$G$4))</f>
        <v>■Level 3</v>
      </c>
      <c r="G131" s="3945" t="s">
        <v>4341</v>
      </c>
      <c r="H131" s="4173"/>
      <c r="I131" s="4173"/>
      <c r="J131" s="4174"/>
      <c r="K131" s="3523" t="str">
        <f>IF(K128=$F$7,$G$4,IF(ROUNDDOWN(K128,0)=$F$4,$H$4,$G$4))</f>
        <v>■Level 3</v>
      </c>
      <c r="L131" s="1170" t="s">
        <v>3716</v>
      </c>
      <c r="M131" s="2333"/>
      <c r="N131" s="2333"/>
      <c r="O131" s="2703"/>
    </row>
    <row r="132" spans="2:16" ht="52.15" customHeight="1">
      <c r="B132" s="2014">
        <v>4</v>
      </c>
      <c r="C132" s="2014">
        <v>4</v>
      </c>
      <c r="D132" s="395"/>
      <c r="E132" s="1529"/>
      <c r="F132" s="3523" t="str">
        <f>IF(F128=$F$7,$G$5,IF(ROUNDDOWN(F128,0)=$F$5,$H$5,$G$5))</f>
        <v>　Level 4</v>
      </c>
      <c r="G132" s="3945" t="s">
        <v>4342</v>
      </c>
      <c r="H132" s="4173"/>
      <c r="I132" s="4173"/>
      <c r="J132" s="4174"/>
      <c r="K132" s="3523" t="str">
        <f>IF(K128=$F$7,$G$5,IF(ROUNDDOWN(K128,0)=$F$5,$H$5,$G$5))</f>
        <v>　Level 4</v>
      </c>
      <c r="L132" s="3808" t="s">
        <v>3717</v>
      </c>
      <c r="M132" s="3809"/>
      <c r="N132" s="3809"/>
      <c r="O132" s="3810"/>
    </row>
    <row r="133" spans="2:16" ht="45.6" customHeight="1">
      <c r="B133" s="2014">
        <v>5</v>
      </c>
      <c r="C133" s="2014">
        <v>5</v>
      </c>
      <c r="D133" s="395"/>
      <c r="E133" s="1529"/>
      <c r="F133" s="2704" t="str">
        <f>IF(F128=$F$7,$G$6,IF(ROUNDDOWN(F128,0)=$F$6,$H$6,$G$6))</f>
        <v>　Level 5</v>
      </c>
      <c r="G133" s="3937" t="s">
        <v>4343</v>
      </c>
      <c r="H133" s="3931"/>
      <c r="I133" s="3931"/>
      <c r="J133" s="3932"/>
      <c r="K133" s="2704" t="str">
        <f>IF(K128=$F$7,$G$6,IF(ROUNDDOWN(K128,0)=$F$6,$H$6,$G$6))</f>
        <v>　Level 5</v>
      </c>
      <c r="L133" s="3937" t="s">
        <v>3718</v>
      </c>
      <c r="M133" s="3931"/>
      <c r="N133" s="3931"/>
      <c r="O133" s="3932"/>
    </row>
    <row r="134" spans="2:16" ht="15.75">
      <c r="B134" s="2850">
        <v>0</v>
      </c>
      <c r="C134" s="2850">
        <v>0</v>
      </c>
      <c r="D134" s="395"/>
      <c r="E134" s="1529"/>
      <c r="F134" s="2067" t="s">
        <v>3045</v>
      </c>
      <c r="G134" s="2708"/>
      <c r="H134" s="2709"/>
      <c r="I134" s="2709"/>
      <c r="J134" s="2710"/>
      <c r="K134" s="2067" t="s">
        <v>3045</v>
      </c>
      <c r="L134" s="2708"/>
      <c r="M134" s="2709"/>
      <c r="N134" s="2709"/>
      <c r="O134" s="2710"/>
      <c r="P134" s="1516"/>
    </row>
    <row r="135" spans="2:16" ht="15.75">
      <c r="B135" s="2712"/>
      <c r="C135" s="2712"/>
      <c r="D135" s="395"/>
      <c r="E135" s="1529"/>
      <c r="F135" s="119"/>
      <c r="G135" s="2784" t="s">
        <v>3719</v>
      </c>
      <c r="H135" s="53"/>
      <c r="I135" s="53"/>
      <c r="J135" s="53"/>
      <c r="K135" s="53"/>
      <c r="L135" s="53"/>
      <c r="M135" s="53"/>
      <c r="N135" s="53"/>
      <c r="O135" s="53"/>
      <c r="P135" s="1516"/>
    </row>
    <row r="136" spans="2:16" ht="35.450000000000003" customHeight="1">
      <c r="D136" s="395"/>
      <c r="E136" s="1529"/>
      <c r="F136" s="119"/>
      <c r="G136" s="4184" t="s">
        <v>3720</v>
      </c>
      <c r="H136" s="4184"/>
      <c r="I136" s="4184"/>
      <c r="J136" s="4184"/>
      <c r="K136" s="4184"/>
      <c r="L136" s="4184"/>
      <c r="M136" s="4184"/>
      <c r="N136" s="4184"/>
      <c r="O136" s="4184"/>
    </row>
    <row r="137" spans="2:16" ht="70.150000000000006" customHeight="1">
      <c r="D137" s="395"/>
      <c r="E137" s="1529"/>
      <c r="F137" s="119"/>
      <c r="G137" s="4184" t="s">
        <v>3721</v>
      </c>
      <c r="H137" s="4184"/>
      <c r="I137" s="4184"/>
      <c r="J137" s="4184"/>
      <c r="K137" s="4184"/>
      <c r="L137" s="4184"/>
      <c r="M137" s="4184"/>
      <c r="N137" s="4184"/>
      <c r="O137" s="4184"/>
    </row>
    <row r="138" spans="2:16" ht="18.75" customHeight="1">
      <c r="D138" s="395"/>
      <c r="E138" s="1529"/>
      <c r="F138" s="119" t="s">
        <v>3757</v>
      </c>
      <c r="G138" s="119"/>
      <c r="H138" s="119"/>
      <c r="I138" s="119"/>
      <c r="J138" s="119"/>
      <c r="K138" s="119"/>
      <c r="L138" s="119"/>
      <c r="M138" s="119"/>
      <c r="N138" s="119"/>
      <c r="O138" s="119"/>
    </row>
    <row r="139" spans="2:16" ht="16.5" customHeight="1">
      <c r="D139" s="395"/>
      <c r="E139" s="1529"/>
      <c r="F139" s="4152" t="s">
        <v>4128</v>
      </c>
      <c r="G139" s="4153"/>
      <c r="H139" s="3553" t="s">
        <v>3287</v>
      </c>
      <c r="I139" s="3273"/>
      <c r="J139" s="3553" t="s">
        <v>3758</v>
      </c>
      <c r="K139" s="3273"/>
      <c r="L139" s="3273"/>
      <c r="M139" s="3273"/>
      <c r="N139" s="3273"/>
      <c r="O139" s="3374"/>
    </row>
    <row r="140" spans="2:16" ht="25.15" customHeight="1">
      <c r="D140" s="395"/>
      <c r="E140" s="1529"/>
      <c r="F140" s="4154">
        <v>1</v>
      </c>
      <c r="G140" s="4155" t="s">
        <v>3737</v>
      </c>
      <c r="H140" s="4148" t="s">
        <v>3722</v>
      </c>
      <c r="I140" s="4149"/>
      <c r="J140" s="4148" t="s">
        <v>3743</v>
      </c>
      <c r="K140" s="3879"/>
      <c r="L140" s="3879"/>
      <c r="M140" s="3879"/>
      <c r="N140" s="3879"/>
      <c r="O140" s="4149"/>
    </row>
    <row r="141" spans="2:16" ht="25.15" customHeight="1">
      <c r="D141" s="395"/>
      <c r="E141" s="1529"/>
      <c r="F141" s="4154"/>
      <c r="G141" s="4156"/>
      <c r="H141" s="4148" t="s">
        <v>3723</v>
      </c>
      <c r="I141" s="4151"/>
      <c r="J141" s="4148" t="s">
        <v>3744</v>
      </c>
      <c r="K141" s="4150"/>
      <c r="L141" s="4150"/>
      <c r="M141" s="4150"/>
      <c r="N141" s="4150"/>
      <c r="O141" s="4151"/>
    </row>
    <row r="142" spans="2:16" ht="25.15" customHeight="1">
      <c r="D142" s="395"/>
      <c r="E142" s="1529"/>
      <c r="F142" s="4154"/>
      <c r="G142" s="4160"/>
      <c r="H142" s="4148" t="s">
        <v>3736</v>
      </c>
      <c r="I142" s="4151"/>
      <c r="J142" s="3553" t="s">
        <v>3745</v>
      </c>
      <c r="K142" s="3140"/>
      <c r="L142" s="3140"/>
      <c r="M142" s="3140"/>
      <c r="N142" s="3140"/>
      <c r="O142" s="3555"/>
    </row>
    <row r="143" spans="2:16" ht="25.15" customHeight="1">
      <c r="D143" s="395"/>
      <c r="E143" s="1529"/>
      <c r="F143" s="4155">
        <v>2</v>
      </c>
      <c r="G143" s="4155" t="s">
        <v>3738</v>
      </c>
      <c r="H143" s="4148" t="s">
        <v>3724</v>
      </c>
      <c r="I143" s="4151"/>
      <c r="J143" s="3553" t="s">
        <v>3746</v>
      </c>
      <c r="K143" s="3140"/>
      <c r="L143" s="3140"/>
      <c r="M143" s="3140"/>
      <c r="N143" s="3140"/>
      <c r="O143" s="3555"/>
    </row>
    <row r="144" spans="2:16" ht="25.15" customHeight="1">
      <c r="D144" s="395"/>
      <c r="E144" s="1529"/>
      <c r="F144" s="4156"/>
      <c r="G144" s="4156"/>
      <c r="H144" s="4148" t="s">
        <v>3730</v>
      </c>
      <c r="I144" s="4151"/>
      <c r="J144" s="3553" t="s">
        <v>3747</v>
      </c>
      <c r="K144" s="3140"/>
      <c r="L144" s="3140"/>
      <c r="M144" s="3140"/>
      <c r="N144" s="3140"/>
      <c r="O144" s="3555"/>
    </row>
    <row r="145" spans="4:15" ht="25.15" customHeight="1">
      <c r="D145" s="395"/>
      <c r="E145" s="1529"/>
      <c r="F145" s="4156"/>
      <c r="G145" s="4156"/>
      <c r="H145" s="4148" t="s">
        <v>3725</v>
      </c>
      <c r="I145" s="4151"/>
      <c r="J145" s="3553" t="s">
        <v>3747</v>
      </c>
      <c r="K145" s="3140"/>
      <c r="L145" s="3140"/>
      <c r="M145" s="3140"/>
      <c r="N145" s="3140"/>
      <c r="O145" s="3555"/>
    </row>
    <row r="146" spans="4:15" ht="25.15" customHeight="1">
      <c r="D146" s="395"/>
      <c r="E146" s="1529"/>
      <c r="F146" s="4157"/>
      <c r="G146" s="4160"/>
      <c r="H146" s="4148" t="s">
        <v>3726</v>
      </c>
      <c r="I146" s="4151"/>
      <c r="J146" s="3553" t="s">
        <v>3748</v>
      </c>
      <c r="K146" s="3140"/>
      <c r="L146" s="3140"/>
      <c r="M146" s="3140"/>
      <c r="N146" s="3140"/>
      <c r="O146" s="3555"/>
    </row>
    <row r="147" spans="4:15" ht="25.15" customHeight="1">
      <c r="D147" s="395"/>
      <c r="E147" s="1529"/>
      <c r="F147" s="3554">
        <v>3</v>
      </c>
      <c r="G147" s="3554" t="s">
        <v>3739</v>
      </c>
      <c r="H147" s="4148" t="s">
        <v>3727</v>
      </c>
      <c r="I147" s="4151"/>
      <c r="J147" s="4148" t="s">
        <v>3749</v>
      </c>
      <c r="K147" s="4150"/>
      <c r="L147" s="4150"/>
      <c r="M147" s="4150"/>
      <c r="N147" s="4150"/>
      <c r="O147" s="4151"/>
    </row>
    <row r="148" spans="4:15" ht="25.15" customHeight="1">
      <c r="D148" s="395"/>
      <c r="E148" s="1529"/>
      <c r="F148" s="3554">
        <v>4</v>
      </c>
      <c r="G148" s="3554" t="s">
        <v>3740</v>
      </c>
      <c r="H148" s="4148" t="s">
        <v>3731</v>
      </c>
      <c r="I148" s="4151"/>
      <c r="J148" s="3553" t="s">
        <v>3750</v>
      </c>
      <c r="K148" s="3140"/>
      <c r="L148" s="3140"/>
      <c r="M148" s="3140"/>
      <c r="N148" s="3140"/>
      <c r="O148" s="3555"/>
    </row>
    <row r="149" spans="4:15" ht="25.15" customHeight="1">
      <c r="D149" s="395"/>
      <c r="E149" s="1529"/>
      <c r="F149" s="4154">
        <v>5</v>
      </c>
      <c r="G149" s="4155" t="s">
        <v>3741</v>
      </c>
      <c r="H149" s="4148" t="s">
        <v>3722</v>
      </c>
      <c r="I149" s="4151"/>
      <c r="J149" s="4148" t="s">
        <v>3743</v>
      </c>
      <c r="K149" s="4150"/>
      <c r="L149" s="4150"/>
      <c r="M149" s="4150"/>
      <c r="N149" s="4150"/>
      <c r="O149" s="4151"/>
    </row>
    <row r="150" spans="4:15" ht="25.15" customHeight="1">
      <c r="D150" s="395"/>
      <c r="E150" s="1529"/>
      <c r="F150" s="4154"/>
      <c r="G150" s="4156"/>
      <c r="H150" s="4148" t="s">
        <v>3723</v>
      </c>
      <c r="I150" s="4151"/>
      <c r="J150" s="4148" t="s">
        <v>3744</v>
      </c>
      <c r="K150" s="4150"/>
      <c r="L150" s="4150"/>
      <c r="M150" s="4150"/>
      <c r="N150" s="4150"/>
      <c r="O150" s="4151"/>
    </row>
    <row r="151" spans="4:15" ht="25.15" customHeight="1">
      <c r="D151" s="395"/>
      <c r="E151" s="1529"/>
      <c r="F151" s="4154"/>
      <c r="G151" s="4160"/>
      <c r="H151" s="4148" t="s">
        <v>3732</v>
      </c>
      <c r="I151" s="4151"/>
      <c r="J151" s="3553" t="s">
        <v>3745</v>
      </c>
      <c r="K151" s="3140"/>
      <c r="L151" s="3140"/>
      <c r="M151" s="3140"/>
      <c r="N151" s="3140"/>
      <c r="O151" s="3555"/>
    </row>
    <row r="152" spans="4:15" ht="25.15" customHeight="1">
      <c r="D152" s="395"/>
      <c r="E152" s="1529"/>
      <c r="F152" s="3554">
        <v>6</v>
      </c>
      <c r="G152" s="3554" t="s">
        <v>3742</v>
      </c>
      <c r="H152" s="4148" t="s">
        <v>3728</v>
      </c>
      <c r="I152" s="4151"/>
      <c r="J152" s="3553" t="s">
        <v>3751</v>
      </c>
      <c r="K152" s="3140"/>
      <c r="L152" s="3140"/>
      <c r="M152" s="3140"/>
      <c r="N152" s="3140"/>
      <c r="O152" s="3555"/>
    </row>
    <row r="153" spans="4:15" ht="25.15" customHeight="1">
      <c r="D153" s="395"/>
      <c r="E153" s="1529"/>
      <c r="F153" s="4154">
        <v>7</v>
      </c>
      <c r="G153" s="4155" t="s">
        <v>1526</v>
      </c>
      <c r="H153" s="4148" t="s">
        <v>3729</v>
      </c>
      <c r="I153" s="4151"/>
      <c r="J153" s="3553" t="s">
        <v>3752</v>
      </c>
      <c r="K153" s="3140"/>
      <c r="L153" s="3140"/>
      <c r="M153" s="3140"/>
      <c r="N153" s="3140"/>
      <c r="O153" s="3555"/>
    </row>
    <row r="154" spans="4:15" ht="25.15" customHeight="1">
      <c r="D154" s="395"/>
      <c r="E154" s="1529"/>
      <c r="F154" s="4154"/>
      <c r="G154" s="4156"/>
      <c r="H154" s="3553" t="s">
        <v>3733</v>
      </c>
      <c r="I154" s="3140"/>
      <c r="J154" s="3553" t="s">
        <v>3753</v>
      </c>
      <c r="K154" s="3140"/>
      <c r="L154" s="3140"/>
      <c r="M154" s="3140"/>
      <c r="N154" s="3140"/>
      <c r="O154" s="3555"/>
    </row>
    <row r="155" spans="4:15" ht="25.15" customHeight="1">
      <c r="D155" s="395"/>
      <c r="E155" s="1529"/>
      <c r="F155" s="4154"/>
      <c r="G155" s="4156"/>
      <c r="H155" s="3553" t="s">
        <v>3734</v>
      </c>
      <c r="I155" s="3140"/>
      <c r="J155" s="3553" t="s">
        <v>3754</v>
      </c>
      <c r="K155" s="3140"/>
      <c r="L155" s="3140"/>
      <c r="M155" s="3140"/>
      <c r="N155" s="3140"/>
      <c r="O155" s="3555"/>
    </row>
    <row r="156" spans="4:15" ht="25.15" customHeight="1">
      <c r="D156" s="395"/>
      <c r="E156" s="1529"/>
      <c r="F156" s="4154"/>
      <c r="G156" s="4156"/>
      <c r="H156" s="3553" t="s">
        <v>3735</v>
      </c>
      <c r="I156" s="3140"/>
      <c r="J156" s="3553" t="s">
        <v>3755</v>
      </c>
      <c r="K156" s="3140"/>
      <c r="L156" s="3140"/>
      <c r="M156" s="3140"/>
      <c r="N156" s="3140"/>
      <c r="O156" s="3555"/>
    </row>
    <row r="157" spans="4:15" ht="25.15" customHeight="1">
      <c r="D157" s="395"/>
      <c r="E157" s="1529"/>
      <c r="F157" s="4169"/>
      <c r="G157" s="4160"/>
      <c r="H157" s="3553" t="s">
        <v>1526</v>
      </c>
      <c r="I157" s="3140"/>
      <c r="J157" s="4148" t="s">
        <v>3756</v>
      </c>
      <c r="K157" s="4150"/>
      <c r="L157" s="4150"/>
      <c r="M157" s="4150"/>
      <c r="N157" s="4150"/>
      <c r="O157" s="4151"/>
    </row>
    <row r="158" spans="4:15" ht="18" customHeight="1">
      <c r="D158" s="395"/>
      <c r="E158" s="119"/>
      <c r="F158" s="119"/>
      <c r="G158" s="119"/>
      <c r="H158" s="119"/>
      <c r="I158" s="119"/>
      <c r="J158" s="119"/>
      <c r="K158" s="119"/>
      <c r="L158" s="119"/>
      <c r="M158" s="119"/>
      <c r="N158" s="119"/>
      <c r="O158" s="119"/>
    </row>
    <row r="159" spans="4:15" ht="18" customHeight="1">
      <c r="D159" s="393">
        <v>4.2</v>
      </c>
      <c r="E159" s="13" t="s">
        <v>3759</v>
      </c>
      <c r="F159" s="412"/>
      <c r="J159" s="1105" t="str">
        <f>IF(OR(F161=0,AND(J160=0,O160=0)),$L$3,"")</f>
        <v/>
      </c>
    </row>
    <row r="160" spans="4:15" ht="15.75" thickBot="1">
      <c r="D160" s="562"/>
      <c r="E160" s="3284"/>
      <c r="F160" s="3220"/>
      <c r="G160" s="2688"/>
      <c r="H160" s="2689"/>
      <c r="I160" s="2690" t="s">
        <v>2629</v>
      </c>
      <c r="J160" s="3221">
        <f>Weight!M141</f>
        <v>0.4</v>
      </c>
      <c r="K160" s="3220"/>
      <c r="L160" s="2688"/>
      <c r="M160" s="2689"/>
      <c r="N160" s="2690" t="s">
        <v>2629</v>
      </c>
      <c r="O160" s="2692">
        <f>Weight!M146</f>
        <v>0</v>
      </c>
    </row>
    <row r="161" spans="2:16" ht="25.5" customHeight="1" thickBot="1">
      <c r="D161" s="395"/>
      <c r="E161" s="1529"/>
      <c r="F161" s="2693">
        <v>3</v>
      </c>
      <c r="G161" s="2697" t="s">
        <v>2917</v>
      </c>
      <c r="H161" s="2697"/>
      <c r="I161" s="2697"/>
      <c r="J161" s="2697"/>
      <c r="K161" s="2693">
        <v>3</v>
      </c>
      <c r="L161" s="2774" t="s">
        <v>2433</v>
      </c>
      <c r="M161" s="2697"/>
      <c r="N161" s="2697"/>
      <c r="O161" s="2698"/>
    </row>
    <row r="162" spans="2:16" ht="21" customHeight="1">
      <c r="B162" s="2014">
        <v>1</v>
      </c>
      <c r="C162" s="2014">
        <v>1</v>
      </c>
      <c r="D162" s="395"/>
      <c r="E162" s="1529"/>
      <c r="F162" s="2702" t="str">
        <f>IF(F161=$F$7,$G$2,IF(AND($O$9=$O$3,ROUNDDOWN(F161,0)=$F$2),$H$2,$G$2))</f>
        <v>　Level 1</v>
      </c>
      <c r="G162" s="2761" t="s">
        <v>3760</v>
      </c>
      <c r="H162" s="3550"/>
      <c r="I162" s="3550"/>
      <c r="J162" s="3550"/>
      <c r="K162" s="2699" t="str">
        <f>IF(K161=$F$7,$G$2,IF(ROUNDDOWN(K161,0)=$F$2,$H$2,$G$2))</f>
        <v>　Level 1</v>
      </c>
      <c r="L162" s="2761" t="s">
        <v>3715</v>
      </c>
      <c r="M162" s="2762"/>
      <c r="N162" s="2762"/>
      <c r="O162" s="3552"/>
    </row>
    <row r="163" spans="2:16" ht="28.9" customHeight="1">
      <c r="B163" s="2014">
        <v>2</v>
      </c>
      <c r="C163" s="2014" t="s">
        <v>49</v>
      </c>
      <c r="D163" s="395"/>
      <c r="E163" s="1529"/>
      <c r="F163" s="2702" t="str">
        <f>IF(F161=$F$7,$G$3,IF(AND($O$9=$O$3,ROUNDDOWN(F161,0)=$F$3),$H$3,$G$3))</f>
        <v>　Level 2</v>
      </c>
      <c r="G163" s="3808" t="s">
        <v>3761</v>
      </c>
      <c r="H163" s="3809"/>
      <c r="I163" s="3809"/>
      <c r="J163" s="3810"/>
      <c r="K163" s="3523" t="str">
        <f>IF(K161=$F$7,$G$3,IF(ROUNDDOWN(K161,0)=$F$3,$H$3,$G$3))</f>
        <v>　Level 2</v>
      </c>
      <c r="L163" s="1170" t="s">
        <v>2528</v>
      </c>
      <c r="M163" s="2333"/>
      <c r="N163" s="2333"/>
      <c r="O163" s="2703"/>
    </row>
    <row r="164" spans="2:16" ht="45" customHeight="1">
      <c r="B164" s="2014">
        <v>3</v>
      </c>
      <c r="C164" s="2014">
        <v>3</v>
      </c>
      <c r="D164" s="395"/>
      <c r="E164" s="1529"/>
      <c r="F164" s="2702" t="str">
        <f>IF(F161=$F$7,$G$4,IF(AND($O$9=$O$3,ROUNDDOWN(F161,0)=$F$4),$H$4,$G$4))</f>
        <v>　Level 3</v>
      </c>
      <c r="G164" s="3808" t="s">
        <v>3762</v>
      </c>
      <c r="H164" s="4009"/>
      <c r="I164" s="4009"/>
      <c r="J164" s="3977"/>
      <c r="K164" s="3523" t="str">
        <f>IF(K161=$F$7,$G$4,IF(ROUNDDOWN(K161,0)=$F$4,$H$4,$G$4))</f>
        <v>■Level 3</v>
      </c>
      <c r="L164" s="3808" t="s">
        <v>3765</v>
      </c>
      <c r="M164" s="4009"/>
      <c r="N164" s="4009"/>
      <c r="O164" s="3977"/>
    </row>
    <row r="165" spans="2:16" ht="55.9" customHeight="1">
      <c r="B165" s="2014">
        <v>4</v>
      </c>
      <c r="C165" s="2014">
        <v>4</v>
      </c>
      <c r="D165" s="395"/>
      <c r="E165" s="1529"/>
      <c r="F165" s="2702" t="str">
        <f>IF(F161=$F$7,$G$5,IF(AND($O$9=$O$3,ROUNDDOWN(F161,0)=$F$5),$H$5,$G$5))</f>
        <v>　Level 4</v>
      </c>
      <c r="G165" s="3808" t="s">
        <v>3763</v>
      </c>
      <c r="H165" s="4009"/>
      <c r="I165" s="4009"/>
      <c r="J165" s="3977"/>
      <c r="K165" s="3523" t="str">
        <f>IF(K161=$F$7,$G$5,IF(ROUNDDOWN(K161,0)=$F$5,$H$5,$G$5))</f>
        <v>　Level 4</v>
      </c>
      <c r="L165" s="3808" t="s">
        <v>3766</v>
      </c>
      <c r="M165" s="4009"/>
      <c r="N165" s="4009"/>
      <c r="O165" s="3977"/>
    </row>
    <row r="166" spans="2:16" ht="61.9" customHeight="1">
      <c r="B166" s="2014">
        <v>5</v>
      </c>
      <c r="C166" s="2014">
        <v>5</v>
      </c>
      <c r="D166" s="395"/>
      <c r="E166" s="1529"/>
      <c r="F166" s="2704" t="str">
        <f>IF(F161=$F$7,$G$6,IF(AND($O$9=$O$3,ROUNDDOWN(F161,0)=$F$6),$H$6,$G$6))</f>
        <v>　Level 5</v>
      </c>
      <c r="G166" s="3937" t="s">
        <v>3764</v>
      </c>
      <c r="H166" s="4010"/>
      <c r="I166" s="4010"/>
      <c r="J166" s="4011"/>
      <c r="K166" s="2704" t="str">
        <f>IF(K161=$F$7,$G$6,IF(ROUNDDOWN(K161,0)=$F$6,$H$6,$G$6))</f>
        <v>　Level 5</v>
      </c>
      <c r="L166" s="3937" t="s">
        <v>3767</v>
      </c>
      <c r="M166" s="4010"/>
      <c r="N166" s="4010"/>
      <c r="O166" s="4011"/>
    </row>
    <row r="167" spans="2:16" ht="15.75">
      <c r="B167" s="2850">
        <v>0</v>
      </c>
      <c r="C167" s="2850">
        <v>0</v>
      </c>
      <c r="D167" s="395"/>
      <c r="F167" s="2067" t="s">
        <v>3045</v>
      </c>
      <c r="G167" s="2708"/>
      <c r="H167" s="2709"/>
      <c r="I167" s="2709"/>
      <c r="J167" s="2710"/>
      <c r="K167" s="2067" t="s">
        <v>3045</v>
      </c>
      <c r="L167" s="2708"/>
      <c r="M167" s="2709"/>
      <c r="N167" s="2709"/>
      <c r="O167" s="2710"/>
      <c r="P167" s="1516"/>
    </row>
    <row r="168" spans="2:16" ht="15.75">
      <c r="E168" s="3556"/>
      <c r="K168" s="412"/>
      <c r="L168" s="3557"/>
      <c r="M168" s="3558"/>
      <c r="N168" s="3558"/>
      <c r="O168" s="2674"/>
    </row>
    <row r="169" spans="2:16" ht="15.75">
      <c r="D169" s="393">
        <v>4.3</v>
      </c>
      <c r="E169" s="13" t="s">
        <v>3768</v>
      </c>
      <c r="F169" s="412"/>
      <c r="J169" s="1105" t="str">
        <f>IF(OR(F171=0,AND(J170=0,O170=0)),$L$3,"")</f>
        <v/>
      </c>
    </row>
    <row r="170" spans="2:16" ht="15.75" thickBot="1">
      <c r="D170" s="562"/>
      <c r="E170" s="3284"/>
      <c r="F170" s="3220"/>
      <c r="G170" s="2688"/>
      <c r="H170" s="2689"/>
      <c r="I170" s="2690" t="s">
        <v>2629</v>
      </c>
      <c r="J170" s="2692">
        <f>Weight!M142</f>
        <v>0.1</v>
      </c>
    </row>
    <row r="171" spans="2:16" ht="22.15" customHeight="1" thickBot="1">
      <c r="D171" s="395"/>
      <c r="E171" s="1529"/>
      <c r="F171" s="2693">
        <v>3</v>
      </c>
      <c r="G171" s="2697" t="s">
        <v>2917</v>
      </c>
      <c r="H171" s="2697"/>
      <c r="I171" s="2697"/>
      <c r="J171" s="2697"/>
      <c r="K171" s="2697"/>
      <c r="L171" s="2697"/>
      <c r="M171" s="2697"/>
      <c r="N171" s="2753" t="s">
        <v>3272</v>
      </c>
      <c r="O171" s="2698"/>
    </row>
    <row r="172" spans="2:16" ht="20.45" customHeight="1">
      <c r="B172" s="2014" t="s">
        <v>49</v>
      </c>
      <c r="C172" s="2014" t="s">
        <v>49</v>
      </c>
      <c r="D172" s="395"/>
      <c r="E172" s="1529"/>
      <c r="F172" s="2702" t="str">
        <f>IF(F171=$F$7,$G$2,IF(AND($O$9=$O$3,ROUNDDOWN(F171,0)=$F$2),$H$2,$G$2))</f>
        <v>　Level 1</v>
      </c>
      <c r="G172" s="2755" t="s">
        <v>2528</v>
      </c>
      <c r="H172" s="3559"/>
      <c r="I172" s="3559"/>
      <c r="J172" s="3559"/>
      <c r="K172" s="3559"/>
      <c r="L172" s="3559"/>
      <c r="M172" s="3559"/>
      <c r="N172" s="4212" t="s">
        <v>3778</v>
      </c>
      <c r="O172" s="4213"/>
    </row>
    <row r="173" spans="2:16" ht="20.45" customHeight="1">
      <c r="B173" s="2014" t="s">
        <v>49</v>
      </c>
      <c r="C173" s="2014" t="s">
        <v>49</v>
      </c>
      <c r="D173" s="395"/>
      <c r="E173" s="1529"/>
      <c r="F173" s="2702" t="str">
        <f>IF(F171=$F$7,$G$3,IF(AND($O$9=$O$3,ROUNDDOWN(F171,0)=$F$3),$H$3,$G$3))</f>
        <v>　Level 2</v>
      </c>
      <c r="G173" s="1170" t="s">
        <v>2528</v>
      </c>
      <c r="H173" s="3550"/>
      <c r="I173" s="3550"/>
      <c r="J173" s="3550"/>
      <c r="K173" s="3550"/>
      <c r="L173" s="3550"/>
      <c r="M173" s="3550"/>
      <c r="N173" s="4214"/>
      <c r="O173" s="4215"/>
    </row>
    <row r="174" spans="2:16" ht="20.45" customHeight="1">
      <c r="B174" s="2014">
        <v>3</v>
      </c>
      <c r="C174" s="2014">
        <v>3</v>
      </c>
      <c r="D174" s="395"/>
      <c r="E174" s="1529"/>
      <c r="F174" s="2702" t="str">
        <f>IF(F171=$F$7,$G$4,IF(AND($O$9=$O$3,ROUNDDOWN(F171,0)=$F$4),$H$4,$G$4))</f>
        <v>　Level 3</v>
      </c>
      <c r="G174" s="2789" t="s">
        <v>3769</v>
      </c>
      <c r="H174" s="3550"/>
      <c r="I174" s="3550"/>
      <c r="J174" s="3550"/>
      <c r="K174" s="3550"/>
      <c r="L174" s="3550"/>
      <c r="M174" s="3550"/>
      <c r="N174" s="4214"/>
      <c r="O174" s="4215"/>
    </row>
    <row r="175" spans="2:16" ht="43.9" customHeight="1">
      <c r="B175" s="2014">
        <v>4</v>
      </c>
      <c r="C175" s="2014">
        <v>4</v>
      </c>
      <c r="D175" s="395"/>
      <c r="E175" s="1529"/>
      <c r="F175" s="2702" t="str">
        <f>IF(F171=$F$7,$G$5,IF(AND($O$9=$O$3,ROUNDDOWN(F171,0)=$F$5),$H$5,$G$5))</f>
        <v>　Level 4</v>
      </c>
      <c r="G175" s="3808" t="s">
        <v>3770</v>
      </c>
      <c r="H175" s="3809"/>
      <c r="I175" s="3809"/>
      <c r="J175" s="3809"/>
      <c r="K175" s="3809"/>
      <c r="L175" s="3809"/>
      <c r="M175" s="3810"/>
      <c r="N175" s="4214"/>
      <c r="O175" s="4215"/>
    </row>
    <row r="176" spans="2:16" ht="48" customHeight="1">
      <c r="B176" s="2014">
        <v>5</v>
      </c>
      <c r="C176" s="2014">
        <v>5</v>
      </c>
      <c r="D176" s="395"/>
      <c r="E176" s="1529"/>
      <c r="F176" s="2704" t="str">
        <f>IF(F171=$F$7,$G$6,IF(AND($O$9=$O$3,ROUNDDOWN(F171,0)=$F$6),$H$6,$G$6))</f>
        <v>　Level 5</v>
      </c>
      <c r="G176" s="3937" t="s">
        <v>3771</v>
      </c>
      <c r="H176" s="4010"/>
      <c r="I176" s="4010"/>
      <c r="J176" s="4010"/>
      <c r="K176" s="4010"/>
      <c r="L176" s="4010"/>
      <c r="M176" s="4011"/>
      <c r="N176" s="4216"/>
      <c r="O176" s="4217"/>
    </row>
    <row r="177" spans="2:15" ht="15.75">
      <c r="B177" s="2850">
        <v>0</v>
      </c>
      <c r="C177" s="2850">
        <v>0</v>
      </c>
      <c r="D177" s="395"/>
      <c r="F177" s="2067" t="s">
        <v>3045</v>
      </c>
      <c r="G177" s="3560"/>
      <c r="H177" s="3541"/>
      <c r="I177" s="3541"/>
      <c r="J177" s="3542"/>
    </row>
    <row r="178" spans="2:15" ht="11.45" customHeight="1">
      <c r="G178" s="2784" t="s">
        <v>3772</v>
      </c>
      <c r="H178" s="2784"/>
      <c r="I178" s="2784"/>
      <c r="J178" s="2784"/>
      <c r="K178" s="2784"/>
      <c r="L178" s="2784"/>
      <c r="M178" s="2784"/>
      <c r="N178" s="2784"/>
      <c r="O178" s="2784"/>
    </row>
    <row r="179" spans="2:15" ht="11.45" customHeight="1">
      <c r="G179" s="2784"/>
      <c r="H179" s="2784" t="s">
        <v>3773</v>
      </c>
      <c r="I179" s="2784"/>
      <c r="J179" s="2784"/>
      <c r="K179" s="2784"/>
      <c r="L179" s="2784"/>
      <c r="M179" s="2784"/>
      <c r="N179" s="2784"/>
      <c r="O179" s="2784"/>
    </row>
    <row r="180" spans="2:15" ht="11.45" customHeight="1">
      <c r="G180" s="2784"/>
      <c r="H180" s="2784" t="s">
        <v>3774</v>
      </c>
      <c r="I180" s="2784"/>
      <c r="J180" s="2784"/>
      <c r="K180" s="2784"/>
      <c r="L180" s="2784"/>
      <c r="M180" s="2784"/>
      <c r="N180" s="2784"/>
      <c r="O180" s="2784"/>
    </row>
    <row r="181" spans="2:15" ht="27" customHeight="1">
      <c r="G181" s="2784"/>
      <c r="H181" s="4002" t="s">
        <v>3775</v>
      </c>
      <c r="I181" s="4002"/>
      <c r="J181" s="4002"/>
      <c r="K181" s="4002"/>
      <c r="L181" s="4002"/>
      <c r="M181" s="4002"/>
      <c r="N181" s="4002"/>
      <c r="O181" s="4002"/>
    </row>
    <row r="182" spans="2:15" ht="11.45" customHeight="1">
      <c r="G182" s="2784" t="s">
        <v>3776</v>
      </c>
      <c r="H182" s="2784"/>
      <c r="I182" s="2784"/>
      <c r="J182" s="2784"/>
      <c r="K182" s="2784"/>
      <c r="L182" s="2784"/>
      <c r="M182" s="2784"/>
      <c r="N182" s="2784"/>
      <c r="O182" s="2784"/>
    </row>
    <row r="183" spans="2:15" ht="11.45" customHeight="1">
      <c r="G183" s="2784"/>
      <c r="H183" s="3792" t="s">
        <v>3777</v>
      </c>
      <c r="I183" s="2784"/>
      <c r="J183" s="2784"/>
      <c r="K183" s="2784"/>
      <c r="L183" s="2784"/>
      <c r="M183" s="2784"/>
      <c r="N183" s="2784"/>
      <c r="O183" s="2784"/>
    </row>
    <row r="184" spans="2:15" ht="11.45" customHeight="1"/>
    <row r="185" spans="2:15" ht="15.75">
      <c r="D185" s="393">
        <v>4.4000000000000004</v>
      </c>
      <c r="E185" s="13" t="s">
        <v>2835</v>
      </c>
      <c r="F185" s="412"/>
      <c r="J185" s="1105" t="str">
        <f>IF(OR(F187=0,AND(J186=0,O186=0)),$L$3,"")</f>
        <v/>
      </c>
    </row>
    <row r="186" spans="2:15" ht="15.75" thickBot="1">
      <c r="D186" s="562"/>
      <c r="E186" s="3284"/>
      <c r="F186" s="3220"/>
      <c r="G186" s="2688"/>
      <c r="H186" s="2689"/>
      <c r="I186" s="2690" t="s">
        <v>2629</v>
      </c>
      <c r="J186" s="2692">
        <f>Weight!M143</f>
        <v>0.1</v>
      </c>
    </row>
    <row r="187" spans="2:15" ht="16.5" thickBot="1">
      <c r="D187" s="395"/>
      <c r="E187" s="1529"/>
      <c r="F187" s="2865">
        <f>G195</f>
        <v>3</v>
      </c>
      <c r="G187" s="2697" t="s">
        <v>2917</v>
      </c>
      <c r="H187" s="2697"/>
      <c r="I187" s="2697"/>
      <c r="J187" s="2697"/>
      <c r="K187" s="2697"/>
      <c r="L187" s="2697"/>
      <c r="M187" s="2697"/>
      <c r="N187" s="2697"/>
      <c r="O187" s="2698"/>
    </row>
    <row r="188" spans="2:15" ht="15.75">
      <c r="B188" s="2014" t="s">
        <v>49</v>
      </c>
      <c r="C188" s="2014" t="s">
        <v>49</v>
      </c>
      <c r="D188" s="395"/>
      <c r="E188" s="1529"/>
      <c r="F188" s="2702" t="str">
        <f>IF(F187=$F$7,$G$2,IF(AND($O$9=$O$3,ROUNDDOWN(F187,0)=$F$2),$H$2,$G$2))</f>
        <v>　Level 1</v>
      </c>
      <c r="G188" s="2761" t="s">
        <v>2528</v>
      </c>
      <c r="H188" s="3550"/>
      <c r="I188" s="3550"/>
      <c r="J188" s="3550"/>
      <c r="K188" s="3550"/>
      <c r="L188" s="3550"/>
      <c r="M188" s="3550"/>
      <c r="N188" s="3550"/>
      <c r="O188" s="3561"/>
    </row>
    <row r="189" spans="2:15" ht="15.75">
      <c r="B189" s="2014" t="s">
        <v>49</v>
      </c>
      <c r="C189" s="2014" t="s">
        <v>49</v>
      </c>
      <c r="D189" s="395"/>
      <c r="E189" s="1529"/>
      <c r="F189" s="2702" t="str">
        <f>IF(F187=$F$7,$G$3,IF(AND($O$9=$O$3,ROUNDDOWN(F187,0)=$F$3),$H$3,$G$3))</f>
        <v>　Level 2</v>
      </c>
      <c r="G189" s="1170" t="s">
        <v>2528</v>
      </c>
      <c r="H189" s="3550"/>
      <c r="I189" s="3550"/>
      <c r="J189" s="3550"/>
      <c r="K189" s="3550"/>
      <c r="L189" s="3550"/>
      <c r="M189" s="3550"/>
      <c r="N189" s="3550"/>
      <c r="O189" s="3561"/>
    </row>
    <row r="190" spans="2:15" ht="15.75">
      <c r="B190" s="2014">
        <v>3</v>
      </c>
      <c r="C190" s="2014">
        <v>3</v>
      </c>
      <c r="D190" s="395"/>
      <c r="E190" s="1529"/>
      <c r="F190" s="2702" t="str">
        <f>IF(F187=$F$7,$G$4,IF(AND($O$9=$O$3,ROUNDDOWN(F187,0)=$F$4),$H$4,$G$4))</f>
        <v>　Level 3</v>
      </c>
      <c r="G190" s="2789" t="s">
        <v>3769</v>
      </c>
      <c r="H190" s="3550"/>
      <c r="I190" s="3550"/>
      <c r="J190" s="3550"/>
      <c r="K190" s="3550"/>
      <c r="L190" s="3550"/>
      <c r="M190" s="3550"/>
      <c r="N190" s="3550"/>
      <c r="O190" s="3561"/>
    </row>
    <row r="191" spans="2:15" ht="15.75">
      <c r="B191" s="2014">
        <v>4</v>
      </c>
      <c r="C191" s="2014">
        <v>4</v>
      </c>
      <c r="D191" s="395"/>
      <c r="E191" s="1529"/>
      <c r="F191" s="2702" t="str">
        <f>IF(F187=$F$7,$G$5,IF(AND($O$9=$O$3,ROUNDDOWN(F187,0)=$F$5),$H$5,$G$5))</f>
        <v>　Level 4</v>
      </c>
      <c r="G191" s="2789" t="s">
        <v>3785</v>
      </c>
      <c r="H191" s="3550"/>
      <c r="I191" s="3550"/>
      <c r="J191" s="3550"/>
      <c r="K191" s="3550"/>
      <c r="L191" s="3550"/>
      <c r="M191" s="3550"/>
      <c r="N191" s="3550"/>
      <c r="O191" s="3561"/>
    </row>
    <row r="192" spans="2:15" ht="15.75">
      <c r="B192" s="2014">
        <v>5</v>
      </c>
      <c r="C192" s="2014">
        <v>5</v>
      </c>
      <c r="D192" s="395"/>
      <c r="E192" s="1529"/>
      <c r="F192" s="2704" t="str">
        <f>IF(F187=$F$7,$G$6,IF(AND($O$9=$O$3,ROUNDDOWN(F187,0)=$F$6),$H$6,$G$6))</f>
        <v>　Level 5</v>
      </c>
      <c r="G192" s="2819" t="s">
        <v>3779</v>
      </c>
      <c r="H192" s="3550"/>
      <c r="I192" s="3550"/>
      <c r="J192" s="3550"/>
      <c r="K192" s="3550"/>
      <c r="L192" s="3550"/>
      <c r="M192" s="3550"/>
      <c r="N192" s="3550"/>
      <c r="O192" s="3561"/>
    </row>
    <row r="193" spans="2:15" ht="15.75">
      <c r="B193" s="2850">
        <v>0</v>
      </c>
      <c r="C193" s="2850">
        <v>0</v>
      </c>
      <c r="D193" s="395"/>
      <c r="F193" s="2067" t="s">
        <v>3045</v>
      </c>
      <c r="G193" s="2708"/>
      <c r="H193" s="2709"/>
      <c r="I193" s="2709"/>
      <c r="J193" s="2710"/>
    </row>
    <row r="194" spans="2:15">
      <c r="F194" s="1173" t="s">
        <v>3286</v>
      </c>
    </row>
    <row r="195" spans="2:15" ht="15" thickBot="1">
      <c r="G195" s="3562">
        <f>IF(AND(G196=M3,G197=M3),IF(G201&gt;=2,5,4),3)</f>
        <v>3</v>
      </c>
      <c r="H195" s="2857" t="s">
        <v>4057</v>
      </c>
      <c r="I195" s="3563"/>
      <c r="J195" s="3563"/>
      <c r="K195" s="3563"/>
      <c r="L195" s="3563"/>
      <c r="M195" s="3563"/>
      <c r="N195" s="3563"/>
      <c r="O195" s="3418"/>
    </row>
    <row r="196" spans="2:15">
      <c r="F196" s="2321" t="s">
        <v>784</v>
      </c>
      <c r="G196" s="3389" t="s">
        <v>2830</v>
      </c>
      <c r="H196" s="3564" t="s">
        <v>2272</v>
      </c>
      <c r="I196" s="3336" t="s">
        <v>3780</v>
      </c>
      <c r="J196" s="3336"/>
      <c r="K196" s="3336"/>
      <c r="L196" s="3336"/>
      <c r="M196" s="3336"/>
      <c r="N196" s="3336"/>
      <c r="O196" s="3362"/>
    </row>
    <row r="197" spans="2:15" ht="25.9" customHeight="1" thickBot="1">
      <c r="F197" s="2321" t="s">
        <v>1046</v>
      </c>
      <c r="G197" s="3396"/>
      <c r="H197" s="3565"/>
      <c r="I197" s="4167" t="s">
        <v>3781</v>
      </c>
      <c r="J197" s="4167"/>
      <c r="K197" s="4167"/>
      <c r="L197" s="4167"/>
      <c r="M197" s="4167"/>
      <c r="N197" s="4167"/>
      <c r="O197" s="4168"/>
    </row>
    <row r="198" spans="2:15" ht="13.15" customHeight="1">
      <c r="F198" s="2321" t="s">
        <v>786</v>
      </c>
      <c r="G198" s="3566"/>
      <c r="H198" s="3567" t="s">
        <v>2273</v>
      </c>
      <c r="I198" s="2284" t="s">
        <v>3782</v>
      </c>
      <c r="J198" s="2284"/>
      <c r="K198" s="2284"/>
      <c r="L198" s="2284"/>
      <c r="M198" s="2284"/>
      <c r="N198" s="2284"/>
      <c r="O198" s="3445"/>
    </row>
    <row r="199" spans="2:15" ht="24" customHeight="1">
      <c r="F199" s="2321" t="s">
        <v>787</v>
      </c>
      <c r="G199" s="3396" t="s">
        <v>2830</v>
      </c>
      <c r="H199" s="3568"/>
      <c r="I199" s="4165" t="s">
        <v>3783</v>
      </c>
      <c r="J199" s="4009"/>
      <c r="K199" s="4009"/>
      <c r="L199" s="4009"/>
      <c r="M199" s="4009"/>
      <c r="N199" s="4009"/>
      <c r="O199" s="3977"/>
    </row>
    <row r="200" spans="2:15" ht="15" thickBot="1">
      <c r="F200" s="2321" t="s">
        <v>788</v>
      </c>
      <c r="G200" s="3507"/>
      <c r="H200" s="3570"/>
      <c r="I200" s="3569" t="s">
        <v>3784</v>
      </c>
      <c r="J200" s="3569"/>
      <c r="K200" s="3569"/>
      <c r="L200" s="3569"/>
      <c r="M200" s="3569"/>
      <c r="N200" s="3569"/>
      <c r="O200" s="2859"/>
    </row>
    <row r="201" spans="2:15" ht="15.75">
      <c r="F201" s="2321" t="s">
        <v>1468</v>
      </c>
      <c r="G201" s="3512">
        <f>COUNTIF(G198:G200,$M$3)</f>
        <v>1</v>
      </c>
      <c r="H201" s="3405" t="s">
        <v>4055</v>
      </c>
      <c r="I201" s="3513"/>
      <c r="J201" s="3513"/>
      <c r="K201" s="3513"/>
      <c r="L201" s="3513"/>
      <c r="M201" s="3513"/>
      <c r="N201" s="3513"/>
      <c r="O201" s="3514"/>
    </row>
    <row r="202" spans="2:15"/>
    <row r="203" spans="2:15"/>
    <row r="204" spans="2:15"/>
    <row r="205" spans="2:15"/>
    <row r="206" spans="2:15"/>
    <row r="207" spans="2:15"/>
    <row r="208" spans="2:15"/>
    <row r="209"/>
    <row r="210"/>
    <row r="211"/>
    <row r="212"/>
    <row r="213"/>
    <row r="214"/>
    <row r="215"/>
    <row r="216"/>
    <row r="223"/>
    <row r="224"/>
    <row r="229"/>
    <row r="232"/>
    <row r="240"/>
    <row r="261"/>
    <row r="277"/>
    <row r="288"/>
    <row r="289"/>
    <row r="290"/>
    <row r="291"/>
    <row r="293"/>
    <row r="296"/>
    <row r="299"/>
    <row r="300"/>
    <row r="301"/>
    <row r="302"/>
    <row r="303"/>
    <row r="304"/>
    <row r="305"/>
    <row r="306"/>
    <row r="307"/>
    <row r="309"/>
    <row r="312"/>
    <row r="315"/>
    <row r="316"/>
    <row r="317"/>
    <row r="318"/>
    <row r="319"/>
    <row r="320"/>
    <row r="321"/>
    <row r="322"/>
    <row r="323"/>
    <row r="325"/>
    <row r="326"/>
    <row r="327"/>
    <row r="328"/>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row r="372"/>
    <row r="373"/>
    <row r="374"/>
    <row r="375"/>
    <row r="376"/>
    <row r="377"/>
    <row r="378"/>
    <row r="379"/>
    <row r="380"/>
    <row r="381"/>
    <row r="382"/>
    <row r="383"/>
    <row r="384"/>
    <row r="385"/>
    <row r="386"/>
    <row r="387"/>
    <row r="388"/>
  </sheetData>
  <sheetProtection algorithmName="SHA-512" hashValue="Q7nqjM88+noMcFjzbJl4jn2hktDXan/8vOLNNvpiiiC5TFDvXe9QNklAxTXG0SVmYsj2muHm4n+5/G5zr3GH6w==" saltValue="f1UtgswMqZ4/UyOd1HQsQw==" spinCount="100000" sheet="1" objects="1" scenarios="1"/>
  <mergeCells count="115">
    <mergeCell ref="H147:I147"/>
    <mergeCell ref="H181:O181"/>
    <mergeCell ref="I197:O197"/>
    <mergeCell ref="I199:O199"/>
    <mergeCell ref="H153:I153"/>
    <mergeCell ref="G163:J163"/>
    <mergeCell ref="G164:J164"/>
    <mergeCell ref="G165:J165"/>
    <mergeCell ref="G166:J166"/>
    <mergeCell ref="H148:I148"/>
    <mergeCell ref="H149:I149"/>
    <mergeCell ref="H150:I150"/>
    <mergeCell ref="H151:I151"/>
    <mergeCell ref="H152:I152"/>
    <mergeCell ref="G149:G151"/>
    <mergeCell ref="G153:G157"/>
    <mergeCell ref="N172:O176"/>
    <mergeCell ref="H83:K83"/>
    <mergeCell ref="L81:O81"/>
    <mergeCell ref="M48:O48"/>
    <mergeCell ref="M54:O54"/>
    <mergeCell ref="M56:O56"/>
    <mergeCell ref="L69:O69"/>
    <mergeCell ref="H78:K78"/>
    <mergeCell ref="H49:H54"/>
    <mergeCell ref="I49:K54"/>
    <mergeCell ref="H45:H48"/>
    <mergeCell ref="I45:K48"/>
    <mergeCell ref="M49:O49"/>
    <mergeCell ref="H82:K82"/>
    <mergeCell ref="K36:K37"/>
    <mergeCell ref="F21:F22"/>
    <mergeCell ref="G21:G22"/>
    <mergeCell ref="H23:I27"/>
    <mergeCell ref="J23:K27"/>
    <mergeCell ref="H79:K79"/>
    <mergeCell ref="H80:K80"/>
    <mergeCell ref="G45:G48"/>
    <mergeCell ref="H33:I33"/>
    <mergeCell ref="K34:K35"/>
    <mergeCell ref="K28:O28"/>
    <mergeCell ref="K39:O39"/>
    <mergeCell ref="M57:O57"/>
    <mergeCell ref="F153:F157"/>
    <mergeCell ref="M23:O23"/>
    <mergeCell ref="M24:O24"/>
    <mergeCell ref="F149:F151"/>
    <mergeCell ref="G133:J133"/>
    <mergeCell ref="G131:J131"/>
    <mergeCell ref="G132:J132"/>
    <mergeCell ref="G49:G54"/>
    <mergeCell ref="I57:K57"/>
    <mergeCell ref="G55:G56"/>
    <mergeCell ref="H55:H56"/>
    <mergeCell ref="I55:K56"/>
    <mergeCell ref="G130:J130"/>
    <mergeCell ref="G137:O137"/>
    <mergeCell ref="G136:O136"/>
    <mergeCell ref="M25:O25"/>
    <mergeCell ref="H36:J36"/>
    <mergeCell ref="H37:J37"/>
    <mergeCell ref="H38:J38"/>
    <mergeCell ref="M35:O35"/>
    <mergeCell ref="M36:O36"/>
    <mergeCell ref="M37:O37"/>
    <mergeCell ref="M38:O38"/>
    <mergeCell ref="H81:K81"/>
    <mergeCell ref="L133:O133"/>
    <mergeCell ref="N115:O119"/>
    <mergeCell ref="K84:O84"/>
    <mergeCell ref="G140:G142"/>
    <mergeCell ref="G143:G146"/>
    <mergeCell ref="I14:J14"/>
    <mergeCell ref="K14:L14"/>
    <mergeCell ref="M15:O15"/>
    <mergeCell ref="M16:O16"/>
    <mergeCell ref="M17:O17"/>
    <mergeCell ref="L21:L22"/>
    <mergeCell ref="M26:O26"/>
    <mergeCell ref="M27:O27"/>
    <mergeCell ref="G17:H17"/>
    <mergeCell ref="I17:J17"/>
    <mergeCell ref="K17:L17"/>
    <mergeCell ref="G18:H18"/>
    <mergeCell ref="G19:H19"/>
    <mergeCell ref="I19:J19"/>
    <mergeCell ref="I18:J18"/>
    <mergeCell ref="K18:L18"/>
    <mergeCell ref="K19:L19"/>
    <mergeCell ref="M18:O18"/>
    <mergeCell ref="M19:O19"/>
    <mergeCell ref="N104:O108"/>
    <mergeCell ref="L132:O132"/>
    <mergeCell ref="L83:O83"/>
    <mergeCell ref="L164:O164"/>
    <mergeCell ref="L165:O165"/>
    <mergeCell ref="L166:O166"/>
    <mergeCell ref="G175:M175"/>
    <mergeCell ref="G176:M176"/>
    <mergeCell ref="J140:O140"/>
    <mergeCell ref="J141:O141"/>
    <mergeCell ref="J147:O147"/>
    <mergeCell ref="J149:O149"/>
    <mergeCell ref="J150:O150"/>
    <mergeCell ref="J157:O157"/>
    <mergeCell ref="H140:I140"/>
    <mergeCell ref="H141:I141"/>
    <mergeCell ref="H142:I142"/>
    <mergeCell ref="H143:I143"/>
    <mergeCell ref="H144:I144"/>
    <mergeCell ref="H145:I145"/>
    <mergeCell ref="H146:I146"/>
    <mergeCell ref="F139:G139"/>
    <mergeCell ref="F140:F142"/>
    <mergeCell ref="F143:F146"/>
  </mergeCells>
  <phoneticPr fontId="26"/>
  <conditionalFormatting sqref="F13 F103 F114 F128 F161">
    <cfRule type="expression" dxfId="51" priority="38" stopIfTrue="1">
      <formula>AND(OR(F13&lt;1,F13&gt;5),F13&lt;&gt;0)</formula>
    </cfRule>
    <cfRule type="expression" dxfId="50" priority="39" stopIfTrue="1">
      <formula>$J12&gt;0</formula>
    </cfRule>
  </conditionalFormatting>
  <conditionalFormatting sqref="F21">
    <cfRule type="cellIs" dxfId="49" priority="48" stopIfTrue="1" operator="equal">
      <formula>#REF!</formula>
    </cfRule>
  </conditionalFormatting>
  <conditionalFormatting sqref="F171">
    <cfRule type="expression" dxfId="48" priority="11" stopIfTrue="1">
      <formula>AND(OR(F171&lt;1,F171&gt;5),F171&lt;&gt;0)</formula>
    </cfRule>
    <cfRule type="expression" dxfId="47" priority="12" stopIfTrue="1">
      <formula>$J170&gt;0</formula>
    </cfRule>
  </conditionalFormatting>
  <conditionalFormatting sqref="G33">
    <cfRule type="expression" dxfId="46" priority="13" stopIfTrue="1">
      <formula>AND(OR(G33&lt;1,G33&gt;5),G33&lt;&gt;0)</formula>
    </cfRule>
    <cfRule type="expression" dxfId="45" priority="14" stopIfTrue="1">
      <formula>J33&gt;0</formula>
    </cfRule>
  </conditionalFormatting>
  <conditionalFormatting sqref="K128">
    <cfRule type="expression" dxfId="44" priority="3" stopIfTrue="1">
      <formula>AND(OR(K128&lt;1,K128&gt;5),K128&lt;&gt;0)</formula>
    </cfRule>
    <cfRule type="expression" dxfId="43" priority="4" stopIfTrue="1">
      <formula>$O127</formula>
    </cfRule>
  </conditionalFormatting>
  <conditionalFormatting sqref="K161">
    <cfRule type="expression" dxfId="42" priority="7" stopIfTrue="1">
      <formula>AND(OR(K161&lt;1,K161&gt;5),K161&lt;&gt;0)</formula>
    </cfRule>
    <cfRule type="expression" dxfId="41" priority="8" stopIfTrue="1">
      <formula>$O160</formula>
    </cfRule>
  </conditionalFormatting>
  <conditionalFormatting sqref="L33">
    <cfRule type="expression" dxfId="40" priority="1" stopIfTrue="1">
      <formula>AND(OR(L33&lt;1,L33&gt;5),L33&lt;&gt;0)</formula>
    </cfRule>
    <cfRule type="expression" dxfId="39" priority="2" stopIfTrue="1">
      <formula>$O$33</formula>
    </cfRule>
  </conditionalFormatting>
  <dataValidations xWindow="404" yWindow="579" count="5">
    <dataValidation type="list" allowBlank="1" showInputMessage="1" sqref="F13 F114 F103 F161 F171" xr:uid="{00000000-0002-0000-0C00-000000000000}">
      <formula1>$B14:$B19</formula1>
    </dataValidation>
    <dataValidation type="list" allowBlank="1" showInputMessage="1" sqref="F128" xr:uid="{00000000-0002-0000-0C00-000001000000}">
      <formula1>$B$129:$B$134</formula1>
    </dataValidation>
    <dataValidation type="list" allowBlank="1" showInputMessage="1" sqref="K161 K128 L33" xr:uid="{00000000-0002-0000-0C00-000003000000}">
      <formula1>$C33:$C39</formula1>
    </dataValidation>
    <dataValidation type="list" allowBlank="1" showInputMessage="1" showErrorMessage="1" sqref="L45:L57 G196:G200" xr:uid="{00000000-0002-0000-0C00-000005000000}">
      <formula1>$M$3:$M$4</formula1>
    </dataValidation>
    <dataValidation type="list" allowBlank="1" showInputMessage="1" sqref="G33" xr:uid="{D83B786F-467E-4B93-98D3-67C79FC842F5}">
      <formula1>$B$34:$B$39</formula1>
    </dataValidation>
  </dataValidations>
  <printOptions horizontalCentered="1"/>
  <pageMargins left="0.59055118110236227" right="0.59055118110236227" top="0.78740157480314965" bottom="0.59055118110236227" header="0.51181102362204722" footer="0.51181102362204722"/>
  <pageSetup paperSize="9" scale="80" fitToHeight="0" orientation="portrait" verticalDpi="4294967293" r:id="rId1"/>
  <headerFooter alignWithMargins="0">
    <oddHeader>&amp;L&amp;F&amp;R&amp;A</oddHeader>
    <oddFooter>&amp;C&amp;P/&amp;N</oddFooter>
  </headerFooter>
  <rowBreaks count="4" manualBreakCount="4">
    <brk id="30" min="2" max="15" man="1"/>
    <brk id="59" min="2" max="15" man="1"/>
    <brk id="124" min="2" max="15" man="1"/>
    <brk id="158" min="2" max="15" man="1"/>
  </rowBreaks>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1"/>
  <dimension ref="A1:AB137"/>
  <sheetViews>
    <sheetView showGridLines="0" workbookViewId="0">
      <selection activeCell="H9" sqref="H9"/>
    </sheetView>
  </sheetViews>
  <sheetFormatPr defaultColWidth="0" defaultRowHeight="13.5" zeroHeight="1"/>
  <cols>
    <col min="1" max="2" width="1.375" customWidth="1"/>
    <col min="3" max="3" width="2.125" customWidth="1"/>
    <col min="4" max="4" width="2.5" customWidth="1"/>
    <col min="5" max="5" width="10.75" customWidth="1"/>
    <col min="6" max="6" width="10.625" customWidth="1"/>
    <col min="7" max="7" width="10.25" customWidth="1"/>
    <col min="8" max="8" width="10.875" customWidth="1"/>
    <col min="9" max="9" width="1.25" customWidth="1"/>
    <col min="10" max="10" width="10.875" customWidth="1"/>
    <col min="11" max="11" width="11" customWidth="1"/>
    <col min="12" max="12" width="9.5" customWidth="1"/>
    <col min="13" max="14" width="11.25" customWidth="1"/>
    <col min="15" max="15" width="2.375" customWidth="1"/>
    <col min="16" max="16" width="10.25" customWidth="1"/>
    <col min="17" max="17" width="2.125" customWidth="1"/>
    <col min="18" max="18" width="1" customWidth="1"/>
    <col min="19" max="19" width="3.5" hidden="1" customWidth="1"/>
    <col min="20" max="20" width="13.375" hidden="1" customWidth="1"/>
    <col min="21" max="21" width="8.75" hidden="1" customWidth="1"/>
    <col min="22" max="22" width="9.125" hidden="1" customWidth="1"/>
    <col min="23" max="23" width="13.875" hidden="1" customWidth="1"/>
    <col min="24" max="24" width="12.75" hidden="1" customWidth="1"/>
    <col min="25" max="25" width="6.75" hidden="1" customWidth="1"/>
    <col min="26" max="26" width="6.5" hidden="1" customWidth="1"/>
    <col min="27" max="27" width="13.875" hidden="1" customWidth="1"/>
    <col min="28" max="28" width="12.75" hidden="1" customWidth="1"/>
    <col min="29" max="16384" width="8.875" hidden="1"/>
  </cols>
  <sheetData>
    <row r="1" spans="2:28" ht="9.75" customHeight="1" thickBot="1"/>
    <row r="2" spans="2:28" ht="37.9" customHeight="1">
      <c r="B2" s="1175"/>
      <c r="C2" s="2400" t="s">
        <v>2416</v>
      </c>
      <c r="D2" s="526"/>
      <c r="E2" s="526"/>
      <c r="F2" s="527"/>
      <c r="G2" s="527"/>
      <c r="H2" s="528"/>
      <c r="I2" s="526"/>
      <c r="J2" s="526"/>
      <c r="K2" s="526"/>
      <c r="L2" s="526"/>
      <c r="M2" s="526"/>
      <c r="N2" s="526"/>
      <c r="O2" s="3777" t="s">
        <v>4652</v>
      </c>
      <c r="P2" s="2394" t="str">
        <f>Main!C11</f>
        <v>XXX Building</v>
      </c>
      <c r="Q2" s="529"/>
      <c r="T2" s="2399" t="s">
        <v>2415</v>
      </c>
    </row>
    <row r="3" spans="2:28" s="1105" customFormat="1" ht="14.25">
      <c r="B3" s="2238"/>
      <c r="C3" s="1150"/>
      <c r="D3" s="1150"/>
      <c r="E3" s="1150"/>
      <c r="F3" s="1150"/>
      <c r="G3" s="1150"/>
      <c r="H3" s="1150"/>
      <c r="I3" s="1150"/>
      <c r="J3" s="1150"/>
      <c r="K3" s="1150"/>
      <c r="L3" s="1150"/>
      <c r="M3" s="1150"/>
      <c r="N3" s="1150"/>
      <c r="O3" s="1150"/>
      <c r="P3" s="1150"/>
      <c r="Q3" s="2261"/>
    </row>
    <row r="4" spans="2:28" s="1105" customFormat="1" ht="14.25" hidden="1">
      <c r="B4" s="2238"/>
      <c r="C4" s="1150"/>
      <c r="D4" s="1150"/>
      <c r="E4" s="1150"/>
      <c r="F4" s="1150"/>
      <c r="G4" s="1150"/>
      <c r="H4" s="2206"/>
      <c r="I4" s="1150"/>
      <c r="J4" s="1150"/>
      <c r="K4" s="1150"/>
      <c r="L4" s="1150"/>
      <c r="M4" s="1150"/>
      <c r="N4" s="1150"/>
      <c r="O4" s="1150"/>
      <c r="P4" s="1150"/>
      <c r="Q4" s="2261"/>
    </row>
    <row r="5" spans="2:28" s="1105" customFormat="1" ht="15" thickBot="1">
      <c r="B5" s="2238"/>
      <c r="C5" s="2395" t="s">
        <v>712</v>
      </c>
      <c r="D5" s="2396" t="s">
        <v>2389</v>
      </c>
      <c r="E5" s="1150"/>
      <c r="F5" s="1150"/>
      <c r="G5" s="1150"/>
      <c r="H5" s="1150"/>
      <c r="I5" s="1150"/>
      <c r="J5" s="1150"/>
      <c r="K5" s="1150"/>
      <c r="L5" s="1150"/>
      <c r="M5" s="1150"/>
      <c r="N5" s="1150"/>
      <c r="O5" s="1150"/>
      <c r="P5" s="1150"/>
      <c r="Q5" s="2261"/>
      <c r="U5" s="2401">
        <f>IF($H$6&lt;=V10,U11,IF($H$6&lt;=V9,U10,IF($H$6&lt;=V8,U9,IF($H$6&lt;=V7,U8,1))))</f>
        <v>4</v>
      </c>
      <c r="W5" s="1105">
        <f>VLOOKUP($U$5,U7:X11,3)</f>
        <v>-14.285714285714295</v>
      </c>
      <c r="X5" s="1105">
        <f>VLOOKUP($U$5,U7:X11,4)</f>
        <v>16.857142857142868</v>
      </c>
      <c r="Y5" s="2401">
        <f>IF($H$6&lt;=Z10,Y11,IF($H$6&lt;=Z9,Y10,IF($H$6&lt;=Z8,Y9,IF($H$6&lt;=Z7,Y8,1))))</f>
        <v>4</v>
      </c>
      <c r="AA5" s="1105">
        <f>VLOOKUP($Y$5,Y7:AB11,3)</f>
        <v>-25.000000000000046</v>
      </c>
      <c r="AB5" s="1105">
        <f>VLOOKUP($Y$5,Y7:AB11,4)</f>
        <v>27.250000000000043</v>
      </c>
    </row>
    <row r="6" spans="2:28" s="1105" customFormat="1" ht="15" thickBot="1">
      <c r="B6" s="2238"/>
      <c r="C6" s="1150"/>
      <c r="D6" s="2396"/>
      <c r="E6" s="5" t="s">
        <v>2384</v>
      </c>
      <c r="F6" s="2396"/>
      <c r="G6" s="2402" t="s">
        <v>713</v>
      </c>
      <c r="H6" s="2403">
        <v>0.97</v>
      </c>
      <c r="I6" s="1150"/>
      <c r="J6" s="2043" t="str">
        <f>Main!F12</f>
        <v>Zone 3</v>
      </c>
      <c r="K6" s="1150"/>
      <c r="L6" s="2404" t="s">
        <v>2369</v>
      </c>
      <c r="M6" s="2405">
        <f>IF(H6="",1,IF(H6&lt;=V11,U11,IF(H6&gt;=V7,U7,H6*W5+X5)))</f>
        <v>3.0000000000000018</v>
      </c>
      <c r="N6" s="1150"/>
      <c r="O6" s="1150"/>
      <c r="P6" s="1150"/>
      <c r="Q6" s="2261"/>
      <c r="T6" s="1105" t="s">
        <v>2392</v>
      </c>
      <c r="U6" s="2014" t="s">
        <v>2460</v>
      </c>
      <c r="V6" s="2014" t="s">
        <v>2461</v>
      </c>
      <c r="W6" s="1105" t="s">
        <v>2462</v>
      </c>
      <c r="X6" s="1105" t="s">
        <v>2463</v>
      </c>
      <c r="Y6" s="2014" t="s">
        <v>2460</v>
      </c>
      <c r="Z6" s="2014" t="str">
        <f>Main!I18</f>
        <v>Zone 8</v>
      </c>
      <c r="AA6" s="1105" t="s">
        <v>2462</v>
      </c>
      <c r="AB6" s="1105" t="s">
        <v>2463</v>
      </c>
    </row>
    <row r="7" spans="2:28" s="1105" customFormat="1" ht="14.25">
      <c r="B7" s="2238"/>
      <c r="C7" s="1150"/>
      <c r="D7" s="1150"/>
      <c r="E7" s="1150"/>
      <c r="F7" s="1150"/>
      <c r="G7" s="1150"/>
      <c r="H7" s="1150"/>
      <c r="I7" s="1150"/>
      <c r="J7" s="1150"/>
      <c r="K7" s="1150"/>
      <c r="L7" s="2404" t="s">
        <v>1406</v>
      </c>
      <c r="M7" s="2405">
        <f>IF(H6="",1,IF(H6&lt;=Z11,Y11,IF(H6&gt;=Z7,Y7,H6*AA5+AB5)))</f>
        <v>3</v>
      </c>
      <c r="N7" s="1150"/>
      <c r="O7" s="2406"/>
      <c r="P7" s="1150"/>
      <c r="Q7" s="2407"/>
      <c r="T7" s="2408" t="s">
        <v>2397</v>
      </c>
      <c r="U7" s="2014">
        <v>1</v>
      </c>
      <c r="V7" s="2014">
        <v>1.03</v>
      </c>
      <c r="W7" s="2401">
        <v>0</v>
      </c>
      <c r="X7" s="2401">
        <v>1</v>
      </c>
      <c r="Y7" s="2014">
        <v>1</v>
      </c>
      <c r="Z7" s="2014">
        <v>1.03</v>
      </c>
      <c r="AA7" s="2401">
        <v>0</v>
      </c>
      <c r="AB7" s="2401">
        <v>1</v>
      </c>
    </row>
    <row r="8" spans="2:28" s="1105" customFormat="1" ht="7.5" customHeight="1" thickBot="1">
      <c r="B8" s="2238"/>
      <c r="C8" s="1150"/>
      <c r="D8" s="1150"/>
      <c r="E8" s="1150"/>
      <c r="F8" s="1150"/>
      <c r="G8" s="1150"/>
      <c r="H8" s="1150"/>
      <c r="I8" s="1150"/>
      <c r="J8" s="2409"/>
      <c r="K8" s="1150"/>
      <c r="L8" s="1150"/>
      <c r="M8" s="1150"/>
      <c r="N8" s="1150"/>
      <c r="O8" s="1150"/>
      <c r="P8" s="1150"/>
      <c r="Q8" s="2261"/>
      <c r="T8" s="2408" t="s">
        <v>2393</v>
      </c>
      <c r="U8" s="2014">
        <v>2</v>
      </c>
      <c r="V8" s="2014">
        <v>1</v>
      </c>
      <c r="W8" s="1105">
        <f>(U8-U7)/(V8-V7)</f>
        <v>-33.3333333333333</v>
      </c>
      <c r="X8" s="1105">
        <f>U8-W8*V8</f>
        <v>35.3333333333333</v>
      </c>
      <c r="Y8" s="2014">
        <v>2</v>
      </c>
      <c r="Z8" s="2014">
        <v>1</v>
      </c>
      <c r="AA8" s="1105">
        <f>(Y8-Y7)/(Z8-Z7)</f>
        <v>-33.3333333333333</v>
      </c>
      <c r="AB8" s="1105">
        <f>Y8-AA8*Z8</f>
        <v>35.3333333333333</v>
      </c>
    </row>
    <row r="9" spans="2:28" s="1105" customFormat="1" ht="26.45" customHeight="1" thickBot="1">
      <c r="B9" s="2238"/>
      <c r="C9" s="1150"/>
      <c r="D9" s="1150"/>
      <c r="E9" s="2398" t="s">
        <v>2387</v>
      </c>
      <c r="F9" s="4218" t="s">
        <v>2403</v>
      </c>
      <c r="G9" s="4219"/>
      <c r="H9" s="2410" t="s">
        <v>5031</v>
      </c>
      <c r="I9" s="1150"/>
      <c r="J9" s="1150" t="s">
        <v>2399</v>
      </c>
      <c r="K9" s="1150"/>
      <c r="L9" s="1150"/>
      <c r="M9" s="1150"/>
      <c r="N9" s="1150"/>
      <c r="O9" s="1150"/>
      <c r="P9" s="1150"/>
      <c r="Q9" s="2261"/>
      <c r="T9" s="2408" t="s">
        <v>2394</v>
      </c>
      <c r="U9" s="2014">
        <v>3</v>
      </c>
      <c r="V9" s="2014">
        <v>0.97</v>
      </c>
      <c r="W9" s="1105">
        <f>(U9-U8)/(V9-V8)</f>
        <v>-33.3333333333333</v>
      </c>
      <c r="X9" s="1105">
        <f>U9-W9*V9</f>
        <v>35.3333333333333</v>
      </c>
      <c r="Y9" s="2014">
        <v>3</v>
      </c>
      <c r="Z9" s="2014">
        <v>0.97</v>
      </c>
      <c r="AA9" s="1105">
        <f>(Y9-Y8)/(Z9-Z8)</f>
        <v>-33.3333333333333</v>
      </c>
      <c r="AB9" s="1105">
        <f>Y9-AA9*Z9</f>
        <v>35.3333333333333</v>
      </c>
    </row>
    <row r="10" spans="2:28" s="1105" customFormat="1" ht="16.149999999999999" customHeight="1">
      <c r="B10" s="2238"/>
      <c r="C10" s="1150"/>
      <c r="D10" s="2404"/>
      <c r="E10" s="2411" t="s">
        <v>2400</v>
      </c>
      <c r="F10" s="4220" t="s">
        <v>2401</v>
      </c>
      <c r="G10" s="4220"/>
      <c r="H10" s="4220"/>
      <c r="I10" s="4220"/>
      <c r="J10" s="4220"/>
      <c r="K10" s="4220"/>
      <c r="L10" s="4220"/>
      <c r="M10" s="4220"/>
      <c r="N10" s="4220"/>
      <c r="O10" s="4220"/>
      <c r="P10" s="4220"/>
      <c r="Q10" s="2261"/>
      <c r="T10" s="2408" t="s">
        <v>2395</v>
      </c>
      <c r="U10" s="2014">
        <v>4</v>
      </c>
      <c r="V10" s="2014">
        <v>0.9</v>
      </c>
      <c r="W10" s="1105">
        <f>(U10-U9)/(V10-V9)</f>
        <v>-14.285714285714295</v>
      </c>
      <c r="X10" s="1105">
        <f>U10-W10*V10</f>
        <v>16.857142857142868</v>
      </c>
      <c r="Y10" s="2014">
        <v>4</v>
      </c>
      <c r="Z10" s="2014">
        <v>0.93</v>
      </c>
      <c r="AA10" s="1105">
        <f>(Y10-Y9)/(Z10-Z9)</f>
        <v>-25.000000000000046</v>
      </c>
      <c r="AB10" s="1105">
        <f>Y10-AA10*Z10</f>
        <v>27.250000000000043</v>
      </c>
    </row>
    <row r="11" spans="2:28" s="1105" customFormat="1" ht="15" thickBot="1">
      <c r="B11" s="2238"/>
      <c r="C11" s="1150"/>
      <c r="D11" s="1150"/>
      <c r="E11" s="2396"/>
      <c r="F11" s="1150"/>
      <c r="G11" s="2555" t="s">
        <v>2495</v>
      </c>
      <c r="H11" s="2555" t="s">
        <v>2404</v>
      </c>
      <c r="I11" s="1150"/>
      <c r="J11" s="1150"/>
      <c r="K11" s="2411"/>
      <c r="L11" s="2411"/>
      <c r="M11" s="2411"/>
      <c r="N11" s="2411"/>
      <c r="O11" s="2411"/>
      <c r="P11" s="2411"/>
      <c r="Q11" s="2261"/>
      <c r="T11" s="2408" t="s">
        <v>2396</v>
      </c>
      <c r="U11" s="2014">
        <v>5</v>
      </c>
      <c r="V11" s="2014">
        <v>0.8</v>
      </c>
      <c r="W11" s="1105">
        <f>(U11-U10)/(V11-V10)</f>
        <v>-10.000000000000002</v>
      </c>
      <c r="X11" s="1105">
        <f>U11-W11*V11</f>
        <v>13.000000000000002</v>
      </c>
      <c r="Y11" s="2014">
        <v>5</v>
      </c>
      <c r="Z11" s="2014">
        <v>0.85</v>
      </c>
      <c r="AA11" s="1105">
        <f>(Y11-Y10)/(Z11-Z10)</f>
        <v>-12.499999999999989</v>
      </c>
      <c r="AB11" s="1105">
        <f>Y11-AA11*Z11</f>
        <v>15.624999999999991</v>
      </c>
    </row>
    <row r="12" spans="2:28" s="1105" customFormat="1" ht="15" thickBot="1">
      <c r="B12" s="2238"/>
      <c r="C12" s="1150"/>
      <c r="D12" s="1150"/>
      <c r="E12" s="2396"/>
      <c r="F12" s="2206" t="s">
        <v>2402</v>
      </c>
      <c r="G12" s="2412">
        <f>G47-G46</f>
        <v>7000</v>
      </c>
      <c r="H12" s="2413">
        <f>IF(G12+G13=0,0,G12/(G12+G13))</f>
        <v>1</v>
      </c>
      <c r="I12" s="1150"/>
      <c r="J12" s="2414">
        <f>IF(H6="",1,IF(J6=Z6,M7,M6))</f>
        <v>3.0000000000000018</v>
      </c>
      <c r="K12" s="2411"/>
      <c r="L12" s="2411"/>
      <c r="M12" s="2411"/>
      <c r="N12" s="2411"/>
      <c r="O12" s="2411"/>
      <c r="P12" s="2411"/>
      <c r="Q12" s="2261"/>
      <c r="T12" s="1105" t="s">
        <v>3411</v>
      </c>
    </row>
    <row r="13" spans="2:28" s="1105" customFormat="1" ht="15" thickBot="1">
      <c r="B13" s="2238"/>
      <c r="C13" s="1150"/>
      <c r="D13" s="1150"/>
      <c r="E13" s="2396"/>
      <c r="F13" s="2206" t="s">
        <v>2391</v>
      </c>
      <c r="G13" s="2415">
        <f>IF(H9=T6,0,Main!C67)</f>
        <v>0</v>
      </c>
      <c r="H13" s="2413">
        <f>IF(G12+G13=0,0,G13/(G12+G13))</f>
        <v>0</v>
      </c>
      <c r="I13" s="1150"/>
      <c r="J13" s="2414">
        <f>IF(H9="",$T12,IF(H9=T11,U11,IF(H9=T10,U10,IF(H9=T9,U9,IF(H9=T8,U8,U7)))))</f>
        <v>1</v>
      </c>
      <c r="K13" s="2411"/>
      <c r="L13" s="2411"/>
      <c r="M13" s="2411"/>
      <c r="N13" s="2411"/>
      <c r="O13" s="2411"/>
      <c r="P13" s="2411"/>
      <c r="Q13" s="2261"/>
      <c r="T13" s="1105" t="s">
        <v>3412</v>
      </c>
    </row>
    <row r="14" spans="2:28" s="1105" customFormat="1" ht="9" customHeight="1" thickBot="1">
      <c r="B14" s="2238"/>
      <c r="C14" s="1150"/>
      <c r="D14" s="1150"/>
      <c r="E14" s="2396"/>
      <c r="F14" s="1150"/>
      <c r="G14" s="1150"/>
      <c r="H14" s="1150"/>
      <c r="I14" s="1150"/>
      <c r="J14" s="1150"/>
      <c r="K14" s="1150"/>
      <c r="L14" s="2416"/>
      <c r="M14" s="1150"/>
      <c r="N14" s="1150"/>
      <c r="O14" s="1150"/>
      <c r="P14" s="1150"/>
      <c r="Q14" s="2261"/>
    </row>
    <row r="15" spans="2:28" s="1105" customFormat="1" ht="15" thickBot="1">
      <c r="B15" s="2238"/>
      <c r="C15" s="1150"/>
      <c r="D15" s="2396" t="s">
        <v>2407</v>
      </c>
      <c r="E15" s="2396"/>
      <c r="F15" s="1150"/>
      <c r="G15" s="2206"/>
      <c r="H15" s="2414">
        <f>SUMPRODUCT(H12:H13,J12:J13)</f>
        <v>3.0000000000000018</v>
      </c>
      <c r="I15" s="1150"/>
      <c r="J15" s="1150"/>
      <c r="K15" s="2284"/>
      <c r="L15" s="2416"/>
      <c r="M15" s="1150"/>
      <c r="N15" s="1150"/>
      <c r="O15" s="1150"/>
      <c r="P15" s="1150"/>
      <c r="Q15" s="2261"/>
    </row>
    <row r="16" spans="2:28" s="1105" customFormat="1" ht="14.25">
      <c r="B16" s="2238"/>
      <c r="C16" s="1150"/>
      <c r="D16" s="2284"/>
      <c r="E16" s="2284"/>
      <c r="F16" s="2284"/>
      <c r="G16" s="2284"/>
      <c r="H16" s="2284"/>
      <c r="I16" s="2284"/>
      <c r="J16" s="2284"/>
      <c r="K16" s="2284"/>
      <c r="L16" s="2416"/>
      <c r="M16" s="1150"/>
      <c r="N16" s="1150"/>
      <c r="O16" s="1150"/>
      <c r="P16" s="1150"/>
      <c r="Q16" s="2261"/>
    </row>
    <row r="17" spans="2:28" s="1105" customFormat="1" ht="14.25">
      <c r="B17" s="2238"/>
      <c r="C17" s="2395" t="s">
        <v>711</v>
      </c>
      <c r="D17" s="2396" t="s">
        <v>2390</v>
      </c>
      <c r="E17" s="1150"/>
      <c r="F17" s="1150"/>
      <c r="G17" s="1150"/>
      <c r="H17" s="1150"/>
      <c r="I17" s="1150"/>
      <c r="J17" s="1150"/>
      <c r="K17" s="1150"/>
      <c r="L17" s="2416"/>
      <c r="M17" s="1150"/>
      <c r="N17" s="1150"/>
      <c r="O17" s="1150"/>
      <c r="P17" s="1150"/>
      <c r="Q17" s="2261"/>
      <c r="T17" s="1105" t="s">
        <v>1344</v>
      </c>
      <c r="U17" s="2417">
        <f>IF($G$20&lt;=V24,U24,IF($G$20&lt;=V23,U23,IF($G$20&lt;=V22,U22,IF($G$20&lt;=V21,U21,U20))))</f>
        <v>4</v>
      </c>
      <c r="W17" s="1105">
        <f>VLOOKUP($U$17,U20:X24,3)</f>
        <v>-4</v>
      </c>
      <c r="X17" s="1105">
        <f>VLOOKUP($U$17,U20:X24,4)</f>
        <v>6</v>
      </c>
      <c r="Y17" s="1105" t="s">
        <v>2464</v>
      </c>
    </row>
    <row r="18" spans="2:28" s="1105" customFormat="1" ht="14.25">
      <c r="B18" s="2238"/>
      <c r="C18" s="2395"/>
      <c r="D18" s="2399" t="s">
        <v>2415</v>
      </c>
      <c r="E18" s="2262" t="s">
        <v>2417</v>
      </c>
      <c r="F18" s="2262"/>
      <c r="G18" s="2262"/>
      <c r="H18" s="1150"/>
      <c r="I18" s="1150"/>
      <c r="J18" s="1150"/>
      <c r="K18" s="1150"/>
      <c r="L18" s="2416"/>
      <c r="M18" s="1150"/>
      <c r="N18" s="1150"/>
      <c r="O18" s="1150"/>
      <c r="P18" s="1150"/>
      <c r="Q18" s="2261"/>
      <c r="T18" s="1105" t="s">
        <v>1343</v>
      </c>
      <c r="U18" s="2417">
        <f>IF($G$21&lt;=V24,U24,IF($G$21&lt;=V23,U23,IF($G$21&lt;=V22,U22,IF($G$21&lt;=V21,U21,U20))))</f>
        <v>5</v>
      </c>
      <c r="W18" s="1105">
        <f>VLOOKUP($U$18,U20:X24,3)</f>
        <v>0</v>
      </c>
      <c r="X18" s="1105">
        <f>VLOOKUP($U$18,U20:X24,4)</f>
        <v>0</v>
      </c>
      <c r="Y18" s="2417">
        <f>IF($H$20&lt;=Z24,Y24,IF($H$20&lt;=Z23,Y23,IF($H$20&lt;=Z22,Y22,IF($H$20&lt;=Z21,Y21,Y20))))</f>
        <v>5</v>
      </c>
      <c r="AA18" s="1105">
        <f>VLOOKUP($Y$18,Y20:AB24,3)</f>
        <v>0</v>
      </c>
      <c r="AB18" s="1105">
        <f>VLOOKUP($Y$18,Y20:AB24,4)</f>
        <v>0</v>
      </c>
    </row>
    <row r="19" spans="2:28" s="1105" customFormat="1" ht="15" thickBot="1">
      <c r="B19" s="2238"/>
      <c r="C19" s="2395"/>
      <c r="D19" s="2262"/>
      <c r="E19" s="2262"/>
      <c r="F19" s="2262"/>
      <c r="G19" s="2206" t="s">
        <v>2402</v>
      </c>
      <c r="H19" s="2302" t="s">
        <v>2412</v>
      </c>
      <c r="I19" s="1150"/>
      <c r="J19" s="1150"/>
      <c r="K19" s="1150"/>
      <c r="L19" s="2416"/>
      <c r="M19" s="2206" t="s">
        <v>2402</v>
      </c>
      <c r="N19" s="2302" t="s">
        <v>2391</v>
      </c>
      <c r="O19" s="1150"/>
      <c r="P19" s="1150"/>
      <c r="Q19" s="2418"/>
      <c r="U19" s="2014" t="s">
        <v>2460</v>
      </c>
      <c r="V19" s="2014" t="s">
        <v>2465</v>
      </c>
      <c r="W19" s="1105" t="s">
        <v>2462</v>
      </c>
      <c r="X19" s="1105" t="s">
        <v>2463</v>
      </c>
      <c r="Y19" s="2014" t="s">
        <v>2460</v>
      </c>
      <c r="Z19" s="2014" t="s">
        <v>2465</v>
      </c>
      <c r="AA19" s="1105" t="s">
        <v>2462</v>
      </c>
      <c r="AB19" s="1105" t="s">
        <v>2463</v>
      </c>
    </row>
    <row r="20" spans="2:28" s="1105" customFormat="1" ht="17.25" thickBot="1">
      <c r="B20" s="2238"/>
      <c r="C20" s="1150"/>
      <c r="D20" s="2396"/>
      <c r="E20" s="2396"/>
      <c r="F20" s="2402" t="s">
        <v>3338</v>
      </c>
      <c r="G20" s="2419">
        <v>0.5</v>
      </c>
      <c r="H20" s="2419"/>
      <c r="I20" s="1150"/>
      <c r="J20" s="2468" t="s">
        <v>3413</v>
      </c>
      <c r="K20" s="1150"/>
      <c r="L20" s="2416"/>
      <c r="M20" s="2405">
        <f>IF(OR($G$47=0,G20=""),0,IF($G20&lt;=$V$24,$U$24,IF(G20&gt;=$V$20,$U$20,G20*$W$17+$X$17)))</f>
        <v>4</v>
      </c>
      <c r="N20" s="2405">
        <f>IF(OR($G$48=0,H20=""),0,IF(H20&lt;=$Z$25,$Y$24,IF(H20&gt;=$Z$20,$Y$20,H20*$AA$25+$AB$25)))</f>
        <v>0</v>
      </c>
      <c r="O20" s="1150"/>
      <c r="P20" s="1150"/>
      <c r="Q20" s="2261"/>
      <c r="U20" s="2014">
        <v>1</v>
      </c>
      <c r="V20" s="2420">
        <f>J47</f>
        <v>0.9</v>
      </c>
      <c r="W20" s="1105">
        <f>(U21-U20)/(V21-V20)</f>
        <v>-10.000000000000002</v>
      </c>
      <c r="X20" s="1105">
        <f>U21-W20*V21</f>
        <v>10.000000000000002</v>
      </c>
      <c r="Y20" s="2014">
        <v>1</v>
      </c>
      <c r="Z20" s="2420">
        <v>1.1000000000000001</v>
      </c>
      <c r="AA20" s="1105">
        <f>(Y21-Y20)/(Z21-Z20)</f>
        <v>-9.9999999999999911</v>
      </c>
      <c r="AB20" s="1105">
        <f>Y21-AA20*Z21</f>
        <v>11.999999999999991</v>
      </c>
    </row>
    <row r="21" spans="2:28" s="1105" customFormat="1" ht="15" thickBot="1">
      <c r="B21" s="2238"/>
      <c r="C21" s="1150"/>
      <c r="D21" s="2396"/>
      <c r="E21" s="2396"/>
      <c r="F21" s="2402" t="s">
        <v>3337</v>
      </c>
      <c r="G21" s="2419">
        <v>0.25</v>
      </c>
      <c r="H21" s="2419"/>
      <c r="I21" s="1150"/>
      <c r="J21" s="2468" t="s">
        <v>2500</v>
      </c>
      <c r="K21" s="1150"/>
      <c r="L21" s="2416"/>
      <c r="M21" s="2405">
        <f>IF(OR($G$47=0,G21=""),0,IF($G21&lt;=$V$24,$U$24,IF(G21&gt;=$V$20,$U$20,G21*$W$18+$X$18)))</f>
        <v>5</v>
      </c>
      <c r="N21" s="2405">
        <f>IF(OR($G$48=0,H21=""),0,IF(H21&lt;=$Z$24,$Y$24,IF(H21&gt;=$Z$20,$Y$20,H21*$AA$18+$AB$18)))</f>
        <v>0</v>
      </c>
      <c r="O21" s="1150"/>
      <c r="P21" s="1150"/>
      <c r="Q21" s="2261"/>
      <c r="U21" s="2014">
        <v>2</v>
      </c>
      <c r="V21" s="2420">
        <f>K47</f>
        <v>0.8</v>
      </c>
      <c r="W21" s="1105">
        <f>(U22-U21)/(V22-V21)</f>
        <v>-4.9999999999999982</v>
      </c>
      <c r="X21" s="1105">
        <f>U22-W21*V22</f>
        <v>5.9999999999999982</v>
      </c>
      <c r="Y21" s="2014">
        <v>2</v>
      </c>
      <c r="Z21" s="2420">
        <v>1</v>
      </c>
      <c r="AA21" s="1105">
        <f>(Y22-Y21)/(Z22-Z21)</f>
        <v>-10.000000000000002</v>
      </c>
      <c r="AB21" s="1105">
        <f>Y22-AA21*Z22</f>
        <v>12.000000000000002</v>
      </c>
    </row>
    <row r="22" spans="2:28" s="1105" customFormat="1" ht="15" thickBot="1">
      <c r="B22" s="2238"/>
      <c r="C22" s="1150"/>
      <c r="D22" s="2396"/>
      <c r="E22" s="2396"/>
      <c r="F22" s="2402" t="s">
        <v>1341</v>
      </c>
      <c r="G22" s="2419"/>
      <c r="H22" s="2416"/>
      <c r="I22" s="1150"/>
      <c r="J22" s="2468" t="s">
        <v>3414</v>
      </c>
      <c r="K22" s="1150"/>
      <c r="L22" s="2416"/>
      <c r="M22" s="2405">
        <f>IF(OR($G$47=0,G22=""),0,IF(G20&gt;0.5,0,IF(G20=G21,0,IF($G22&lt;=$V$24,$U$24,IF(G22&gt;=$V$20,$U$20,G22*$W$23+$X$23)))))</f>
        <v>0</v>
      </c>
      <c r="N22" s="2405" t="s">
        <v>624</v>
      </c>
      <c r="O22" s="1150"/>
      <c r="P22" s="1150"/>
      <c r="Q22" s="2261"/>
      <c r="U22" s="2014">
        <v>3</v>
      </c>
      <c r="V22" s="2420">
        <f>L47</f>
        <v>0.6</v>
      </c>
      <c r="W22" s="1105">
        <f>(U23-U22)/(V23-V22)</f>
        <v>-10.000000000000002</v>
      </c>
      <c r="X22" s="1105">
        <f>U23-W22*V23</f>
        <v>9</v>
      </c>
      <c r="Y22" s="2014">
        <v>3</v>
      </c>
      <c r="Z22" s="2420">
        <v>0.9</v>
      </c>
      <c r="AA22" s="1105">
        <f>(Y23-Y22)/(Z23-Z22)</f>
        <v>-10.000000000000002</v>
      </c>
      <c r="AB22" s="1105">
        <f>Y23-AA22*Z23</f>
        <v>12.000000000000002</v>
      </c>
    </row>
    <row r="23" spans="2:28" s="1105" customFormat="1" ht="39" customHeight="1">
      <c r="B23" s="2238"/>
      <c r="C23" s="1150"/>
      <c r="D23" s="2396"/>
      <c r="E23" s="1150"/>
      <c r="F23" s="1150"/>
      <c r="G23" s="2421" t="str">
        <f>IF(OR(G20&lt;G21,G21&lt;G22,G20&lt;G22),S36,"")</f>
        <v/>
      </c>
      <c r="H23" s="2421" t="str">
        <f>IF(H20&lt;H21,S36,"")</f>
        <v/>
      </c>
      <c r="I23" s="1150"/>
      <c r="J23" s="4225" t="s">
        <v>2501</v>
      </c>
      <c r="K23" s="4225"/>
      <c r="L23" s="4225"/>
      <c r="M23" s="4225"/>
      <c r="N23" s="4225"/>
      <c r="O23" s="4225"/>
      <c r="P23" s="4225"/>
      <c r="Q23" s="4226"/>
      <c r="U23" s="2014">
        <v>4</v>
      </c>
      <c r="V23" s="2420">
        <f>M47</f>
        <v>0.5</v>
      </c>
      <c r="W23" s="1105">
        <f>(U24-U23)/(V24-V23)</f>
        <v>-4</v>
      </c>
      <c r="X23" s="1105">
        <f>U24-W23*V24</f>
        <v>6</v>
      </c>
      <c r="Y23" s="2014">
        <v>4</v>
      </c>
      <c r="Z23" s="2420">
        <v>0.8</v>
      </c>
      <c r="AA23" s="1105">
        <f>(Y24-Y23)/(Z24-Z23)</f>
        <v>-3.333333333333333</v>
      </c>
      <c r="AB23" s="1105">
        <f>Y24-AA23*Z24</f>
        <v>6.6666666666666661</v>
      </c>
    </row>
    <row r="24" spans="2:28" s="1105" customFormat="1" ht="15" thickBot="1">
      <c r="B24" s="2238"/>
      <c r="C24" s="1150"/>
      <c r="D24" s="2396"/>
      <c r="E24" s="5" t="s">
        <v>2410</v>
      </c>
      <c r="F24" s="1150"/>
      <c r="G24" s="1150"/>
      <c r="H24" s="1150"/>
      <c r="I24" s="1150"/>
      <c r="J24" s="1150"/>
      <c r="K24" s="1150"/>
      <c r="L24" s="1150"/>
      <c r="M24" s="1150"/>
      <c r="N24" s="1150"/>
      <c r="O24" s="1150"/>
      <c r="P24" s="1150"/>
      <c r="Q24" s="2261"/>
      <c r="S24" s="1105" t="s">
        <v>2418</v>
      </c>
      <c r="U24" s="2014">
        <v>5</v>
      </c>
      <c r="V24" s="2420">
        <f>N47</f>
        <v>0.25</v>
      </c>
      <c r="Y24" s="2014">
        <v>5</v>
      </c>
      <c r="Z24" s="2420">
        <v>0.5</v>
      </c>
    </row>
    <row r="25" spans="2:28" s="1105" customFormat="1" ht="22.15" customHeight="1" thickBot="1">
      <c r="B25" s="2238"/>
      <c r="C25" s="1150"/>
      <c r="D25" s="2396"/>
      <c r="E25" s="1150"/>
      <c r="F25" s="1150"/>
      <c r="G25" s="2422" t="s">
        <v>2413</v>
      </c>
      <c r="H25" s="2423"/>
      <c r="I25" s="1150"/>
      <c r="J25" s="4220" t="s">
        <v>2503</v>
      </c>
      <c r="K25" s="4220"/>
      <c r="L25" s="4220"/>
      <c r="M25" s="4220"/>
      <c r="N25" s="4220"/>
      <c r="O25" s="4220"/>
      <c r="P25" s="4220"/>
      <c r="Q25" s="2261"/>
      <c r="V25" s="2424"/>
      <c r="Y25" s="2014"/>
      <c r="Z25" s="2420">
        <v>0.7</v>
      </c>
      <c r="AA25" s="1105">
        <v>-9.9999999999999893</v>
      </c>
      <c r="AB25" s="1105">
        <v>11.999999999999993</v>
      </c>
    </row>
    <row r="26" spans="2:28" s="1105" customFormat="1" ht="14.25">
      <c r="B26" s="2238"/>
      <c r="C26" s="1150"/>
      <c r="D26" s="2396"/>
      <c r="E26" s="2425"/>
      <c r="F26" s="2425"/>
      <c r="G26" s="2558" t="s">
        <v>2414</v>
      </c>
      <c r="H26" s="2426" t="s">
        <v>2466</v>
      </c>
      <c r="I26" s="2427"/>
      <c r="J26" s="2427"/>
      <c r="K26" s="2428"/>
      <c r="L26" s="2468" t="s">
        <v>2502</v>
      </c>
      <c r="M26" s="1150"/>
      <c r="N26" s="1150"/>
      <c r="O26" s="1150"/>
      <c r="P26" s="1150"/>
      <c r="Q26" s="2261"/>
      <c r="V26" s="2424"/>
      <c r="Z26" s="2424"/>
    </row>
    <row r="27" spans="2:28" s="1105" customFormat="1" ht="71.45" customHeight="1">
      <c r="B27" s="2238"/>
      <c r="C27" s="1150"/>
      <c r="D27" s="2396"/>
      <c r="E27" s="2425"/>
      <c r="F27" s="2425"/>
      <c r="G27" s="4220" t="s">
        <v>2422</v>
      </c>
      <c r="H27" s="4220"/>
      <c r="I27" s="4220"/>
      <c r="J27" s="4220"/>
      <c r="K27" s="4220"/>
      <c r="L27" s="4220"/>
      <c r="M27" s="4220"/>
      <c r="N27" s="4220"/>
      <c r="O27" s="4220"/>
      <c r="P27" s="4220"/>
      <c r="Q27" s="2261"/>
      <c r="V27" s="2424"/>
      <c r="Z27" s="2424"/>
    </row>
    <row r="28" spans="2:28" s="1105" customFormat="1" ht="15" thickBot="1">
      <c r="B28" s="2238"/>
      <c r="C28" s="1150"/>
      <c r="D28" s="2396"/>
      <c r="E28" s="5" t="s">
        <v>2411</v>
      </c>
      <c r="F28" s="2402"/>
      <c r="G28" s="2396"/>
      <c r="H28" s="2396"/>
      <c r="I28" s="2396"/>
      <c r="J28" s="2396"/>
      <c r="K28" s="2396"/>
      <c r="L28" s="2396"/>
      <c r="M28" s="2396"/>
      <c r="N28" s="1150"/>
      <c r="O28" s="1150"/>
      <c r="P28" s="1150"/>
      <c r="Q28" s="2261"/>
      <c r="V28" s="2424"/>
      <c r="Z28" s="2424"/>
    </row>
    <row r="29" spans="2:28" s="1105" customFormat="1" ht="22.15" customHeight="1" thickBot="1">
      <c r="B29" s="2238"/>
      <c r="C29" s="1150"/>
      <c r="D29" s="2396"/>
      <c r="E29" s="2425"/>
      <c r="F29" s="2425"/>
      <c r="G29" s="2422" t="s">
        <v>2496</v>
      </c>
      <c r="H29" s="2423"/>
      <c r="I29" s="2396"/>
      <c r="J29" s="4220" t="s">
        <v>2419</v>
      </c>
      <c r="K29" s="4220"/>
      <c r="L29" s="4220"/>
      <c r="M29" s="4220"/>
      <c r="N29" s="4220"/>
      <c r="O29" s="4220"/>
      <c r="P29" s="4220"/>
      <c r="Q29" s="2261"/>
      <c r="V29" s="2424"/>
      <c r="Z29" s="2424"/>
    </row>
    <row r="30" spans="2:28" s="1105" customFormat="1" ht="15" thickBot="1">
      <c r="B30" s="2238"/>
      <c r="C30" s="1150"/>
      <c r="D30" s="2396"/>
      <c r="E30" s="2425"/>
      <c r="F30" s="2425"/>
      <c r="G30" s="2558" t="s">
        <v>3415</v>
      </c>
      <c r="H30" s="2429"/>
      <c r="I30" s="2430"/>
      <c r="J30" s="2430"/>
      <c r="K30" s="2431"/>
      <c r="L30" s="2396"/>
      <c r="M30" s="1150"/>
      <c r="N30" s="1150"/>
      <c r="O30" s="1150"/>
      <c r="P30" s="1150"/>
      <c r="Q30" s="2261"/>
      <c r="S30" s="2401" t="s">
        <v>2421</v>
      </c>
      <c r="V30" s="2424"/>
      <c r="Z30" s="2424"/>
    </row>
    <row r="31" spans="2:28" s="1105" customFormat="1" ht="15" thickBot="1">
      <c r="B31" s="2238"/>
      <c r="C31" s="1150"/>
      <c r="D31" s="2396"/>
      <c r="E31" s="2425"/>
      <c r="F31" s="2396"/>
      <c r="G31" s="2558" t="s">
        <v>2499</v>
      </c>
      <c r="H31" s="4221"/>
      <c r="I31" s="4222"/>
      <c r="J31" s="4222"/>
      <c r="K31" s="4223"/>
      <c r="L31" s="2422" t="s">
        <v>2467</v>
      </c>
      <c r="M31" s="2432">
        <f>IF(H31=S30,0,IF(H31=S31,J48,IF(H31=S32,K48,M48)))</f>
        <v>0.8</v>
      </c>
      <c r="N31" s="1150" t="s">
        <v>2398</v>
      </c>
      <c r="O31" s="1150"/>
      <c r="P31" s="1150"/>
      <c r="Q31" s="2261"/>
      <c r="S31" s="1105">
        <v>1</v>
      </c>
      <c r="V31" s="2424"/>
    </row>
    <row r="32" spans="2:28" s="1105" customFormat="1" ht="14.25">
      <c r="B32" s="2238"/>
      <c r="C32" s="1150"/>
      <c r="D32" s="2396"/>
      <c r="E32" s="2425"/>
      <c r="F32" s="2396"/>
      <c r="G32" s="2558" t="s">
        <v>2498</v>
      </c>
      <c r="H32" s="2412"/>
      <c r="I32" s="2396"/>
      <c r="J32" s="1150" t="s">
        <v>2304</v>
      </c>
      <c r="K32" s="2284"/>
      <c r="L32" s="2433" t="str">
        <f>IF(H31=S30,"",IF(H32&gt;0,"",ENcalc!S34))</f>
        <v>←No input of floor area [㎡] to be evaluated.</v>
      </c>
      <c r="M32" s="1150"/>
      <c r="N32" s="1150"/>
      <c r="O32" s="2396"/>
      <c r="P32" s="2396"/>
      <c r="Q32" s="2261"/>
      <c r="S32" s="1105">
        <v>2</v>
      </c>
    </row>
    <row r="33" spans="2:26" s="1105" customFormat="1" ht="14.25">
      <c r="B33" s="2238"/>
      <c r="C33" s="1150"/>
      <c r="D33" s="2396"/>
      <c r="E33" s="2425"/>
      <c r="F33" s="1150"/>
      <c r="G33" s="2558" t="s">
        <v>2420</v>
      </c>
      <c r="H33" s="2434">
        <f>N61</f>
        <v>0</v>
      </c>
      <c r="I33" s="2396"/>
      <c r="J33" s="1150" t="s">
        <v>2304</v>
      </c>
      <c r="K33" s="2435">
        <f>IF(H23=S36,0,IF(H20&lt;=0.8,IF(H29=S24,N20,N21),N20))</f>
        <v>0</v>
      </c>
      <c r="L33" s="2284" t="str">
        <f>IF(H32+H33&gt;G13,S36,"")</f>
        <v/>
      </c>
      <c r="M33" s="1150"/>
      <c r="N33" s="1150"/>
      <c r="O33" s="2396"/>
      <c r="P33" s="2396"/>
      <c r="Q33" s="2261"/>
      <c r="S33" s="1105">
        <v>4</v>
      </c>
    </row>
    <row r="34" spans="2:26" s="1105" customFormat="1" ht="71.45" customHeight="1">
      <c r="B34" s="2238"/>
      <c r="C34" s="1150"/>
      <c r="D34" s="2396"/>
      <c r="E34" s="2425"/>
      <c r="F34" s="2396"/>
      <c r="G34" s="4224" t="s">
        <v>2423</v>
      </c>
      <c r="H34" s="4224"/>
      <c r="I34" s="4224"/>
      <c r="J34" s="4224"/>
      <c r="K34" s="4224"/>
      <c r="L34" s="4224"/>
      <c r="M34" s="4224"/>
      <c r="N34" s="4224"/>
      <c r="O34" s="4224"/>
      <c r="P34" s="4224"/>
      <c r="Q34" s="2261"/>
      <c r="S34" s="3170" t="s">
        <v>3416</v>
      </c>
      <c r="V34" s="2424"/>
      <c r="Z34" s="2424"/>
    </row>
    <row r="35" spans="2:26" s="1105" customFormat="1" ht="14.45" customHeight="1" thickBot="1">
      <c r="B35" s="2238"/>
      <c r="C35" s="1150"/>
      <c r="D35" s="2396"/>
      <c r="E35" s="2425"/>
      <c r="F35" s="2425"/>
      <c r="G35" s="2425"/>
      <c r="H35" s="2425"/>
      <c r="I35" s="2425"/>
      <c r="J35" s="2206" t="s">
        <v>2402</v>
      </c>
      <c r="K35" s="2302" t="s">
        <v>2391</v>
      </c>
      <c r="L35" s="2425"/>
      <c r="M35" s="2425"/>
      <c r="N35" s="1150"/>
      <c r="O35" s="1150"/>
      <c r="P35" s="1150"/>
      <c r="Q35" s="2261"/>
    </row>
    <row r="36" spans="2:26" s="1105" customFormat="1" ht="15" thickBot="1">
      <c r="B36" s="2238"/>
      <c r="C36" s="1150"/>
      <c r="D36" s="2396" t="s">
        <v>2409</v>
      </c>
      <c r="E36" s="2396"/>
      <c r="F36" s="2396"/>
      <c r="G36" s="2396"/>
      <c r="H36" s="2396"/>
      <c r="I36" s="1150"/>
      <c r="J36" s="2436">
        <f>ROUNDDOWN(IF(G23=S36,0,IF(H25=S24,M22,IF(G20&lt;=0.5,M21,IF(M20&gt;=4,M20,IF(G20&lt;=V22,M20,IF(M21&gt;=3,2.9,M21)))))),1)</f>
        <v>5</v>
      </c>
      <c r="K36" s="2437">
        <f>ROUNDDOWN(IF(H31=S30,K33,IF(H33=0,H31,(H31*H32+K33*H33)/(H32+H33))),1)</f>
        <v>0</v>
      </c>
      <c r="L36" s="2425"/>
      <c r="M36" s="1150"/>
      <c r="N36" s="1150"/>
      <c r="O36" s="1150"/>
      <c r="P36" s="1150"/>
      <c r="Q36" s="2261"/>
      <c r="S36" s="1105" t="s">
        <v>2457</v>
      </c>
    </row>
    <row r="37" spans="2:26" s="1105" customFormat="1" ht="14.25">
      <c r="B37" s="2238"/>
      <c r="C37" s="1150"/>
      <c r="D37" s="2396"/>
      <c r="E37" s="2396"/>
      <c r="F37" s="2396"/>
      <c r="G37" s="2396"/>
      <c r="H37" s="2396"/>
      <c r="I37" s="2396"/>
      <c r="J37" s="2284"/>
      <c r="K37" s="2396"/>
      <c r="L37" s="2396"/>
      <c r="M37" s="2396"/>
      <c r="N37" s="1150"/>
      <c r="O37" s="1150"/>
      <c r="P37" s="1150"/>
      <c r="Q37" s="2261"/>
    </row>
    <row r="38" spans="2:26" s="1105" customFormat="1" ht="14.25" hidden="1">
      <c r="B38" s="2238"/>
      <c r="C38" s="1150"/>
      <c r="D38" s="2396"/>
      <c r="E38" s="2438" t="s">
        <v>2468</v>
      </c>
      <c r="F38" s="2396"/>
      <c r="G38" s="2396"/>
      <c r="H38" s="2396"/>
      <c r="I38" s="2396"/>
      <c r="J38" s="2396"/>
      <c r="K38" s="2396"/>
      <c r="L38" s="2396"/>
      <c r="M38" s="1150"/>
      <c r="N38" s="1150"/>
      <c r="O38" s="1150"/>
      <c r="P38" s="1150"/>
      <c r="Q38" s="2261"/>
    </row>
    <row r="39" spans="2:26" s="1105" customFormat="1" ht="14.25" hidden="1">
      <c r="B39" s="2238"/>
      <c r="C39" s="1150"/>
      <c r="D39" s="2396"/>
      <c r="E39" s="2425" t="s">
        <v>2469</v>
      </c>
      <c r="F39" s="2396"/>
      <c r="G39" s="2396"/>
      <c r="H39" s="2396"/>
      <c r="I39" s="2396"/>
      <c r="J39" s="2396"/>
      <c r="K39" s="2396"/>
      <c r="L39" s="2396"/>
      <c r="M39" s="1150"/>
      <c r="N39" s="1150"/>
      <c r="O39" s="1150"/>
      <c r="P39" s="1150"/>
      <c r="Q39" s="2261"/>
    </row>
    <row r="40" spans="2:26" s="1105" customFormat="1" ht="14.25" hidden="1">
      <c r="B40" s="2238"/>
      <c r="C40" s="1150"/>
      <c r="D40" s="2396"/>
      <c r="E40" s="2425"/>
      <c r="F40" s="2396"/>
      <c r="G40" s="2396"/>
      <c r="H40" s="2396"/>
      <c r="I40" s="2396"/>
      <c r="J40" s="2396"/>
      <c r="K40" s="2396"/>
      <c r="L40" s="2396"/>
      <c r="M40" s="1150"/>
      <c r="N40" s="1150"/>
      <c r="O40" s="1150"/>
      <c r="P40" s="1150"/>
      <c r="Q40" s="2261"/>
    </row>
    <row r="41" spans="2:26" s="1105" customFormat="1" ht="14.25">
      <c r="B41" s="2238"/>
      <c r="C41" s="1150"/>
      <c r="D41" s="2399" t="s">
        <v>2415</v>
      </c>
      <c r="E41" s="1150" t="s">
        <v>3417</v>
      </c>
      <c r="F41" s="2396"/>
      <c r="G41" s="2396"/>
      <c r="H41" s="2396"/>
      <c r="I41" s="2396"/>
      <c r="J41" s="2396"/>
      <c r="K41" s="2396"/>
      <c r="L41" s="2396"/>
      <c r="M41" s="1150"/>
      <c r="N41" s="1150"/>
      <c r="O41" s="1150"/>
      <c r="P41" s="1150"/>
      <c r="Q41" s="2261"/>
    </row>
    <row r="42" spans="2:26" s="1105" customFormat="1" ht="14.25">
      <c r="B42" s="2238"/>
      <c r="C42" s="1150"/>
      <c r="D42" s="1150"/>
      <c r="E42" s="2262"/>
      <c r="F42" s="2206"/>
      <c r="G42" s="2555" t="s">
        <v>2495</v>
      </c>
      <c r="H42" s="2555" t="s">
        <v>2404</v>
      </c>
      <c r="I42" s="1150"/>
      <c r="J42" s="2208" t="s">
        <v>2031</v>
      </c>
      <c r="K42" s="2208" t="s">
        <v>2032</v>
      </c>
      <c r="L42" s="2208" t="s">
        <v>1972</v>
      </c>
      <c r="M42" s="2208" t="s">
        <v>1973</v>
      </c>
      <c r="N42" s="2208" t="s">
        <v>1974</v>
      </c>
      <c r="O42" s="2396"/>
      <c r="P42" s="1150"/>
      <c r="Q42" s="2261"/>
    </row>
    <row r="43" spans="2:26" s="1105" customFormat="1" ht="14.25">
      <c r="B43" s="2238"/>
      <c r="C43" s="1150"/>
      <c r="D43" s="2396"/>
      <c r="E43" s="2302" t="s">
        <v>2424</v>
      </c>
      <c r="F43" s="2206" t="s">
        <v>2429</v>
      </c>
      <c r="G43" s="2412">
        <f>Main!C47+Main!C50</f>
        <v>7000</v>
      </c>
      <c r="H43" s="2434">
        <f>IF($G$47=0,0,G43/$G$47)</f>
        <v>1</v>
      </c>
      <c r="I43" s="1150"/>
      <c r="J43" s="2432">
        <f>IF($H$103&lt;300,1.1,0.9)</f>
        <v>0.9</v>
      </c>
      <c r="K43" s="2439">
        <f>IF($H$103&lt;300,1,0.8)</f>
        <v>0.8</v>
      </c>
      <c r="L43" s="2432">
        <v>0.6</v>
      </c>
      <c r="M43" s="2432">
        <v>0.5</v>
      </c>
      <c r="N43" s="2432">
        <v>0.25</v>
      </c>
      <c r="O43" s="2396"/>
      <c r="P43" s="1150"/>
      <c r="Q43" s="2261"/>
    </row>
    <row r="44" spans="2:26" s="1105" customFormat="1" ht="14.25">
      <c r="B44" s="2238"/>
      <c r="C44" s="1150"/>
      <c r="D44" s="2396"/>
      <c r="E44" s="2302" t="s">
        <v>2425</v>
      </c>
      <c r="F44" s="2206" t="s">
        <v>2430</v>
      </c>
      <c r="G44" s="2412">
        <f>Main!C55+Main!C65</f>
        <v>0</v>
      </c>
      <c r="H44" s="2434">
        <f t="shared" ref="H44:H46" si="0">IF($G$47=0,0,G44/$G$47)</f>
        <v>0</v>
      </c>
      <c r="I44" s="1150"/>
      <c r="J44" s="2432">
        <f>IF($H$103&lt;300,1.1,0.9)</f>
        <v>0.9</v>
      </c>
      <c r="K44" s="2439">
        <f>IF($H$103&lt;300,1,0.8)</f>
        <v>0.8</v>
      </c>
      <c r="L44" s="2432">
        <v>0.7</v>
      </c>
      <c r="M44" s="2432">
        <v>0.5</v>
      </c>
      <c r="N44" s="2432">
        <v>0.25</v>
      </c>
      <c r="O44" s="2396"/>
      <c r="P44" s="1150"/>
      <c r="Q44" s="2261"/>
    </row>
    <row r="45" spans="2:26" s="1105" customFormat="1" ht="14.25">
      <c r="B45" s="2238"/>
      <c r="C45" s="1150"/>
      <c r="D45" s="2396"/>
      <c r="E45" s="2302" t="s">
        <v>2426</v>
      </c>
      <c r="F45" s="2422" t="s">
        <v>2431</v>
      </c>
      <c r="G45" s="2412">
        <f>Main!C59+Main!C60+Main!C64</f>
        <v>0</v>
      </c>
      <c r="H45" s="2434">
        <f t="shared" si="0"/>
        <v>0</v>
      </c>
      <c r="I45" s="1150"/>
      <c r="J45" s="2432">
        <f>IF($H$103&lt;300,1.1,0.9)</f>
        <v>0.9</v>
      </c>
      <c r="K45" s="2439">
        <f>IF($H$103&lt;300,1,0.85)</f>
        <v>0.85</v>
      </c>
      <c r="L45" s="2432">
        <v>0.7</v>
      </c>
      <c r="M45" s="2432">
        <v>0.5</v>
      </c>
      <c r="N45" s="2432">
        <v>0.25</v>
      </c>
      <c r="O45" s="2396"/>
      <c r="P45" s="1150"/>
      <c r="Q45" s="2261"/>
    </row>
    <row r="46" spans="2:26" s="1105" customFormat="1" ht="15" thickBot="1">
      <c r="B46" s="2238"/>
      <c r="C46" s="1150"/>
      <c r="D46" s="2396"/>
      <c r="E46" s="2302" t="s">
        <v>2427</v>
      </c>
      <c r="F46" s="2206" t="s">
        <v>2432</v>
      </c>
      <c r="G46" s="2440">
        <f>Main!E63</f>
        <v>0</v>
      </c>
      <c r="H46" s="2441">
        <f t="shared" si="0"/>
        <v>0</v>
      </c>
      <c r="I46" s="1150"/>
      <c r="J46" s="2442">
        <f>IF($H$103&lt;300,1.1,0.9)</f>
        <v>0.9</v>
      </c>
      <c r="K46" s="2443">
        <f>IF($H$103&lt;300,1,0.75)</f>
        <v>0.75</v>
      </c>
      <c r="L46" s="2442">
        <v>0.6</v>
      </c>
      <c r="M46" s="2442">
        <v>0.5</v>
      </c>
      <c r="N46" s="2442">
        <v>0.25</v>
      </c>
      <c r="O46" s="2396"/>
      <c r="P46" s="1150"/>
      <c r="Q46" s="2261"/>
    </row>
    <row r="47" spans="2:26" s="1105" customFormat="1" ht="15" thickTop="1">
      <c r="B47" s="2238"/>
      <c r="C47" s="1150"/>
      <c r="D47" s="2396"/>
      <c r="E47" s="2302" t="s">
        <v>2434</v>
      </c>
      <c r="F47" s="2557" t="s">
        <v>2435</v>
      </c>
      <c r="G47" s="2444">
        <f>SUM(G43:G46)</f>
        <v>7000</v>
      </c>
      <c r="H47" s="2445"/>
      <c r="I47" s="1150"/>
      <c r="J47" s="2446">
        <f>SUMPRODUCT(J43:J46,$H$43:$H$46)</f>
        <v>0.9</v>
      </c>
      <c r="K47" s="2446">
        <f>SUMPRODUCT(K43:K46,$H$43:$H$46)</f>
        <v>0.8</v>
      </c>
      <c r="L47" s="2446">
        <f>SUMPRODUCT(L43:L46,$H$43:$H$46)</f>
        <v>0.6</v>
      </c>
      <c r="M47" s="2446">
        <f>SUMPRODUCT(M43:M46,$H$43:$H$46)</f>
        <v>0.5</v>
      </c>
      <c r="N47" s="2446">
        <f>SUMPRODUCT(N43:N46,$H$43:$H$46)</f>
        <v>0.25</v>
      </c>
      <c r="O47" s="2396"/>
      <c r="P47" s="1150"/>
      <c r="Q47" s="2261"/>
    </row>
    <row r="48" spans="2:26" s="1105" customFormat="1" ht="14.25">
      <c r="B48" s="2238"/>
      <c r="C48" s="1150"/>
      <c r="D48" s="2396"/>
      <c r="E48" s="2302" t="s">
        <v>2428</v>
      </c>
      <c r="F48" s="2206" t="s">
        <v>2433</v>
      </c>
      <c r="G48" s="2412">
        <f>Main!C67</f>
        <v>0</v>
      </c>
      <c r="H48" s="2434"/>
      <c r="I48" s="1150"/>
      <c r="J48" s="2432">
        <v>1.1000000000000001</v>
      </c>
      <c r="K48" s="2439">
        <v>1</v>
      </c>
      <c r="L48" s="2432">
        <v>0.9</v>
      </c>
      <c r="M48" s="2432">
        <v>0.8</v>
      </c>
      <c r="N48" s="2432">
        <f>IF(H29=S24,0.7,0.5)</f>
        <v>0.5</v>
      </c>
      <c r="O48" s="2396"/>
      <c r="P48" s="1150"/>
      <c r="Q48" s="2261"/>
    </row>
    <row r="49" spans="2:21" s="1105" customFormat="1" ht="6.6" customHeight="1">
      <c r="B49" s="2238"/>
      <c r="C49" s="1150"/>
      <c r="D49" s="2396"/>
      <c r="E49" s="1150"/>
      <c r="F49" s="2284"/>
      <c r="G49" s="2284"/>
      <c r="H49" s="2284"/>
      <c r="I49" s="2284"/>
      <c r="J49" s="2447"/>
      <c r="K49" s="2284"/>
      <c r="L49" s="2284"/>
      <c r="M49" s="2284"/>
      <c r="N49" s="2284"/>
      <c r="O49" s="1150"/>
      <c r="P49" s="1150"/>
      <c r="Q49" s="2261"/>
    </row>
    <row r="50" spans="2:21" s="1105" customFormat="1" ht="14.25">
      <c r="B50" s="2238"/>
      <c r="C50" s="2448" t="s">
        <v>750</v>
      </c>
      <c r="D50" s="2396" t="s">
        <v>2436</v>
      </c>
      <c r="E50" s="1150"/>
      <c r="F50" s="2396"/>
      <c r="G50" s="1150"/>
      <c r="H50" s="1150"/>
      <c r="I50" s="1150"/>
      <c r="J50" s="1150"/>
      <c r="K50" s="1150"/>
      <c r="L50" s="1150"/>
      <c r="M50" s="1150"/>
      <c r="N50" s="1150"/>
      <c r="O50" s="1150"/>
      <c r="P50" s="1150"/>
      <c r="Q50" s="2261"/>
    </row>
    <row r="51" spans="2:21" s="1105" customFormat="1" ht="15" thickBot="1">
      <c r="B51" s="2238"/>
      <c r="C51" s="1150"/>
      <c r="D51" s="1150"/>
      <c r="E51" s="1150" t="s">
        <v>2440</v>
      </c>
      <c r="F51" s="2396"/>
      <c r="G51" s="2396"/>
      <c r="H51" s="2396"/>
      <c r="I51" s="2396"/>
      <c r="J51" s="2396"/>
      <c r="K51" s="2396"/>
      <c r="L51" s="2396"/>
      <c r="M51" s="1150"/>
      <c r="N51" s="1150"/>
      <c r="O51" s="1150"/>
      <c r="P51" s="1150"/>
      <c r="Q51" s="2261"/>
    </row>
    <row r="52" spans="2:21" s="1105" customFormat="1" ht="15" thickBot="1">
      <c r="B52" s="2238"/>
      <c r="C52" s="1150"/>
      <c r="D52" s="1150"/>
      <c r="E52" s="2396" t="s">
        <v>2025</v>
      </c>
      <c r="F52" s="2449"/>
      <c r="G52" s="1150"/>
      <c r="H52" s="1150"/>
      <c r="I52" s="1150"/>
      <c r="J52" s="2396"/>
      <c r="K52" s="2396" t="s">
        <v>2026</v>
      </c>
      <c r="L52" s="2449"/>
      <c r="M52" s="1150"/>
      <c r="N52" s="1150"/>
      <c r="O52" s="1150"/>
      <c r="P52" s="1150"/>
      <c r="Q52" s="2261"/>
      <c r="S52" s="1105" t="s">
        <v>145</v>
      </c>
      <c r="T52" s="1105" t="s">
        <v>1389</v>
      </c>
    </row>
    <row r="53" spans="2:21" s="1105" customFormat="1" ht="14.25">
      <c r="B53" s="2238"/>
      <c r="C53" s="1150"/>
      <c r="D53" s="1150"/>
      <c r="E53" s="1150"/>
      <c r="F53" s="2284" t="s">
        <v>2375</v>
      </c>
      <c r="G53" s="2284"/>
      <c r="H53" s="2284"/>
      <c r="I53" s="2284"/>
      <c r="J53" s="2447"/>
      <c r="K53" s="2447"/>
      <c r="L53" s="2284" t="s">
        <v>2372</v>
      </c>
      <c r="M53" s="2284"/>
      <c r="N53" s="2284"/>
      <c r="O53" s="1150"/>
      <c r="P53" s="1150"/>
      <c r="Q53" s="2261"/>
      <c r="S53" s="1105" t="s">
        <v>147</v>
      </c>
      <c r="T53" s="1105" t="s">
        <v>1390</v>
      </c>
    </row>
    <row r="54" spans="2:21" s="1105" customFormat="1" ht="14.25">
      <c r="B54" s="2238"/>
      <c r="C54" s="1150"/>
      <c r="D54" s="1150"/>
      <c r="E54" s="1150"/>
      <c r="F54" s="2284" t="s">
        <v>2376</v>
      </c>
      <c r="G54" s="2284"/>
      <c r="H54" s="2284"/>
      <c r="I54" s="2284"/>
      <c r="J54" s="2447"/>
      <c r="K54" s="2447"/>
      <c r="L54" s="2468" t="s">
        <v>2373</v>
      </c>
      <c r="M54" s="2284"/>
      <c r="N54" s="2284"/>
      <c r="O54" s="1150"/>
      <c r="P54" s="1150"/>
      <c r="Q54" s="2261"/>
      <c r="S54" s="1105" t="s">
        <v>1388</v>
      </c>
      <c r="T54" s="1105" t="s">
        <v>2470</v>
      </c>
    </row>
    <row r="55" spans="2:21" s="1105" customFormat="1" ht="14.25">
      <c r="B55" s="2238"/>
      <c r="C55" s="1150"/>
      <c r="D55" s="1150"/>
      <c r="E55" s="1150"/>
      <c r="F55" s="2284" t="s">
        <v>2377</v>
      </c>
      <c r="G55" s="2284"/>
      <c r="H55" s="2284"/>
      <c r="I55" s="2284"/>
      <c r="J55" s="2447"/>
      <c r="K55" s="2447"/>
      <c r="L55" s="2397" t="s">
        <v>2374</v>
      </c>
      <c r="M55" s="2284"/>
      <c r="N55" s="2284"/>
      <c r="O55" s="1150"/>
      <c r="P55" s="1150"/>
      <c r="Q55" s="2261"/>
      <c r="S55" s="1105" t="s">
        <v>2470</v>
      </c>
    </row>
    <row r="56" spans="2:21" s="1105" customFormat="1" ht="14.25">
      <c r="B56" s="2238"/>
      <c r="C56" s="1150"/>
      <c r="D56" s="1150"/>
      <c r="E56" s="1150"/>
      <c r="F56" s="2284" t="s">
        <v>2471</v>
      </c>
      <c r="G56" s="2284"/>
      <c r="H56" s="2284"/>
      <c r="I56" s="2284"/>
      <c r="J56" s="2447"/>
      <c r="K56" s="2284"/>
      <c r="L56" s="2284"/>
      <c r="M56" s="2284"/>
      <c r="N56" s="2284"/>
      <c r="O56" s="1150"/>
      <c r="P56" s="1150"/>
      <c r="Q56" s="2261"/>
    </row>
    <row r="57" spans="2:21" s="1105" customFormat="1" ht="15" thickBot="1">
      <c r="B57" s="2238"/>
      <c r="C57" s="1150"/>
      <c r="D57" s="2399" t="s">
        <v>2415</v>
      </c>
      <c r="E57" s="1150" t="s">
        <v>2437</v>
      </c>
      <c r="F57" s="2396"/>
      <c r="G57" s="2396"/>
      <c r="H57" s="1150"/>
      <c r="I57" s="1150"/>
      <c r="J57" s="2447"/>
      <c r="K57" s="2422" t="s">
        <v>2438</v>
      </c>
      <c r="L57" s="2284">
        <v>522</v>
      </c>
      <c r="M57" s="2450" t="s">
        <v>2472</v>
      </c>
      <c r="N57" s="1150"/>
      <c r="O57" s="2396"/>
      <c r="P57" s="1150"/>
      <c r="Q57" s="2261"/>
    </row>
    <row r="58" spans="2:21" s="1105" customFormat="1" ht="15" thickBot="1">
      <c r="B58" s="2238"/>
      <c r="C58" s="1150"/>
      <c r="D58" s="1150"/>
      <c r="E58" s="2262"/>
      <c r="F58" s="2449"/>
      <c r="G58" s="1150"/>
      <c r="H58" s="1150"/>
      <c r="I58" s="1150"/>
      <c r="J58" s="2447"/>
      <c r="K58" s="2422" t="s">
        <v>2439</v>
      </c>
      <c r="L58" s="2284">
        <v>801</v>
      </c>
      <c r="M58" s="2450" t="s">
        <v>2472</v>
      </c>
      <c r="N58" s="1150"/>
      <c r="O58" s="2396"/>
      <c r="P58" s="1150"/>
      <c r="Q58" s="2261"/>
    </row>
    <row r="59" spans="2:21" s="1105" customFormat="1" ht="14.25">
      <c r="B59" s="2238"/>
      <c r="C59" s="1150"/>
      <c r="D59" s="2399" t="s">
        <v>2415</v>
      </c>
      <c r="E59" s="2262" t="s">
        <v>3418</v>
      </c>
      <c r="F59" s="2396"/>
      <c r="G59" s="1150"/>
      <c r="H59" s="1150"/>
      <c r="I59" s="1150"/>
      <c r="J59" s="2447"/>
      <c r="K59" s="6" t="s">
        <v>2494</v>
      </c>
      <c r="L59" s="6"/>
      <c r="M59" s="1150"/>
      <c r="N59" s="2447"/>
      <c r="O59" s="2396"/>
      <c r="P59" s="1150"/>
      <c r="Q59" s="2261"/>
    </row>
    <row r="60" spans="2:21" s="1105" customFormat="1" ht="34.5" thickBot="1">
      <c r="B60" s="2238"/>
      <c r="C60" s="1150"/>
      <c r="D60" s="1150"/>
      <c r="E60" s="2345" t="s">
        <v>2196</v>
      </c>
      <c r="F60" s="2451"/>
      <c r="G60" s="2451"/>
      <c r="H60" s="2451"/>
      <c r="I60" s="2452"/>
      <c r="J60" s="2453" t="s">
        <v>2444</v>
      </c>
      <c r="K60" s="2454" t="s">
        <v>2443</v>
      </c>
      <c r="L60" s="2455" t="s">
        <v>2441</v>
      </c>
      <c r="M60" s="2560" t="s">
        <v>2442</v>
      </c>
      <c r="N60" s="2456" t="s">
        <v>1468</v>
      </c>
      <c r="O60" s="2396"/>
      <c r="P60" s="1150"/>
      <c r="Q60" s="2261"/>
    </row>
    <row r="61" spans="2:21" s="1105" customFormat="1" ht="14.25">
      <c r="B61" s="2238"/>
      <c r="C61" s="1150"/>
      <c r="D61" s="1150"/>
      <c r="E61" s="2457" t="s">
        <v>2473</v>
      </c>
      <c r="F61" s="2451"/>
      <c r="G61" s="2451"/>
      <c r="H61" s="2451"/>
      <c r="I61" s="2451"/>
      <c r="J61" s="2458"/>
      <c r="K61" s="2459"/>
      <c r="L61" s="2459"/>
      <c r="M61" s="2459"/>
      <c r="N61" s="2460">
        <f>SUM(K61:M61)</f>
        <v>0</v>
      </c>
      <c r="O61" s="1150" t="s">
        <v>2304</v>
      </c>
      <c r="P61" s="1150"/>
      <c r="Q61" s="2261"/>
      <c r="T61" s="1105">
        <v>6000</v>
      </c>
      <c r="U61" s="1105">
        <v>600</v>
      </c>
    </row>
    <row r="62" spans="2:21" s="1105" customFormat="1" ht="14.25">
      <c r="B62" s="2238"/>
      <c r="C62" s="1150"/>
      <c r="D62" s="1150"/>
      <c r="E62" s="2461" t="s">
        <v>2445</v>
      </c>
      <c r="F62" s="2462"/>
      <c r="G62" s="2462"/>
      <c r="H62" s="2462"/>
      <c r="I62" s="2462"/>
      <c r="J62" s="2463"/>
      <c r="K62" s="2464"/>
      <c r="L62" s="2465"/>
      <c r="M62" s="2465"/>
      <c r="N62" s="2460">
        <f t="shared" ref="N62:N68" si="1">IF($K$61&gt;0,K62,0)+IF($L$61&gt;0,L62,0)+IF($M$61&gt;0,M62,0)</f>
        <v>0</v>
      </c>
      <c r="O62" s="2396"/>
      <c r="P62" s="1150"/>
      <c r="Q62" s="2261"/>
      <c r="T62" s="1105">
        <v>4032000</v>
      </c>
      <c r="U62" s="1105">
        <v>480000</v>
      </c>
    </row>
    <row r="63" spans="2:21" s="1105" customFormat="1" ht="14.25">
      <c r="B63" s="2238"/>
      <c r="C63" s="1150"/>
      <c r="D63" s="1150"/>
      <c r="E63" s="2461" t="s">
        <v>3423</v>
      </c>
      <c r="F63" s="2462"/>
      <c r="G63" s="2462"/>
      <c r="H63" s="2462"/>
      <c r="I63" s="2462"/>
      <c r="J63" s="2463"/>
      <c r="K63" s="2466"/>
      <c r="L63" s="2467"/>
      <c r="M63" s="2467"/>
      <c r="N63" s="2460">
        <f t="shared" si="1"/>
        <v>0</v>
      </c>
      <c r="O63" s="2396"/>
      <c r="P63" s="2468" t="s">
        <v>2451</v>
      </c>
      <c r="Q63" s="2261"/>
      <c r="T63" s="1105">
        <v>2950000</v>
      </c>
      <c r="U63" s="1105">
        <v>432000</v>
      </c>
    </row>
    <row r="64" spans="2:21" s="1105" customFormat="1" ht="14.25">
      <c r="B64" s="2238"/>
      <c r="C64" s="1150"/>
      <c r="D64" s="1150"/>
      <c r="E64" s="2554" t="s">
        <v>2448</v>
      </c>
      <c r="F64" s="2462"/>
      <c r="G64" s="2462"/>
      <c r="H64" s="2462"/>
      <c r="I64" s="2462"/>
      <c r="J64" s="2463"/>
      <c r="K64" s="2466"/>
      <c r="L64" s="2469"/>
      <c r="M64" s="2469"/>
      <c r="N64" s="2460">
        <f t="shared" si="1"/>
        <v>0</v>
      </c>
      <c r="O64" s="2396"/>
      <c r="P64" s="2284" t="str">
        <f>IF(N64&gt;0,S36,"")</f>
        <v/>
      </c>
      <c r="Q64" s="2261"/>
      <c r="T64" s="1105">
        <v>0</v>
      </c>
    </row>
    <row r="65" spans="2:21" s="1105" customFormat="1" ht="15" thickBot="1">
      <c r="B65" s="2238"/>
      <c r="C65" s="1150"/>
      <c r="D65" s="1150"/>
      <c r="E65" s="2554" t="s">
        <v>3419</v>
      </c>
      <c r="F65" s="2470"/>
      <c r="G65" s="2470"/>
      <c r="H65" s="2470"/>
      <c r="I65" s="2470"/>
      <c r="J65" s="2471"/>
      <c r="K65" s="2466"/>
      <c r="L65" s="2467"/>
      <c r="M65" s="2472"/>
      <c r="N65" s="2460">
        <f t="shared" si="1"/>
        <v>0</v>
      </c>
      <c r="O65" s="2396"/>
      <c r="P65" s="1150"/>
      <c r="Q65" s="2261"/>
      <c r="T65" s="1105">
        <v>1062000</v>
      </c>
      <c r="U65" s="1105">
        <v>0</v>
      </c>
    </row>
    <row r="66" spans="2:21" s="1105" customFormat="1" ht="14.25">
      <c r="B66" s="2238"/>
      <c r="C66" s="1150"/>
      <c r="D66" s="1150"/>
      <c r="E66" s="2461" t="s">
        <v>2447</v>
      </c>
      <c r="F66" s="2470"/>
      <c r="G66" s="2470"/>
      <c r="H66" s="2470"/>
      <c r="I66" s="2470"/>
      <c r="J66" s="2473"/>
      <c r="K66" s="2474"/>
      <c r="L66" s="2469"/>
      <c r="M66" s="2284"/>
      <c r="N66" s="2475">
        <f t="shared" si="1"/>
        <v>0</v>
      </c>
      <c r="O66" s="2396"/>
      <c r="P66" s="1150"/>
      <c r="Q66" s="2261"/>
      <c r="T66" s="1105">
        <v>0</v>
      </c>
    </row>
    <row r="67" spans="2:21" s="1105" customFormat="1" ht="14.25">
      <c r="B67" s="2238"/>
      <c r="C67" s="1150"/>
      <c r="D67" s="1150"/>
      <c r="E67" s="2461" t="s">
        <v>2446</v>
      </c>
      <c r="F67" s="2476"/>
      <c r="G67" s="2476"/>
      <c r="H67" s="2476"/>
      <c r="I67" s="2476"/>
      <c r="J67" s="2477"/>
      <c r="K67" s="2474"/>
      <c r="L67" s="2478"/>
      <c r="M67" s="2284"/>
      <c r="N67" s="2475">
        <f t="shared" si="1"/>
        <v>0</v>
      </c>
      <c r="O67" s="2396"/>
      <c r="P67" s="2553" t="s">
        <v>2449</v>
      </c>
      <c r="Q67" s="2261"/>
      <c r="T67" s="1105">
        <v>58900</v>
      </c>
      <c r="U67" s="1105">
        <v>0</v>
      </c>
    </row>
    <row r="68" spans="2:21" s="1105" customFormat="1" ht="15" thickBot="1">
      <c r="B68" s="2238"/>
      <c r="C68" s="1150"/>
      <c r="D68" s="1150"/>
      <c r="E68" s="2554" t="s">
        <v>3424</v>
      </c>
      <c r="F68" s="2479"/>
      <c r="G68" s="2479"/>
      <c r="H68" s="2479"/>
      <c r="I68" s="2479"/>
      <c r="J68" s="2480"/>
      <c r="K68" s="2481"/>
      <c r="L68" s="2482"/>
      <c r="M68" s="2284"/>
      <c r="N68" s="2475">
        <f t="shared" si="1"/>
        <v>0</v>
      </c>
      <c r="O68" s="2396"/>
      <c r="P68" s="2325" t="s">
        <v>2452</v>
      </c>
      <c r="Q68" s="2261"/>
      <c r="T68" s="1105">
        <v>2891100</v>
      </c>
      <c r="U68" s="1105">
        <v>0</v>
      </c>
    </row>
    <row r="69" spans="2:21" s="1105" customFormat="1" ht="14.25">
      <c r="B69" s="2238"/>
      <c r="C69" s="1150"/>
      <c r="D69" s="1150"/>
      <c r="E69" s="6"/>
      <c r="F69" s="2396"/>
      <c r="G69" s="1150"/>
      <c r="H69" s="2206"/>
      <c r="I69" s="2206"/>
      <c r="J69" s="2206" t="s">
        <v>2474</v>
      </c>
      <c r="K69" s="2483" t="str">
        <f>IFERROR((K63-K65)/(K62-K65),"-")</f>
        <v>-</v>
      </c>
      <c r="L69" s="2483" t="str">
        <f>IFERROR((L63-L65)/(L62-L65),"-")</f>
        <v>-</v>
      </c>
      <c r="M69" s="2483" t="str">
        <f>IFERROR((M63-M65)/(M62-M65),"-")</f>
        <v>-</v>
      </c>
      <c r="N69" s="2483" t="str">
        <f>IFERROR((N63-N65)/(N62-N65),"-")</f>
        <v>-</v>
      </c>
      <c r="O69" s="2396"/>
      <c r="P69" s="2468" t="s">
        <v>2451</v>
      </c>
      <c r="Q69" s="2261"/>
    </row>
    <row r="70" spans="2:21" s="1105" customFormat="1" ht="14.25">
      <c r="B70" s="2238"/>
      <c r="C70" s="1150"/>
      <c r="D70" s="1150"/>
      <c r="E70" s="6" t="s">
        <v>2453</v>
      </c>
      <c r="F70" s="1150"/>
      <c r="G70" s="1150"/>
      <c r="H70" s="2206"/>
      <c r="I70" s="2206"/>
      <c r="J70" s="2206" t="s">
        <v>1384</v>
      </c>
      <c r="K70" s="2483" t="str">
        <f>IFERROR((K63-K65-K67)/(K62-K65),"-")</f>
        <v>-</v>
      </c>
      <c r="L70" s="2483" t="str">
        <f>IFERROR((L63-L65-L67)/(L62-L65),"-")</f>
        <v>-</v>
      </c>
      <c r="M70" s="2483"/>
      <c r="N70" s="2483" t="str">
        <f>IFERROR((N63-N65-N67)/(N62-N65),"-")</f>
        <v>-</v>
      </c>
      <c r="O70" s="2396"/>
      <c r="P70" s="2325" t="s">
        <v>2450</v>
      </c>
      <c r="Q70" s="2261"/>
    </row>
    <row r="71" spans="2:21" s="1105" customFormat="1" ht="14.25">
      <c r="B71" s="2238"/>
      <c r="C71" s="1150"/>
      <c r="D71" s="1150"/>
      <c r="E71" s="2397" t="s">
        <v>3420</v>
      </c>
      <c r="F71" s="1150"/>
      <c r="G71" s="1150"/>
      <c r="H71" s="1150"/>
      <c r="I71" s="1150"/>
      <c r="J71" s="2447"/>
      <c r="K71" s="2284"/>
      <c r="L71" s="2396"/>
      <c r="M71" s="1150"/>
      <c r="N71" s="1150"/>
      <c r="O71" s="2396"/>
      <c r="P71" s="1150"/>
      <c r="Q71" s="2261"/>
    </row>
    <row r="72" spans="2:21" s="1105" customFormat="1" ht="14.25">
      <c r="B72" s="2238"/>
      <c r="C72" s="1150"/>
      <c r="D72" s="1150"/>
      <c r="E72" s="2397" t="s">
        <v>2454</v>
      </c>
      <c r="F72" s="2262"/>
      <c r="G72" s="2262"/>
      <c r="H72" s="1150"/>
      <c r="I72" s="1150"/>
      <c r="J72" s="6"/>
      <c r="K72" s="2284"/>
      <c r="L72" s="2396"/>
      <c r="M72" s="1150"/>
      <c r="N72" s="1150"/>
      <c r="O72" s="2396"/>
      <c r="P72" s="1150"/>
      <c r="Q72" s="2261"/>
    </row>
    <row r="73" spans="2:21" s="1105" customFormat="1" ht="14.25">
      <c r="B73" s="2238"/>
      <c r="C73" s="1150"/>
      <c r="D73" s="1150"/>
      <c r="E73" s="2397" t="s">
        <v>2455</v>
      </c>
      <c r="F73" s="1150"/>
      <c r="G73" s="1150"/>
      <c r="H73" s="1150"/>
      <c r="I73" s="1150"/>
      <c r="J73" s="2447"/>
      <c r="K73" s="1150"/>
      <c r="L73" s="1150"/>
      <c r="M73" s="1150"/>
      <c r="N73" s="1150"/>
      <c r="O73" s="1150"/>
      <c r="P73" s="1150"/>
      <c r="Q73" s="2261"/>
    </row>
    <row r="74" spans="2:21" s="1105" customFormat="1" ht="34.9" customHeight="1">
      <c r="B74" s="2238"/>
      <c r="C74" s="1150"/>
      <c r="D74" s="1150"/>
      <c r="E74" s="2404"/>
      <c r="F74" s="4220" t="s">
        <v>3421</v>
      </c>
      <c r="G74" s="4220"/>
      <c r="H74" s="4220"/>
      <c r="I74" s="4220"/>
      <c r="J74" s="4220"/>
      <c r="K74" s="4220"/>
      <c r="L74" s="4220"/>
      <c r="M74" s="4220"/>
      <c r="N74" s="4220"/>
      <c r="O74" s="4220"/>
      <c r="P74" s="4220"/>
      <c r="Q74" s="2261"/>
    </row>
    <row r="75" spans="2:21" s="1105" customFormat="1" ht="3.75" customHeight="1" thickBot="1">
      <c r="B75" s="2312"/>
      <c r="C75" s="2317"/>
      <c r="D75" s="2317"/>
      <c r="E75" s="2484"/>
      <c r="F75" s="2485"/>
      <c r="G75" s="2485"/>
      <c r="H75" s="2485"/>
      <c r="I75" s="2485"/>
      <c r="J75" s="2485"/>
      <c r="K75" s="2485"/>
      <c r="L75" s="2485"/>
      <c r="M75" s="2317"/>
      <c r="N75" s="2485"/>
      <c r="O75" s="2485"/>
      <c r="P75" s="2485"/>
      <c r="Q75" s="2486"/>
    </row>
    <row r="76" spans="2:21" s="1105" customFormat="1" ht="3.75" customHeight="1" thickBot="1">
      <c r="B76" s="1959"/>
      <c r="C76" s="1959"/>
      <c r="D76" s="1959"/>
      <c r="E76" s="1959"/>
      <c r="F76" s="1959"/>
      <c r="G76" s="1959"/>
      <c r="H76" s="1959"/>
      <c r="I76" s="1959"/>
      <c r="J76" s="1959"/>
      <c r="K76" s="1959"/>
      <c r="L76" s="1959"/>
      <c r="M76" s="1959"/>
      <c r="N76" s="1959"/>
      <c r="O76" s="1959"/>
      <c r="P76" s="1959"/>
      <c r="Q76" s="1959"/>
    </row>
    <row r="77" spans="2:21" s="1105" customFormat="1" ht="27" customHeight="1">
      <c r="B77" s="2487"/>
      <c r="C77" s="2559" t="s">
        <v>2383</v>
      </c>
      <c r="D77" s="2488"/>
      <c r="E77" s="2488"/>
      <c r="F77" s="2488"/>
      <c r="G77" s="2488"/>
      <c r="H77" s="2488"/>
      <c r="I77" s="2488"/>
      <c r="J77" s="2488"/>
      <c r="K77" s="2488"/>
      <c r="L77" s="2488"/>
      <c r="M77" s="2488"/>
      <c r="N77" s="2489"/>
      <c r="O77" s="2490"/>
      <c r="P77" s="2489"/>
      <c r="Q77" s="2491"/>
    </row>
    <row r="78" spans="2:21" s="1105" customFormat="1" ht="14.25">
      <c r="B78" s="2244"/>
      <c r="C78" s="2204" t="s">
        <v>2508</v>
      </c>
      <c r="D78" s="2204"/>
      <c r="E78" s="1150"/>
      <c r="F78" s="1150"/>
      <c r="G78" s="2396"/>
      <c r="H78" s="1150"/>
      <c r="I78" s="1150"/>
      <c r="J78" s="1150"/>
      <c r="K78" s="1150"/>
      <c r="L78" s="1150"/>
      <c r="M78" s="1150"/>
      <c r="N78" s="1150"/>
      <c r="O78" s="1150"/>
      <c r="P78" s="2492" t="s">
        <v>2205</v>
      </c>
      <c r="Q78" s="2493"/>
    </row>
    <row r="79" spans="2:21" s="1105" customFormat="1" ht="15" thickBot="1">
      <c r="B79" s="2244"/>
      <c r="C79" s="2204"/>
      <c r="D79" s="5" t="s">
        <v>2384</v>
      </c>
      <c r="E79" s="2396"/>
      <c r="F79" s="2206" t="s">
        <v>2490</v>
      </c>
      <c r="G79" s="2495">
        <f>IF(G20="",S79,G20)</f>
        <v>0.5</v>
      </c>
      <c r="H79" s="1150"/>
      <c r="I79" s="1150"/>
      <c r="J79" s="1150"/>
      <c r="K79" s="1150"/>
      <c r="L79" s="1150"/>
      <c r="M79" s="1150"/>
      <c r="N79" s="1150" t="s">
        <v>2509</v>
      </c>
      <c r="O79" s="1150"/>
      <c r="P79" s="2272" t="s">
        <v>2385</v>
      </c>
      <c r="Q79" s="2236"/>
      <c r="S79" s="1105" t="s">
        <v>3422</v>
      </c>
    </row>
    <row r="80" spans="2:21" s="1105" customFormat="1" ht="15" thickBot="1">
      <c r="B80" s="2244"/>
      <c r="C80" s="2204"/>
      <c r="D80" s="2204"/>
      <c r="E80" s="2204"/>
      <c r="F80" s="2204"/>
      <c r="G80" s="2204"/>
      <c r="H80" s="2204"/>
      <c r="I80" s="2204"/>
      <c r="J80" s="1150"/>
      <c r="K80" s="1150"/>
      <c r="L80" s="1150"/>
      <c r="M80" s="2496"/>
      <c r="N80" s="2497">
        <f>($J$103*G79)*$N$111</f>
        <v>5425</v>
      </c>
      <c r="O80" s="2243"/>
      <c r="P80" s="2497">
        <f>J103</f>
        <v>10850</v>
      </c>
      <c r="Q80" s="2498"/>
    </row>
    <row r="81" spans="2:20" s="1105" customFormat="1" ht="6.75" customHeight="1">
      <c r="B81" s="2238"/>
      <c r="C81" s="1150"/>
      <c r="D81" s="1150"/>
      <c r="E81" s="1150"/>
      <c r="F81" s="1150"/>
      <c r="G81" s="1150"/>
      <c r="H81" s="1150"/>
      <c r="I81" s="1150"/>
      <c r="J81" s="1150"/>
      <c r="K81" s="1150"/>
      <c r="L81" s="1150"/>
      <c r="M81" s="1150"/>
      <c r="N81" s="1150"/>
      <c r="O81" s="1150"/>
      <c r="P81" s="1150"/>
      <c r="Q81" s="2261"/>
    </row>
    <row r="82" spans="2:20" s="1105" customFormat="1" ht="14.25">
      <c r="B82" s="2238"/>
      <c r="C82" s="1150"/>
      <c r="D82" s="1150"/>
      <c r="E82" s="1150"/>
      <c r="F82" s="1150"/>
      <c r="G82" s="2273"/>
      <c r="H82" s="1150" t="s">
        <v>2288</v>
      </c>
      <c r="I82" s="1150"/>
      <c r="J82" s="1150" t="s">
        <v>2382</v>
      </c>
      <c r="K82" s="2273"/>
      <c r="L82" s="1150" t="s">
        <v>3369</v>
      </c>
      <c r="M82" s="1150"/>
      <c r="N82" s="1150"/>
      <c r="O82" s="1150"/>
      <c r="P82" s="1150"/>
      <c r="Q82" s="2261"/>
    </row>
    <row r="83" spans="2:20" s="1105" customFormat="1" ht="15.75">
      <c r="B83" s="2238"/>
      <c r="C83" s="1150"/>
      <c r="D83" s="1150"/>
      <c r="E83" s="1150"/>
      <c r="F83" s="1150"/>
      <c r="G83" s="2206"/>
      <c r="H83" s="2206" t="s">
        <v>2304</v>
      </c>
      <c r="I83" s="1150"/>
      <c r="J83" s="2273" t="s">
        <v>2475</v>
      </c>
      <c r="K83" s="2273"/>
      <c r="L83" s="2242" t="s">
        <v>2094</v>
      </c>
      <c r="M83" s="1150"/>
      <c r="N83" s="1150"/>
      <c r="O83" s="1150"/>
      <c r="P83" s="1150"/>
      <c r="Q83" s="2261"/>
      <c r="S83" s="1105" t="s">
        <v>2476</v>
      </c>
      <c r="T83" s="2499">
        <f>T103/P80</f>
        <v>0.78</v>
      </c>
    </row>
    <row r="84" spans="2:20" s="1105" customFormat="1" ht="14.25">
      <c r="B84" s="2238"/>
      <c r="C84" s="1150"/>
      <c r="D84" s="1150"/>
      <c r="E84" s="2500" t="str">
        <f>'GHG data'!D123</f>
        <v xml:space="preserve"> Office</v>
      </c>
      <c r="F84" s="2501" t="str">
        <f>'GHG data'!E123</f>
        <v>Office</v>
      </c>
      <c r="G84" s="2502"/>
      <c r="H84" s="2415">
        <f>Main!R47</f>
        <v>7000</v>
      </c>
      <c r="I84" s="1150"/>
      <c r="J84" s="2415">
        <f>'GHG data'!H123</f>
        <v>1550</v>
      </c>
      <c r="K84" s="1150"/>
      <c r="L84" s="2503" t="e">
        <f>'GHG data'!S123</f>
        <v>#VALUE!</v>
      </c>
      <c r="M84" s="1150"/>
      <c r="N84" s="1150"/>
      <c r="O84" s="1150"/>
      <c r="P84" s="1150"/>
      <c r="Q84" s="2261"/>
      <c r="S84" s="2504">
        <f>'GHG data'!N123</f>
        <v>0.78</v>
      </c>
    </row>
    <row r="85" spans="2:20" s="1105" customFormat="1" ht="14.25">
      <c r="B85" s="2238"/>
      <c r="C85" s="1150"/>
      <c r="D85" s="1150"/>
      <c r="E85" s="2505"/>
      <c r="F85" s="2501" t="str">
        <f>'GHG data'!E124</f>
        <v>Government buildings</v>
      </c>
      <c r="G85" s="2502"/>
      <c r="H85" s="2415">
        <f>Main!R48</f>
        <v>0</v>
      </c>
      <c r="I85" s="1150"/>
      <c r="J85" s="2415">
        <f>'GHG data'!H124</f>
        <v>0</v>
      </c>
      <c r="K85" s="1150"/>
      <c r="L85" s="2503" t="e">
        <f>'GHG data'!S124</f>
        <v>#VALUE!</v>
      </c>
      <c r="M85" s="1150"/>
      <c r="N85" s="1150"/>
      <c r="O85" s="1150"/>
      <c r="P85" s="1150"/>
      <c r="Q85" s="2261"/>
      <c r="S85" s="2504">
        <f>'GHG data'!N124</f>
        <v>0.77</v>
      </c>
    </row>
    <row r="86" spans="2:20" s="1105" customFormat="1" ht="14.25">
      <c r="B86" s="2238"/>
      <c r="C86" s="1150"/>
      <c r="D86" s="1150"/>
      <c r="E86" s="2506"/>
      <c r="F86" s="2501" t="str">
        <f>'GHG data'!E125</f>
        <v>Research institutes</v>
      </c>
      <c r="G86" s="2502"/>
      <c r="H86" s="2415">
        <f>Main!R49</f>
        <v>0</v>
      </c>
      <c r="I86" s="1150"/>
      <c r="J86" s="2415">
        <f>'GHG data'!H125</f>
        <v>0</v>
      </c>
      <c r="K86" s="1150"/>
      <c r="L86" s="2503" t="e">
        <f>'GHG data'!S125</f>
        <v>#VALUE!</v>
      </c>
      <c r="M86" s="1150"/>
      <c r="N86" s="1150"/>
      <c r="O86" s="1150"/>
      <c r="P86" s="1150"/>
      <c r="Q86" s="2261"/>
      <c r="S86" s="2504">
        <f>'GHG data'!N125</f>
        <v>0.63</v>
      </c>
    </row>
    <row r="87" spans="2:20" s="1105" customFormat="1" ht="14.25">
      <c r="B87" s="2238"/>
      <c r="C87" s="1150"/>
      <c r="D87" s="1150"/>
      <c r="E87" s="2505" t="str">
        <f>'GHG data'!D126</f>
        <v xml:space="preserve"> School</v>
      </c>
      <c r="F87" s="2501" t="str">
        <f>'GHG data'!E126</f>
        <v>Kindergartens/ nursery schools</v>
      </c>
      <c r="G87" s="2502"/>
      <c r="H87" s="2415">
        <f>Main!R50</f>
        <v>0</v>
      </c>
      <c r="I87" s="1150"/>
      <c r="J87" s="2415">
        <f>'GHG data'!H126</f>
        <v>0</v>
      </c>
      <c r="K87" s="1150"/>
      <c r="L87" s="2503" t="e">
        <f>'GHG data'!S126</f>
        <v>#VALUE!</v>
      </c>
      <c r="M87" s="1150"/>
      <c r="N87" s="1150"/>
      <c r="O87" s="1150"/>
      <c r="P87" s="1150"/>
      <c r="Q87" s="2261"/>
      <c r="S87" s="2504">
        <f>'GHG data'!N126</f>
        <v>0.7</v>
      </c>
    </row>
    <row r="88" spans="2:20" s="1105" customFormat="1" ht="14.25">
      <c r="B88" s="2238"/>
      <c r="C88" s="1150"/>
      <c r="D88" s="1150"/>
      <c r="E88" s="2505"/>
      <c r="F88" s="2507" t="str">
        <f>'GHG data'!E127</f>
        <v>ES/JHS</v>
      </c>
      <c r="G88" s="2508" t="str">
        <f>'GHG data'!F127</f>
        <v>Hokkaido</v>
      </c>
      <c r="H88" s="2415">
        <f>Main!R51</f>
        <v>0</v>
      </c>
      <c r="I88" s="1150"/>
      <c r="J88" s="2415">
        <f>'GHG data'!H127</f>
        <v>0</v>
      </c>
      <c r="K88" s="1150"/>
      <c r="L88" s="2503" t="e">
        <f>'GHG data'!S127</f>
        <v>#VALUE!</v>
      </c>
      <c r="M88" s="1150"/>
      <c r="N88" s="1150"/>
      <c r="O88" s="1150"/>
      <c r="P88" s="1150"/>
      <c r="Q88" s="2261"/>
      <c r="S88" s="2504">
        <f>'GHG data'!N127</f>
        <v>0.67</v>
      </c>
    </row>
    <row r="89" spans="2:20" s="1105" customFormat="1" ht="14.25">
      <c r="B89" s="2238"/>
      <c r="C89" s="1150"/>
      <c r="D89" s="1150"/>
      <c r="E89" s="2505"/>
      <c r="F89" s="2509"/>
      <c r="G89" s="2508" t="str">
        <f>'GHG data'!F128</f>
        <v>Other area</v>
      </c>
      <c r="H89" s="2415">
        <f>Main!R52</f>
        <v>0</v>
      </c>
      <c r="I89" s="1150"/>
      <c r="J89" s="2415">
        <f>'GHG data'!H128</f>
        <v>0</v>
      </c>
      <c r="K89" s="1150"/>
      <c r="L89" s="2503" t="e">
        <f>'GHG data'!S128</f>
        <v>#VALUE!</v>
      </c>
      <c r="M89" s="1150"/>
      <c r="N89" s="1150"/>
      <c r="O89" s="1150"/>
      <c r="P89" s="1150"/>
      <c r="Q89" s="2261"/>
      <c r="S89" s="2504">
        <f>'GHG data'!N128</f>
        <v>0.74</v>
      </c>
    </row>
    <row r="90" spans="2:20" s="1105" customFormat="1" ht="14.25">
      <c r="B90" s="2238"/>
      <c r="C90" s="1150"/>
      <c r="D90" s="1150"/>
      <c r="E90" s="2505"/>
      <c r="F90" s="2501" t="str">
        <f>'GHG data'!E129</f>
        <v>High schools</v>
      </c>
      <c r="G90" s="2502"/>
      <c r="H90" s="2415">
        <f>Main!R53</f>
        <v>0</v>
      </c>
      <c r="I90" s="1150"/>
      <c r="J90" s="2415">
        <f>'GHG data'!H129</f>
        <v>0</v>
      </c>
      <c r="K90" s="1150"/>
      <c r="L90" s="2503" t="e">
        <f>'GHG data'!S129</f>
        <v>#VALUE!</v>
      </c>
      <c r="M90" s="1150"/>
      <c r="N90" s="1150"/>
      <c r="O90" s="1150"/>
      <c r="P90" s="1150"/>
      <c r="Q90" s="2261"/>
      <c r="S90" s="2504">
        <f>'GHG data'!N129</f>
        <v>0.74</v>
      </c>
    </row>
    <row r="91" spans="2:20" s="1105" customFormat="1" ht="14.25">
      <c r="B91" s="2238"/>
      <c r="C91" s="1150"/>
      <c r="D91" s="1150"/>
      <c r="E91" s="2506"/>
      <c r="F91" s="2501" t="str">
        <f>'GHG data'!E130</f>
        <v>Universities/ colleges</v>
      </c>
      <c r="G91" s="2502"/>
      <c r="H91" s="2415">
        <f>Main!R54</f>
        <v>0</v>
      </c>
      <c r="I91" s="1150"/>
      <c r="J91" s="2415">
        <f>'GHG data'!H130</f>
        <v>0</v>
      </c>
      <c r="K91" s="1150"/>
      <c r="L91" s="2503" t="e">
        <f>'GHG data'!S130</f>
        <v>#VALUE!</v>
      </c>
      <c r="M91" s="1150"/>
      <c r="N91" s="1150"/>
      <c r="O91" s="1150"/>
      <c r="P91" s="1150"/>
      <c r="Q91" s="2261"/>
      <c r="S91" s="2504">
        <f>'GHG data'!N130</f>
        <v>0.66</v>
      </c>
    </row>
    <row r="92" spans="2:20" s="1105" customFormat="1" ht="14.25">
      <c r="B92" s="2238"/>
      <c r="C92" s="1150"/>
      <c r="D92" s="1150"/>
      <c r="E92" s="2500" t="str">
        <f>'GHG data'!D131</f>
        <v xml:space="preserve"> Retailers</v>
      </c>
      <c r="F92" s="2501" t="str">
        <f>'GHG data'!E131</f>
        <v>Department, supermarkets</v>
      </c>
      <c r="G92" s="2502"/>
      <c r="H92" s="2415">
        <f>Main!R55</f>
        <v>0</v>
      </c>
      <c r="I92" s="1150"/>
      <c r="J92" s="2415">
        <f>'GHG data'!H131</f>
        <v>0</v>
      </c>
      <c r="K92" s="1150"/>
      <c r="L92" s="2503" t="e">
        <f>'GHG data'!S131</f>
        <v>#VALUE!</v>
      </c>
      <c r="M92" s="1150"/>
      <c r="N92" s="1150"/>
      <c r="O92" s="1150"/>
      <c r="P92" s="1150"/>
      <c r="Q92" s="2261"/>
      <c r="S92" s="2504">
        <f>'GHG data'!N131</f>
        <v>0.73</v>
      </c>
    </row>
    <row r="93" spans="2:20" s="1105" customFormat="1" ht="14.25">
      <c r="B93" s="2238"/>
      <c r="C93" s="1150"/>
      <c r="D93" s="1150"/>
      <c r="E93" s="2505"/>
      <c r="F93" s="2501" t="str">
        <f>'GHG data'!E132</f>
        <v>Convenience store</v>
      </c>
      <c r="G93" s="2502"/>
      <c r="H93" s="2415">
        <f>Main!R56</f>
        <v>0</v>
      </c>
      <c r="I93" s="1150"/>
      <c r="J93" s="2415">
        <f>'GHG data'!H132</f>
        <v>0</v>
      </c>
      <c r="K93" s="1150"/>
      <c r="L93" s="2503" t="e">
        <f>'GHG data'!S132</f>
        <v>#VALUE!</v>
      </c>
      <c r="M93" s="1150"/>
      <c r="N93" s="1150"/>
      <c r="O93" s="1150"/>
      <c r="P93" s="1150"/>
      <c r="Q93" s="2261"/>
      <c r="S93" s="2504">
        <f>'GHG data'!N132</f>
        <v>1</v>
      </c>
    </row>
    <row r="94" spans="2:20" s="1105" customFormat="1" ht="14.25">
      <c r="B94" s="2238"/>
      <c r="C94" s="1150"/>
      <c r="D94" s="1150"/>
      <c r="E94" s="2505"/>
      <c r="F94" s="2501" t="str">
        <f>'GHG data'!E133</f>
        <v>Electronics retailers,</v>
      </c>
      <c r="G94" s="2502"/>
      <c r="H94" s="2415">
        <f>Main!R57</f>
        <v>0</v>
      </c>
      <c r="I94" s="1150"/>
      <c r="J94" s="2415">
        <f>'GHG data'!H133</f>
        <v>0</v>
      </c>
      <c r="K94" s="1150"/>
      <c r="L94" s="2503" t="e">
        <f>'GHG data'!S133</f>
        <v>#VALUE!</v>
      </c>
      <c r="M94" s="1150"/>
      <c r="N94" s="1150"/>
      <c r="O94" s="1150"/>
      <c r="P94" s="1150"/>
      <c r="Q94" s="2261"/>
      <c r="S94" s="2504">
        <f>'GHG data'!N133</f>
        <v>0.71</v>
      </c>
    </row>
    <row r="95" spans="2:20" s="1105" customFormat="1" ht="14.25">
      <c r="B95" s="2238"/>
      <c r="C95" s="1150"/>
      <c r="D95" s="1150"/>
      <c r="E95" s="2506"/>
      <c r="F95" s="2501" t="str">
        <f>'GHG data'!E134</f>
        <v>Other stores</v>
      </c>
      <c r="G95" s="2502"/>
      <c r="H95" s="2415">
        <f>Main!R58</f>
        <v>0</v>
      </c>
      <c r="I95" s="1150"/>
      <c r="J95" s="2415">
        <f>'GHG data'!H134</f>
        <v>0</v>
      </c>
      <c r="K95" s="1150"/>
      <c r="L95" s="2503" t="e">
        <f>'GHG data'!S134</f>
        <v>#VALUE!</v>
      </c>
      <c r="M95" s="1150"/>
      <c r="N95" s="1150"/>
      <c r="O95" s="1150"/>
      <c r="P95" s="1150"/>
      <c r="Q95" s="2261"/>
      <c r="S95" s="2504">
        <f>'GHG data'!N134</f>
        <v>0.89</v>
      </c>
    </row>
    <row r="96" spans="2:20" s="1105" customFormat="1" ht="14.25">
      <c r="B96" s="2238"/>
      <c r="C96" s="1150"/>
      <c r="D96" s="1150"/>
      <c r="E96" s="2501" t="str">
        <f>'GHG data'!D135</f>
        <v xml:space="preserve"> Restaurants</v>
      </c>
      <c r="F96" s="2510"/>
      <c r="G96" s="2502"/>
      <c r="H96" s="2415">
        <f>Main!R59</f>
        <v>0</v>
      </c>
      <c r="I96" s="1150"/>
      <c r="J96" s="2415">
        <f>'GHG data'!H135</f>
        <v>0</v>
      </c>
      <c r="K96" s="1150"/>
      <c r="L96" s="2503" t="e">
        <f>'GHG data'!S135</f>
        <v>#VALUE!</v>
      </c>
      <c r="M96" s="1150"/>
      <c r="N96" s="1150"/>
      <c r="O96" s="1150"/>
      <c r="P96" s="1150"/>
      <c r="Q96" s="2261"/>
      <c r="S96" s="2504">
        <f>'GHG data'!N135</f>
        <v>0.51</v>
      </c>
    </row>
    <row r="97" spans="2:20" s="1105" customFormat="1" ht="14.25">
      <c r="B97" s="2238"/>
      <c r="C97" s="1150"/>
      <c r="D97" s="1150"/>
      <c r="E97" s="2500" t="str">
        <f>'GHG data'!D136</f>
        <v xml:space="preserve"> Halls</v>
      </c>
      <c r="F97" s="2501" t="str">
        <f>'GHG data'!E136</f>
        <v>Theatres/halls</v>
      </c>
      <c r="G97" s="2502"/>
      <c r="H97" s="2415">
        <f>Main!R60</f>
        <v>0</v>
      </c>
      <c r="I97" s="1150"/>
      <c r="J97" s="2415">
        <f>'GHG data'!H136</f>
        <v>0</v>
      </c>
      <c r="K97" s="1150"/>
      <c r="L97" s="2503" t="e">
        <f>'GHG data'!S136</f>
        <v>#VALUE!</v>
      </c>
      <c r="M97" s="1150"/>
      <c r="N97" s="1150"/>
      <c r="O97" s="1150"/>
      <c r="P97" s="1150"/>
      <c r="Q97" s="2261"/>
      <c r="S97" s="2504">
        <f>'GHG data'!N136</f>
        <v>0.73</v>
      </c>
    </row>
    <row r="98" spans="2:20" s="1105" customFormat="1" ht="14.25">
      <c r="B98" s="2238"/>
      <c r="C98" s="1150"/>
      <c r="D98" s="1150"/>
      <c r="E98" s="2505"/>
      <c r="F98" s="2501" t="str">
        <f>'GHG data'!E137</f>
        <v>Exhibition facilities</v>
      </c>
      <c r="G98" s="2502"/>
      <c r="H98" s="2415">
        <f>Main!R61</f>
        <v>0</v>
      </c>
      <c r="I98" s="1150"/>
      <c r="J98" s="2415">
        <f>'GHG data'!H137</f>
        <v>0</v>
      </c>
      <c r="K98" s="1150"/>
      <c r="L98" s="2503" t="e">
        <f>'GHG data'!S137</f>
        <v>#VALUE!</v>
      </c>
      <c r="M98" s="1150"/>
      <c r="N98" s="1150"/>
      <c r="O98" s="1150"/>
      <c r="P98" s="1150"/>
      <c r="Q98" s="2261"/>
      <c r="S98" s="2504">
        <f>'GHG data'!N137</f>
        <v>0.77</v>
      </c>
    </row>
    <row r="99" spans="2:20" s="1105" customFormat="1" ht="14.25">
      <c r="B99" s="2238"/>
      <c r="C99" s="1150"/>
      <c r="D99" s="1150"/>
      <c r="E99" s="2505"/>
      <c r="F99" s="2507" t="str">
        <f>'GHG data'!E138</f>
        <v>Sports facilities</v>
      </c>
      <c r="G99" s="2511"/>
      <c r="H99" s="2415">
        <f>Main!R62</f>
        <v>0</v>
      </c>
      <c r="I99" s="1150"/>
      <c r="J99" s="2415">
        <f>'GHG data'!H138</f>
        <v>0</v>
      </c>
      <c r="K99" s="1150"/>
      <c r="L99" s="2503" t="e">
        <f>'GHG data'!S138</f>
        <v>#VALUE!</v>
      </c>
      <c r="M99" s="1150"/>
      <c r="N99" s="1150"/>
      <c r="O99" s="1150"/>
      <c r="P99" s="1150"/>
      <c r="Q99" s="2261"/>
      <c r="S99" s="2504">
        <f>'GHG data'!N138</f>
        <v>0.69</v>
      </c>
    </row>
    <row r="100" spans="2:20" s="1105" customFormat="1" ht="14.25">
      <c r="B100" s="2238"/>
      <c r="C100" s="1150"/>
      <c r="D100" s="1150"/>
      <c r="E100" s="2501" t="str">
        <f>'GHG data'!D139</f>
        <v xml:space="preserve"> Factories</v>
      </c>
      <c r="F100" s="2510"/>
      <c r="G100" s="2502"/>
      <c r="H100" s="2415">
        <f>Main!E63</f>
        <v>0</v>
      </c>
      <c r="I100" s="1150"/>
      <c r="J100" s="2415">
        <f>'GHG data'!H139</f>
        <v>0</v>
      </c>
      <c r="K100" s="1150"/>
      <c r="L100" s="2503" t="e">
        <f>'GHG data'!S139</f>
        <v>#VALUE!</v>
      </c>
      <c r="M100" s="1150"/>
      <c r="N100" s="1150"/>
      <c r="O100" s="1150"/>
      <c r="P100" s="1150"/>
      <c r="Q100" s="2261"/>
      <c r="S100" s="2504">
        <f>'GHG data'!N139</f>
        <v>1</v>
      </c>
    </row>
    <row r="101" spans="2:20" s="1105" customFormat="1" ht="14.25">
      <c r="B101" s="2238"/>
      <c r="C101" s="1150"/>
      <c r="D101" s="1150"/>
      <c r="E101" s="2501" t="str">
        <f>'GHG data'!D140</f>
        <v xml:space="preserve"> Hospitals</v>
      </c>
      <c r="F101" s="2510"/>
      <c r="G101" s="2502"/>
      <c r="H101" s="2415">
        <f>Main!R64</f>
        <v>0</v>
      </c>
      <c r="I101" s="1150"/>
      <c r="J101" s="2415">
        <f>'GHG data'!H140</f>
        <v>0</v>
      </c>
      <c r="K101" s="1150"/>
      <c r="L101" s="2503" t="e">
        <f>'GHG data'!S140</f>
        <v>#VALUE!</v>
      </c>
      <c r="M101" s="1150"/>
      <c r="N101" s="1150"/>
      <c r="O101" s="1150"/>
      <c r="P101" s="1150"/>
      <c r="Q101" s="2261"/>
      <c r="S101" s="2504">
        <f>'GHG data'!N140</f>
        <v>0.48</v>
      </c>
    </row>
    <row r="102" spans="2:20" s="1105" customFormat="1" ht="15" thickBot="1">
      <c r="B102" s="2238"/>
      <c r="C102" s="1150"/>
      <c r="D102" s="1150"/>
      <c r="E102" s="2501" t="str">
        <f>'GHG data'!D141</f>
        <v xml:space="preserve"> Hotels</v>
      </c>
      <c r="F102" s="2510"/>
      <c r="G102" s="2502"/>
      <c r="H102" s="2415">
        <f>Main!R65</f>
        <v>0</v>
      </c>
      <c r="I102" s="1150"/>
      <c r="J102" s="2512">
        <f>'GHG data'!H141</f>
        <v>0</v>
      </c>
      <c r="K102" s="1150"/>
      <c r="L102" s="2513" t="e">
        <f>'GHG data'!S141</f>
        <v>#VALUE!</v>
      </c>
      <c r="M102" s="1150"/>
      <c r="N102" s="1150"/>
      <c r="O102" s="1150"/>
      <c r="P102" s="1150"/>
      <c r="Q102" s="2261"/>
      <c r="S102" s="2504">
        <f>'GHG data'!N141</f>
        <v>0.42</v>
      </c>
    </row>
    <row r="103" spans="2:20" s="1105" customFormat="1" ht="15" thickBot="1">
      <c r="B103" s="2238"/>
      <c r="C103" s="1150"/>
      <c r="D103" s="1150"/>
      <c r="E103" s="2501" t="s">
        <v>2380</v>
      </c>
      <c r="F103" s="2510" t="s">
        <v>2381</v>
      </c>
      <c r="G103" s="2502"/>
      <c r="H103" s="2415">
        <f>SUM(H84:H102)</f>
        <v>7000</v>
      </c>
      <c r="I103" s="1150"/>
      <c r="J103" s="2514">
        <f>SUMPRODUCT(H84:H102,J84:J102)/1000</f>
        <v>10850</v>
      </c>
      <c r="K103" s="2284" t="s">
        <v>2206</v>
      </c>
      <c r="L103" s="2515" t="e">
        <f>SUMPRODUCT(H84:H102,L84:L102)/H103</f>
        <v>#VALUE!</v>
      </c>
      <c r="M103" s="1150"/>
      <c r="N103" s="1150"/>
      <c r="O103" s="1150"/>
      <c r="P103" s="1150"/>
      <c r="Q103" s="2261"/>
      <c r="S103" s="1105" t="s">
        <v>2477</v>
      </c>
      <c r="T103" s="2516">
        <f>SUMPRODUCT(H84:H102,J84:J102,S84:S102)/1000</f>
        <v>8463</v>
      </c>
    </row>
    <row r="104" spans="2:20" s="1105" customFormat="1" ht="14.25">
      <c r="B104" s="2238"/>
      <c r="C104" s="1150"/>
      <c r="D104" s="1150"/>
      <c r="E104" s="1150"/>
      <c r="F104" s="1150"/>
      <c r="G104" s="1150"/>
      <c r="H104" s="1150"/>
      <c r="I104" s="1150"/>
      <c r="J104" s="1150"/>
      <c r="K104" s="1150"/>
      <c r="L104" s="1150"/>
      <c r="M104" s="1150"/>
      <c r="N104" s="1150"/>
      <c r="O104" s="1150"/>
      <c r="P104" s="1150"/>
      <c r="Q104" s="2261"/>
    </row>
    <row r="105" spans="2:20" s="1105" customFormat="1" ht="14.25" hidden="1">
      <c r="B105" s="2238"/>
      <c r="C105" s="1150"/>
      <c r="D105" s="1150"/>
      <c r="E105" s="2517" t="s">
        <v>2478</v>
      </c>
      <c r="F105" s="2518"/>
      <c r="G105" s="2519"/>
      <c r="H105" s="2520" t="s">
        <v>2479</v>
      </c>
      <c r="I105" s="2519"/>
      <c r="J105" s="2519"/>
      <c r="K105" s="2519"/>
      <c r="L105" s="2519"/>
      <c r="M105" s="2519"/>
      <c r="N105" s="2519"/>
      <c r="O105" s="2519"/>
      <c r="P105" s="2519"/>
      <c r="Q105" s="2261"/>
    </row>
    <row r="106" spans="2:20" s="1105" customFormat="1" ht="14.25" hidden="1">
      <c r="B106" s="2521"/>
      <c r="C106" s="2204"/>
      <c r="D106" s="2204"/>
      <c r="E106" s="2517"/>
      <c r="F106" s="2517" t="s">
        <v>2480</v>
      </c>
      <c r="G106" s="2518"/>
      <c r="H106" s="2522" t="s">
        <v>2481</v>
      </c>
      <c r="I106" s="2523"/>
      <c r="J106" s="2524" t="s">
        <v>2482</v>
      </c>
      <c r="K106" s="2524" t="s">
        <v>2483</v>
      </c>
      <c r="L106" s="2524" t="s">
        <v>2484</v>
      </c>
      <c r="M106" s="2525" t="s">
        <v>2485</v>
      </c>
      <c r="N106" s="2525" t="s">
        <v>2486</v>
      </c>
      <c r="O106" s="2526"/>
      <c r="P106" s="2527"/>
      <c r="Q106" s="2292"/>
    </row>
    <row r="107" spans="2:20" s="1105" customFormat="1" ht="14.25" hidden="1">
      <c r="B107" s="2521"/>
      <c r="C107" s="2204"/>
      <c r="D107" s="2204"/>
      <c r="E107" s="2517"/>
      <c r="F107" s="2517"/>
      <c r="G107" s="2523" t="s">
        <v>2487</v>
      </c>
      <c r="H107" s="2528">
        <f>H88+H89+H90+G13</f>
        <v>0</v>
      </c>
      <c r="I107" s="2523"/>
      <c r="J107" s="2529"/>
      <c r="K107" s="2529"/>
      <c r="L107" s="2529"/>
      <c r="M107" s="2530">
        <f>'LR1'!L33</f>
        <v>3</v>
      </c>
      <c r="N107" s="2531">
        <f>IF(M107&gt;=5,$L107,IF(M107&gt;=4,$K107,$J107))</f>
        <v>0</v>
      </c>
      <c r="O107" s="2519"/>
      <c r="P107" s="2527"/>
      <c r="Q107" s="2292"/>
    </row>
    <row r="108" spans="2:20" s="1105" customFormat="1" ht="14.25" hidden="1">
      <c r="B108" s="2521"/>
      <c r="C108" s="2204"/>
      <c r="D108" s="2204"/>
      <c r="E108" s="2517"/>
      <c r="F108" s="2517"/>
      <c r="G108" s="2518" t="s">
        <v>2488</v>
      </c>
      <c r="H108" s="2532">
        <f>H103-H88-H89-H90</f>
        <v>7000</v>
      </c>
      <c r="I108" s="2523"/>
      <c r="J108" s="2529"/>
      <c r="K108" s="2529"/>
      <c r="L108" s="2529"/>
      <c r="M108" s="2530">
        <f>'LR1'!G33</f>
        <v>3</v>
      </c>
      <c r="N108" s="2531">
        <f>IF(M108&gt;=5,$L108,IF(M108&gt;=4,$K108,$J108))</f>
        <v>0</v>
      </c>
      <c r="O108" s="2533" t="s">
        <v>2489</v>
      </c>
      <c r="P108" s="2527"/>
      <c r="Q108" s="2292"/>
    </row>
    <row r="109" spans="2:20" s="1105" customFormat="1" ht="14.25" hidden="1">
      <c r="B109" s="2521"/>
      <c r="C109" s="2204"/>
      <c r="D109" s="2204"/>
      <c r="E109" s="2534"/>
      <c r="F109" s="2534"/>
      <c r="G109" s="2535"/>
      <c r="H109" s="2262"/>
      <c r="I109" s="2262"/>
      <c r="J109" s="2262"/>
      <c r="K109" s="2262"/>
      <c r="L109" s="2262"/>
      <c r="M109" s="2262"/>
      <c r="N109" s="2262"/>
      <c r="O109" s="2536"/>
      <c r="P109" s="2537"/>
      <c r="Q109" s="2292"/>
    </row>
    <row r="110" spans="2:20" s="1105" customFormat="1" ht="22.5">
      <c r="B110" s="2244"/>
      <c r="C110" s="2204"/>
      <c r="D110" s="2399" t="s">
        <v>2415</v>
      </c>
      <c r="E110" s="2242" t="s">
        <v>2505</v>
      </c>
      <c r="F110" s="2534"/>
      <c r="G110" s="1150"/>
      <c r="H110" s="2538"/>
      <c r="I110" s="1150"/>
      <c r="J110" s="2208" t="s">
        <v>2370</v>
      </c>
      <c r="K110" s="2208" t="s">
        <v>1973</v>
      </c>
      <c r="L110" s="2208" t="s">
        <v>1974</v>
      </c>
      <c r="M110" s="2556" t="s">
        <v>2497</v>
      </c>
      <c r="N110" s="2209" t="s">
        <v>2371</v>
      </c>
      <c r="O110" s="2243"/>
      <c r="P110" s="2537"/>
      <c r="Q110" s="2292"/>
    </row>
    <row r="111" spans="2:20" s="1105" customFormat="1" ht="14.25">
      <c r="B111" s="2244"/>
      <c r="C111" s="2204"/>
      <c r="D111" s="2204"/>
      <c r="E111" s="2242"/>
      <c r="F111" s="2242"/>
      <c r="G111" s="1150"/>
      <c r="H111" s="2206" t="s">
        <v>2456</v>
      </c>
      <c r="I111" s="1150"/>
      <c r="J111" s="2245">
        <v>1</v>
      </c>
      <c r="K111" s="2539">
        <v>0.97499999999999998</v>
      </c>
      <c r="L111" s="2245">
        <v>0.95</v>
      </c>
      <c r="M111" s="2247">
        <f>(Score!Q140*Score!R140+Score!Q141*Score!R141)/(Score!R140+Score!R141)</f>
        <v>3.0000000000000004</v>
      </c>
      <c r="N111" s="2540">
        <f>IF(M111&gt;=5,$L111,IF(M111&gt;=4,$K111,$J111))</f>
        <v>1</v>
      </c>
      <c r="O111" s="2243"/>
      <c r="P111" s="2537"/>
      <c r="Q111" s="2292"/>
    </row>
    <row r="112" spans="2:20" s="1105" customFormat="1" ht="14.25">
      <c r="B112" s="2244"/>
      <c r="C112" s="2204"/>
      <c r="D112" s="1150"/>
      <c r="E112" s="2396"/>
      <c r="F112" s="1150"/>
      <c r="G112" s="2541"/>
      <c r="H112" s="1150"/>
      <c r="I112" s="1150"/>
      <c r="J112" s="1150"/>
      <c r="K112" s="1150"/>
      <c r="L112" s="1150"/>
      <c r="M112" s="1150"/>
      <c r="N112" s="1150"/>
      <c r="O112" s="1150"/>
      <c r="P112" s="2492" t="s">
        <v>2206</v>
      </c>
      <c r="Q112" s="2493"/>
    </row>
    <row r="113" spans="2:19" s="1105" customFormat="1" ht="15" thickBot="1">
      <c r="B113" s="2244"/>
      <c r="C113" s="2204"/>
      <c r="D113" s="2396" t="s">
        <v>2387</v>
      </c>
      <c r="E113" s="2396"/>
      <c r="F113" s="2262"/>
      <c r="G113" s="2541"/>
      <c r="H113" s="1150"/>
      <c r="I113" s="1150"/>
      <c r="J113" s="1150"/>
      <c r="K113" s="1150"/>
      <c r="L113" s="1150"/>
      <c r="M113" s="1150"/>
      <c r="N113" s="1150" t="s">
        <v>2509</v>
      </c>
      <c r="O113" s="1150"/>
      <c r="P113" s="2272" t="s">
        <v>2385</v>
      </c>
      <c r="Q113" s="2236"/>
    </row>
    <row r="114" spans="2:19" s="1105" customFormat="1" ht="15" thickBot="1">
      <c r="B114" s="2244"/>
      <c r="C114" s="2204"/>
      <c r="D114" s="1150"/>
      <c r="E114" s="2296" t="s">
        <v>2388</v>
      </c>
      <c r="F114" s="2262"/>
      <c r="G114" s="2262"/>
      <c r="H114" s="2262"/>
      <c r="I114" s="2262"/>
      <c r="J114" s="2262"/>
      <c r="K114" s="1150" t="s">
        <v>2509</v>
      </c>
      <c r="L114" s="2272" t="s">
        <v>2385</v>
      </c>
      <c r="M114" s="2272"/>
      <c r="N114" s="2497">
        <f>K115+H116*K116/1000</f>
        <v>0</v>
      </c>
      <c r="O114" s="1150"/>
      <c r="P114" s="2497">
        <f>L115+H116*L116/1000</f>
        <v>0</v>
      </c>
      <c r="Q114" s="2498"/>
      <c r="S114" s="2504"/>
    </row>
    <row r="115" spans="2:19" s="1105" customFormat="1" ht="14.25">
      <c r="B115" s="2244"/>
      <c r="C115" s="2204"/>
      <c r="D115" s="1150"/>
      <c r="E115" s="2262"/>
      <c r="F115" s="2206"/>
      <c r="G115" s="2558" t="s">
        <v>2458</v>
      </c>
      <c r="H115" s="2299">
        <f>Main!E67-H116</f>
        <v>0</v>
      </c>
      <c r="I115" s="6" t="s">
        <v>1071</v>
      </c>
      <c r="J115" s="2262"/>
      <c r="K115" s="2542">
        <f>(K63+M63)/1000</f>
        <v>0</v>
      </c>
      <c r="L115" s="2543">
        <f>(K62+M62)/1000</f>
        <v>0</v>
      </c>
      <c r="M115" s="2450" t="s">
        <v>2205</v>
      </c>
      <c r="N115" s="2301"/>
      <c r="O115" s="1150"/>
      <c r="P115" s="2301"/>
      <c r="Q115" s="2498"/>
      <c r="S115" s="2504" t="s">
        <v>3409</v>
      </c>
    </row>
    <row r="116" spans="2:19" s="1105" customFormat="1" ht="14.25">
      <c r="B116" s="2244"/>
      <c r="C116" s="2204"/>
      <c r="D116" s="1150"/>
      <c r="E116" s="2262"/>
      <c r="F116" s="1150"/>
      <c r="G116" s="2558" t="s">
        <v>2459</v>
      </c>
      <c r="H116" s="2299">
        <f>IF(H31=S30,0,H32)</f>
        <v>0</v>
      </c>
      <c r="I116" s="6" t="s">
        <v>1071</v>
      </c>
      <c r="J116" s="2262"/>
      <c r="K116" s="2543">
        <f>'GHG data'!I177</f>
        <v>1214.0489673550967</v>
      </c>
      <c r="L116" s="2543">
        <f>'GHG data'!I178</f>
        <v>883.52764823451037</v>
      </c>
      <c r="M116" s="2544" t="s">
        <v>2472</v>
      </c>
      <c r="N116" s="1150"/>
      <c r="O116" s="2243"/>
      <c r="P116" s="2235"/>
      <c r="Q116" s="2236"/>
    </row>
    <row r="117" spans="2:19" s="1105" customFormat="1" ht="15" thickBot="1">
      <c r="B117" s="2244"/>
      <c r="C117" s="2204"/>
      <c r="D117" s="1150"/>
      <c r="E117" s="2262" t="s">
        <v>2326</v>
      </c>
      <c r="F117" s="1150"/>
      <c r="G117" s="2206" t="s">
        <v>2490</v>
      </c>
      <c r="H117" s="2545" t="str">
        <f>IFERROR((H115*H20+H116*IF(H31=S30,0,M31))/SUM(H115:H116),"-")</f>
        <v>-</v>
      </c>
      <c r="I117" s="2284"/>
      <c r="J117" s="1150"/>
      <c r="K117" s="1150"/>
      <c r="L117" s="1150"/>
      <c r="M117" s="2544"/>
      <c r="N117" s="1150"/>
      <c r="O117" s="2243"/>
      <c r="P117" s="2235"/>
      <c r="Q117" s="2236"/>
    </row>
    <row r="118" spans="2:19" s="1105" customFormat="1" ht="15" thickBot="1">
      <c r="B118" s="2244"/>
      <c r="C118" s="2204"/>
      <c r="D118" s="1150"/>
      <c r="E118" s="2262"/>
      <c r="F118" s="1150"/>
      <c r="G118" s="2262"/>
      <c r="H118" s="2299">
        <f>Main!E68</f>
        <v>0</v>
      </c>
      <c r="I118" s="6" t="s">
        <v>1071</v>
      </c>
      <c r="J118" s="2262"/>
      <c r="K118" s="2543" t="e">
        <f>L118*H117</f>
        <v>#VALUE!</v>
      </c>
      <c r="L118" s="2543">
        <f>IF(F58=K57,L57,L58)</f>
        <v>801</v>
      </c>
      <c r="M118" s="2544" t="s">
        <v>2472</v>
      </c>
      <c r="N118" s="2497">
        <f>IF(AND(H118&gt;0,F58=""),S118,IFERROR(H118*K118/1000,0))</f>
        <v>0</v>
      </c>
      <c r="O118" s="2243"/>
      <c r="P118" s="2497">
        <f>H118*L118/1000</f>
        <v>0</v>
      </c>
      <c r="Q118" s="2498"/>
      <c r="S118" s="2504" t="s">
        <v>3410</v>
      </c>
    </row>
    <row r="119" spans="2:19" s="1105" customFormat="1" ht="14.25">
      <c r="B119" s="2244"/>
      <c r="C119" s="2204"/>
      <c r="D119" s="1150"/>
      <c r="E119" s="2262"/>
      <c r="F119" s="1150"/>
      <c r="G119" s="2262"/>
      <c r="H119" s="1150"/>
      <c r="I119" s="1150"/>
      <c r="J119" s="2262"/>
      <c r="K119" s="2546"/>
      <c r="L119" s="2273"/>
      <c r="M119" s="1150"/>
      <c r="N119" s="2301"/>
      <c r="O119" s="2243"/>
      <c r="P119" s="2301"/>
      <c r="Q119" s="2498"/>
      <c r="S119" s="2504"/>
    </row>
    <row r="120" spans="2:19" s="1105" customFormat="1" ht="15" thickBot="1">
      <c r="B120" s="2244"/>
      <c r="C120" s="2204" t="s">
        <v>2507</v>
      </c>
      <c r="D120" s="1150"/>
      <c r="E120" s="2262"/>
      <c r="F120" s="2296"/>
      <c r="G120" s="2547"/>
      <c r="H120" s="2296"/>
      <c r="I120" s="2296"/>
      <c r="J120" s="2547"/>
      <c r="K120" s="2546"/>
      <c r="L120" s="2273"/>
      <c r="M120" s="1150"/>
      <c r="N120" s="2301"/>
      <c r="O120" s="2243"/>
      <c r="P120" s="2301"/>
      <c r="Q120" s="2498"/>
      <c r="S120" s="2504"/>
    </row>
    <row r="121" spans="2:19" s="1105" customFormat="1" ht="15" thickBot="1">
      <c r="B121" s="2244"/>
      <c r="C121" s="2204"/>
      <c r="D121" s="5" t="s">
        <v>2384</v>
      </c>
      <c r="E121" s="2262"/>
      <c r="F121" s="2297"/>
      <c r="G121" s="2494" t="s">
        <v>714</v>
      </c>
      <c r="H121" s="2548">
        <f>IF(G21="",S79,G21)</f>
        <v>0.25</v>
      </c>
      <c r="I121" s="2296"/>
      <c r="J121" s="2297"/>
      <c r="K121" s="2549"/>
      <c r="L121" s="2273"/>
      <c r="M121" s="1150"/>
      <c r="N121" s="2497">
        <f>$J$103*H121*$N$111</f>
        <v>2712.5</v>
      </c>
      <c r="O121" s="2243"/>
      <c r="P121" s="2301"/>
      <c r="Q121" s="2498"/>
      <c r="S121" s="2504" t="s">
        <v>2491</v>
      </c>
    </row>
    <row r="122" spans="2:19" s="1105" customFormat="1" ht="5.45" customHeight="1" thickBot="1">
      <c r="B122" s="2244"/>
      <c r="C122" s="2204"/>
      <c r="D122" s="2262"/>
      <c r="E122" s="2262"/>
      <c r="F122" s="2297"/>
      <c r="G122" s="2297"/>
      <c r="H122" s="2297"/>
      <c r="I122" s="2297"/>
      <c r="J122" s="2297"/>
      <c r="K122" s="2549"/>
      <c r="L122" s="2273"/>
      <c r="M122" s="1150"/>
      <c r="N122" s="2301"/>
      <c r="O122" s="2243"/>
      <c r="P122" s="2301"/>
      <c r="Q122" s="2498"/>
      <c r="S122" s="2504"/>
    </row>
    <row r="123" spans="2:19" s="1105" customFormat="1" ht="15" thickBot="1">
      <c r="B123" s="2244"/>
      <c r="C123" s="2204"/>
      <c r="D123" s="2396" t="s">
        <v>2387</v>
      </c>
      <c r="E123" s="2262"/>
      <c r="F123" s="2494" t="s">
        <v>2009</v>
      </c>
      <c r="G123" s="2297"/>
      <c r="H123" s="2297"/>
      <c r="I123" s="2550"/>
      <c r="J123" s="2494" t="s">
        <v>2386</v>
      </c>
      <c r="K123" s="2548">
        <f>(K64+K66+K67)/1000</f>
        <v>0</v>
      </c>
      <c r="L123" s="2450" t="s">
        <v>2205</v>
      </c>
      <c r="M123" s="1150"/>
      <c r="N123" s="2497">
        <f>N114-K123</f>
        <v>0</v>
      </c>
      <c r="O123" s="2243"/>
      <c r="P123" s="2301"/>
      <c r="Q123" s="2498"/>
      <c r="S123" s="2504" t="s">
        <v>2492</v>
      </c>
    </row>
    <row r="124" spans="2:19" s="1105" customFormat="1" ht="15" thickBot="1">
      <c r="B124" s="2244"/>
      <c r="C124" s="2204"/>
      <c r="D124" s="2396"/>
      <c r="E124" s="2262"/>
      <c r="F124" s="2206" t="s">
        <v>2326</v>
      </c>
      <c r="G124" s="2494" t="s">
        <v>714</v>
      </c>
      <c r="H124" s="2545" t="str">
        <f>IFERROR((H115*H21+H116*IF(H31=S30,0,M31))/SUM(H115:H116),"-")</f>
        <v>-</v>
      </c>
      <c r="I124" s="2284"/>
      <c r="J124" s="2494"/>
      <c r="K124" s="2494"/>
      <c r="L124" s="2494"/>
      <c r="M124" s="1150"/>
      <c r="N124" s="1150"/>
      <c r="O124" s="1150"/>
      <c r="P124" s="2301"/>
      <c r="Q124" s="2498"/>
      <c r="S124" s="2504"/>
    </row>
    <row r="125" spans="2:19" s="1105" customFormat="1" ht="15" thickBot="1">
      <c r="B125" s="2244"/>
      <c r="C125" s="2204"/>
      <c r="D125" s="1150"/>
      <c r="E125" s="2262"/>
      <c r="F125" s="2262"/>
      <c r="G125" s="2262"/>
      <c r="H125" s="2299">
        <f>H118</f>
        <v>0</v>
      </c>
      <c r="I125" s="6" t="s">
        <v>1071</v>
      </c>
      <c r="J125" s="2262"/>
      <c r="K125" s="2548" t="e">
        <f>L125*H124</f>
        <v>#VALUE!</v>
      </c>
      <c r="L125" s="2543">
        <f>L118</f>
        <v>801</v>
      </c>
      <c r="M125" s="2544" t="s">
        <v>2472</v>
      </c>
      <c r="N125" s="2497">
        <f>IF(AND(H125&gt;0,F58=""),S118,IFERROR(H125*K125/1000,0))</f>
        <v>0</v>
      </c>
      <c r="O125" s="2551"/>
      <c r="P125" s="2551"/>
      <c r="Q125" s="2498"/>
      <c r="S125" s="2504" t="s">
        <v>2493</v>
      </c>
    </row>
    <row r="126" spans="2:19" s="1105" customFormat="1" ht="14.25">
      <c r="B126" s="2244"/>
      <c r="C126" s="2204"/>
      <c r="D126" s="1150"/>
      <c r="E126" s="2262"/>
      <c r="F126" s="2296"/>
      <c r="G126" s="2494"/>
      <c r="H126" s="2552"/>
      <c r="I126" s="2550"/>
      <c r="J126" s="2297"/>
      <c r="K126" s="2549"/>
      <c r="L126" s="2273"/>
      <c r="M126" s="1150"/>
      <c r="N126" s="2301"/>
      <c r="O126" s="2243"/>
      <c r="P126" s="2301"/>
      <c r="Q126" s="2498"/>
      <c r="S126" s="2504"/>
    </row>
    <row r="127" spans="2:19" s="1105" customFormat="1" ht="15" thickBot="1">
      <c r="B127" s="2244"/>
      <c r="C127" s="2204" t="s">
        <v>2506</v>
      </c>
      <c r="D127" s="1150"/>
      <c r="E127" s="2262"/>
      <c r="F127" s="2296"/>
      <c r="G127" s="2547"/>
      <c r="H127" s="2296"/>
      <c r="I127" s="2296"/>
      <c r="J127" s="2547"/>
      <c r="K127" s="2549"/>
      <c r="L127" s="2273"/>
      <c r="M127" s="1150"/>
      <c r="N127" s="2301"/>
      <c r="O127" s="2243"/>
      <c r="P127" s="2301"/>
      <c r="Q127" s="2498"/>
      <c r="S127" s="2504"/>
    </row>
    <row r="128" spans="2:19" s="1105" customFormat="1" ht="15" thickBot="1">
      <c r="B128" s="2244"/>
      <c r="C128" s="2204"/>
      <c r="D128" s="5" t="s">
        <v>2384</v>
      </c>
      <c r="E128" s="2262"/>
      <c r="F128" s="2297"/>
      <c r="G128" s="2494" t="s">
        <v>1377</v>
      </c>
      <c r="H128" s="2548">
        <f>IF(H25=S24,G22,G21)</f>
        <v>0.25</v>
      </c>
      <c r="I128" s="2296"/>
      <c r="J128" s="2297"/>
      <c r="K128" s="2549"/>
      <c r="L128" s="2273"/>
      <c r="M128" s="1150"/>
      <c r="N128" s="2497">
        <f>$J$103*H128*$N$111</f>
        <v>2712.5</v>
      </c>
      <c r="O128" s="2243"/>
      <c r="P128" s="2301"/>
      <c r="Q128" s="2498"/>
      <c r="S128" s="2504"/>
    </row>
    <row r="129" spans="2:17" s="1105" customFormat="1" ht="15" thickBot="1">
      <c r="B129" s="2312"/>
      <c r="C129" s="2317"/>
      <c r="D129" s="2317"/>
      <c r="E129" s="2317"/>
      <c r="F129" s="2317"/>
      <c r="G129" s="2317"/>
      <c r="H129" s="2317"/>
      <c r="I129" s="2317"/>
      <c r="J129" s="2317"/>
      <c r="K129" s="2317"/>
      <c r="L129" s="2317"/>
      <c r="M129" s="2317"/>
      <c r="N129" s="2317"/>
      <c r="O129" s="2317"/>
      <c r="P129" s="2317"/>
      <c r="Q129" s="2486"/>
    </row>
    <row r="130" spans="2:17" s="1105" customFormat="1" ht="14.25">
      <c r="H130" s="2516"/>
    </row>
    <row r="131" spans="2:17" s="1105" customFormat="1" ht="14.25"/>
    <row r="132" spans="2:17" s="1105" customFormat="1" ht="14.25"/>
    <row r="133" spans="2:17" s="1105" customFormat="1" ht="14.25"/>
    <row r="134" spans="2:17" s="1105" customFormat="1" ht="14.25"/>
    <row r="135" spans="2:17" s="1105" customFormat="1" ht="14.25"/>
    <row r="136" spans="2:17" s="1105" customFormat="1" ht="14.25"/>
    <row r="137" spans="2:17"/>
  </sheetData>
  <sheetProtection algorithmName="SHA-512" hashValue="EDpzR2JcuRW5+Egp/rCUf3K5vfjuUcqbzOuo5fiCO/0y6i1+BJS/DJyXhqjlDniNVvQ3oaWRBlAK4giN0WivgA==" saltValue="C+AvK5HEm8zSKOKjDY37mA==" spinCount="100000" sheet="1" objects="1" scenarios="1"/>
  <mergeCells count="9">
    <mergeCell ref="F9:G9"/>
    <mergeCell ref="F74:P74"/>
    <mergeCell ref="F10:P10"/>
    <mergeCell ref="H31:K31"/>
    <mergeCell ref="G34:P34"/>
    <mergeCell ref="G27:P27"/>
    <mergeCell ref="J23:Q23"/>
    <mergeCell ref="J29:P29"/>
    <mergeCell ref="J25:P25"/>
  </mergeCells>
  <phoneticPr fontId="26"/>
  <conditionalFormatting sqref="G22">
    <cfRule type="expression" dxfId="38" priority="6">
      <formula>$H$25&lt;&gt;$S$24</formula>
    </cfRule>
  </conditionalFormatting>
  <conditionalFormatting sqref="H6">
    <cfRule type="expression" dxfId="37" priority="607">
      <formula>$G$12=0</formula>
    </cfRule>
  </conditionalFormatting>
  <conditionalFormatting sqref="H9">
    <cfRule type="expression" dxfId="36" priority="608">
      <formula>$G$13=0</formula>
    </cfRule>
  </conditionalFormatting>
  <conditionalFormatting sqref="H32">
    <cfRule type="expression" dxfId="35" priority="615">
      <formula>$H$31=$S$30</formula>
    </cfRule>
  </conditionalFormatting>
  <conditionalFormatting sqref="H26:K26">
    <cfRule type="expression" dxfId="34" priority="7">
      <formula>$H$25=$S$25</formula>
    </cfRule>
  </conditionalFormatting>
  <conditionalFormatting sqref="H30:K30">
    <cfRule type="expression" dxfId="33" priority="614">
      <formula>$H$29=$S$20</formula>
    </cfRule>
  </conditionalFormatting>
  <conditionalFormatting sqref="K64 K65:M65 K66 K67:L68">
    <cfRule type="expression" dxfId="32" priority="3">
      <formula>$J$15=$T$16</formula>
    </cfRule>
  </conditionalFormatting>
  <conditionalFormatting sqref="K61:M63">
    <cfRule type="expression" dxfId="31" priority="1">
      <formula>$J$15=$T$16</formula>
    </cfRule>
  </conditionalFormatting>
  <dataValidations count="7">
    <dataValidation type="list" allowBlank="1" showInputMessage="1" showErrorMessage="1" sqref="F52" xr:uid="{00000000-0002-0000-0D00-000000000000}">
      <formula1>$S$52:$S$55</formula1>
    </dataValidation>
    <dataValidation type="list" allowBlank="1" showInputMessage="1" showErrorMessage="1" sqref="L52" xr:uid="{00000000-0002-0000-0D00-000001000000}">
      <formula1>$T$52:$T$54</formula1>
    </dataValidation>
    <dataValidation type="list" allowBlank="1" showInputMessage="1" showErrorMessage="1" sqref="H9" xr:uid="{00000000-0002-0000-0D00-000003000000}">
      <formula1>$T$6:$T$11</formula1>
    </dataValidation>
    <dataValidation type="list" allowBlank="1" showInputMessage="1" showErrorMessage="1" sqref="H25 H29" xr:uid="{E8D59DE4-C2D4-4EE9-BA6B-889E66626735}">
      <formula1>$S$24:$S$25</formula1>
    </dataValidation>
    <dataValidation type="list" allowBlank="1" showInputMessage="1" showErrorMessage="1" sqref="H31:K31" xr:uid="{DA713F45-1BBF-4849-8F9B-52D2377B6D06}">
      <formula1>$S$30:$S$33</formula1>
    </dataValidation>
    <dataValidation allowBlank="1" showInputMessage="1" sqref="E60:E61" xr:uid="{2CBF0CE1-2251-417D-B690-458E78CFED37}"/>
    <dataValidation type="list" allowBlank="1" showInputMessage="1" showErrorMessage="1" sqref="F58" xr:uid="{B94097BB-8D5E-424C-A2AE-35BB005ABA8F}">
      <formula1>$K$57:$K$58</formula1>
    </dataValidation>
  </dataValidations>
  <pageMargins left="0.78740157480314965" right="0.78740157480314965" top="0.98425196850393704" bottom="0.98425196850393704" header="0.51181102362204722" footer="0.51181102362204722"/>
  <pageSetup paperSize="9" scale="75" fitToHeight="0" orientation="portrait" r:id="rId1"/>
  <headerFooter alignWithMargins="0">
    <oddHeader>&amp;L&amp;F&amp;R&amp;A</oddHeader>
    <oddFooter>&amp;C&amp;P/&amp;N</oddFooter>
  </headerFooter>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2">
    <pageSetUpPr autoPageBreaks="0" fitToPage="1"/>
  </sheetPr>
  <dimension ref="A1:V440"/>
  <sheetViews>
    <sheetView showGridLines="0" zoomScaleNormal="100" workbookViewId="0">
      <selection activeCell="F14" sqref="F14"/>
    </sheetView>
  </sheetViews>
  <sheetFormatPr defaultColWidth="0" defaultRowHeight="14.25" zeroHeight="1"/>
  <cols>
    <col min="1" max="1" width="2.5" style="1105" customWidth="1"/>
    <col min="2" max="2" width="27.875" style="1105" hidden="1" customWidth="1"/>
    <col min="3" max="3" width="13.75" style="1105" hidden="1" customWidth="1"/>
    <col min="4" max="4" width="5" style="1105" customWidth="1"/>
    <col min="5" max="5" width="1.5" style="1105" customWidth="1"/>
    <col min="6" max="15" width="10.625" style="1105" customWidth="1"/>
    <col min="16" max="16" width="2.25" style="1105" customWidth="1"/>
    <col min="17" max="18" width="13.875" style="1105" hidden="1" customWidth="1"/>
    <col min="19" max="19" width="6.75" style="1105" hidden="1" customWidth="1"/>
    <col min="20" max="20" width="10.25" style="1105" hidden="1" customWidth="1"/>
    <col min="21" max="21" width="13" style="1105" hidden="1" customWidth="1"/>
    <col min="22" max="22" width="11" style="1105" hidden="1" customWidth="1"/>
    <col min="23" max="16384" width="9" style="1105" hidden="1"/>
  </cols>
  <sheetData>
    <row r="1" spans="2:15" ht="15.75">
      <c r="D1" s="393"/>
      <c r="E1" s="1529"/>
      <c r="F1" s="1529"/>
      <c r="G1" s="1529"/>
      <c r="H1" s="1529"/>
      <c r="I1" s="1529"/>
      <c r="J1" s="1529"/>
      <c r="K1" s="1529"/>
      <c r="M1" s="1516" t="s">
        <v>1517</v>
      </c>
      <c r="N1" s="2564" t="str">
        <f>Main!C11</f>
        <v>XXX Building</v>
      </c>
      <c r="O1" s="2564"/>
    </row>
    <row r="2" spans="2:15" ht="15.75" hidden="1">
      <c r="D2" s="393"/>
      <c r="E2" s="1529"/>
      <c r="F2" s="1105">
        <v>1</v>
      </c>
      <c r="G2" s="1105" t="s">
        <v>4133</v>
      </c>
      <c r="H2" s="1105" t="s">
        <v>4134</v>
      </c>
      <c r="I2" s="1529"/>
      <c r="J2" s="1529"/>
      <c r="K2" s="1529"/>
      <c r="L2" s="3307"/>
      <c r="M2" s="1959"/>
      <c r="N2" s="1959"/>
      <c r="O2" s="1529"/>
    </row>
    <row r="3" spans="2:15" ht="15.75" hidden="1">
      <c r="D3" s="393"/>
      <c r="E3" s="1529"/>
      <c r="F3" s="1105">
        <v>2</v>
      </c>
      <c r="G3" s="1105" t="s">
        <v>4135</v>
      </c>
      <c r="H3" s="1105" t="s">
        <v>4136</v>
      </c>
      <c r="I3" s="1529"/>
      <c r="J3" s="1529"/>
      <c r="K3" s="1105" t="s">
        <v>4132</v>
      </c>
      <c r="L3" s="1105" t="s">
        <v>2829</v>
      </c>
      <c r="M3" s="1105" t="s">
        <v>2418</v>
      </c>
      <c r="N3" s="1105" t="s">
        <v>2832</v>
      </c>
      <c r="O3" s="1105" t="str">
        <f>Main!I37</f>
        <v>Preliminary design stage</v>
      </c>
    </row>
    <row r="4" spans="2:15" ht="15.75" hidden="1">
      <c r="D4" s="393"/>
      <c r="E4" s="1529"/>
      <c r="F4" s="1105">
        <v>3</v>
      </c>
      <c r="G4" s="1105" t="s">
        <v>4137</v>
      </c>
      <c r="H4" s="1105" t="s">
        <v>4138</v>
      </c>
      <c r="I4" s="1529"/>
      <c r="J4" s="1529"/>
      <c r="K4" s="1529"/>
      <c r="N4" s="1105" t="s">
        <v>2833</v>
      </c>
      <c r="O4" s="1105" t="str">
        <f>Main!I38</f>
        <v>Execution design stage</v>
      </c>
    </row>
    <row r="5" spans="2:15" ht="15.75" hidden="1">
      <c r="D5" s="393"/>
      <c r="E5" s="1529"/>
      <c r="F5" s="1105">
        <v>4</v>
      </c>
      <c r="G5" s="1105" t="s">
        <v>4139</v>
      </c>
      <c r="H5" s="1105" t="s">
        <v>4140</v>
      </c>
      <c r="I5" s="1529"/>
      <c r="J5" s="1529"/>
      <c r="K5" s="1529"/>
      <c r="O5" s="1105" t="str">
        <f>Main!I39</f>
        <v>Construction completion stage</v>
      </c>
    </row>
    <row r="6" spans="2:15" ht="15.75" hidden="1">
      <c r="D6" s="393"/>
      <c r="E6" s="1529"/>
      <c r="F6" s="1105">
        <v>5</v>
      </c>
      <c r="G6" s="1105" t="s">
        <v>4141</v>
      </c>
      <c r="H6" s="1105" t="s">
        <v>4142</v>
      </c>
      <c r="I6" s="1529"/>
      <c r="J6" s="1529"/>
      <c r="K6" s="1529"/>
      <c r="M6" s="1105" t="s">
        <v>2418</v>
      </c>
    </row>
    <row r="7" spans="2:15" ht="15.75" hidden="1">
      <c r="D7" s="393"/>
      <c r="E7" s="1529"/>
      <c r="F7" s="1105">
        <v>0</v>
      </c>
      <c r="G7" s="1105" t="s">
        <v>4143</v>
      </c>
      <c r="H7" s="1105" t="s">
        <v>4143</v>
      </c>
      <c r="I7" s="1529"/>
      <c r="J7" s="1529"/>
      <c r="K7" s="1529"/>
      <c r="M7" s="1105" t="s">
        <v>2831</v>
      </c>
    </row>
    <row r="8" spans="2:15" ht="16.5" thickBot="1">
      <c r="D8" s="393"/>
      <c r="E8" s="1529"/>
      <c r="F8" s="1529"/>
      <c r="G8" s="1529"/>
      <c r="H8" s="1529"/>
      <c r="I8" s="1529"/>
      <c r="J8" s="1529"/>
      <c r="K8" s="1529"/>
      <c r="L8" s="2561"/>
      <c r="M8" s="1529"/>
      <c r="N8" s="1529"/>
      <c r="O8" s="1529"/>
    </row>
    <row r="9" spans="2:15" ht="18.75" thickBot="1">
      <c r="D9" s="409" t="s">
        <v>4193</v>
      </c>
      <c r="E9" s="119"/>
      <c r="F9" s="119"/>
      <c r="G9" s="119"/>
      <c r="H9" s="1529"/>
      <c r="I9" s="2686"/>
      <c r="J9" s="53" t="s">
        <v>2520</v>
      </c>
      <c r="K9" s="28"/>
      <c r="L9" s="28"/>
      <c r="M9" s="119"/>
      <c r="N9" s="119"/>
      <c r="O9" s="2567" t="str">
        <f>IF(Main!E39=0,"",Main!E39)</f>
        <v>Execution design stage</v>
      </c>
    </row>
    <row r="10" spans="2:15" ht="15.75">
      <c r="D10" s="395"/>
      <c r="E10" s="119"/>
      <c r="F10" s="119"/>
      <c r="G10" s="119"/>
      <c r="H10" s="119"/>
      <c r="I10" s="119"/>
      <c r="J10" s="2568"/>
      <c r="K10" s="119"/>
      <c r="L10" s="119"/>
      <c r="M10" s="119"/>
      <c r="N10" s="119"/>
      <c r="O10" s="2569" t="s">
        <v>3044</v>
      </c>
    </row>
    <row r="11" spans="2:15" ht="13.5" customHeight="1">
      <c r="D11" s="393">
        <v>1</v>
      </c>
      <c r="E11" s="13" t="s">
        <v>3794</v>
      </c>
      <c r="F11" s="13"/>
      <c r="G11" s="13"/>
      <c r="H11" s="9"/>
      <c r="I11" s="9"/>
      <c r="J11" s="9"/>
      <c r="K11" s="9"/>
      <c r="L11" s="2852"/>
      <c r="M11" s="9"/>
      <c r="N11" s="9"/>
      <c r="O11" s="9"/>
    </row>
    <row r="12" spans="2:15" ht="13.5" customHeight="1">
      <c r="D12" s="393">
        <v>1.1000000000000001</v>
      </c>
      <c r="E12" s="13" t="s">
        <v>3795</v>
      </c>
      <c r="F12" s="18"/>
      <c r="G12" s="13"/>
      <c r="H12" s="9"/>
      <c r="I12" s="9"/>
      <c r="J12" s="1105" t="str">
        <f>IF(OR(F14=0,J13=0),$L$3,"")</f>
        <v/>
      </c>
      <c r="K12" s="9"/>
      <c r="L12" s="2852"/>
      <c r="M12" s="9"/>
      <c r="N12" s="9"/>
      <c r="O12" s="9"/>
    </row>
    <row r="13" spans="2:15" ht="13.5" customHeight="1" thickBot="1">
      <c r="D13" s="3284"/>
      <c r="E13" s="3284"/>
      <c r="F13" s="3220"/>
      <c r="G13" s="2688"/>
      <c r="H13" s="2689"/>
      <c r="I13" s="2690" t="s">
        <v>2629</v>
      </c>
      <c r="J13" s="3221">
        <f>Weight!M149</f>
        <v>0.4</v>
      </c>
      <c r="K13" s="2764"/>
      <c r="L13" s="2766"/>
      <c r="N13" s="9"/>
      <c r="O13" s="9"/>
    </row>
    <row r="14" spans="2:15" ht="27" customHeight="1" thickBot="1">
      <c r="D14" s="395"/>
      <c r="E14" s="395"/>
      <c r="F14" s="2693">
        <v>3</v>
      </c>
      <c r="G14" s="2753" t="s">
        <v>2619</v>
      </c>
      <c r="H14" s="2697"/>
      <c r="I14" s="2697"/>
      <c r="J14" s="2697"/>
      <c r="K14" s="2697"/>
      <c r="L14" s="3308"/>
      <c r="M14" s="9"/>
      <c r="N14" s="9"/>
      <c r="O14" s="9"/>
    </row>
    <row r="15" spans="2:15" ht="21" customHeight="1">
      <c r="B15" s="2014">
        <v>1</v>
      </c>
      <c r="D15" s="395"/>
      <c r="E15" s="395"/>
      <c r="F15" s="2699" t="str">
        <f>IF(F14=$F$7,$G$2,IF(ROUNDDOWN(F14,0)=$F$2,$H$2,$G$2))</f>
        <v>　Level 1</v>
      </c>
      <c r="G15" s="2755" t="s">
        <v>3796</v>
      </c>
      <c r="H15" s="2700"/>
      <c r="I15" s="2700"/>
      <c r="J15" s="2700"/>
      <c r="K15" s="2700"/>
      <c r="L15" s="3309"/>
      <c r="M15" s="9"/>
      <c r="N15" s="9"/>
      <c r="O15" s="9"/>
    </row>
    <row r="16" spans="2:15" ht="21" customHeight="1">
      <c r="B16" s="2014" t="s">
        <v>49</v>
      </c>
      <c r="D16" s="395"/>
      <c r="E16" s="395"/>
      <c r="F16" s="2702" t="str">
        <f>IF(F14=$F$7,$G$3,IF(ROUNDDOWN(F14,0)=$F$3,$H$3,$G$3))</f>
        <v>　Level 2</v>
      </c>
      <c r="G16" s="1170" t="s">
        <v>2528</v>
      </c>
      <c r="H16" s="2333"/>
      <c r="I16" s="2333"/>
      <c r="J16" s="2333"/>
      <c r="K16" s="2333"/>
      <c r="L16" s="3310"/>
      <c r="M16" s="9"/>
      <c r="N16" s="9"/>
      <c r="O16" s="9"/>
    </row>
    <row r="17" spans="2:17" ht="21" customHeight="1">
      <c r="B17" s="2014">
        <v>3</v>
      </c>
      <c r="D17" s="395"/>
      <c r="E17" s="395"/>
      <c r="F17" s="2702" t="str">
        <f>IF(F14=$F$7,$G$4,IF(ROUNDDOWN(F14,0)=$F$4,$H$4,$G$4))</f>
        <v>■Level 3</v>
      </c>
      <c r="G17" s="1170" t="s">
        <v>3797</v>
      </c>
      <c r="H17" s="2333"/>
      <c r="I17" s="2333"/>
      <c r="J17" s="2333"/>
      <c r="K17" s="2333"/>
      <c r="L17" s="3311"/>
      <c r="M17" s="9"/>
      <c r="N17" s="9"/>
      <c r="O17" s="9"/>
    </row>
    <row r="18" spans="2:17" ht="21" customHeight="1">
      <c r="B18" s="2014">
        <v>4</v>
      </c>
      <c r="D18" s="395"/>
      <c r="E18" s="395"/>
      <c r="F18" s="2702" t="str">
        <f>IF(F14=$F$7,$G$5,IF(ROUNDDOWN(F14,0)=$F$5,$H$5,$G$5))</f>
        <v>　Level 4</v>
      </c>
      <c r="G18" s="3808" t="s">
        <v>3798</v>
      </c>
      <c r="H18" s="3809"/>
      <c r="I18" s="3809"/>
      <c r="J18" s="3809"/>
      <c r="K18" s="3809"/>
      <c r="L18" s="3810"/>
      <c r="M18" s="9"/>
      <c r="N18" s="9"/>
      <c r="O18" s="9"/>
    </row>
    <row r="19" spans="2:17" ht="21" customHeight="1">
      <c r="B19" s="2014" t="s">
        <v>49</v>
      </c>
      <c r="D19" s="395"/>
      <c r="E19" s="395"/>
      <c r="F19" s="2704" t="str">
        <f>IF(F14=$F$7,$G$6,IF(ROUNDDOWN(F14,0)=$F$6,$H$6,$G$6))</f>
        <v>　Level 5</v>
      </c>
      <c r="G19" s="1170" t="s">
        <v>2528</v>
      </c>
      <c r="H19" s="2705"/>
      <c r="I19" s="2705"/>
      <c r="J19" s="2705"/>
      <c r="K19" s="2705"/>
      <c r="L19" s="3312"/>
      <c r="M19" s="9"/>
      <c r="N19" s="9"/>
      <c r="O19" s="9"/>
    </row>
    <row r="20" spans="2:17" ht="14.25" customHeight="1">
      <c r="B20" s="2850">
        <v>0</v>
      </c>
      <c r="D20" s="395"/>
      <c r="E20" s="395"/>
      <c r="F20" s="2067" t="s">
        <v>3045</v>
      </c>
      <c r="G20" s="2708"/>
      <c r="H20" s="2759"/>
      <c r="I20" s="2709"/>
      <c r="J20" s="2710"/>
      <c r="K20" s="2779" t="s">
        <v>3460</v>
      </c>
      <c r="N20" s="1529"/>
      <c r="O20" s="1529"/>
    </row>
    <row r="21" spans="2:17" ht="14.25" customHeight="1"/>
    <row r="22" spans="2:17" ht="14.25" customHeight="1">
      <c r="D22" s="393">
        <v>1.2</v>
      </c>
      <c r="E22" s="13" t="s">
        <v>4051</v>
      </c>
      <c r="F22" s="13"/>
      <c r="G22" s="9"/>
      <c r="H22" s="2851"/>
      <c r="I22" s="9"/>
      <c r="J22" s="9"/>
      <c r="K22" s="9"/>
      <c r="L22" s="9"/>
      <c r="M22" s="9"/>
      <c r="N22" s="9"/>
      <c r="O22" s="9"/>
    </row>
    <row r="23" spans="2:17" ht="14.25" customHeight="1">
      <c r="D23" s="393"/>
      <c r="E23" s="13"/>
      <c r="F23" s="400" t="s">
        <v>3801</v>
      </c>
      <c r="G23" s="9"/>
      <c r="H23" s="2851"/>
      <c r="J23" s="1105" t="str">
        <f>IF(OR(F25=0,J24=0),$L$3,"")</f>
        <v/>
      </c>
      <c r="K23" s="400" t="s">
        <v>3808</v>
      </c>
      <c r="L23" s="3313"/>
      <c r="M23" s="9"/>
      <c r="O23" s="1105" t="str">
        <f>IF(OR(K25=0,O24=0),$L$3,"")</f>
        <v/>
      </c>
    </row>
    <row r="24" spans="2:17" ht="14.25" customHeight="1" thickBot="1">
      <c r="B24" s="1105" t="s">
        <v>245</v>
      </c>
      <c r="C24" s="1105" t="s">
        <v>246</v>
      </c>
      <c r="D24" s="395"/>
      <c r="E24" s="395"/>
      <c r="F24" s="2655"/>
      <c r="G24" s="2688"/>
      <c r="H24" s="2689"/>
      <c r="I24" s="2690" t="s">
        <v>2629</v>
      </c>
      <c r="J24" s="2692">
        <f>Weight!M151</f>
        <v>0.7</v>
      </c>
      <c r="K24" s="2655"/>
      <c r="L24" s="2688"/>
      <c r="M24" s="2689"/>
      <c r="N24" s="2690" t="s">
        <v>2629</v>
      </c>
      <c r="O24" s="2692">
        <f>Weight!M152</f>
        <v>0.3</v>
      </c>
    </row>
    <row r="25" spans="2:17" ht="27" customHeight="1" thickBot="1">
      <c r="B25" s="3314" t="s">
        <v>4194</v>
      </c>
      <c r="C25" s="3314"/>
      <c r="D25" s="395"/>
      <c r="E25" s="395"/>
      <c r="F25" s="2693">
        <v>3</v>
      </c>
      <c r="G25" s="2774" t="s">
        <v>2619</v>
      </c>
      <c r="H25" s="2697"/>
      <c r="I25" s="2697"/>
      <c r="J25" s="3315"/>
      <c r="K25" s="2693">
        <v>3</v>
      </c>
      <c r="L25" s="2753" t="s">
        <v>2917</v>
      </c>
      <c r="M25" s="2697"/>
      <c r="N25" s="2697"/>
      <c r="O25" s="2698"/>
    </row>
    <row r="26" spans="2:17" ht="21" customHeight="1">
      <c r="B26" s="2014" t="s">
        <v>49</v>
      </c>
      <c r="C26" s="2014" t="s">
        <v>49</v>
      </c>
      <c r="D26" s="395"/>
      <c r="E26" s="395"/>
      <c r="F26" s="2699" t="str">
        <f>IF(F25=$F$7,$G$2,IF(ROUNDDOWN(F25,0)=$F$2,$H$2,$G$2))</f>
        <v>　Level 1</v>
      </c>
      <c r="G26" s="2700" t="s">
        <v>2528</v>
      </c>
      <c r="H26" s="2700"/>
      <c r="I26" s="2700"/>
      <c r="J26" s="2701"/>
      <c r="K26" s="2699" t="str">
        <f>IF(K25=$F$7,$G$2,IF(ROUNDDOWN(K25,0)=$F$2,$H$2,$G$2))</f>
        <v>　Level 1</v>
      </c>
      <c r="L26" s="2755" t="s">
        <v>2528</v>
      </c>
      <c r="M26" s="2700"/>
      <c r="N26" s="2700"/>
      <c r="O26" s="2701"/>
    </row>
    <row r="27" spans="2:17" ht="21" customHeight="1">
      <c r="B27" s="2014" t="s">
        <v>49</v>
      </c>
      <c r="C27" s="2014" t="s">
        <v>49</v>
      </c>
      <c r="D27" s="395"/>
      <c r="E27" s="395"/>
      <c r="F27" s="2702" t="str">
        <f>IF(F25=$F$7,$G$3,IF(ROUNDDOWN(F25,0)=$F$3,$H$3,$G$3))</f>
        <v>　Level 2</v>
      </c>
      <c r="G27" s="1170" t="s">
        <v>2528</v>
      </c>
      <c r="H27" s="2333"/>
      <c r="I27" s="2333"/>
      <c r="J27" s="2703"/>
      <c r="K27" s="2702" t="str">
        <f>IF(K25=$F$7,$G$3,IF(ROUNDDOWN(K25,0)=$F$3,$H$3,$G$3))</f>
        <v>　Level 2</v>
      </c>
      <c r="L27" s="1170" t="s">
        <v>2528</v>
      </c>
      <c r="M27" s="2333"/>
      <c r="N27" s="2333"/>
      <c r="O27" s="2703"/>
    </row>
    <row r="28" spans="2:17" ht="21" customHeight="1">
      <c r="B28" s="2014">
        <v>3</v>
      </c>
      <c r="C28" s="2014">
        <v>3</v>
      </c>
      <c r="D28" s="395"/>
      <c r="E28" s="395"/>
      <c r="F28" s="2702" t="str">
        <f>IF(F25=$F$7,$G$4,IF(ROUNDDOWN(F25,0)=$F$4,$H$4,$G$4))</f>
        <v>■Level 3</v>
      </c>
      <c r="G28" s="1170" t="s">
        <v>3799</v>
      </c>
      <c r="H28" s="2333"/>
      <c r="I28" s="2333"/>
      <c r="J28" s="2703"/>
      <c r="K28" s="2702" t="str">
        <f>IF(K25=$F$7,$G$4,IF(ROUNDDOWN(K25,0)=$F$4,$H$4,$G$4))</f>
        <v>■Level 3</v>
      </c>
      <c r="L28" s="1170" t="s">
        <v>3817</v>
      </c>
      <c r="M28" s="2333"/>
      <c r="N28" s="2333"/>
      <c r="O28" s="2703"/>
    </row>
    <row r="29" spans="2:17" ht="21" customHeight="1">
      <c r="B29" s="2014">
        <v>4</v>
      </c>
      <c r="C29" s="2014">
        <v>4</v>
      </c>
      <c r="D29" s="395"/>
      <c r="E29" s="395"/>
      <c r="F29" s="2702" t="str">
        <f>IF(F25=$F$7,$G$5,IF(ROUNDDOWN(F25,0)=$F$5,$H$5,$G$5))</f>
        <v>　Level 4</v>
      </c>
      <c r="G29" s="1170" t="s">
        <v>3800</v>
      </c>
      <c r="H29" s="2333"/>
      <c r="I29" s="2333"/>
      <c r="J29" s="2703"/>
      <c r="K29" s="2702" t="str">
        <f>IF(K25=$F$7,$G$5,IF(ROUNDDOWN(K25,0)=$F$5,$H$5,$G$5))</f>
        <v>　Level 4</v>
      </c>
      <c r="L29" s="1170" t="s">
        <v>3818</v>
      </c>
      <c r="M29" s="2333"/>
      <c r="N29" s="2333"/>
      <c r="O29" s="2703"/>
      <c r="Q29" s="2784"/>
    </row>
    <row r="30" spans="2:17" ht="21" customHeight="1">
      <c r="B30" s="2014">
        <v>5</v>
      </c>
      <c r="C30" s="2014">
        <v>5</v>
      </c>
      <c r="D30" s="395"/>
      <c r="E30" s="395"/>
      <c r="F30" s="2704" t="str">
        <f>IF(F25=$F$7,$G$6,IF(ROUNDDOWN(F25,0)=$F$6,$H$6,$G$6))</f>
        <v>　Level 5</v>
      </c>
      <c r="G30" s="2756" t="s">
        <v>4195</v>
      </c>
      <c r="H30" s="2705"/>
      <c r="I30" s="2705"/>
      <c r="J30" s="2706"/>
      <c r="K30" s="2704" t="str">
        <f>IF(K25=$F$7,$G$6,IF(ROUNDDOWN(K25,0)=$F$6,$H$6,$G$6))</f>
        <v>　Level 5</v>
      </c>
      <c r="L30" s="2756" t="s">
        <v>3802</v>
      </c>
      <c r="M30" s="2705"/>
      <c r="N30" s="2705"/>
      <c r="O30" s="2706"/>
      <c r="Q30" s="2784"/>
    </row>
    <row r="31" spans="2:17" ht="15.75">
      <c r="B31" s="2850">
        <v>0</v>
      </c>
      <c r="C31" s="2850">
        <v>0</v>
      </c>
      <c r="D31" s="395"/>
      <c r="E31" s="395"/>
      <c r="F31" s="2067" t="s">
        <v>3045</v>
      </c>
      <c r="G31" s="2708"/>
      <c r="H31" s="2759"/>
      <c r="I31" s="2709"/>
      <c r="J31" s="2710"/>
      <c r="K31" s="2067" t="s">
        <v>3045</v>
      </c>
      <c r="L31" s="2708"/>
      <c r="M31" s="3316"/>
      <c r="N31" s="3317"/>
      <c r="O31" s="2710"/>
      <c r="Q31" s="349"/>
    </row>
    <row r="32" spans="2:17" ht="22.5">
      <c r="D32" s="395"/>
      <c r="E32" s="395"/>
      <c r="F32" s="3178" t="s">
        <v>3022</v>
      </c>
      <c r="G32" s="2812"/>
      <c r="K32" s="1516" t="s">
        <v>3899</v>
      </c>
      <c r="L32" s="3318" t="s">
        <v>5001</v>
      </c>
      <c r="M32" s="3319" t="s">
        <v>3812</v>
      </c>
      <c r="N32" s="3136"/>
      <c r="O32" s="3320" t="s">
        <v>3803</v>
      </c>
    </row>
    <row r="33" spans="2:15" ht="15.75">
      <c r="D33" s="395"/>
      <c r="E33" s="395"/>
      <c r="F33" s="1516"/>
      <c r="G33" s="3321" t="s">
        <v>3816</v>
      </c>
      <c r="H33" s="3322" t="s">
        <v>3814</v>
      </c>
      <c r="I33" s="3322"/>
      <c r="K33" s="2321" t="s">
        <v>784</v>
      </c>
      <c r="L33" s="3323" t="str">
        <f>IF(COUNTIF(L34:L36,M3)&gt;0,M3,"-")</f>
        <v>-</v>
      </c>
      <c r="M33" s="2743" t="s">
        <v>3813</v>
      </c>
      <c r="N33" s="3136"/>
      <c r="O33" s="2593"/>
    </row>
    <row r="34" spans="2:15" ht="15.75">
      <c r="D34" s="395"/>
      <c r="E34" s="395"/>
      <c r="F34" s="195"/>
      <c r="G34" s="3321"/>
      <c r="H34" s="3324"/>
      <c r="I34" s="3324"/>
      <c r="J34" s="3325" t="s">
        <v>3815</v>
      </c>
      <c r="K34" s="2321" t="s">
        <v>785</v>
      </c>
      <c r="L34" s="3326"/>
      <c r="M34" s="2596" t="s">
        <v>4196</v>
      </c>
      <c r="N34" s="3327"/>
      <c r="O34" s="3328"/>
    </row>
    <row r="35" spans="2:15" ht="19.5">
      <c r="D35" s="395"/>
      <c r="E35" s="395"/>
      <c r="F35" s="195"/>
      <c r="K35" s="2321" t="s">
        <v>786</v>
      </c>
      <c r="L35" s="3329"/>
      <c r="M35" s="3330" t="s">
        <v>4197</v>
      </c>
      <c r="N35" s="3181"/>
      <c r="O35" s="3793" t="s">
        <v>3805</v>
      </c>
    </row>
    <row r="36" spans="2:15" ht="29.25">
      <c r="D36" s="395"/>
      <c r="E36" s="395"/>
      <c r="F36" s="195"/>
      <c r="G36" s="3321"/>
      <c r="H36" s="3324"/>
      <c r="I36" s="3324"/>
      <c r="K36" s="2321" t="s">
        <v>787</v>
      </c>
      <c r="L36" s="3331"/>
      <c r="M36" s="2468" t="s">
        <v>4197</v>
      </c>
      <c r="N36" s="2284"/>
      <c r="O36" s="3794" t="s">
        <v>3804</v>
      </c>
    </row>
    <row r="37" spans="2:15" ht="15.75">
      <c r="D37" s="395"/>
      <c r="E37" s="395"/>
      <c r="F37" s="349"/>
      <c r="K37" s="2321" t="s">
        <v>788</v>
      </c>
      <c r="L37" s="3332"/>
      <c r="M37" s="2743" t="s">
        <v>3806</v>
      </c>
      <c r="N37" s="3136"/>
      <c r="O37" s="3333"/>
    </row>
    <row r="38" spans="2:15" ht="15.75">
      <c r="D38" s="395"/>
      <c r="E38" s="395"/>
      <c r="F38" s="1529"/>
      <c r="G38" s="349"/>
      <c r="H38" s="2855"/>
      <c r="I38" s="349"/>
      <c r="J38" s="349"/>
      <c r="K38" s="2321" t="s">
        <v>789</v>
      </c>
      <c r="L38" s="3323" t="str">
        <f>IF(COUNTIF(L39:L40,M3)&gt;0,M3,"-")</f>
        <v>-</v>
      </c>
      <c r="M38" s="2743" t="s">
        <v>3807</v>
      </c>
      <c r="N38" s="3136"/>
      <c r="O38" s="3333"/>
    </row>
    <row r="39" spans="2:15" ht="29.25">
      <c r="D39" s="395"/>
      <c r="E39" s="395"/>
      <c r="F39" s="1529"/>
      <c r="G39" s="349"/>
      <c r="H39" s="2855"/>
      <c r="I39" s="349"/>
      <c r="J39" s="349"/>
      <c r="K39" s="2321" t="s">
        <v>790</v>
      </c>
      <c r="L39" s="3334"/>
      <c r="M39" s="3335" t="s">
        <v>4198</v>
      </c>
      <c r="N39" s="3336"/>
      <c r="O39" s="3794" t="s">
        <v>3804</v>
      </c>
    </row>
    <row r="40" spans="2:15" ht="24.6" customHeight="1">
      <c r="K40" s="2321" t="s">
        <v>791</v>
      </c>
      <c r="L40" s="3337"/>
      <c r="M40" s="4252" t="s">
        <v>4199</v>
      </c>
      <c r="N40" s="4253"/>
      <c r="O40" s="4254"/>
    </row>
    <row r="41" spans="2:15" ht="14.25" customHeight="1">
      <c r="D41" s="393">
        <v>2</v>
      </c>
      <c r="E41" s="13" t="s">
        <v>3351</v>
      </c>
      <c r="F41" s="9"/>
      <c r="G41" s="9"/>
      <c r="H41" s="9"/>
      <c r="I41" s="9"/>
      <c r="J41" s="9"/>
      <c r="K41" s="9"/>
      <c r="L41" s="2852"/>
      <c r="M41" s="9"/>
      <c r="N41" s="9"/>
      <c r="O41" s="9"/>
    </row>
    <row r="42" spans="2:15" ht="14.25" customHeight="1">
      <c r="D42" s="395">
        <v>2.1</v>
      </c>
      <c r="E42" s="13" t="s">
        <v>3354</v>
      </c>
      <c r="F42" s="9"/>
      <c r="G42" s="9"/>
      <c r="O42" s="1105" t="str">
        <f>IF(OR(F44=0,J43=0),$L$3,"")</f>
        <v/>
      </c>
    </row>
    <row r="43" spans="2:15" ht="14.25" customHeight="1" thickBot="1">
      <c r="C43" s="1105" t="s">
        <v>4200</v>
      </c>
      <c r="D43" s="3284"/>
      <c r="E43" s="3284"/>
      <c r="F43" s="3220"/>
      <c r="G43" s="2688"/>
      <c r="H43" s="2689"/>
      <c r="I43" s="2690" t="s">
        <v>2629</v>
      </c>
      <c r="J43" s="3221">
        <f>Weight!M154</f>
        <v>0.1</v>
      </c>
      <c r="K43" s="2689"/>
      <c r="L43" s="2764"/>
      <c r="M43" s="2764"/>
      <c r="N43" s="2764"/>
      <c r="O43" s="2766"/>
    </row>
    <row r="44" spans="2:15" ht="27" customHeight="1" thickBot="1">
      <c r="B44" s="1105" t="s">
        <v>1049</v>
      </c>
      <c r="C44" s="3314">
        <v>0</v>
      </c>
      <c r="D44" s="395"/>
      <c r="E44" s="13"/>
      <c r="F44" s="3338">
        <f>G52</f>
        <v>3</v>
      </c>
      <c r="G44" s="2753" t="s">
        <v>2618</v>
      </c>
      <c r="H44" s="2698"/>
      <c r="I44" s="2753"/>
      <c r="J44" s="2760"/>
      <c r="K44" s="2753" t="s">
        <v>3272</v>
      </c>
      <c r="L44" s="2698"/>
      <c r="M44" s="3339">
        <v>0</v>
      </c>
      <c r="N44" s="2840" t="s">
        <v>2840</v>
      </c>
      <c r="O44" s="3340"/>
    </row>
    <row r="45" spans="2:15" ht="21" customHeight="1">
      <c r="B45" s="1105">
        <v>0</v>
      </c>
      <c r="C45" s="2014" t="s">
        <v>698</v>
      </c>
      <c r="D45" s="395"/>
      <c r="E45" s="13"/>
      <c r="F45" s="2699" t="str">
        <f>IF(F44=$F$7,$G$2,IF(ROUNDDOWN(F44,0)=$F$2,$H$2,$G$2))</f>
        <v>　Level 1</v>
      </c>
      <c r="G45" s="2814" t="s">
        <v>2528</v>
      </c>
      <c r="H45" s="3678"/>
      <c r="I45" s="3678"/>
      <c r="J45" s="3679"/>
      <c r="K45" s="3958" t="s">
        <v>3823</v>
      </c>
      <c r="L45" s="4032"/>
      <c r="M45" s="2832" t="str">
        <f>IF(M44=$F$7,$G$2,IF(ROUNDDOWN(M44,0)=$F$2,$H$2,$G$2))</f>
        <v>　Level 1</v>
      </c>
      <c r="N45" s="3341"/>
      <c r="O45" s="3342"/>
    </row>
    <row r="46" spans="2:15" ht="39.75" customHeight="1">
      <c r="B46" s="1105">
        <v>0</v>
      </c>
      <c r="C46" s="2014" t="s">
        <v>247</v>
      </c>
      <c r="D46" s="395"/>
      <c r="E46" s="13"/>
      <c r="F46" s="2702" t="str">
        <f>IF(F44=$F$7,$G$3,IF(ROUNDDOWN(F44,0)=$F$3,$H$3,$G$3))</f>
        <v>　Level 2</v>
      </c>
      <c r="G46" s="4007" t="s">
        <v>3819</v>
      </c>
      <c r="H46" s="4165"/>
      <c r="I46" s="4165"/>
      <c r="J46" s="4166"/>
      <c r="K46" s="4033"/>
      <c r="L46" s="4034"/>
      <c r="M46" s="2833" t="str">
        <f>IF(M44=$F$7,$G$3,IF(ROUNDDOWN(M44,0)=$F$3,$H$3,$G$3))</f>
        <v>　Level 2</v>
      </c>
      <c r="N46" s="3343"/>
      <c r="O46" s="3344"/>
    </row>
    <row r="47" spans="2:15" ht="39.75" customHeight="1">
      <c r="B47" s="1105">
        <v>1</v>
      </c>
      <c r="C47" s="2014">
        <v>3</v>
      </c>
      <c r="D47" s="395"/>
      <c r="E47" s="13"/>
      <c r="F47" s="2702" t="str">
        <f>IF(F44=$F$7,$G$4,IF(ROUNDDOWN(F44,0)=$F$4,$H$4,$G$4))</f>
        <v>■Level 3</v>
      </c>
      <c r="G47" s="4007" t="s">
        <v>3820</v>
      </c>
      <c r="H47" s="4009"/>
      <c r="I47" s="4009"/>
      <c r="J47" s="3977"/>
      <c r="K47" s="4033"/>
      <c r="L47" s="4034"/>
      <c r="M47" s="2833" t="str">
        <f>IF(M44=$F$7,$G$4,IF(ROUNDDOWN(M44,0)=$F$4,$H$4,$G$4))</f>
        <v>　Level 3</v>
      </c>
      <c r="N47" s="3955"/>
      <c r="O47" s="4255"/>
    </row>
    <row r="48" spans="2:15" ht="44.25" customHeight="1">
      <c r="B48" s="1105">
        <v>3</v>
      </c>
      <c r="C48" s="2014" t="s">
        <v>248</v>
      </c>
      <c r="D48" s="395"/>
      <c r="E48" s="13"/>
      <c r="F48" s="2702" t="str">
        <f>IF(F44=$F$7,$G$5,IF(ROUNDDOWN(F44,0)=$F$5,$H$5,$G$5))</f>
        <v>　Level 4</v>
      </c>
      <c r="G48" s="4007" t="s">
        <v>3821</v>
      </c>
      <c r="H48" s="4009"/>
      <c r="I48" s="4009"/>
      <c r="J48" s="3977"/>
      <c r="K48" s="4033"/>
      <c r="L48" s="4034"/>
      <c r="M48" s="2833" t="str">
        <f>IF(M44=$F$7,$G$5,IF(ROUNDDOWN(M44,0)=$F$5,$H$5,$G$5))</f>
        <v>　Level 4</v>
      </c>
      <c r="N48" s="3343"/>
      <c r="O48" s="3344"/>
    </row>
    <row r="49" spans="2:15" ht="43.5" customHeight="1">
      <c r="B49" s="1105">
        <v>5</v>
      </c>
      <c r="C49" s="2014">
        <v>5</v>
      </c>
      <c r="D49" s="395"/>
      <c r="E49" s="13"/>
      <c r="F49" s="2704" t="str">
        <f>IF(F44=$F$7,$G$6,IF(ROUNDDOWN(F44,0)=$F$6,$H$6,$G$6))</f>
        <v>　Level 5</v>
      </c>
      <c r="G49" s="4008" t="s">
        <v>3822</v>
      </c>
      <c r="H49" s="4010"/>
      <c r="I49" s="4010"/>
      <c r="J49" s="4011"/>
      <c r="K49" s="4035"/>
      <c r="L49" s="4036"/>
      <c r="M49" s="2834" t="str">
        <f>IF(M44=$F$7,$G$6,IF(ROUNDDOWN(M44,0)=$F$6,$H$6,$G$6))</f>
        <v>　Level 5</v>
      </c>
      <c r="N49" s="3953"/>
      <c r="O49" s="3954"/>
    </row>
    <row r="50" spans="2:15">
      <c r="C50" s="2850">
        <v>0</v>
      </c>
      <c r="D50" s="28"/>
      <c r="E50" s="119"/>
      <c r="F50" s="2067" t="s">
        <v>3045</v>
      </c>
      <c r="G50" s="2708"/>
      <c r="H50" s="2759"/>
      <c r="I50" s="2709"/>
      <c r="J50" s="2710"/>
      <c r="K50" s="2711"/>
      <c r="L50" s="3345"/>
      <c r="M50" s="119"/>
      <c r="N50" s="119"/>
      <c r="O50" s="119"/>
    </row>
    <row r="51" spans="2:15">
      <c r="C51" s="2712"/>
      <c r="D51" s="28"/>
      <c r="E51" s="119"/>
      <c r="F51" s="1173" t="s">
        <v>3286</v>
      </c>
      <c r="H51" s="119"/>
      <c r="I51" s="119"/>
      <c r="J51" s="119"/>
      <c r="K51" s="119"/>
      <c r="L51" s="3345"/>
      <c r="M51" s="119"/>
      <c r="N51" s="119"/>
      <c r="O51" s="119"/>
    </row>
    <row r="52" spans="2:15" ht="24.75" thickBot="1">
      <c r="D52" s="395"/>
      <c r="E52" s="119"/>
      <c r="G52" s="2866">
        <f>IF(G53=M3,0,IF(G57&gt;=B49,5,IF(G57&gt;=B48,4,IF(G57&gt;=B47,3,IF(G57&gt;=B46,2,1)))))</f>
        <v>3</v>
      </c>
      <c r="H52" s="4227" t="s">
        <v>4056</v>
      </c>
      <c r="I52" s="4228"/>
      <c r="J52" s="4229"/>
      <c r="K52" s="3229" t="s">
        <v>4057</v>
      </c>
      <c r="L52" s="2451"/>
      <c r="M52" s="2451"/>
      <c r="N52" s="2451"/>
      <c r="O52" s="2867" t="s">
        <v>3300</v>
      </c>
    </row>
    <row r="53" spans="2:15" ht="25.5" customHeight="1" thickBot="1">
      <c r="B53" s="1105" t="s">
        <v>1050</v>
      </c>
      <c r="D53" s="395"/>
      <c r="E53" s="119"/>
      <c r="G53" s="2656"/>
      <c r="H53" s="3346" t="s">
        <v>3824</v>
      </c>
      <c r="I53" s="2815"/>
      <c r="J53" s="2815"/>
      <c r="K53" s="2815"/>
      <c r="L53" s="2815"/>
      <c r="M53" s="2815"/>
      <c r="N53" s="2815"/>
      <c r="O53" s="2816"/>
    </row>
    <row r="54" spans="2:15" ht="37.5" customHeight="1">
      <c r="B54" s="1105">
        <v>4</v>
      </c>
      <c r="D54" s="395"/>
      <c r="E54" s="119"/>
      <c r="F54" s="2321" t="s">
        <v>784</v>
      </c>
      <c r="G54" s="3347">
        <v>1</v>
      </c>
      <c r="H54" s="4059" t="s">
        <v>3826</v>
      </c>
      <c r="I54" s="4237"/>
      <c r="J54" s="4238"/>
      <c r="K54" s="3948" t="s">
        <v>3828</v>
      </c>
      <c r="L54" s="4237"/>
      <c r="M54" s="4237"/>
      <c r="N54" s="4238"/>
      <c r="O54" s="3348" t="s">
        <v>4201</v>
      </c>
    </row>
    <row r="55" spans="2:15" ht="37.5" customHeight="1">
      <c r="B55" s="1105">
        <v>4</v>
      </c>
      <c r="D55" s="395"/>
      <c r="E55" s="119"/>
      <c r="F55" s="2321" t="s">
        <v>1046</v>
      </c>
      <c r="G55" s="3349">
        <v>1</v>
      </c>
      <c r="H55" s="4070" t="s">
        <v>3825</v>
      </c>
      <c r="I55" s="4009"/>
      <c r="J55" s="3977"/>
      <c r="K55" s="3808" t="s">
        <v>3829</v>
      </c>
      <c r="L55" s="4009"/>
      <c r="M55" s="4009"/>
      <c r="N55" s="3977"/>
      <c r="O55" s="3351" t="s">
        <v>4201</v>
      </c>
    </row>
    <row r="56" spans="2:15" ht="51" customHeight="1" thickBot="1">
      <c r="B56" s="2408">
        <v>4</v>
      </c>
      <c r="D56" s="395"/>
      <c r="E56" s="119"/>
      <c r="F56" s="2321" t="s">
        <v>786</v>
      </c>
      <c r="G56" s="3352"/>
      <c r="H56" s="4239" t="s">
        <v>3827</v>
      </c>
      <c r="I56" s="4010"/>
      <c r="J56" s="4011"/>
      <c r="K56" s="3937" t="s">
        <v>4097</v>
      </c>
      <c r="L56" s="4010"/>
      <c r="M56" s="4010"/>
      <c r="N56" s="4011"/>
      <c r="O56" s="3351" t="s">
        <v>4202</v>
      </c>
    </row>
    <row r="57" spans="2:15" ht="15.75">
      <c r="D57" s="395"/>
      <c r="E57" s="119"/>
      <c r="F57" s="2321" t="s">
        <v>1468</v>
      </c>
      <c r="G57" s="3355">
        <f>IF(G53=$M3,0,SUM(G54:G56))</f>
        <v>2</v>
      </c>
      <c r="H57" s="2876" t="s">
        <v>4058</v>
      </c>
      <c r="I57" s="3279"/>
      <c r="J57" s="3279"/>
      <c r="K57" s="2877"/>
      <c r="L57" s="3356"/>
      <c r="M57" s="3281"/>
      <c r="N57" s="3282"/>
      <c r="O57" s="2879">
        <f>SUM(B54:B56)</f>
        <v>12</v>
      </c>
    </row>
    <row r="58" spans="2:15" ht="10.15" customHeight="1">
      <c r="D58" s="393"/>
      <c r="E58" s="13"/>
      <c r="F58" s="9"/>
      <c r="G58" s="9"/>
      <c r="H58" s="9"/>
      <c r="I58" s="9"/>
      <c r="J58" s="9"/>
      <c r="K58" s="9"/>
      <c r="L58" s="2852"/>
      <c r="M58" s="9"/>
      <c r="N58" s="9"/>
      <c r="O58" s="9"/>
    </row>
    <row r="59" spans="2:15" ht="14.25" customHeight="1">
      <c r="D59" s="393">
        <v>2.2000000000000002</v>
      </c>
      <c r="E59" s="13" t="s">
        <v>3357</v>
      </c>
      <c r="F59" s="13"/>
      <c r="G59" s="53"/>
      <c r="O59" s="1105" t="str">
        <f>IF(OR(F61=0,J60=0),$L$3,"")</f>
        <v/>
      </c>
    </row>
    <row r="60" spans="2:15" ht="14.25" customHeight="1" thickBot="1">
      <c r="D60" s="3284"/>
      <c r="E60" s="3284"/>
      <c r="F60" s="3220"/>
      <c r="G60" s="2688"/>
      <c r="H60" s="2689"/>
      <c r="I60" s="2690" t="s">
        <v>2629</v>
      </c>
      <c r="J60" s="3221">
        <f>Weight!M155</f>
        <v>0.2</v>
      </c>
      <c r="K60" s="2764"/>
      <c r="L60" s="2764"/>
      <c r="M60" s="2764"/>
      <c r="N60" s="2764"/>
      <c r="O60" s="2692"/>
    </row>
    <row r="61" spans="2:15" ht="27" customHeight="1" thickBot="1">
      <c r="D61" s="395"/>
      <c r="E61" s="1529"/>
      <c r="F61" s="2693">
        <v>3</v>
      </c>
      <c r="G61" s="2774" t="s">
        <v>2619</v>
      </c>
      <c r="H61" s="2697"/>
      <c r="I61" s="2697"/>
      <c r="J61" s="2697"/>
      <c r="K61" s="2697"/>
      <c r="L61" s="2697"/>
      <c r="M61" s="2697"/>
      <c r="N61" s="2697"/>
      <c r="O61" s="2698"/>
    </row>
    <row r="62" spans="2:15" ht="21" customHeight="1">
      <c r="B62" s="2014" t="s">
        <v>49</v>
      </c>
      <c r="D62" s="395"/>
      <c r="E62" s="1529"/>
      <c r="F62" s="2699" t="str">
        <f>IF(F61=$F$7,$G$2,IF(ROUNDDOWN(F61,0)=$F$2,$H$2,$G$2))</f>
        <v>　Level 1</v>
      </c>
      <c r="G62" s="2755" t="s">
        <v>2528</v>
      </c>
      <c r="H62" s="2700"/>
      <c r="I62" s="2700"/>
      <c r="J62" s="2700"/>
      <c r="K62" s="2700"/>
      <c r="L62" s="2700"/>
      <c r="M62" s="2700"/>
      <c r="N62" s="2700"/>
      <c r="O62" s="2701"/>
    </row>
    <row r="63" spans="2:15" ht="21" customHeight="1">
      <c r="B63" s="2014" t="s">
        <v>49</v>
      </c>
      <c r="D63" s="395"/>
      <c r="E63" s="1529"/>
      <c r="F63" s="2702" t="str">
        <f>IF(F61=$F$7,$G$3,IF(ROUNDDOWN(F61,0)=$F$3,$H$3,$G$3))</f>
        <v>　Level 2</v>
      </c>
      <c r="G63" s="1170" t="s">
        <v>2528</v>
      </c>
      <c r="H63" s="2333"/>
      <c r="I63" s="2333"/>
      <c r="J63" s="2333"/>
      <c r="K63" s="2333"/>
      <c r="L63" s="2333"/>
      <c r="M63" s="2333"/>
      <c r="N63" s="2333"/>
      <c r="O63" s="2703"/>
    </row>
    <row r="64" spans="2:15" ht="21" customHeight="1">
      <c r="B64" s="2014">
        <v>3</v>
      </c>
      <c r="D64" s="395"/>
      <c r="E64" s="1529"/>
      <c r="F64" s="2702" t="str">
        <f>IF(F61=$F$7,$G$4,IF(ROUNDDOWN(F61,0)=$F$4,$H$4,$G$4))</f>
        <v>■Level 3</v>
      </c>
      <c r="G64" s="1170" t="s">
        <v>3830</v>
      </c>
      <c r="H64" s="2333"/>
      <c r="I64" s="2333"/>
      <c r="J64" s="2333"/>
      <c r="K64" s="2333"/>
      <c r="L64" s="2333"/>
      <c r="M64" s="2333"/>
      <c r="N64" s="2333"/>
      <c r="O64" s="2703"/>
    </row>
    <row r="65" spans="2:15" ht="21" customHeight="1">
      <c r="B65" s="2014" t="s">
        <v>49</v>
      </c>
      <c r="D65" s="395"/>
      <c r="E65" s="1529"/>
      <c r="F65" s="2702" t="str">
        <f>IF(F61=$F$7,$G$5,IF(ROUNDDOWN(F61,0)=$F$5,$H$5,$G$5))</f>
        <v>　Level 4</v>
      </c>
      <c r="G65" s="1170" t="s">
        <v>2528</v>
      </c>
      <c r="H65" s="2333"/>
      <c r="I65" s="2333"/>
      <c r="J65" s="2333"/>
      <c r="K65" s="2333"/>
      <c r="L65" s="2333"/>
      <c r="M65" s="2333"/>
      <c r="N65" s="2333"/>
      <c r="O65" s="2703"/>
    </row>
    <row r="66" spans="2:15" ht="21" customHeight="1">
      <c r="B66" s="2014">
        <v>5</v>
      </c>
      <c r="D66" s="395"/>
      <c r="E66" s="1529"/>
      <c r="F66" s="2704" t="str">
        <f>IF(F61=$F$7,$G$6,IF(ROUNDDOWN(F61,0)=$F$6,$H$6,$G$6))</f>
        <v>　Level 5</v>
      </c>
      <c r="G66" s="2756" t="s">
        <v>3831</v>
      </c>
      <c r="H66" s="2705"/>
      <c r="I66" s="2705"/>
      <c r="J66" s="2705"/>
      <c r="K66" s="2705"/>
      <c r="L66" s="2705"/>
      <c r="M66" s="2705"/>
      <c r="N66" s="2705"/>
      <c r="O66" s="2706"/>
    </row>
    <row r="67" spans="2:15" ht="13.5" customHeight="1">
      <c r="B67" s="2850">
        <v>0</v>
      </c>
      <c r="D67" s="393"/>
      <c r="E67" s="13"/>
      <c r="F67" s="2067" t="s">
        <v>3045</v>
      </c>
      <c r="G67" s="2708"/>
      <c r="H67" s="2759"/>
      <c r="I67" s="2709"/>
      <c r="J67" s="2710"/>
      <c r="K67" s="2711"/>
      <c r="L67" s="2852"/>
      <c r="M67" s="9"/>
      <c r="N67" s="9"/>
      <c r="O67" s="9"/>
    </row>
    <row r="68" spans="2:15" ht="13.5" customHeight="1">
      <c r="B68" s="2712"/>
      <c r="D68" s="393"/>
      <c r="E68" s="13"/>
      <c r="F68" s="9"/>
      <c r="G68" s="9"/>
      <c r="H68" s="9"/>
      <c r="I68" s="9"/>
      <c r="J68" s="9"/>
      <c r="K68" s="9"/>
      <c r="L68" s="2852"/>
      <c r="M68" s="9"/>
      <c r="N68" s="9"/>
      <c r="O68" s="9"/>
    </row>
    <row r="69" spans="2:15" ht="14.25" customHeight="1">
      <c r="D69" s="393">
        <v>2.2999999999999998</v>
      </c>
      <c r="E69" s="13" t="s">
        <v>3359</v>
      </c>
      <c r="F69" s="9"/>
      <c r="G69" s="2851"/>
      <c r="H69" s="9"/>
      <c r="I69" s="9"/>
      <c r="O69" s="1105" t="str">
        <f>IF(OR(F71=0,J70=0),$L$3,"")</f>
        <v/>
      </c>
    </row>
    <row r="70" spans="2:15" ht="14.25" customHeight="1" thickBot="1">
      <c r="D70" s="395"/>
      <c r="E70" s="395"/>
      <c r="F70" s="3220"/>
      <c r="G70" s="2688"/>
      <c r="H70" s="2689"/>
      <c r="I70" s="2690" t="s">
        <v>2629</v>
      </c>
      <c r="J70" s="3221">
        <f>Weight!M156</f>
        <v>0.2</v>
      </c>
      <c r="K70" s="2764"/>
      <c r="L70" s="2764"/>
      <c r="M70" s="2764"/>
      <c r="N70" s="2764"/>
      <c r="O70" s="2692"/>
    </row>
    <row r="71" spans="2:15" ht="27" customHeight="1" thickBot="1">
      <c r="D71" s="395"/>
      <c r="E71" s="395"/>
      <c r="F71" s="2693">
        <v>3</v>
      </c>
      <c r="G71" s="2774" t="s">
        <v>2619</v>
      </c>
      <c r="H71" s="2697"/>
      <c r="I71" s="2697"/>
      <c r="J71" s="2697"/>
      <c r="K71" s="2697"/>
      <c r="L71" s="2697"/>
      <c r="M71" s="2697"/>
      <c r="N71" s="2697"/>
      <c r="O71" s="2698"/>
    </row>
    <row r="72" spans="2:15" ht="21" customHeight="1">
      <c r="B72" s="2014" t="s">
        <v>697</v>
      </c>
      <c r="C72" s="2014">
        <v>1</v>
      </c>
      <c r="D72" s="395"/>
      <c r="E72" s="395"/>
      <c r="F72" s="2699" t="str">
        <f>IF(F71=$F$7,$G$2,IF(ROUNDDOWN(F71,0)=$F$2,$H$2,$G$2))</f>
        <v>　Level 1</v>
      </c>
      <c r="G72" s="2755" t="s">
        <v>2528</v>
      </c>
      <c r="H72" s="2700"/>
      <c r="I72" s="2700"/>
      <c r="J72" s="2700"/>
      <c r="K72" s="2700"/>
      <c r="L72" s="2700"/>
      <c r="M72" s="2700"/>
      <c r="N72" s="2700"/>
      <c r="O72" s="2701"/>
    </row>
    <row r="73" spans="2:15" ht="21" customHeight="1">
      <c r="B73" s="2014" t="s">
        <v>49</v>
      </c>
      <c r="C73" s="2014">
        <v>2</v>
      </c>
      <c r="D73" s="395"/>
      <c r="E73" s="395"/>
      <c r="F73" s="2702" t="str">
        <f>IF(F71=$F$7,$G$3,IF(ROUNDDOWN(F71,0)=$F$3,$H$3,$G$3))</f>
        <v>　Level 2</v>
      </c>
      <c r="G73" s="1170" t="s">
        <v>2528</v>
      </c>
      <c r="H73" s="2333"/>
      <c r="I73" s="2333"/>
      <c r="J73" s="2333"/>
      <c r="K73" s="2333"/>
      <c r="L73" s="2333"/>
      <c r="M73" s="2333"/>
      <c r="N73" s="2333"/>
      <c r="O73" s="2703"/>
    </row>
    <row r="74" spans="2:15" ht="21" customHeight="1">
      <c r="B74" s="2014">
        <v>3</v>
      </c>
      <c r="C74" s="2014">
        <v>3</v>
      </c>
      <c r="D74" s="395"/>
      <c r="E74" s="395"/>
      <c r="F74" s="2702" t="str">
        <f>IF(F71=$F$7,$G$4,IF(ROUNDDOWN(F71,0)=$F$4,$H$4,$G$4))</f>
        <v>■Level 3</v>
      </c>
      <c r="G74" s="1170" t="s">
        <v>3832</v>
      </c>
      <c r="H74" s="2333"/>
      <c r="I74" s="2333"/>
      <c r="J74" s="2333"/>
      <c r="K74" s="2333"/>
      <c r="L74" s="2333"/>
      <c r="M74" s="2333"/>
      <c r="N74" s="2333"/>
      <c r="O74" s="2703"/>
    </row>
    <row r="75" spans="2:15" ht="21" customHeight="1">
      <c r="B75" s="2014" t="s">
        <v>247</v>
      </c>
      <c r="C75" s="2014">
        <v>4</v>
      </c>
      <c r="D75" s="395"/>
      <c r="E75" s="395"/>
      <c r="F75" s="2702" t="str">
        <f>IF(F71=$F$7,$G$5,IF(ROUNDDOWN(F71,0)=$F$5,$H$5,$G$5))</f>
        <v>　Level 4</v>
      </c>
      <c r="G75" s="1170" t="s">
        <v>2528</v>
      </c>
      <c r="H75" s="2333"/>
      <c r="I75" s="2333"/>
      <c r="J75" s="2333"/>
      <c r="K75" s="2333"/>
      <c r="L75" s="2333"/>
      <c r="M75" s="2333"/>
      <c r="N75" s="2333"/>
      <c r="O75" s="2703"/>
    </row>
    <row r="76" spans="2:15" ht="21" customHeight="1">
      <c r="B76" s="2014">
        <v>5</v>
      </c>
      <c r="C76" s="2014">
        <v>5</v>
      </c>
      <c r="D76" s="395"/>
      <c r="E76" s="395"/>
      <c r="F76" s="2704" t="str">
        <f>IF(F71=$F$7,$G$6,IF(ROUNDDOWN(F71,0)=$F$6,$H$6,$G$6))</f>
        <v>　Level 5</v>
      </c>
      <c r="G76" s="2756" t="s">
        <v>3833</v>
      </c>
      <c r="H76" s="2705"/>
      <c r="I76" s="2705"/>
      <c r="J76" s="2705"/>
      <c r="K76" s="2705"/>
      <c r="L76" s="2705"/>
      <c r="M76" s="2705"/>
      <c r="N76" s="2705"/>
      <c r="O76" s="2706"/>
    </row>
    <row r="77" spans="2:15" ht="15" customHeight="1">
      <c r="B77" s="2850">
        <v>0</v>
      </c>
      <c r="C77" s="2850">
        <v>0</v>
      </c>
      <c r="F77" s="2067" t="s">
        <v>3045</v>
      </c>
      <c r="G77" s="2708"/>
      <c r="H77" s="2759"/>
      <c r="I77" s="2709"/>
      <c r="J77" s="2710"/>
      <c r="K77" s="2779" t="s">
        <v>3841</v>
      </c>
      <c r="L77" s="3357"/>
    </row>
    <row r="78" spans="2:15">
      <c r="B78" s="2712"/>
      <c r="C78" s="2712"/>
      <c r="F78" s="1516" t="s">
        <v>3844</v>
      </c>
      <c r="G78" s="2743" t="s">
        <v>3848</v>
      </c>
      <c r="H78" s="3358"/>
      <c r="I78" s="3359" t="str">
        <f>L79</f>
        <v>Type of recognition</v>
      </c>
      <c r="J78" s="3360"/>
    </row>
    <row r="79" spans="2:15">
      <c r="F79" s="2321" t="s">
        <v>784</v>
      </c>
      <c r="G79" s="3361" t="s">
        <v>3834</v>
      </c>
      <c r="H79" s="3362"/>
      <c r="I79" s="3363"/>
      <c r="J79" s="3364" t="str">
        <f>VLOOKUP(I79,K80:L83,2)</f>
        <v>Not introduced</v>
      </c>
      <c r="K79" s="2321" t="s">
        <v>3843</v>
      </c>
      <c r="L79" s="2561" t="s">
        <v>3853</v>
      </c>
    </row>
    <row r="80" spans="2:15">
      <c r="F80" s="2321" t="s">
        <v>1046</v>
      </c>
      <c r="G80" s="3365" t="s">
        <v>3835</v>
      </c>
      <c r="H80" s="3366"/>
      <c r="I80" s="3367"/>
      <c r="J80" s="3368" t="str">
        <f>VLOOKUP(I80,K80:L83,2)</f>
        <v>Not introduced</v>
      </c>
      <c r="K80" s="1529">
        <v>0</v>
      </c>
      <c r="L80" s="1529" t="s">
        <v>3838</v>
      </c>
    </row>
    <row r="81" spans="2:15">
      <c r="F81" s="2321" t="s">
        <v>786</v>
      </c>
      <c r="G81" s="3365" t="s">
        <v>3836</v>
      </c>
      <c r="H81" s="3366"/>
      <c r="I81" s="3367"/>
      <c r="J81" s="3368" t="str">
        <f>VLOOKUP(I81,K80:L83,2)</f>
        <v>Not introduced</v>
      </c>
      <c r="K81" s="1529">
        <v>1</v>
      </c>
      <c r="L81" s="1529" t="s">
        <v>3842</v>
      </c>
    </row>
    <row r="82" spans="2:15">
      <c r="F82" s="2321" t="s">
        <v>787</v>
      </c>
      <c r="G82" s="3365" t="s">
        <v>3837</v>
      </c>
      <c r="H82" s="3366"/>
      <c r="I82" s="3367"/>
      <c r="J82" s="3368" t="str">
        <f>VLOOKUP(I82,K80:L83,2)</f>
        <v>Not introduced</v>
      </c>
      <c r="K82" s="1529">
        <v>2</v>
      </c>
      <c r="L82" s="1529" t="s">
        <v>3840</v>
      </c>
    </row>
    <row r="83" spans="2:15">
      <c r="F83" s="2321" t="s">
        <v>788</v>
      </c>
      <c r="G83" s="3369" t="s">
        <v>1951</v>
      </c>
      <c r="H83" s="3370"/>
      <c r="I83" s="3371"/>
      <c r="J83" s="3372" t="str">
        <f>VLOOKUP(I83,K80:L83,2)</f>
        <v>Not introduced</v>
      </c>
      <c r="K83" s="1529">
        <v>3</v>
      </c>
      <c r="L83" s="1529" t="s">
        <v>3839</v>
      </c>
      <c r="M83" s="1529"/>
    </row>
    <row r="84" spans="2:15" ht="10.5" customHeight="1">
      <c r="G84" s="196"/>
      <c r="L84" s="3357"/>
    </row>
    <row r="85" spans="2:15" ht="14.25" customHeight="1">
      <c r="D85" s="393">
        <v>2.4</v>
      </c>
      <c r="E85" s="13" t="s">
        <v>3846</v>
      </c>
      <c r="F85" s="395"/>
      <c r="G85" s="395"/>
      <c r="H85" s="395"/>
      <c r="I85" s="395"/>
      <c r="O85" s="1105" t="str">
        <f>IF(OR(F87=0,J86=0),$L$3,"")</f>
        <v/>
      </c>
    </row>
    <row r="86" spans="2:15" ht="14.25" customHeight="1" thickBot="1">
      <c r="D86" s="395"/>
      <c r="E86" s="395"/>
      <c r="F86" s="3220"/>
      <c r="G86" s="2688"/>
      <c r="H86" s="2689"/>
      <c r="I86" s="2690" t="s">
        <v>2629</v>
      </c>
      <c r="J86" s="3221">
        <f>Weight!M157</f>
        <v>0.2</v>
      </c>
      <c r="K86" s="2764"/>
      <c r="L86" s="2764"/>
      <c r="M86" s="2764"/>
      <c r="N86" s="2764"/>
      <c r="O86" s="2692"/>
    </row>
    <row r="87" spans="2:15" ht="27" customHeight="1" thickBot="1">
      <c r="D87" s="395"/>
      <c r="E87" s="395"/>
      <c r="F87" s="2693">
        <v>3</v>
      </c>
      <c r="G87" s="2774" t="s">
        <v>2619</v>
      </c>
      <c r="H87" s="2697"/>
      <c r="I87" s="2697"/>
      <c r="J87" s="2697"/>
      <c r="K87" s="2697"/>
      <c r="L87" s="2697"/>
      <c r="M87" s="2697"/>
      <c r="N87" s="2697"/>
      <c r="O87" s="2698"/>
    </row>
    <row r="88" spans="2:15" ht="21" customHeight="1">
      <c r="B88" s="2014">
        <v>1</v>
      </c>
      <c r="C88" s="2014">
        <v>1</v>
      </c>
      <c r="D88" s="395"/>
      <c r="E88" s="395"/>
      <c r="F88" s="2699" t="str">
        <f>IF(F87=$F$7,$G$2,IF(ROUNDDOWN(F87,0)=$F$2,$H$2,$G$2))</f>
        <v>　Level 1</v>
      </c>
      <c r="G88" s="2755" t="s">
        <v>3849</v>
      </c>
      <c r="H88" s="2700"/>
      <c r="I88" s="2700"/>
      <c r="J88" s="2700"/>
      <c r="K88" s="2700"/>
      <c r="L88" s="2700"/>
      <c r="M88" s="2700"/>
      <c r="N88" s="2700"/>
      <c r="O88" s="2701"/>
    </row>
    <row r="89" spans="2:15" ht="21" customHeight="1">
      <c r="B89" s="2014" t="s">
        <v>249</v>
      </c>
      <c r="C89" s="2014">
        <v>2</v>
      </c>
      <c r="D89" s="395"/>
      <c r="E89" s="395"/>
      <c r="F89" s="2702" t="str">
        <f>IF(F87=$F$7,$G$3,IF(ROUNDDOWN(F87,0)=$F$3,$H$3,$G$3))</f>
        <v>　Level 2</v>
      </c>
      <c r="G89" s="1170" t="s">
        <v>2528</v>
      </c>
      <c r="H89" s="2333"/>
      <c r="I89" s="2333"/>
      <c r="J89" s="2333"/>
      <c r="K89" s="2333"/>
      <c r="L89" s="2333"/>
      <c r="M89" s="2333"/>
      <c r="N89" s="2333"/>
      <c r="O89" s="2703"/>
    </row>
    <row r="90" spans="2:15" ht="21" customHeight="1">
      <c r="B90" s="2014">
        <v>3</v>
      </c>
      <c r="C90" s="2014">
        <v>3</v>
      </c>
      <c r="D90" s="395"/>
      <c r="E90" s="395"/>
      <c r="F90" s="2702" t="str">
        <f>IF(F87=$F$7,$G$4,IF(ROUNDDOWN(F87,0)=$F$4,$H$4,$G$4))</f>
        <v>■Level 3</v>
      </c>
      <c r="G90" s="1170" t="s">
        <v>3850</v>
      </c>
      <c r="H90" s="2333"/>
      <c r="I90" s="2333"/>
      <c r="J90" s="2333"/>
      <c r="K90" s="2333"/>
      <c r="L90" s="2333"/>
      <c r="M90" s="2333"/>
      <c r="N90" s="2333"/>
      <c r="O90" s="2703"/>
    </row>
    <row r="91" spans="2:15" ht="21" customHeight="1">
      <c r="B91" s="2014">
        <v>4</v>
      </c>
      <c r="C91" s="2014">
        <v>4</v>
      </c>
      <c r="D91" s="395"/>
      <c r="E91" s="395"/>
      <c r="F91" s="2702" t="str">
        <f>IF(F87=$F$7,$G$5,IF(ROUNDDOWN(F87,0)=$F$5,$H$5,$G$5))</f>
        <v>　Level 4</v>
      </c>
      <c r="G91" s="1170" t="s">
        <v>3851</v>
      </c>
      <c r="H91" s="2333"/>
      <c r="I91" s="2333"/>
      <c r="J91" s="2333"/>
      <c r="K91" s="2333"/>
      <c r="L91" s="2333"/>
      <c r="M91" s="2333"/>
      <c r="N91" s="2333"/>
      <c r="O91" s="2703"/>
    </row>
    <row r="92" spans="2:15" ht="21" customHeight="1">
      <c r="B92" s="2014">
        <v>5</v>
      </c>
      <c r="C92" s="2014">
        <v>5</v>
      </c>
      <c r="D92" s="395"/>
      <c r="E92" s="395"/>
      <c r="F92" s="2704" t="str">
        <f>IF(F87=$F$7,$G$6,IF(ROUNDDOWN(F87,0)=$F$6,$H$6,$G$6))</f>
        <v>　Level 5</v>
      </c>
      <c r="G92" s="2756" t="s">
        <v>3852</v>
      </c>
      <c r="H92" s="2705"/>
      <c r="I92" s="2705"/>
      <c r="J92" s="2705"/>
      <c r="K92" s="2705"/>
      <c r="L92" s="2705"/>
      <c r="M92" s="2705"/>
      <c r="N92" s="2705"/>
      <c r="O92" s="2706"/>
    </row>
    <row r="93" spans="2:15" ht="14.25" customHeight="1">
      <c r="B93" s="2850">
        <v>0</v>
      </c>
      <c r="C93" s="2850">
        <v>0</v>
      </c>
      <c r="D93" s="395"/>
      <c r="E93" s="2763"/>
      <c r="F93" s="2067" t="s">
        <v>3045</v>
      </c>
      <c r="G93" s="2708"/>
      <c r="H93" s="2759"/>
      <c r="I93" s="2709"/>
      <c r="J93" s="2710"/>
      <c r="K93" s="2779" t="str">
        <f>K77</f>
        <v>Note; State introduced materials and its application.</v>
      </c>
      <c r="L93" s="3357"/>
    </row>
    <row r="94" spans="2:15" ht="14.25" customHeight="1">
      <c r="B94" s="2712"/>
      <c r="C94" s="2712"/>
      <c r="D94" s="395"/>
      <c r="E94" s="2763"/>
      <c r="F94" s="1516" t="s">
        <v>3844</v>
      </c>
      <c r="G94" s="3373" t="str">
        <f>L79</f>
        <v>Type of recognition</v>
      </c>
      <c r="H94" s="3374"/>
      <c r="I94" s="2743" t="s">
        <v>3845</v>
      </c>
      <c r="J94" s="3358"/>
    </row>
    <row r="95" spans="2:15" ht="20.45" customHeight="1">
      <c r="B95" s="2712"/>
      <c r="C95" s="2712"/>
      <c r="D95" s="395"/>
      <c r="E95" s="2763"/>
      <c r="F95" s="2321"/>
      <c r="G95" s="4235" t="str">
        <f>L81</f>
        <v>Designated green procurement items</v>
      </c>
      <c r="H95" s="4236"/>
      <c r="I95" s="3375"/>
      <c r="J95" s="3376"/>
    </row>
    <row r="96" spans="2:15" ht="14.25" customHeight="1">
      <c r="B96" s="2712"/>
      <c r="C96" s="2712"/>
      <c r="D96" s="395"/>
      <c r="E96" s="2763"/>
      <c r="F96" s="2321"/>
      <c r="G96" s="3365" t="str">
        <f>L82</f>
        <v>Eco Mark products</v>
      </c>
      <c r="H96" s="3366"/>
      <c r="I96" s="3377"/>
      <c r="J96" s="3378"/>
    </row>
    <row r="97" spans="2:15" ht="22.15" customHeight="1">
      <c r="F97" s="2321"/>
      <c r="G97" s="4233" t="str">
        <f>L83</f>
        <v>Specific items designated by local governments, etc.</v>
      </c>
      <c r="H97" s="4234"/>
      <c r="I97" s="3379"/>
      <c r="J97" s="3380"/>
    </row>
    <row r="98" spans="2:15" ht="14.25" customHeight="1"/>
    <row r="99" spans="2:15" ht="15.75">
      <c r="D99" s="393">
        <v>2.5</v>
      </c>
      <c r="E99" s="13" t="s">
        <v>3854</v>
      </c>
      <c r="F99" s="13"/>
      <c r="G99" s="349"/>
      <c r="H99" s="119"/>
      <c r="O99" s="1105" t="str">
        <f>IF(OR(F101=0,J100=0),$L$3,"")</f>
        <v/>
      </c>
    </row>
    <row r="100" spans="2:15" ht="14.25" customHeight="1" thickBot="1">
      <c r="D100" s="3284"/>
      <c r="E100" s="3284"/>
      <c r="F100" s="3220"/>
      <c r="G100" s="2688"/>
      <c r="H100" s="2689"/>
      <c r="I100" s="2690" t="s">
        <v>2629</v>
      </c>
      <c r="J100" s="3221">
        <f>Weight!M158</f>
        <v>0.1</v>
      </c>
      <c r="K100" s="2764"/>
      <c r="L100" s="2764"/>
      <c r="M100" s="2764"/>
      <c r="N100" s="2764"/>
      <c r="O100" s="2698"/>
    </row>
    <row r="101" spans="2:15" ht="27" customHeight="1" thickBot="1">
      <c r="B101" s="3314" t="s">
        <v>4194</v>
      </c>
      <c r="D101" s="395"/>
      <c r="E101" s="1529"/>
      <c r="F101" s="2693">
        <v>3</v>
      </c>
      <c r="G101" s="2753" t="s">
        <v>2619</v>
      </c>
      <c r="H101" s="2697"/>
      <c r="I101" s="2697"/>
      <c r="J101" s="2697"/>
      <c r="K101" s="2697"/>
      <c r="L101" s="2856"/>
      <c r="M101" s="2697"/>
      <c r="N101" s="2753" t="s">
        <v>3272</v>
      </c>
      <c r="O101" s="2698"/>
    </row>
    <row r="102" spans="2:15" ht="21" customHeight="1">
      <c r="B102" s="2014" t="s">
        <v>697</v>
      </c>
      <c r="C102" s="2014">
        <v>1</v>
      </c>
      <c r="D102" s="395"/>
      <c r="E102" s="1529"/>
      <c r="F102" s="2699" t="str">
        <f>IF(F101=$F$7,$G$2,IF(ROUNDDOWN(F101,0)=$F$2,$H$2,$G$2))</f>
        <v>　Level 1</v>
      </c>
      <c r="G102" s="2755" t="s">
        <v>2528</v>
      </c>
      <c r="H102" s="2700"/>
      <c r="I102" s="2700"/>
      <c r="J102" s="2700"/>
      <c r="K102" s="2700"/>
      <c r="L102" s="3381"/>
      <c r="M102" s="2700"/>
      <c r="N102" s="3958" t="s">
        <v>3859</v>
      </c>
      <c r="O102" s="4032"/>
    </row>
    <row r="103" spans="2:15" ht="21" customHeight="1">
      <c r="B103" s="2014">
        <v>2</v>
      </c>
      <c r="C103" s="2014">
        <v>2</v>
      </c>
      <c r="D103" s="395"/>
      <c r="E103" s="1529"/>
      <c r="F103" s="2702" t="str">
        <f>IF(F101=$F$7,$G$3,IF(ROUNDDOWN(F101,0)=$F$3,$H$3,$G$3))</f>
        <v>　Level 2</v>
      </c>
      <c r="G103" s="1170" t="s">
        <v>3855</v>
      </c>
      <c r="H103" s="2333"/>
      <c r="I103" s="2333"/>
      <c r="J103" s="2333"/>
      <c r="K103" s="2333"/>
      <c r="L103" s="2334"/>
      <c r="M103" s="2333"/>
      <c r="N103" s="4033"/>
      <c r="O103" s="4034"/>
    </row>
    <row r="104" spans="2:15" ht="24" customHeight="1">
      <c r="B104" s="2014">
        <v>3</v>
      </c>
      <c r="C104" s="2014">
        <v>3</v>
      </c>
      <c r="D104" s="395"/>
      <c r="E104" s="1529"/>
      <c r="F104" s="2702" t="str">
        <f>IF(F101=$F$7,$G$4,IF(ROUNDDOWN(F101,0)=$F$4,$H$4,$G$4))</f>
        <v>■Level 3</v>
      </c>
      <c r="G104" s="3808" t="s">
        <v>3856</v>
      </c>
      <c r="H104" s="3809"/>
      <c r="I104" s="3809"/>
      <c r="J104" s="3809"/>
      <c r="K104" s="3809"/>
      <c r="L104" s="3809"/>
      <c r="M104" s="3810"/>
      <c r="N104" s="4033"/>
      <c r="O104" s="4034"/>
    </row>
    <row r="105" spans="2:15" ht="21" customHeight="1">
      <c r="B105" s="2014">
        <v>4</v>
      </c>
      <c r="C105" s="2014">
        <v>4</v>
      </c>
      <c r="D105" s="395"/>
      <c r="E105" s="1529"/>
      <c r="F105" s="2702" t="str">
        <f>IF(F101=$F$7,$G$5,IF(ROUNDDOWN(F101,0)=$F$5,$H$5,$G$5))</f>
        <v>　Level 4</v>
      </c>
      <c r="G105" s="1170" t="s">
        <v>3857</v>
      </c>
      <c r="H105" s="2333"/>
      <c r="I105" s="2333"/>
      <c r="J105" s="2333"/>
      <c r="K105" s="2333"/>
      <c r="L105" s="2334"/>
      <c r="M105" s="2333"/>
      <c r="N105" s="4033"/>
      <c r="O105" s="4034"/>
    </row>
    <row r="106" spans="2:15" ht="21" customHeight="1">
      <c r="B106" s="2014">
        <v>5</v>
      </c>
      <c r="C106" s="2014">
        <v>5</v>
      </c>
      <c r="D106" s="395"/>
      <c r="E106" s="1529"/>
      <c r="F106" s="2704" t="str">
        <f>IF(F101=$F$7,$G$6,IF(ROUNDDOWN(F101,0)=$F$6,$H$6,$G$6))</f>
        <v>　Level 5</v>
      </c>
      <c r="G106" s="2756" t="s">
        <v>3858</v>
      </c>
      <c r="H106" s="2705"/>
      <c r="I106" s="2705"/>
      <c r="J106" s="2705"/>
      <c r="K106" s="2705"/>
      <c r="L106" s="3382"/>
      <c r="M106" s="2705"/>
      <c r="N106" s="4035"/>
      <c r="O106" s="4036"/>
    </row>
    <row r="107" spans="2:15" ht="14.25" customHeight="1">
      <c r="B107" s="2850">
        <v>0</v>
      </c>
      <c r="C107" s="2850">
        <v>0</v>
      </c>
      <c r="D107" s="395"/>
      <c r="E107" s="2763"/>
      <c r="F107" s="2067" t="s">
        <v>3045</v>
      </c>
      <c r="G107" s="2708"/>
      <c r="H107" s="2759"/>
      <c r="I107" s="2709"/>
      <c r="J107" s="2710"/>
      <c r="K107" s="2711"/>
      <c r="L107" s="2855"/>
      <c r="M107" s="2855"/>
      <c r="N107" s="2855"/>
      <c r="O107" s="2855"/>
    </row>
    <row r="108" spans="2:15" ht="20.45" customHeight="1">
      <c r="B108" s="2712"/>
      <c r="C108" s="2712"/>
      <c r="D108" s="395"/>
      <c r="E108" s="2763"/>
      <c r="F108" s="3178" t="s">
        <v>3023</v>
      </c>
      <c r="G108" s="2812"/>
      <c r="H108" s="3321" t="s">
        <v>4203</v>
      </c>
      <c r="I108" s="3383" t="s">
        <v>3024</v>
      </c>
      <c r="J108" s="3322"/>
      <c r="K108" s="3384"/>
      <c r="L108" s="3385"/>
      <c r="M108" s="3385"/>
      <c r="N108" s="2855"/>
      <c r="O108" s="2855"/>
    </row>
    <row r="109" spans="2:15" ht="14.25" customHeight="1">
      <c r="B109" s="2712"/>
      <c r="C109" s="2712"/>
      <c r="D109" s="395"/>
      <c r="E109" s="2763"/>
      <c r="F109" s="2784"/>
      <c r="G109" s="195"/>
      <c r="J109" s="2784" t="s">
        <v>3025</v>
      </c>
      <c r="K109" s="119"/>
      <c r="L109" s="2855"/>
      <c r="M109" s="2855"/>
      <c r="N109" s="2855"/>
      <c r="O109" s="2855"/>
    </row>
    <row r="110" spans="2:15" ht="14.25" customHeight="1">
      <c r="B110" s="2712"/>
      <c r="C110" s="2712"/>
      <c r="D110" s="395"/>
      <c r="E110" s="2763"/>
      <c r="F110" s="119"/>
      <c r="G110" s="119"/>
      <c r="H110" s="119"/>
      <c r="I110" s="119"/>
      <c r="J110" s="119"/>
      <c r="K110" s="119"/>
      <c r="L110" s="2855"/>
      <c r="M110" s="2855"/>
      <c r="N110" s="2855"/>
      <c r="O110" s="2855"/>
    </row>
    <row r="111" spans="2:15" ht="15.75">
      <c r="D111" s="393">
        <v>2.6</v>
      </c>
      <c r="E111" s="13" t="s">
        <v>3360</v>
      </c>
      <c r="F111" s="13"/>
      <c r="G111" s="119"/>
      <c r="H111" s="119"/>
      <c r="O111" s="1105" t="str">
        <f>IF(OR(F113=0,J112=0),$L$3,"")</f>
        <v/>
      </c>
    </row>
    <row r="112" spans="2:15" ht="15.75" thickBot="1">
      <c r="D112" s="3284"/>
      <c r="E112" s="3284"/>
      <c r="F112" s="2655"/>
      <c r="G112" s="2688"/>
      <c r="H112" s="2689"/>
      <c r="I112" s="2690" t="s">
        <v>2629</v>
      </c>
      <c r="J112" s="3221">
        <f>Weight!M159</f>
        <v>0.2</v>
      </c>
      <c r="K112" s="2764"/>
      <c r="L112" s="2764"/>
      <c r="M112" s="2764"/>
      <c r="N112" s="2764"/>
      <c r="O112" s="2698"/>
    </row>
    <row r="113" spans="2:15" ht="27" customHeight="1" thickBot="1">
      <c r="B113" s="1105" t="s">
        <v>1049</v>
      </c>
      <c r="D113" s="395"/>
      <c r="E113" s="1529"/>
      <c r="F113" s="2865">
        <f>G121</f>
        <v>3</v>
      </c>
      <c r="G113" s="2697" t="s">
        <v>2619</v>
      </c>
      <c r="H113" s="2697"/>
      <c r="I113" s="2697"/>
      <c r="J113" s="2697"/>
      <c r="K113" s="2697"/>
      <c r="L113" s="2856"/>
      <c r="M113" s="2697"/>
      <c r="N113" s="2697"/>
      <c r="O113" s="2698"/>
    </row>
    <row r="114" spans="2:15" ht="21" customHeight="1">
      <c r="B114" s="1105">
        <v>0</v>
      </c>
      <c r="D114" s="395"/>
      <c r="E114" s="1529"/>
      <c r="F114" s="2702" t="str">
        <f>IF(F113=$F$7,$G$2,IF(ROUNDDOWN(F113,0)=$F$2,$H$2,$G$2))</f>
        <v>　Level 1</v>
      </c>
      <c r="G114" s="2755" t="s">
        <v>2528</v>
      </c>
      <c r="H114" s="2700"/>
      <c r="I114" s="2700"/>
      <c r="J114" s="2700"/>
      <c r="K114" s="2700"/>
      <c r="L114" s="3381"/>
      <c r="M114" s="2700"/>
      <c r="N114" s="2700"/>
      <c r="O114" s="2701"/>
    </row>
    <row r="115" spans="2:15" ht="21" customHeight="1">
      <c r="B115" s="1105">
        <v>0</v>
      </c>
      <c r="D115" s="395"/>
      <c r="E115" s="1529"/>
      <c r="F115" s="2702" t="str">
        <f>IF(F113=$F$7,$G$3,IF(ROUNDDOWN(F113,0)=$F$3,$H$3,$G$3))</f>
        <v>　Level 2</v>
      </c>
      <c r="G115" s="1170" t="s">
        <v>2528</v>
      </c>
      <c r="H115" s="2333"/>
      <c r="I115" s="2333"/>
      <c r="J115" s="2333"/>
      <c r="K115" s="2333"/>
      <c r="L115" s="2334"/>
      <c r="M115" s="2333"/>
      <c r="N115" s="2333"/>
      <c r="O115" s="2703"/>
    </row>
    <row r="116" spans="2:15" ht="21.6" customHeight="1">
      <c r="B116" s="1105">
        <v>0</v>
      </c>
      <c r="D116" s="395"/>
      <c r="E116" s="1529"/>
      <c r="F116" s="2702" t="str">
        <f>IF(F113=$F$7,$G$4,IF(ROUNDDOWN(F113,0)=$F$4,$H$4,$G$4))</f>
        <v>■Level 3</v>
      </c>
      <c r="G116" s="3808" t="s">
        <v>3860</v>
      </c>
      <c r="H116" s="3809"/>
      <c r="I116" s="3809"/>
      <c r="J116" s="3809"/>
      <c r="K116" s="3809"/>
      <c r="L116" s="3809"/>
      <c r="M116" s="3809"/>
      <c r="N116" s="3809"/>
      <c r="O116" s="3810"/>
    </row>
    <row r="117" spans="2:15" ht="21.6" customHeight="1">
      <c r="B117" s="1105">
        <v>1</v>
      </c>
      <c r="D117" s="395"/>
      <c r="E117" s="1529"/>
      <c r="F117" s="2702" t="str">
        <f>IF(F113=$F$7,$G$5,IF(ROUNDDOWN(F113,0)=$F$5,$H$5,$G$5))</f>
        <v>　Level 4</v>
      </c>
      <c r="G117" s="3808" t="s">
        <v>3861</v>
      </c>
      <c r="H117" s="4009"/>
      <c r="I117" s="4009"/>
      <c r="J117" s="4009"/>
      <c r="K117" s="4009"/>
      <c r="L117" s="4009"/>
      <c r="M117" s="4009"/>
      <c r="N117" s="4009"/>
      <c r="O117" s="3977"/>
    </row>
    <row r="118" spans="2:15" ht="21.6" customHeight="1">
      <c r="B118" s="1105">
        <v>2</v>
      </c>
      <c r="D118" s="395"/>
      <c r="E118" s="1529"/>
      <c r="F118" s="2704" t="str">
        <f>IF(F113=$F$7,$G$6,IF(ROUNDDOWN(F113,0)=$F$6,$H$6,$G$6))</f>
        <v>　Level 5</v>
      </c>
      <c r="G118" s="3937" t="s">
        <v>3862</v>
      </c>
      <c r="H118" s="4010"/>
      <c r="I118" s="4010"/>
      <c r="J118" s="4010"/>
      <c r="K118" s="4010"/>
      <c r="L118" s="4010"/>
      <c r="M118" s="4010"/>
      <c r="N118" s="4010"/>
      <c r="O118" s="4011"/>
    </row>
    <row r="119" spans="2:15" ht="15.75">
      <c r="D119" s="395"/>
      <c r="E119" s="2763"/>
      <c r="F119" s="2067" t="s">
        <v>3045</v>
      </c>
      <c r="G119" s="2708"/>
      <c r="H119" s="2759"/>
      <c r="I119" s="2709"/>
      <c r="J119" s="2710"/>
      <c r="K119" s="2779" t="s">
        <v>3026</v>
      </c>
      <c r="N119" s="9"/>
      <c r="O119" s="9"/>
    </row>
    <row r="120" spans="2:15" ht="15.75">
      <c r="D120" s="395"/>
      <c r="E120" s="2763"/>
      <c r="F120" s="1173" t="s">
        <v>3286</v>
      </c>
      <c r="J120" s="3386"/>
      <c r="K120" s="120"/>
      <c r="L120" s="2723"/>
      <c r="M120" s="28"/>
    </row>
    <row r="121" spans="2:15" ht="16.5" thickBot="1">
      <c r="D121" s="395"/>
      <c r="E121" s="2763"/>
      <c r="G121" s="2866">
        <f>IF(G126&gt;=B118,5,IF(G126&gt;=B117,4,IF(G126&gt;=B116,3,IF(G126&gt;=B115,2,1))))</f>
        <v>3</v>
      </c>
      <c r="H121" s="2458" t="s">
        <v>4057</v>
      </c>
      <c r="I121" s="3387"/>
      <c r="J121" s="3387"/>
      <c r="K121" s="3387"/>
      <c r="L121" s="3387"/>
      <c r="M121" s="3387"/>
      <c r="N121" s="3388"/>
    </row>
    <row r="122" spans="2:15" ht="15.75">
      <c r="D122" s="395"/>
      <c r="E122" s="2763"/>
      <c r="F122" s="2321" t="s">
        <v>784</v>
      </c>
      <c r="G122" s="3389"/>
      <c r="H122" s="3390" t="s">
        <v>3863</v>
      </c>
      <c r="I122" s="3391"/>
      <c r="J122" s="3391"/>
      <c r="K122" s="3391"/>
      <c r="L122" s="3392"/>
      <c r="M122" s="3392"/>
      <c r="N122" s="3393"/>
    </row>
    <row r="123" spans="2:15" ht="21.6" customHeight="1">
      <c r="D123" s="395"/>
      <c r="E123" s="2763"/>
      <c r="F123" s="2321" t="s">
        <v>1046</v>
      </c>
      <c r="G123" s="3394"/>
      <c r="H123" s="4070" t="s">
        <v>3864</v>
      </c>
      <c r="I123" s="4009"/>
      <c r="J123" s="4009"/>
      <c r="K123" s="4009"/>
      <c r="L123" s="4009"/>
      <c r="M123" s="4009"/>
      <c r="N123" s="3977"/>
    </row>
    <row r="124" spans="2:15" ht="15.75">
      <c r="D124" s="395"/>
      <c r="E124" s="2763"/>
      <c r="F124" s="2321" t="s">
        <v>786</v>
      </c>
      <c r="G124" s="3396"/>
      <c r="H124" s="2791" t="s">
        <v>3865</v>
      </c>
      <c r="I124" s="3397"/>
      <c r="J124" s="3397"/>
      <c r="K124" s="3397"/>
      <c r="L124" s="3398"/>
      <c r="M124" s="3398"/>
      <c r="N124" s="3399"/>
    </row>
    <row r="125" spans="2:15" ht="16.5" thickBot="1">
      <c r="D125" s="395"/>
      <c r="E125" s="2763"/>
      <c r="F125" s="2321" t="s">
        <v>787</v>
      </c>
      <c r="G125" s="3400"/>
      <c r="H125" s="2705" t="s">
        <v>3866</v>
      </c>
      <c r="I125" s="3401"/>
      <c r="J125" s="3401"/>
      <c r="K125" s="3401"/>
      <c r="L125" s="3402"/>
      <c r="M125" s="3402"/>
      <c r="N125" s="3403"/>
    </row>
    <row r="126" spans="2:15" ht="15.75">
      <c r="D126" s="395"/>
      <c r="E126" s="395"/>
      <c r="F126" s="2321" t="s">
        <v>1468</v>
      </c>
      <c r="G126" s="3404">
        <f>COUNTIF(G122:G125,M3)</f>
        <v>0</v>
      </c>
      <c r="H126" s="3405" t="s">
        <v>4054</v>
      </c>
      <c r="I126" s="3406"/>
      <c r="J126" s="3406"/>
      <c r="K126" s="3406"/>
      <c r="L126" s="3406"/>
      <c r="M126" s="3406"/>
      <c r="N126" s="3407"/>
    </row>
    <row r="127" spans="2:15" ht="15.75" hidden="1">
      <c r="D127" s="403"/>
      <c r="E127" s="395"/>
      <c r="F127" s="401" t="s">
        <v>716</v>
      </c>
      <c r="G127" s="2672"/>
      <c r="H127" s="2673"/>
      <c r="I127" s="2586"/>
      <c r="J127" s="2674" t="str">
        <f>IF(OR(F129=0,J128=0),$L$3,"")</f>
        <v>&lt;N.A.&gt;</v>
      </c>
      <c r="K127" s="401" t="s">
        <v>717</v>
      </c>
      <c r="L127" s="2672"/>
      <c r="M127" s="2673"/>
      <c r="N127" s="2586"/>
      <c r="O127" s="2674" t="str">
        <f>IF(OR(K129=0,O128=0),$L$3,"")</f>
        <v>&lt;N.A.&gt;</v>
      </c>
    </row>
    <row r="128" spans="2:15" ht="15.75" hidden="1">
      <c r="D128" s="395"/>
      <c r="E128" s="28"/>
      <c r="F128" s="2655"/>
      <c r="G128" s="2688"/>
      <c r="H128" s="2689"/>
      <c r="I128" s="2690" t="s">
        <v>2629</v>
      </c>
      <c r="J128" s="2692">
        <f>Weight!M161</f>
        <v>0</v>
      </c>
      <c r="K128" s="2655"/>
      <c r="L128" s="2688"/>
      <c r="M128" s="2689"/>
      <c r="N128" s="2690" t="s">
        <v>2629</v>
      </c>
      <c r="O128" s="2692">
        <f>Weight!M162</f>
        <v>0</v>
      </c>
    </row>
    <row r="129" spans="2:15" ht="16.5" hidden="1" customHeight="1" thickBot="1">
      <c r="B129" s="3408" t="s">
        <v>4204</v>
      </c>
      <c r="C129" s="3408" t="s">
        <v>4204</v>
      </c>
      <c r="D129" s="395"/>
      <c r="E129" s="28"/>
      <c r="F129" s="2656">
        <v>5</v>
      </c>
      <c r="G129" s="2753" t="s">
        <v>2618</v>
      </c>
      <c r="H129" s="2697"/>
      <c r="I129" s="2697"/>
      <c r="J129" s="2698"/>
      <c r="K129" s="2656">
        <v>4</v>
      </c>
      <c r="L129" s="2753" t="s">
        <v>2618</v>
      </c>
      <c r="M129" s="2698"/>
      <c r="N129" s="2753"/>
      <c r="O129" s="2760"/>
    </row>
    <row r="130" spans="2:15" ht="15.75" hidden="1" customHeight="1">
      <c r="B130" s="2014">
        <v>1</v>
      </c>
      <c r="C130" s="2014">
        <v>1</v>
      </c>
      <c r="D130" s="395"/>
      <c r="E130" s="28"/>
      <c r="F130" s="2699" t="str">
        <f>IF(F129=$S$22,$G$2,IF(ROUNDDOWN(F129,0)=$F$2,$H$2,$G$2))</f>
        <v>　Level 1</v>
      </c>
      <c r="G130" s="4230" t="s">
        <v>4205</v>
      </c>
      <c r="H130" s="4231"/>
      <c r="I130" s="4231"/>
      <c r="J130" s="4232"/>
      <c r="K130" s="2699" t="str">
        <f>IF(K129=$S$22,$G$2,IF(ROUNDDOWN(K129,0)=$F$2,$H$2,$G$2))</f>
        <v>　Level 1</v>
      </c>
      <c r="L130" s="4230" t="s">
        <v>4206</v>
      </c>
      <c r="M130" s="4231"/>
      <c r="N130" s="4231"/>
      <c r="O130" s="4232"/>
    </row>
    <row r="131" spans="2:15" ht="15.75" hidden="1" customHeight="1">
      <c r="B131" s="2014">
        <v>2</v>
      </c>
      <c r="C131" s="2014">
        <v>2</v>
      </c>
      <c r="D131" s="395"/>
      <c r="E131" s="28"/>
      <c r="F131" s="2702" t="str">
        <f>IF(F129=$S$22,$G$3,IF(ROUNDDOWN(F129,0)=$F$3,$H$3,$G$3))</f>
        <v>　Level 2</v>
      </c>
      <c r="G131" s="3945" t="s">
        <v>4207</v>
      </c>
      <c r="H131" s="4173"/>
      <c r="I131" s="4173"/>
      <c r="J131" s="4174"/>
      <c r="K131" s="2702" t="str">
        <f>IF(K129=$S$22,$G$3,IF(ROUNDDOWN(K129,0)=$F$3,$H$3,$G$3))</f>
        <v>　Level 2</v>
      </c>
      <c r="L131" s="3945" t="s">
        <v>4208</v>
      </c>
      <c r="M131" s="4173"/>
      <c r="N131" s="4173"/>
      <c r="O131" s="4174"/>
    </row>
    <row r="132" spans="2:15" ht="15.75" hidden="1" customHeight="1">
      <c r="B132" s="2014">
        <v>3</v>
      </c>
      <c r="C132" s="2014">
        <v>3</v>
      </c>
      <c r="D132" s="395"/>
      <c r="E132" s="28"/>
      <c r="F132" s="2702" t="str">
        <f>IF(F129=$S$22,$G$4,IF(ROUNDDOWN(F129,0)=$F$4,$H$4,$G$4))</f>
        <v>　Level 3</v>
      </c>
      <c r="G132" s="3945" t="s">
        <v>4209</v>
      </c>
      <c r="H132" s="4173"/>
      <c r="I132" s="4173"/>
      <c r="J132" s="4174"/>
      <c r="K132" s="2702" t="str">
        <f>IF(K129=$S$22,$G$4,IF(ROUNDDOWN(K129,0)=$F$4,$H$4,$G$4))</f>
        <v>　Level 3</v>
      </c>
      <c r="L132" s="3945" t="s">
        <v>4210</v>
      </c>
      <c r="M132" s="4173"/>
      <c r="N132" s="4173"/>
      <c r="O132" s="4174"/>
    </row>
    <row r="133" spans="2:15" ht="15.75" hidden="1" customHeight="1">
      <c r="B133" s="2014">
        <v>4</v>
      </c>
      <c r="C133" s="2014">
        <v>4</v>
      </c>
      <c r="D133" s="395"/>
      <c r="E133" s="28"/>
      <c r="F133" s="2702" t="str">
        <f>IF(F129=$S$22,$G$5,IF(ROUNDDOWN(F129,0)=$F$5,$H$5,$G$5))</f>
        <v>　Level 4</v>
      </c>
      <c r="G133" s="3945" t="s">
        <v>4211</v>
      </c>
      <c r="H133" s="4173"/>
      <c r="I133" s="4173"/>
      <c r="J133" s="4174"/>
      <c r="K133" s="2702" t="str">
        <f>IF(K129=$S$22,$G$5,IF(ROUNDDOWN(K129,0)=$F$5,$H$5,$G$5))</f>
        <v>■Level 4</v>
      </c>
      <c r="L133" s="3945" t="s">
        <v>4212</v>
      </c>
      <c r="M133" s="4173"/>
      <c r="N133" s="4173"/>
      <c r="O133" s="4174"/>
    </row>
    <row r="134" spans="2:15" ht="15.75" hidden="1" customHeight="1">
      <c r="B134" s="2014">
        <v>5</v>
      </c>
      <c r="C134" s="2014">
        <v>5</v>
      </c>
      <c r="D134" s="395"/>
      <c r="E134" s="28"/>
      <c r="F134" s="2704" t="str">
        <f>IF(F129=$S$22,$G$6,IF(ROUNDDOWN(F129,0)=$F$6,$H$6,$G$6))</f>
        <v>■Level 5</v>
      </c>
      <c r="G134" s="3940" t="s">
        <v>4213</v>
      </c>
      <c r="H134" s="4003"/>
      <c r="I134" s="4003"/>
      <c r="J134" s="4004"/>
      <c r="K134" s="2704" t="str">
        <f>IF(K129=$S$22,$G$6,IF(ROUNDDOWN(K129,0)=$F$6,$H$6,$G$6))</f>
        <v>　Level 5</v>
      </c>
      <c r="L134" s="3940" t="s">
        <v>4214</v>
      </c>
      <c r="M134" s="4003"/>
      <c r="N134" s="4003"/>
      <c r="O134" s="4004"/>
    </row>
    <row r="135" spans="2:15" ht="15.75" hidden="1">
      <c r="B135" s="2707">
        <v>0</v>
      </c>
      <c r="C135" s="2707">
        <v>0</v>
      </c>
      <c r="D135" s="395"/>
      <c r="E135" s="395"/>
      <c r="F135" s="395"/>
      <c r="G135" s="395"/>
      <c r="H135" s="395"/>
      <c r="I135" s="395"/>
      <c r="J135" s="395"/>
      <c r="K135" s="395"/>
      <c r="L135" s="410"/>
      <c r="M135" s="395"/>
      <c r="N135" s="395"/>
      <c r="O135" s="395"/>
    </row>
    <row r="136" spans="2:15" ht="15.75" hidden="1">
      <c r="B136" s="2712"/>
      <c r="C136" s="2712"/>
      <c r="D136" s="395"/>
      <c r="E136" s="395"/>
      <c r="F136" s="401" t="s">
        <v>718</v>
      </c>
      <c r="G136" s="2672"/>
      <c r="H136" s="2673"/>
      <c r="I136" s="2586"/>
      <c r="J136" s="2674" t="str">
        <f>IF(OR(F138=0,J137=0),$L$3,"")</f>
        <v>&lt;N.A.&gt;</v>
      </c>
      <c r="K136" s="401" t="s">
        <v>719</v>
      </c>
      <c r="L136" s="2672"/>
      <c r="M136" s="2673"/>
      <c r="N136" s="2586"/>
      <c r="O136" s="2674" t="str">
        <f>IF(OR(K138=0,O137=0),$L$3,"")</f>
        <v>&lt;N.A.&gt;</v>
      </c>
    </row>
    <row r="137" spans="2:15" ht="15.75" hidden="1">
      <c r="B137" s="2712"/>
      <c r="C137" s="2712"/>
      <c r="D137" s="395"/>
      <c r="E137" s="395"/>
      <c r="F137" s="2655"/>
      <c r="G137" s="2688"/>
      <c r="H137" s="2689"/>
      <c r="I137" s="2690" t="s">
        <v>2629</v>
      </c>
      <c r="J137" s="2692">
        <f>Weight!M163</f>
        <v>0</v>
      </c>
      <c r="K137" s="2655"/>
      <c r="L137" s="2688"/>
      <c r="M137" s="2689"/>
      <c r="N137" s="2690" t="s">
        <v>2629</v>
      </c>
      <c r="O137" s="2692">
        <f>Weight!M164</f>
        <v>0</v>
      </c>
    </row>
    <row r="138" spans="2:15" ht="16.5" hidden="1" thickBot="1">
      <c r="B138" s="3408" t="s">
        <v>4204</v>
      </c>
      <c r="C138" s="3408" t="s">
        <v>4204</v>
      </c>
      <c r="D138" s="395"/>
      <c r="E138" s="395"/>
      <c r="F138" s="2656">
        <v>4</v>
      </c>
      <c r="G138" s="2753" t="s">
        <v>2618</v>
      </c>
      <c r="H138" s="2697"/>
      <c r="I138" s="2697"/>
      <c r="J138" s="2698"/>
      <c r="K138" s="2656">
        <v>4</v>
      </c>
      <c r="L138" s="2753" t="s">
        <v>2618</v>
      </c>
      <c r="M138" s="2698"/>
      <c r="N138" s="2753"/>
      <c r="O138" s="2760"/>
    </row>
    <row r="139" spans="2:15" ht="15.75" hidden="1" customHeight="1">
      <c r="B139" s="2014">
        <v>1</v>
      </c>
      <c r="C139" s="2014">
        <v>1</v>
      </c>
      <c r="D139" s="395"/>
      <c r="E139" s="395"/>
      <c r="F139" s="2699" t="str">
        <f>IF(F138=$S$22,$G$2,IF(ROUNDDOWN(F138,0)=$F$2,$H$2,$G$2))</f>
        <v>　Level 1</v>
      </c>
      <c r="G139" s="4230" t="s">
        <v>4215</v>
      </c>
      <c r="H139" s="4231"/>
      <c r="I139" s="4231"/>
      <c r="J139" s="4232"/>
      <c r="K139" s="2699" t="str">
        <f>IF(K138=$S$22,$G$2,IF(ROUNDDOWN(K138,0)=$F$2,$H$2,$G$2))</f>
        <v>　Level 1</v>
      </c>
      <c r="L139" s="4230" t="s">
        <v>4216</v>
      </c>
      <c r="M139" s="4231"/>
      <c r="N139" s="4231"/>
      <c r="O139" s="4232"/>
    </row>
    <row r="140" spans="2:15" ht="15.75" hidden="1" customHeight="1">
      <c r="B140" s="2014">
        <v>2</v>
      </c>
      <c r="C140" s="2014">
        <v>2</v>
      </c>
      <c r="D140" s="395"/>
      <c r="E140" s="395"/>
      <c r="F140" s="2702" t="str">
        <f>IF(F138=$S$22,$G$3,IF(ROUNDDOWN(F138,0)=$F$3,$H$3,$G$3))</f>
        <v>　Level 2</v>
      </c>
      <c r="G140" s="3945" t="s">
        <v>4217</v>
      </c>
      <c r="H140" s="4173"/>
      <c r="I140" s="4173"/>
      <c r="J140" s="4174"/>
      <c r="K140" s="2702" t="str">
        <f>IF(K138=$S$22,$G$3,IF(ROUNDDOWN(K138,0)=$F$3,$H$3,$G$3))</f>
        <v>　Level 2</v>
      </c>
      <c r="L140" s="3945" t="s">
        <v>4218</v>
      </c>
      <c r="M140" s="4173"/>
      <c r="N140" s="4173"/>
      <c r="O140" s="4174"/>
    </row>
    <row r="141" spans="2:15" ht="15.75" hidden="1" customHeight="1">
      <c r="B141" s="2014">
        <v>3</v>
      </c>
      <c r="C141" s="2014">
        <v>3</v>
      </c>
      <c r="D141" s="395"/>
      <c r="E141" s="395"/>
      <c r="F141" s="2702" t="str">
        <f>IF(F138=$S$22,$G$4,IF(ROUNDDOWN(F138,0)=$F$4,$H$4,$G$4))</f>
        <v>　Level 3</v>
      </c>
      <c r="G141" s="3945" t="s">
        <v>4219</v>
      </c>
      <c r="H141" s="4173"/>
      <c r="I141" s="4173"/>
      <c r="J141" s="4174"/>
      <c r="K141" s="2702" t="str">
        <f>IF(K138=$S$22,$G$4,IF(ROUNDDOWN(K138,0)=$F$4,$H$4,$G$4))</f>
        <v>　Level 3</v>
      </c>
      <c r="L141" s="3945" t="s">
        <v>4220</v>
      </c>
      <c r="M141" s="4173"/>
      <c r="N141" s="4173"/>
      <c r="O141" s="4174"/>
    </row>
    <row r="142" spans="2:15" ht="15.75" hidden="1" customHeight="1">
      <c r="B142" s="2014">
        <v>4</v>
      </c>
      <c r="C142" s="2014">
        <v>4</v>
      </c>
      <c r="D142" s="395"/>
      <c r="E142" s="395"/>
      <c r="F142" s="2702" t="str">
        <f>IF(F138=$S$22,$G$5,IF(ROUNDDOWN(F138,0)=$F$5,$H$5,$G$5))</f>
        <v>■Level 4</v>
      </c>
      <c r="G142" s="3945" t="s">
        <v>4221</v>
      </c>
      <c r="H142" s="4173"/>
      <c r="I142" s="4173"/>
      <c r="J142" s="4174"/>
      <c r="K142" s="2702" t="str">
        <f>IF(K138=$S$22,$G$5,IF(ROUNDDOWN(K138,0)=$F$5,$H$5,$G$5))</f>
        <v>■Level 4</v>
      </c>
      <c r="L142" s="3945" t="s">
        <v>4222</v>
      </c>
      <c r="M142" s="4173"/>
      <c r="N142" s="4173"/>
      <c r="O142" s="4174"/>
    </row>
    <row r="143" spans="2:15" ht="15.75" hidden="1" customHeight="1">
      <c r="B143" s="2014">
        <v>5</v>
      </c>
      <c r="C143" s="2014">
        <v>5</v>
      </c>
      <c r="D143" s="395"/>
      <c r="E143" s="395"/>
      <c r="F143" s="2704" t="str">
        <f>IF(F138=$S$22,$G$6,IF(ROUNDDOWN(F138,0)=$F$6,$H$6,$G$6))</f>
        <v>　Level 5</v>
      </c>
      <c r="G143" s="3940" t="s">
        <v>4223</v>
      </c>
      <c r="H143" s="4003"/>
      <c r="I143" s="4003"/>
      <c r="J143" s="4004"/>
      <c r="K143" s="2704" t="str">
        <f>IF(K138=$S$22,$G$6,IF(ROUNDDOWN(K138,0)=$F$6,$H$6,$G$6))</f>
        <v>　Level 5</v>
      </c>
      <c r="L143" s="3940" t="s">
        <v>4224</v>
      </c>
      <c r="M143" s="4003"/>
      <c r="N143" s="4003"/>
      <c r="O143" s="4004"/>
    </row>
    <row r="144" spans="2:15" ht="15.75" hidden="1">
      <c r="B144" s="2707">
        <v>0</v>
      </c>
      <c r="C144" s="2707">
        <v>0</v>
      </c>
      <c r="D144" s="395"/>
      <c r="E144" s="395"/>
      <c r="F144" s="395"/>
      <c r="G144" s="395"/>
      <c r="H144" s="395"/>
      <c r="I144" s="395"/>
      <c r="J144" s="395"/>
      <c r="K144" s="395"/>
      <c r="L144" s="410"/>
      <c r="M144" s="395"/>
      <c r="N144" s="395"/>
      <c r="O144" s="395"/>
    </row>
    <row r="145" spans="2:15" ht="15.75" hidden="1">
      <c r="B145" s="2712"/>
      <c r="C145" s="2712"/>
      <c r="D145" s="395"/>
      <c r="E145" s="395"/>
      <c r="F145" s="401" t="s">
        <v>720</v>
      </c>
      <c r="G145" s="2672"/>
      <c r="H145" s="2673"/>
      <c r="I145" s="2586"/>
      <c r="J145" s="2674" t="str">
        <f>IF(OR(F147=0,J146=0),$L$3,"")</f>
        <v>&lt;N.A.&gt;</v>
      </c>
      <c r="K145" s="401" t="s">
        <v>721</v>
      </c>
      <c r="L145" s="2672"/>
      <c r="M145" s="2673"/>
      <c r="N145" s="2586"/>
      <c r="O145" s="2674" t="str">
        <f>IF(OR(K147=0,O146=0),$L$3,"")</f>
        <v>&lt;N.A.&gt;</v>
      </c>
    </row>
    <row r="146" spans="2:15" ht="15.75" hidden="1">
      <c r="B146" s="2712"/>
      <c r="C146" s="2712"/>
      <c r="D146" s="395"/>
      <c r="E146" s="395"/>
      <c r="F146" s="2655"/>
      <c r="G146" s="2688"/>
      <c r="H146" s="2689"/>
      <c r="I146" s="2690" t="s">
        <v>2629</v>
      </c>
      <c r="J146" s="2692">
        <f>Weight!M165</f>
        <v>0</v>
      </c>
      <c r="K146" s="2655"/>
      <c r="L146" s="2688"/>
      <c r="M146" s="2689"/>
      <c r="N146" s="2690" t="s">
        <v>2629</v>
      </c>
      <c r="O146" s="2692">
        <f>Weight!M166</f>
        <v>0</v>
      </c>
    </row>
    <row r="147" spans="2:15" ht="16.5" hidden="1" thickBot="1">
      <c r="B147" s="3408" t="s">
        <v>4204</v>
      </c>
      <c r="C147" s="3408" t="s">
        <v>4204</v>
      </c>
      <c r="D147" s="395"/>
      <c r="E147" s="395"/>
      <c r="F147" s="2656">
        <f>IF(H153=$N$4,F153,IF(G165&lt;1,1,IF(G165=1,2,IF(G165=2,3,IF(G165=3,4,5)))))</f>
        <v>1</v>
      </c>
      <c r="G147" s="2753" t="s">
        <v>2618</v>
      </c>
      <c r="H147" s="2697"/>
      <c r="I147" s="2697"/>
      <c r="J147" s="2698"/>
      <c r="K147" s="2656">
        <f>IF(M153=$N$4,K153,IF(L162&lt;1,1,IF(L162=1,3,IF(L162=2,4,5))))</f>
        <v>1</v>
      </c>
      <c r="L147" s="2753" t="s">
        <v>2618</v>
      </c>
      <c r="M147" s="2698"/>
      <c r="N147" s="2753"/>
      <c r="O147" s="2760"/>
    </row>
    <row r="148" spans="2:15" ht="15.75" hidden="1">
      <c r="B148" s="2014">
        <v>1</v>
      </c>
      <c r="C148" s="2014">
        <v>1</v>
      </c>
      <c r="D148" s="395"/>
      <c r="E148" s="395"/>
      <c r="F148" s="2699" t="str">
        <f>IF(F147=$S$22,$G$2,IF(ROUNDDOWN(F147,0)=$F$2,$H$2,$G$2))</f>
        <v>■Level 1</v>
      </c>
      <c r="G148" s="2755" t="s">
        <v>4225</v>
      </c>
      <c r="H148" s="2808"/>
      <c r="I148" s="2808"/>
      <c r="J148" s="2701"/>
      <c r="K148" s="2699" t="str">
        <f>IF(K147=$S$22,$G$2,IF(ROUNDDOWN(K147,0)=$F$2,$H$2,$G$2))</f>
        <v>■Level 1</v>
      </c>
      <c r="L148" s="2755" t="s">
        <v>4225</v>
      </c>
      <c r="M148" s="2808"/>
      <c r="N148" s="2808"/>
      <c r="O148" s="2701"/>
    </row>
    <row r="149" spans="2:15" ht="15.75" hidden="1">
      <c r="B149" s="2014">
        <v>2</v>
      </c>
      <c r="C149" s="2014" t="s">
        <v>49</v>
      </c>
      <c r="D149" s="395"/>
      <c r="E149" s="395"/>
      <c r="F149" s="2702" t="str">
        <f>IF(F147=$S$22,$G$3,IF(ROUNDDOWN(F147,0)=$F$3,$H$3,$G$3))</f>
        <v>　Level 2</v>
      </c>
      <c r="G149" s="1170" t="s">
        <v>4226</v>
      </c>
      <c r="H149" s="2776"/>
      <c r="I149" s="2776"/>
      <c r="J149" s="2703"/>
      <c r="K149" s="2702" t="str">
        <f>IF(K147=$S$22,$G$3,IF(ROUNDDOWN(K147,0)=$F$3,$H$3,$G$3))</f>
        <v>　Level 2</v>
      </c>
      <c r="L149" s="1170" t="s">
        <v>3135</v>
      </c>
      <c r="M149" s="2776"/>
      <c r="N149" s="2776"/>
      <c r="O149" s="2703"/>
    </row>
    <row r="150" spans="2:15" ht="15.75" hidden="1">
      <c r="B150" s="2014">
        <v>3</v>
      </c>
      <c r="C150" s="2014">
        <v>3</v>
      </c>
      <c r="D150" s="395"/>
      <c r="E150" s="395"/>
      <c r="F150" s="2702" t="str">
        <f>IF(F147=$S$22,$G$4,IF(ROUNDDOWN(F147,0)=$F$4,$H$4,$G$4))</f>
        <v>　Level 3</v>
      </c>
      <c r="G150" s="1170" t="s">
        <v>4227</v>
      </c>
      <c r="H150" s="2776"/>
      <c r="I150" s="2776"/>
      <c r="J150" s="2703"/>
      <c r="K150" s="2702" t="str">
        <f>IF(K147=$S$22,$G$4,IF(ROUNDDOWN(K147,0)=$F$4,$H$4,$G$4))</f>
        <v>　Level 3</v>
      </c>
      <c r="L150" s="1170" t="s">
        <v>4226</v>
      </c>
      <c r="M150" s="2776"/>
      <c r="N150" s="2776"/>
      <c r="O150" s="2703"/>
    </row>
    <row r="151" spans="2:15" ht="15.75" hidden="1">
      <c r="B151" s="2014">
        <v>4</v>
      </c>
      <c r="C151" s="2014">
        <v>4</v>
      </c>
      <c r="D151" s="395"/>
      <c r="E151" s="395"/>
      <c r="F151" s="2702" t="str">
        <f>IF(F147=$S$22,$G$5,IF(ROUNDDOWN(F147,0)=$F$5,$H$5,$G$5))</f>
        <v>　Level 4</v>
      </c>
      <c r="G151" s="1170" t="s">
        <v>4228</v>
      </c>
      <c r="H151" s="2776"/>
      <c r="I151" s="2776"/>
      <c r="J151" s="2703"/>
      <c r="K151" s="2702" t="str">
        <f>IF(K147=$S$22,$G$5,IF(ROUNDDOWN(K147,0)=$F$5,$H$5,$G$5))</f>
        <v>　Level 4</v>
      </c>
      <c r="L151" s="1170" t="s">
        <v>4227</v>
      </c>
      <c r="M151" s="2776"/>
      <c r="N151" s="2776"/>
      <c r="O151" s="2703"/>
    </row>
    <row r="152" spans="2:15" ht="15.75" hidden="1">
      <c r="B152" s="2014">
        <v>5</v>
      </c>
      <c r="C152" s="2014">
        <v>5</v>
      </c>
      <c r="D152" s="395"/>
      <c r="E152" s="395"/>
      <c r="F152" s="2704" t="str">
        <f>IF(F147=$S$22,$G$6,IF(ROUNDDOWN(F147,0)=$F$6,$H$6,$G$6))</f>
        <v>　Level 5</v>
      </c>
      <c r="G152" s="2756" t="s">
        <v>4229</v>
      </c>
      <c r="H152" s="2810"/>
      <c r="I152" s="2810"/>
      <c r="J152" s="2706"/>
      <c r="K152" s="2704" t="str">
        <f>IF(K147=$S$22,$G$6,IF(ROUNDDOWN(K147,0)=$F$6,$H$6,$G$6))</f>
        <v>　Level 5</v>
      </c>
      <c r="L152" s="2756" t="s">
        <v>4230</v>
      </c>
      <c r="M152" s="2810"/>
      <c r="N152" s="2810"/>
      <c r="O152" s="2706"/>
    </row>
    <row r="153" spans="2:15" ht="16.5" hidden="1" thickBot="1">
      <c r="B153" s="2707">
        <v>0</v>
      </c>
      <c r="C153" s="2707">
        <v>0</v>
      </c>
      <c r="D153" s="395"/>
      <c r="E153" s="395"/>
      <c r="F153" s="2656">
        <v>0</v>
      </c>
      <c r="G153" s="3409" t="s">
        <v>3072</v>
      </c>
      <c r="H153" s="3410" t="s">
        <v>4231</v>
      </c>
      <c r="I153" s="2725"/>
      <c r="J153" s="2725"/>
      <c r="K153" s="2656">
        <v>0</v>
      </c>
      <c r="L153" s="3409" t="s">
        <v>3072</v>
      </c>
      <c r="M153" s="3410" t="s">
        <v>4231</v>
      </c>
      <c r="N153" s="2725"/>
      <c r="O153" s="2725"/>
    </row>
    <row r="154" spans="2:15" ht="15.75" hidden="1">
      <c r="D154" s="395"/>
      <c r="E154" s="395"/>
      <c r="F154" s="2750" t="s">
        <v>4232</v>
      </c>
      <c r="K154" s="2750" t="s">
        <v>4232</v>
      </c>
    </row>
    <row r="155" spans="2:15" ht="15.75" hidden="1">
      <c r="D155" s="395"/>
      <c r="E155" s="395"/>
      <c r="F155" s="2799" t="s">
        <v>4233</v>
      </c>
      <c r="G155" s="3411" t="s">
        <v>4234</v>
      </c>
      <c r="H155" s="3391"/>
      <c r="I155" s="3391"/>
      <c r="J155" s="3393"/>
      <c r="K155" s="2799" t="s">
        <v>4233</v>
      </c>
      <c r="L155" s="3411" t="s">
        <v>4234</v>
      </c>
      <c r="M155" s="3391"/>
      <c r="N155" s="3391"/>
      <c r="O155" s="3393"/>
    </row>
    <row r="156" spans="2:15" ht="15.75" hidden="1" customHeight="1">
      <c r="D156" s="395"/>
      <c r="E156" s="395"/>
      <c r="F156" s="3412" t="s">
        <v>4235</v>
      </c>
      <c r="G156" s="2815" t="s">
        <v>4236</v>
      </c>
      <c r="H156" s="2808"/>
      <c r="I156" s="2808"/>
      <c r="J156" s="2808"/>
      <c r="K156" s="3412" t="s">
        <v>4235</v>
      </c>
      <c r="L156" s="3346" t="s">
        <v>4237</v>
      </c>
      <c r="M156" s="2808"/>
      <c r="N156" s="2808"/>
      <c r="O156" s="2809"/>
    </row>
    <row r="157" spans="2:15" ht="15.75" hidden="1" customHeight="1">
      <c r="D157" s="395"/>
      <c r="E157" s="395"/>
      <c r="F157" s="3413" t="s">
        <v>4235</v>
      </c>
      <c r="G157" s="2790" t="s">
        <v>4238</v>
      </c>
      <c r="H157" s="2776"/>
      <c r="I157" s="2776"/>
      <c r="J157" s="2776"/>
      <c r="K157" s="3413"/>
      <c r="L157" s="4241" t="s">
        <v>4239</v>
      </c>
      <c r="M157" s="4173"/>
      <c r="N157" s="4173"/>
      <c r="O157" s="4174"/>
    </row>
    <row r="158" spans="2:15" ht="15.75" hidden="1" customHeight="1">
      <c r="D158" s="395"/>
      <c r="E158" s="395"/>
      <c r="F158" s="3413" t="s">
        <v>4235</v>
      </c>
      <c r="G158" s="2790" t="s">
        <v>4240</v>
      </c>
      <c r="H158" s="2776"/>
      <c r="I158" s="2776"/>
      <c r="J158" s="2776"/>
      <c r="K158" s="3413" t="s">
        <v>4235</v>
      </c>
      <c r="L158" s="4241" t="s">
        <v>4241</v>
      </c>
      <c r="M158" s="4173"/>
      <c r="N158" s="4173"/>
      <c r="O158" s="4174"/>
    </row>
    <row r="159" spans="2:15" ht="15.75" hidden="1" customHeight="1">
      <c r="D159" s="395"/>
      <c r="E159" s="395"/>
      <c r="F159" s="3413" t="s">
        <v>4235</v>
      </c>
      <c r="G159" s="2790" t="s">
        <v>4242</v>
      </c>
      <c r="H159" s="2776"/>
      <c r="I159" s="2776"/>
      <c r="J159" s="2776"/>
      <c r="K159" s="3413" t="s">
        <v>4235</v>
      </c>
      <c r="L159" s="4241" t="s">
        <v>4243</v>
      </c>
      <c r="M159" s="4173"/>
      <c r="N159" s="4173"/>
      <c r="O159" s="4174"/>
    </row>
    <row r="160" spans="2:15" ht="15.75" hidden="1">
      <c r="D160" s="395"/>
      <c r="E160" s="395"/>
      <c r="F160" s="3413"/>
      <c r="G160" s="2790" t="s">
        <v>4244</v>
      </c>
      <c r="H160" s="2776"/>
      <c r="I160" s="2776"/>
      <c r="J160" s="2776"/>
      <c r="K160" s="4247"/>
      <c r="L160" s="2860" t="s">
        <v>4245</v>
      </c>
      <c r="M160" s="3353"/>
      <c r="N160" s="3353"/>
      <c r="O160" s="3354"/>
    </row>
    <row r="161" spans="2:15" ht="16.5" hidden="1" customHeight="1" thickBot="1">
      <c r="D161" s="395"/>
      <c r="E161" s="395"/>
      <c r="F161" s="3413"/>
      <c r="G161" s="2790" t="s">
        <v>4246</v>
      </c>
      <c r="H161" s="2776"/>
      <c r="I161" s="2776"/>
      <c r="J161" s="2776"/>
      <c r="K161" s="4248"/>
      <c r="L161" s="4242"/>
      <c r="M161" s="4243"/>
      <c r="N161" s="4243"/>
      <c r="O161" s="4244"/>
    </row>
    <row r="162" spans="2:15" ht="15.75" hidden="1">
      <c r="B162" s="2712"/>
      <c r="C162" s="2712"/>
      <c r="D162" s="395"/>
      <c r="E162" s="395"/>
      <c r="F162" s="3415"/>
      <c r="G162" s="2790" t="s">
        <v>4247</v>
      </c>
      <c r="H162" s="2776"/>
      <c r="I162" s="2776"/>
      <c r="J162" s="2777"/>
      <c r="K162" s="3416" t="s">
        <v>4248</v>
      </c>
      <c r="L162" s="3417">
        <f>COUNTIF(K156:K161,$M$3)</f>
        <v>0</v>
      </c>
      <c r="M162" s="3418"/>
      <c r="N162" s="3418"/>
      <c r="O162" s="3418"/>
    </row>
    <row r="163" spans="2:15" ht="15.75" hidden="1" customHeight="1">
      <c r="B163" s="2712"/>
      <c r="C163" s="2712"/>
      <c r="D163" s="395"/>
      <c r="E163" s="395"/>
      <c r="F163" s="4247"/>
      <c r="G163" s="2860" t="s">
        <v>4249</v>
      </c>
      <c r="H163" s="3353"/>
      <c r="I163" s="3353"/>
      <c r="J163" s="3354"/>
    </row>
    <row r="164" spans="2:15" ht="16.5" hidden="1" customHeight="1" thickBot="1">
      <c r="B164" s="2712"/>
      <c r="C164" s="2712"/>
      <c r="D164" s="395"/>
      <c r="E164" s="395"/>
      <c r="F164" s="4248"/>
      <c r="G164" s="4242"/>
      <c r="H164" s="4243"/>
      <c r="I164" s="4243"/>
      <c r="J164" s="4244"/>
    </row>
    <row r="165" spans="2:15" ht="15.75" hidden="1">
      <c r="B165" s="2712"/>
      <c r="C165" s="2712"/>
      <c r="D165" s="395"/>
      <c r="E165" s="395"/>
      <c r="F165" s="3416" t="s">
        <v>4248</v>
      </c>
      <c r="G165" s="3417">
        <f>COUNTIF(F156:F164,$M$3)</f>
        <v>0</v>
      </c>
      <c r="H165" s="3418"/>
      <c r="I165" s="3418"/>
      <c r="J165" s="3418"/>
    </row>
    <row r="166" spans="2:15" ht="15.75" hidden="1">
      <c r="B166" s="2712"/>
      <c r="C166" s="2712"/>
      <c r="D166" s="395"/>
      <c r="E166" s="395"/>
      <c r="F166" s="395"/>
      <c r="G166" s="395"/>
      <c r="H166" s="395"/>
      <c r="I166" s="395"/>
      <c r="J166" s="395"/>
      <c r="K166" s="395"/>
      <c r="L166" s="410"/>
      <c r="M166" s="395"/>
      <c r="N166" s="395"/>
      <c r="O166" s="395"/>
    </row>
    <row r="167" spans="2:15" ht="15.75" hidden="1">
      <c r="B167" s="2712"/>
      <c r="C167" s="2712"/>
      <c r="D167" s="393">
        <v>2.7</v>
      </c>
      <c r="E167" s="13" t="s">
        <v>4250</v>
      </c>
      <c r="F167" s="13"/>
      <c r="G167" s="53"/>
      <c r="H167" s="3419"/>
      <c r="I167" s="3419"/>
      <c r="J167" s="2674" t="str">
        <f>IF(OR(F169=0,J168=0),$L$3,"")</f>
        <v>&lt;N.A.&gt;</v>
      </c>
      <c r="K167" s="151"/>
      <c r="L167" s="2855"/>
      <c r="M167" s="53"/>
      <c r="N167" s="53"/>
      <c r="O167" s="53"/>
    </row>
    <row r="168" spans="2:15" ht="15" hidden="1">
      <c r="B168" s="2712"/>
      <c r="C168" s="2712"/>
      <c r="D168" s="3284"/>
      <c r="E168" s="3284"/>
      <c r="F168" s="3220"/>
      <c r="G168" s="2688"/>
      <c r="H168" s="2689"/>
      <c r="I168" s="2690" t="s">
        <v>2629</v>
      </c>
      <c r="J168" s="3221">
        <f>Weight!M167</f>
        <v>0</v>
      </c>
      <c r="K168" s="2764"/>
      <c r="L168" s="2764"/>
      <c r="M168" s="2764"/>
      <c r="N168" s="2764"/>
      <c r="O168" s="2698"/>
    </row>
    <row r="169" spans="2:15" ht="16.5" hidden="1" thickBot="1">
      <c r="B169" s="3408" t="s">
        <v>4204</v>
      </c>
      <c r="D169" s="395"/>
      <c r="E169" s="1529"/>
      <c r="F169" s="2656">
        <f>IF(H175=$N$4,F175,IF(H184&lt;1,2,IF(H184=1,3,IF(H184=2,4,5))))</f>
        <v>2</v>
      </c>
      <c r="G169" s="2774" t="s">
        <v>2619</v>
      </c>
      <c r="H169" s="2697"/>
      <c r="I169" s="2697"/>
      <c r="J169" s="2697"/>
      <c r="K169" s="2697"/>
      <c r="L169" s="2856"/>
      <c r="M169" s="2697"/>
      <c r="N169" s="2697"/>
      <c r="O169" s="2698"/>
    </row>
    <row r="170" spans="2:15" ht="15.75" hidden="1">
      <c r="B170" s="2014">
        <v>1</v>
      </c>
      <c r="C170" s="2014">
        <v>1</v>
      </c>
      <c r="D170" s="395"/>
      <c r="E170" s="1529"/>
      <c r="F170" s="2699" t="str">
        <f>IF(F169=$F$7,$G$2,IF(ROUNDDOWN(F169,0)=$F$2,$H$2,$G$2))</f>
        <v>　Level 1</v>
      </c>
      <c r="G170" s="2755" t="s">
        <v>3135</v>
      </c>
      <c r="H170" s="2700"/>
      <c r="I170" s="2700"/>
      <c r="J170" s="2700"/>
      <c r="K170" s="2700"/>
      <c r="L170" s="3381"/>
      <c r="M170" s="2700"/>
      <c r="N170" s="2700"/>
      <c r="O170" s="2701"/>
    </row>
    <row r="171" spans="2:15" ht="15.75" hidden="1">
      <c r="B171" s="2014">
        <v>2</v>
      </c>
      <c r="C171" s="2014">
        <v>2</v>
      </c>
      <c r="D171" s="395"/>
      <c r="E171" s="1529"/>
      <c r="F171" s="2702" t="str">
        <f>IF(F169=$F$7,$G$3,IF(ROUNDDOWN(F169,0)=$F$3,$H$3,$G$3))</f>
        <v>■Level 2</v>
      </c>
      <c r="G171" s="1170" t="s">
        <v>4225</v>
      </c>
      <c r="H171" s="2333"/>
      <c r="I171" s="2333"/>
      <c r="J171" s="2333"/>
      <c r="K171" s="2333"/>
      <c r="L171" s="2334"/>
      <c r="M171" s="2333"/>
      <c r="N171" s="2333"/>
      <c r="O171" s="2703"/>
    </row>
    <row r="172" spans="2:15" ht="15.75" hidden="1">
      <c r="B172" s="2014">
        <v>3</v>
      </c>
      <c r="C172" s="2014">
        <v>3</v>
      </c>
      <c r="D172" s="395"/>
      <c r="E172" s="1529"/>
      <c r="F172" s="2702" t="str">
        <f>IF(F169=$F$7,$G$4,IF(ROUNDDOWN(F169,0)=$F$4,$H$4,$G$4))</f>
        <v>　Level 3</v>
      </c>
      <c r="G172" s="1170" t="s">
        <v>4226</v>
      </c>
      <c r="H172" s="2333"/>
      <c r="I172" s="2333"/>
      <c r="J172" s="2333"/>
      <c r="K172" s="2333"/>
      <c r="L172" s="2334"/>
      <c r="M172" s="2333"/>
      <c r="N172" s="2333"/>
      <c r="O172" s="2703"/>
    </row>
    <row r="173" spans="2:15" ht="15.75" hidden="1">
      <c r="B173" s="2014">
        <v>4</v>
      </c>
      <c r="C173" s="2014">
        <v>4</v>
      </c>
      <c r="D173" s="395"/>
      <c r="E173" s="1529"/>
      <c r="F173" s="2702" t="str">
        <f>IF(F169=$F$7,$G$5,IF(ROUNDDOWN(F169,0)=$F$5,$H$5,$G$5))</f>
        <v>　Level 4</v>
      </c>
      <c r="G173" s="1170" t="s">
        <v>4227</v>
      </c>
      <c r="H173" s="2333"/>
      <c r="I173" s="2333"/>
      <c r="J173" s="2333"/>
      <c r="K173" s="2333"/>
      <c r="L173" s="2334"/>
      <c r="M173" s="2333"/>
      <c r="N173" s="2333"/>
      <c r="O173" s="2703"/>
    </row>
    <row r="174" spans="2:15" ht="15.75" hidden="1">
      <c r="B174" s="2014">
        <v>5</v>
      </c>
      <c r="C174" s="2014">
        <v>5</v>
      </c>
      <c r="D174" s="395"/>
      <c r="E174" s="1529"/>
      <c r="F174" s="2704" t="str">
        <f>IF(F169=$F$7,$G$6,IF(ROUNDDOWN(F169,0)=$F$6,$H$6,$G$6))</f>
        <v>　Level 5</v>
      </c>
      <c r="G174" s="2756" t="s">
        <v>4230</v>
      </c>
      <c r="H174" s="2705"/>
      <c r="I174" s="2705"/>
      <c r="J174" s="2705"/>
      <c r="K174" s="2705"/>
      <c r="L174" s="3382"/>
      <c r="M174" s="2705"/>
      <c r="N174" s="2705"/>
      <c r="O174" s="2706"/>
    </row>
    <row r="175" spans="2:15" ht="16.5" hidden="1" thickBot="1">
      <c r="B175" s="2707">
        <v>0</v>
      </c>
      <c r="C175" s="2707">
        <v>0</v>
      </c>
      <c r="D175" s="393"/>
      <c r="E175" s="13"/>
      <c r="F175" s="2656">
        <v>0</v>
      </c>
      <c r="G175" s="3409" t="s">
        <v>3072</v>
      </c>
      <c r="H175" s="3410" t="s">
        <v>4231</v>
      </c>
      <c r="J175" s="2725"/>
      <c r="K175" s="9"/>
      <c r="L175" s="2852"/>
      <c r="M175" s="9"/>
      <c r="N175" s="9"/>
      <c r="O175" s="9"/>
    </row>
    <row r="176" spans="2:15" ht="15.75" hidden="1">
      <c r="D176" s="395"/>
      <c r="E176" s="395"/>
      <c r="G176" s="2750" t="s">
        <v>4232</v>
      </c>
      <c r="K176" s="395"/>
      <c r="L176" s="410"/>
      <c r="M176" s="395"/>
      <c r="N176" s="395"/>
      <c r="O176" s="395"/>
    </row>
    <row r="177" spans="2:15" ht="15.75" hidden="1">
      <c r="D177" s="395"/>
      <c r="E177" s="395"/>
      <c r="G177" s="2799" t="s">
        <v>4233</v>
      </c>
      <c r="H177" s="3411" t="s">
        <v>4234</v>
      </c>
      <c r="I177" s="3391"/>
      <c r="J177" s="3391"/>
      <c r="K177" s="3391"/>
      <c r="L177" s="3391"/>
      <c r="M177" s="3391"/>
      <c r="N177" s="3391"/>
      <c r="O177" s="3393"/>
    </row>
    <row r="178" spans="2:15" ht="15.75" hidden="1">
      <c r="D178" s="395"/>
      <c r="E178" s="395"/>
      <c r="G178" s="3412" t="s">
        <v>4235</v>
      </c>
      <c r="H178" s="2815" t="s">
        <v>4251</v>
      </c>
      <c r="I178" s="2808"/>
      <c r="J178" s="2808"/>
      <c r="K178" s="2808"/>
      <c r="L178" s="2808"/>
      <c r="M178" s="2808"/>
      <c r="N178" s="2808"/>
      <c r="O178" s="2809"/>
    </row>
    <row r="179" spans="2:15" ht="15.75" hidden="1">
      <c r="D179" s="395"/>
      <c r="E179" s="395"/>
      <c r="G179" s="3413" t="s">
        <v>4235</v>
      </c>
      <c r="H179" s="2790" t="s">
        <v>4252</v>
      </c>
      <c r="I179" s="2776"/>
      <c r="J179" s="2776"/>
      <c r="K179" s="2776"/>
      <c r="L179" s="2776"/>
      <c r="M179" s="2776"/>
      <c r="N179" s="2776"/>
      <c r="O179" s="2777"/>
    </row>
    <row r="180" spans="2:15" ht="15.75" hidden="1">
      <c r="D180" s="395"/>
      <c r="E180" s="395"/>
      <c r="G180" s="3413"/>
      <c r="H180" s="2790" t="s">
        <v>4253</v>
      </c>
      <c r="I180" s="2776"/>
      <c r="J180" s="2776"/>
      <c r="K180" s="2776"/>
      <c r="L180" s="2776"/>
      <c r="M180" s="2776"/>
      <c r="N180" s="2776"/>
      <c r="O180" s="2777"/>
    </row>
    <row r="181" spans="2:15" ht="15.75" hidden="1">
      <c r="D181" s="395"/>
      <c r="E181" s="395"/>
      <c r="G181" s="3415"/>
      <c r="H181" s="2790" t="s">
        <v>4254</v>
      </c>
      <c r="I181" s="2776"/>
      <c r="J181" s="2776"/>
      <c r="K181" s="2776"/>
      <c r="L181" s="2776"/>
      <c r="M181" s="2776"/>
      <c r="N181" s="2776"/>
      <c r="O181" s="2777"/>
    </row>
    <row r="182" spans="2:15" ht="15.75" hidden="1">
      <c r="D182" s="395"/>
      <c r="E182" s="395"/>
      <c r="G182" s="4247" t="s">
        <v>4235</v>
      </c>
      <c r="H182" s="2862" t="s">
        <v>4255</v>
      </c>
      <c r="I182" s="3353"/>
      <c r="J182" s="3353"/>
      <c r="K182" s="3353"/>
      <c r="L182" s="3353"/>
      <c r="M182" s="3353"/>
      <c r="N182" s="3353"/>
      <c r="O182" s="3354"/>
    </row>
    <row r="183" spans="2:15" ht="16.5" hidden="1" thickBot="1">
      <c r="D183" s="395"/>
      <c r="E183" s="395"/>
      <c r="G183" s="4248"/>
      <c r="H183" s="4249"/>
      <c r="I183" s="4250"/>
      <c r="J183" s="4250"/>
      <c r="K183" s="4250"/>
      <c r="L183" s="4250"/>
      <c r="M183" s="4250"/>
      <c r="N183" s="4250"/>
      <c r="O183" s="4251"/>
    </row>
    <row r="184" spans="2:15" ht="15.75" hidden="1">
      <c r="D184" s="395"/>
      <c r="E184" s="395"/>
      <c r="G184" s="3416" t="s">
        <v>4248</v>
      </c>
      <c r="H184" s="3417">
        <f>COUNTIF(G178:G182,$M$3)</f>
        <v>0</v>
      </c>
      <c r="I184" s="3418"/>
      <c r="J184" s="3418"/>
      <c r="K184" s="3418"/>
      <c r="L184" s="3418"/>
      <c r="M184" s="3418"/>
      <c r="N184" s="3418"/>
      <c r="O184" s="3418"/>
    </row>
    <row r="185" spans="2:15" ht="15.75">
      <c r="B185" s="2712"/>
      <c r="C185" s="2712"/>
      <c r="D185" s="395"/>
      <c r="E185" s="395"/>
      <c r="F185" s="395"/>
      <c r="G185" s="395"/>
      <c r="H185" s="395"/>
      <c r="I185" s="395"/>
      <c r="J185" s="395"/>
      <c r="K185" s="395"/>
      <c r="L185" s="410"/>
      <c r="M185" s="395"/>
      <c r="N185" s="395"/>
      <c r="O185" s="395"/>
    </row>
    <row r="186" spans="2:15" ht="15.75">
      <c r="D186" s="395">
        <v>3</v>
      </c>
      <c r="E186" s="395" t="s">
        <v>1644</v>
      </c>
      <c r="F186" s="395"/>
      <c r="G186" s="395"/>
      <c r="H186" s="395"/>
      <c r="I186" s="395"/>
      <c r="J186" s="395"/>
      <c r="K186" s="395"/>
      <c r="L186" s="410"/>
      <c r="M186" s="395"/>
      <c r="N186" s="395"/>
      <c r="O186" s="395"/>
    </row>
    <row r="187" spans="2:15" ht="15.75">
      <c r="D187" s="393">
        <v>3.1</v>
      </c>
      <c r="E187" s="13" t="s">
        <v>1645</v>
      </c>
      <c r="F187" s="13"/>
      <c r="G187" s="395"/>
      <c r="H187" s="395"/>
      <c r="O187" s="1105" t="str">
        <f>IF(OR(F189=0,J188=0),$L$3,"")</f>
        <v/>
      </c>
    </row>
    <row r="188" spans="2:15" ht="13.5" customHeight="1" thickBot="1">
      <c r="D188" s="3284"/>
      <c r="E188" s="3284"/>
      <c r="F188" s="3220"/>
      <c r="G188" s="2688"/>
      <c r="H188" s="2689"/>
      <c r="I188" s="2690" t="s">
        <v>2629</v>
      </c>
      <c r="J188" s="3221">
        <f>Weight!M169</f>
        <v>0.3</v>
      </c>
      <c r="K188" s="2764"/>
      <c r="L188" s="2764"/>
      <c r="M188" s="2764"/>
      <c r="N188" s="2764"/>
      <c r="O188" s="2698"/>
    </row>
    <row r="189" spans="2:15" ht="27" customHeight="1" thickBot="1">
      <c r="B189" s="1105" t="s">
        <v>1049</v>
      </c>
      <c r="D189" s="395"/>
      <c r="E189" s="1529"/>
      <c r="F189" s="2865">
        <f>G197</f>
        <v>3</v>
      </c>
      <c r="G189" s="2774" t="s">
        <v>2619</v>
      </c>
      <c r="H189" s="2697"/>
      <c r="I189" s="2697"/>
      <c r="J189" s="2697"/>
      <c r="K189" s="2697"/>
      <c r="L189" s="2856"/>
      <c r="M189" s="2697"/>
      <c r="N189" s="2697"/>
      <c r="O189" s="2698"/>
    </row>
    <row r="190" spans="2:15" ht="21" customHeight="1">
      <c r="B190" s="1105">
        <v>0</v>
      </c>
      <c r="D190" s="395"/>
      <c r="E190" s="1529"/>
      <c r="F190" s="2699" t="str">
        <f>IF(F189=$F$7,$G$2,IF(ROUNDDOWN(F189,0)=$F$2,$H$2,$G$2))</f>
        <v>　Level 1</v>
      </c>
      <c r="G190" s="2755" t="s">
        <v>2528</v>
      </c>
      <c r="H190" s="2700"/>
      <c r="I190" s="2700"/>
      <c r="J190" s="2700"/>
      <c r="K190" s="2700"/>
      <c r="L190" s="3381"/>
      <c r="M190" s="2700"/>
      <c r="N190" s="2700"/>
      <c r="O190" s="2701"/>
    </row>
    <row r="191" spans="2:15" ht="21" customHeight="1">
      <c r="B191" s="1105">
        <v>0</v>
      </c>
      <c r="D191" s="395"/>
      <c r="E191" s="1529"/>
      <c r="F191" s="2702" t="str">
        <f>IF(F189=$F$7,$G$3,IF(ROUNDDOWN(F189,0)=$F$3,$H$3,$G$3))</f>
        <v>　Level 2</v>
      </c>
      <c r="G191" s="1170" t="s">
        <v>2528</v>
      </c>
      <c r="H191" s="2333"/>
      <c r="I191" s="2333"/>
      <c r="J191" s="2333"/>
      <c r="K191" s="2333"/>
      <c r="L191" s="2334"/>
      <c r="M191" s="2333"/>
      <c r="N191" s="2333"/>
      <c r="O191" s="2703"/>
    </row>
    <row r="192" spans="2:15" ht="24.6" customHeight="1">
      <c r="B192" s="1105">
        <v>0</v>
      </c>
      <c r="D192" s="395"/>
      <c r="E192" s="1529"/>
      <c r="F192" s="2702" t="str">
        <f>IF(F189=$F$7,$G$4,IF(ROUNDDOWN(F189,0)=$F$4,$H$4,$G$4))</f>
        <v>■Level 3</v>
      </c>
      <c r="G192" s="3808" t="s">
        <v>3895</v>
      </c>
      <c r="H192" s="4009"/>
      <c r="I192" s="4009"/>
      <c r="J192" s="4009"/>
      <c r="K192" s="4009"/>
      <c r="L192" s="4009"/>
      <c r="M192" s="4009"/>
      <c r="N192" s="4009"/>
      <c r="O192" s="3977"/>
    </row>
    <row r="193" spans="2:15" ht="24.6" customHeight="1">
      <c r="B193" s="1105">
        <v>1</v>
      </c>
      <c r="D193" s="395"/>
      <c r="E193" s="1529"/>
      <c r="F193" s="2702" t="str">
        <f>IF(F189=$F$7,$G$5,IF(ROUNDDOWN(F189,0)=$F$5,$H$5,$G$5))</f>
        <v>　Level 4</v>
      </c>
      <c r="G193" s="3808" t="s">
        <v>3896</v>
      </c>
      <c r="H193" s="4009"/>
      <c r="I193" s="4009"/>
      <c r="J193" s="4009"/>
      <c r="K193" s="4009"/>
      <c r="L193" s="4009"/>
      <c r="M193" s="4009"/>
      <c r="N193" s="4009"/>
      <c r="O193" s="3977"/>
    </row>
    <row r="194" spans="2:15" ht="24.6" customHeight="1">
      <c r="B194" s="1105">
        <v>4</v>
      </c>
      <c r="D194" s="395"/>
      <c r="E194" s="1529"/>
      <c r="F194" s="2704" t="str">
        <f>IF(F189=$F$7,$G$6,IF(ROUNDDOWN(F189,0)=$F$6,$H$6,$G$6))</f>
        <v>　Level 5</v>
      </c>
      <c r="G194" s="3937" t="s">
        <v>3897</v>
      </c>
      <c r="H194" s="4010"/>
      <c r="I194" s="4010"/>
      <c r="J194" s="4010"/>
      <c r="K194" s="4010"/>
      <c r="L194" s="4010"/>
      <c r="M194" s="4010"/>
      <c r="N194" s="4010"/>
      <c r="O194" s="4011"/>
    </row>
    <row r="195" spans="2:15" ht="15">
      <c r="F195" s="2067" t="s">
        <v>3045</v>
      </c>
      <c r="G195" s="2708"/>
      <c r="H195" s="2759"/>
      <c r="I195" s="2709"/>
      <c r="J195" s="2710"/>
      <c r="K195" s="2779" t="s">
        <v>3046</v>
      </c>
      <c r="N195" s="9"/>
      <c r="O195" s="1529"/>
    </row>
    <row r="196" spans="2:15" ht="15">
      <c r="C196" s="2712"/>
      <c r="F196" s="1173" t="s">
        <v>3898</v>
      </c>
      <c r="I196" s="1529"/>
      <c r="J196" s="1529"/>
      <c r="K196" s="2711"/>
      <c r="N196" s="9"/>
      <c r="O196" s="1529"/>
    </row>
    <row r="197" spans="2:15" ht="15.75">
      <c r="D197" s="395"/>
      <c r="E197" s="119"/>
      <c r="G197" s="3421">
        <f>IF(L207&gt;=B194,5,IF(L207&gt;=B193,4,IF(L207&gt;=B192,3,IF(L207&gt;=B191,2,1))))</f>
        <v>3</v>
      </c>
      <c r="H197" s="3272" t="s">
        <v>3479</v>
      </c>
      <c r="I197" s="2857" t="s">
        <v>3847</v>
      </c>
      <c r="J197" s="2858"/>
      <c r="L197" s="3422" t="s">
        <v>3894</v>
      </c>
      <c r="M197" s="3423" t="s">
        <v>3479</v>
      </c>
      <c r="N197" s="3229" t="s">
        <v>3847</v>
      </c>
      <c r="O197" s="3230"/>
    </row>
    <row r="198" spans="2:15" ht="15" customHeight="1">
      <c r="D198" s="395"/>
      <c r="E198" s="119"/>
      <c r="F198" s="2321"/>
      <c r="G198" s="3424"/>
      <c r="H198" s="2700" t="s">
        <v>3877</v>
      </c>
      <c r="I198" s="3425" t="s">
        <v>3867</v>
      </c>
      <c r="J198" s="3426"/>
      <c r="K198" s="2321"/>
      <c r="L198" s="3427"/>
      <c r="M198" s="2700" t="s">
        <v>3880</v>
      </c>
      <c r="N198" s="3425" t="s">
        <v>3885</v>
      </c>
      <c r="O198" s="3426"/>
    </row>
    <row r="199" spans="2:15" ht="22.9" customHeight="1">
      <c r="B199" s="1105" t="s">
        <v>3047</v>
      </c>
      <c r="D199" s="395"/>
      <c r="E199" s="119"/>
      <c r="F199" s="2321"/>
      <c r="G199" s="3329"/>
      <c r="H199" s="2333"/>
      <c r="I199" s="3428" t="s">
        <v>3868</v>
      </c>
      <c r="J199" s="3429"/>
      <c r="K199" s="2321"/>
      <c r="L199" s="3329"/>
      <c r="M199" s="2333"/>
      <c r="N199" s="4245" t="s">
        <v>3886</v>
      </c>
      <c r="O199" s="4246"/>
    </row>
    <row r="200" spans="2:15" ht="15" customHeight="1">
      <c r="D200" s="395"/>
      <c r="E200" s="119"/>
      <c r="F200" s="2321"/>
      <c r="G200" s="3329"/>
      <c r="H200" s="2333"/>
      <c r="I200" s="3428" t="s">
        <v>3869</v>
      </c>
      <c r="J200" s="3429"/>
      <c r="K200" s="2321"/>
      <c r="L200" s="3329"/>
      <c r="M200" s="2333"/>
      <c r="N200" s="3428" t="s">
        <v>3887</v>
      </c>
      <c r="O200" s="2647"/>
    </row>
    <row r="201" spans="2:15" ht="15" customHeight="1">
      <c r="D201" s="395"/>
      <c r="E201" s="119"/>
      <c r="F201" s="2321"/>
      <c r="G201" s="3329"/>
      <c r="H201" s="2705"/>
      <c r="I201" s="3430" t="s">
        <v>3870</v>
      </c>
      <c r="J201" s="3431"/>
      <c r="K201" s="2321"/>
      <c r="L201" s="3329"/>
      <c r="M201" s="2705"/>
      <c r="N201" s="3430" t="s">
        <v>3888</v>
      </c>
      <c r="O201" s="3431"/>
    </row>
    <row r="202" spans="2:15" ht="15" customHeight="1">
      <c r="D202" s="395"/>
      <c r="E202" s="119"/>
      <c r="F202" s="2321"/>
      <c r="G202" s="3329"/>
      <c r="H202" s="2700" t="s">
        <v>3878</v>
      </c>
      <c r="I202" s="3425" t="s">
        <v>3871</v>
      </c>
      <c r="J202" s="3426"/>
      <c r="K202" s="2321"/>
      <c r="L202" s="3329"/>
      <c r="M202" s="3965" t="s">
        <v>3881</v>
      </c>
      <c r="N202" s="3425" t="s">
        <v>3889</v>
      </c>
      <c r="O202" s="3426"/>
    </row>
    <row r="203" spans="2:15" ht="15" customHeight="1">
      <c r="D203" s="395"/>
      <c r="E203" s="119"/>
      <c r="F203" s="2321"/>
      <c r="G203" s="3329"/>
      <c r="H203" s="2333"/>
      <c r="I203" s="3428" t="s">
        <v>3872</v>
      </c>
      <c r="J203" s="2647"/>
      <c r="K203" s="2321"/>
      <c r="L203" s="3329"/>
      <c r="M203" s="4256"/>
      <c r="N203" s="3430" t="s">
        <v>3890</v>
      </c>
      <c r="O203" s="3431"/>
    </row>
    <row r="204" spans="2:15" ht="15" customHeight="1">
      <c r="D204" s="395"/>
      <c r="E204" s="119"/>
      <c r="F204" s="2321"/>
      <c r="G204" s="3329"/>
      <c r="H204" s="2333"/>
      <c r="I204" s="3428" t="s">
        <v>3873</v>
      </c>
      <c r="J204" s="2647"/>
      <c r="K204" s="2321"/>
      <c r="L204" s="3329"/>
      <c r="M204" s="1091" t="s">
        <v>3882</v>
      </c>
      <c r="N204" s="3432" t="s">
        <v>3891</v>
      </c>
      <c r="O204" s="3433"/>
    </row>
    <row r="205" spans="2:15" ht="15" customHeight="1">
      <c r="D205" s="395"/>
      <c r="E205" s="119"/>
      <c r="F205" s="2321"/>
      <c r="G205" s="3329"/>
      <c r="H205" s="2705"/>
      <c r="I205" s="3430" t="s">
        <v>3874</v>
      </c>
      <c r="J205" s="3431"/>
      <c r="K205" s="2321"/>
      <c r="L205" s="3329"/>
      <c r="M205" s="3795" t="s">
        <v>3883</v>
      </c>
      <c r="N205" s="2743" t="s">
        <v>3892</v>
      </c>
      <c r="O205" s="3435"/>
    </row>
    <row r="206" spans="2:15" ht="15" customHeight="1">
      <c r="D206" s="395"/>
      <c r="E206" s="119"/>
      <c r="F206" s="2321"/>
      <c r="G206" s="3329"/>
      <c r="H206" s="3965" t="s">
        <v>3879</v>
      </c>
      <c r="I206" s="3425" t="s">
        <v>3875</v>
      </c>
      <c r="J206" s="3426"/>
      <c r="K206" s="2321"/>
      <c r="L206" s="3436"/>
      <c r="M206" s="3795" t="s">
        <v>3884</v>
      </c>
      <c r="N206" s="2743" t="s">
        <v>3893</v>
      </c>
      <c r="O206" s="3435"/>
    </row>
    <row r="207" spans="2:15" ht="15" customHeight="1">
      <c r="D207" s="395"/>
      <c r="E207" s="119"/>
      <c r="F207" s="2321"/>
      <c r="G207" s="3329"/>
      <c r="H207" s="4256"/>
      <c r="I207" s="3430" t="s">
        <v>3876</v>
      </c>
      <c r="J207" s="3431"/>
      <c r="K207" s="2321" t="s">
        <v>1468</v>
      </c>
      <c r="L207" s="3404">
        <f>COUNTIF(G198:G207,B199)+COUNTIF(L198:L206,B199)</f>
        <v>0</v>
      </c>
      <c r="M207" s="3405" t="s">
        <v>4129</v>
      </c>
      <c r="N207" s="3406"/>
      <c r="O207" s="3407"/>
    </row>
    <row r="208" spans="2:15">
      <c r="D208" s="1529"/>
      <c r="E208" s="1529"/>
      <c r="F208" s="1529"/>
      <c r="G208" s="3317"/>
      <c r="H208" s="3317"/>
      <c r="I208" s="3317"/>
      <c r="J208" s="3317"/>
      <c r="L208" s="3437"/>
      <c r="M208" s="1529"/>
      <c r="N208" s="1529"/>
      <c r="O208" s="1529"/>
    </row>
    <row r="209" spans="2:15" ht="13.5" customHeight="1">
      <c r="D209" s="393">
        <v>3.2</v>
      </c>
      <c r="E209" s="13" t="s">
        <v>3361</v>
      </c>
      <c r="F209" s="13"/>
      <c r="G209" s="2851"/>
      <c r="H209" s="9"/>
      <c r="I209" s="9"/>
      <c r="J209" s="9"/>
      <c r="K209" s="2851"/>
      <c r="L209" s="2852"/>
      <c r="M209" s="9"/>
      <c r="N209" s="2851"/>
      <c r="O209" s="9"/>
    </row>
    <row r="210" spans="2:15" ht="13.5" customHeight="1">
      <c r="D210" s="393"/>
      <c r="E210" s="13"/>
      <c r="F210" s="400" t="s">
        <v>3273</v>
      </c>
      <c r="G210" s="2851"/>
      <c r="H210" s="9"/>
      <c r="I210" s="9"/>
      <c r="J210" s="1105" t="str">
        <f>IF(OR(F212=0,J211=0),$L$3,"")</f>
        <v/>
      </c>
    </row>
    <row r="211" spans="2:15" ht="13.5" customHeight="1" thickBot="1">
      <c r="D211" s="395"/>
      <c r="E211" s="1529"/>
      <c r="F211" s="2655"/>
      <c r="G211" s="2688"/>
      <c r="H211" s="2853"/>
      <c r="I211" s="2690" t="s">
        <v>2629</v>
      </c>
      <c r="J211" s="2692">
        <f>Weight!M171</f>
        <v>0.33333333333333331</v>
      </c>
    </row>
    <row r="212" spans="2:15" ht="27" customHeight="1" thickBot="1">
      <c r="D212" s="395"/>
      <c r="E212" s="1529"/>
      <c r="F212" s="2693">
        <v>2</v>
      </c>
      <c r="G212" s="2774" t="s">
        <v>2619</v>
      </c>
      <c r="H212" s="2697"/>
      <c r="I212" s="2697"/>
      <c r="J212" s="2697"/>
      <c r="K212" s="2697"/>
      <c r="L212" s="2697"/>
      <c r="M212" s="2697"/>
      <c r="N212" s="2753" t="s">
        <v>3272</v>
      </c>
      <c r="O212" s="2797"/>
    </row>
    <row r="213" spans="2:15" ht="21.75" customHeight="1">
      <c r="B213" s="2014">
        <v>1</v>
      </c>
      <c r="D213" s="395"/>
      <c r="E213" s="1529"/>
      <c r="F213" s="2699" t="str">
        <f>IF(F212=$F$7,$G$2,IF(ROUNDDOWN(F212,0)=$F$2,$H$2,$G$2))</f>
        <v>　Level 1</v>
      </c>
      <c r="G213" s="2814" t="s">
        <v>3278</v>
      </c>
      <c r="H213" s="2815"/>
      <c r="I213" s="2815"/>
      <c r="J213" s="2815"/>
      <c r="K213" s="2815"/>
      <c r="L213" s="2815"/>
      <c r="M213" s="2816"/>
      <c r="N213" s="3958" t="s">
        <v>3269</v>
      </c>
      <c r="O213" s="3959"/>
    </row>
    <row r="214" spans="2:15" ht="21.75" customHeight="1">
      <c r="B214" s="2014">
        <v>2</v>
      </c>
      <c r="D214" s="395"/>
      <c r="E214" s="1529"/>
      <c r="F214" s="2702" t="str">
        <f>IF(F212=$F$7,$G$3,IF(ROUNDDOWN(F212,0)=$F$3,$H$3,$G$3))</f>
        <v>■Level 2</v>
      </c>
      <c r="G214" s="1170" t="s">
        <v>3279</v>
      </c>
      <c r="H214" s="2333"/>
      <c r="I214" s="2333"/>
      <c r="J214" s="2333"/>
      <c r="K214" s="2333"/>
      <c r="L214" s="2333"/>
      <c r="M214" s="2333"/>
      <c r="N214" s="4181"/>
      <c r="O214" s="4240"/>
    </row>
    <row r="215" spans="2:15" ht="21.75" customHeight="1">
      <c r="B215" s="2014" t="s">
        <v>250</v>
      </c>
      <c r="D215" s="395"/>
      <c r="E215" s="1529"/>
      <c r="F215" s="2702" t="str">
        <f>IF(F212=$F$7,$G$4,IF(ROUNDDOWN(F212,0)=$F$4,$H$4,$G$4))</f>
        <v>　Level 3</v>
      </c>
      <c r="G215" s="1170" t="s">
        <v>2528</v>
      </c>
      <c r="H215" s="2333"/>
      <c r="I215" s="2333"/>
      <c r="J215" s="2333"/>
      <c r="K215" s="2333"/>
      <c r="L215" s="2333"/>
      <c r="M215" s="2333"/>
      <c r="N215" s="4181"/>
      <c r="O215" s="4240"/>
    </row>
    <row r="216" spans="2:15" ht="21.75" customHeight="1">
      <c r="B216" s="2014">
        <v>4</v>
      </c>
      <c r="D216" s="395"/>
      <c r="E216" s="1529"/>
      <c r="F216" s="2702" t="str">
        <f>IF(F212=$F$7,$G$5,IF(ROUNDDOWN(F212,0)=$F$5,$H$5,$G$5))</f>
        <v>　Level 4</v>
      </c>
      <c r="G216" s="3808" t="s">
        <v>3280</v>
      </c>
      <c r="H216" s="4009"/>
      <c r="I216" s="4009"/>
      <c r="J216" s="4009"/>
      <c r="K216" s="4009"/>
      <c r="L216" s="4009"/>
      <c r="M216" s="3977"/>
      <c r="N216" s="4181"/>
      <c r="O216" s="4240"/>
    </row>
    <row r="217" spans="2:15" ht="21.75" customHeight="1">
      <c r="B217" s="2014" t="s">
        <v>251</v>
      </c>
      <c r="D217" s="395"/>
      <c r="E217" s="2763"/>
      <c r="F217" s="2704" t="str">
        <f>IF(F212=$F$7,$G$6,IF(ROUNDDOWN(F212,0)=$F$6,$H$6,$G$6))</f>
        <v>　Level 5</v>
      </c>
      <c r="G217" s="2756" t="s">
        <v>2528</v>
      </c>
      <c r="H217" s="2705"/>
      <c r="I217" s="2705"/>
      <c r="J217" s="2705"/>
      <c r="K217" s="2705"/>
      <c r="L217" s="2705"/>
      <c r="M217" s="2705"/>
      <c r="N217" s="3951"/>
      <c r="O217" s="3952"/>
    </row>
    <row r="218" spans="2:15" ht="13.5" customHeight="1">
      <c r="B218" s="2850">
        <v>0</v>
      </c>
      <c r="D218" s="395"/>
      <c r="E218" s="2763"/>
      <c r="F218" s="2067" t="s">
        <v>3045</v>
      </c>
      <c r="G218" s="2708"/>
      <c r="H218" s="2759"/>
      <c r="I218" s="2709"/>
      <c r="J218" s="2710"/>
      <c r="K218" s="2779" t="s">
        <v>3027</v>
      </c>
    </row>
    <row r="219" spans="2:15" ht="13.5" customHeight="1">
      <c r="F219" s="2321" t="s">
        <v>1047</v>
      </c>
      <c r="G219" s="2780"/>
      <c r="H219" s="2321" t="s">
        <v>1048</v>
      </c>
      <c r="I219" s="2780"/>
      <c r="J219" s="1529"/>
    </row>
    <row r="220" spans="2:15" ht="13.5" customHeight="1">
      <c r="B220" s="2712"/>
      <c r="C220" s="2712"/>
      <c r="D220" s="395"/>
      <c r="E220" s="2763"/>
      <c r="F220" s="119"/>
      <c r="G220" s="119"/>
      <c r="H220" s="119"/>
      <c r="I220" s="119"/>
      <c r="J220" s="119"/>
      <c r="K220" s="119"/>
      <c r="L220" s="2855"/>
      <c r="M220" s="2855"/>
      <c r="N220" s="2855"/>
      <c r="O220" s="2855"/>
    </row>
    <row r="221" spans="2:15" ht="13.5" customHeight="1">
      <c r="F221" s="400" t="s">
        <v>3271</v>
      </c>
      <c r="G221" s="2852"/>
      <c r="H221" s="9"/>
      <c r="J221" s="1105" t="str">
        <f>IF(OR(F223=0,J222=0),$L$3,"")</f>
        <v/>
      </c>
      <c r="L221" s="2855"/>
      <c r="M221" s="2855"/>
      <c r="N221" s="2855"/>
      <c r="O221" s="2855"/>
    </row>
    <row r="222" spans="2:15" ht="13.5" customHeight="1" thickBot="1">
      <c r="F222" s="2655"/>
      <c r="G222" s="2688"/>
      <c r="H222" s="2689"/>
      <c r="I222" s="2690" t="s">
        <v>2629</v>
      </c>
      <c r="J222" s="2692">
        <f>Weight!M172</f>
        <v>0.33333333333333331</v>
      </c>
      <c r="L222" s="2855"/>
      <c r="M222" s="2855"/>
      <c r="N222" s="2855"/>
      <c r="O222" s="2855"/>
    </row>
    <row r="223" spans="2:15" ht="27" customHeight="1" thickBot="1">
      <c r="F223" s="2693">
        <v>3</v>
      </c>
      <c r="G223" s="2774" t="s">
        <v>2619</v>
      </c>
      <c r="H223" s="2697"/>
      <c r="I223" s="2697"/>
      <c r="J223" s="2697"/>
      <c r="K223" s="2697"/>
      <c r="L223" s="2856"/>
      <c r="M223" s="2697"/>
      <c r="N223" s="2697"/>
      <c r="O223" s="2698"/>
    </row>
    <row r="224" spans="2:15" ht="20.25" customHeight="1">
      <c r="B224" s="2014">
        <v>1</v>
      </c>
      <c r="F224" s="2699" t="str">
        <f>IF(F223=$F$7,$G$2,IF(ROUNDDOWN(F223,0)=$F$2,$H$2,$G$2))</f>
        <v>　Level 1</v>
      </c>
      <c r="G224" s="2755" t="s">
        <v>3274</v>
      </c>
      <c r="H224" s="2700"/>
      <c r="I224" s="2700"/>
      <c r="J224" s="2700"/>
      <c r="K224" s="2700"/>
      <c r="L224" s="2700"/>
      <c r="M224" s="2700"/>
      <c r="N224" s="2700"/>
      <c r="O224" s="2701"/>
    </row>
    <row r="225" spans="2:15" ht="20.25" customHeight="1">
      <c r="B225" s="2014" t="s">
        <v>1340</v>
      </c>
      <c r="F225" s="2702" t="str">
        <f>IF(F223=$F$7,$G$3,IF(ROUNDDOWN(F223,0)=$F$3,$H$3,$G$3))</f>
        <v>　Level 2</v>
      </c>
      <c r="G225" s="2583" t="s">
        <v>2528</v>
      </c>
      <c r="H225" s="2333"/>
      <c r="I225" s="2333"/>
      <c r="J225" s="2333"/>
      <c r="K225" s="2333"/>
      <c r="L225" s="2333"/>
      <c r="M225" s="2333"/>
      <c r="N225" s="2333"/>
      <c r="O225" s="2703"/>
    </row>
    <row r="226" spans="2:15" ht="20.25" customHeight="1">
      <c r="B226" s="2014">
        <v>3</v>
      </c>
      <c r="F226" s="2702" t="str">
        <f>IF(F223=$F$7,$G$4,IF(ROUNDDOWN(F223,0)=$F$4,$H$4,$G$4))</f>
        <v>■Level 3</v>
      </c>
      <c r="G226" s="1170" t="s">
        <v>3275</v>
      </c>
      <c r="H226" s="2333"/>
      <c r="I226" s="2333"/>
      <c r="J226" s="2333"/>
      <c r="K226" s="2333"/>
      <c r="L226" s="2333"/>
      <c r="M226" s="2333"/>
      <c r="N226" s="2333"/>
      <c r="O226" s="2703"/>
    </row>
    <row r="227" spans="2:15" ht="20.25" customHeight="1">
      <c r="B227" s="2014">
        <v>4</v>
      </c>
      <c r="F227" s="2702" t="str">
        <f>IF(F223=$F$7,$G$5,IF(ROUNDDOWN(F223,0)=$F$5,$H$5,$G$5))</f>
        <v>　Level 4</v>
      </c>
      <c r="G227" s="2789" t="s">
        <v>3276</v>
      </c>
      <c r="H227" s="2790"/>
      <c r="I227" s="2790"/>
      <c r="J227" s="2790"/>
      <c r="K227" s="2790"/>
      <c r="L227" s="2790"/>
      <c r="M227" s="2790"/>
      <c r="N227" s="2790"/>
      <c r="O227" s="2854"/>
    </row>
    <row r="228" spans="2:15" ht="25.5" customHeight="1">
      <c r="B228" s="2014">
        <v>5</v>
      </c>
      <c r="F228" s="2704" t="str">
        <f>IF(F223=$F$7,$G$6,IF(ROUNDDOWN(F223,0)=$F$6,$H$6,$G$6))</f>
        <v>　Level 5</v>
      </c>
      <c r="G228" s="3937" t="s">
        <v>3277</v>
      </c>
      <c r="H228" s="3973"/>
      <c r="I228" s="3973"/>
      <c r="J228" s="3973"/>
      <c r="K228" s="3973"/>
      <c r="L228" s="3973"/>
      <c r="M228" s="3973"/>
      <c r="N228" s="3973"/>
      <c r="O228" s="3990"/>
    </row>
    <row r="229" spans="2:15" ht="13.5" customHeight="1">
      <c r="B229" s="2850">
        <v>0</v>
      </c>
      <c r="F229" s="2067" t="s">
        <v>3045</v>
      </c>
      <c r="G229" s="2708"/>
      <c r="H229" s="2759"/>
      <c r="I229" s="2709"/>
      <c r="J229" s="2710"/>
      <c r="K229" s="2779" t="s">
        <v>3028</v>
      </c>
      <c r="M229" s="2855"/>
      <c r="N229" s="2855"/>
      <c r="O229" s="2855"/>
    </row>
    <row r="230" spans="2:15">
      <c r="F230" s="2321" t="s">
        <v>1047</v>
      </c>
      <c r="G230" s="2780"/>
      <c r="H230" s="2321" t="s">
        <v>1048</v>
      </c>
      <c r="I230" s="2780"/>
      <c r="J230" s="2321"/>
      <c r="K230" s="2321"/>
    </row>
    <row r="286" spans="4:11" ht="8.25" customHeight="1"/>
    <row r="287" spans="4:11" ht="15.75">
      <c r="D287" s="395"/>
      <c r="E287" s="2763"/>
      <c r="F287" s="400" t="s">
        <v>3270</v>
      </c>
      <c r="G287" s="119"/>
      <c r="H287" s="119"/>
      <c r="J287" s="1105" t="str">
        <f>IF(OR(F289=0,J288=0),$L$3,"")</f>
        <v/>
      </c>
    </row>
    <row r="288" spans="4:11" ht="16.5" thickBot="1">
      <c r="D288" s="395"/>
      <c r="E288" s="2763"/>
      <c r="F288" s="2655"/>
      <c r="G288" s="2688"/>
      <c r="H288" s="2689"/>
      <c r="I288" s="2690" t="s">
        <v>2629</v>
      </c>
      <c r="J288" s="2692">
        <f>Weight!M173</f>
        <v>0.33333333333333331</v>
      </c>
      <c r="K288" s="119"/>
    </row>
    <row r="289" spans="2:15" ht="26.25" customHeight="1" thickBot="1">
      <c r="D289" s="395"/>
      <c r="E289" s="2763"/>
      <c r="F289" s="2693">
        <v>4</v>
      </c>
      <c r="G289" s="2774" t="s">
        <v>2619</v>
      </c>
      <c r="H289" s="2697"/>
      <c r="I289" s="2697"/>
      <c r="J289" s="2697"/>
      <c r="K289" s="2697"/>
      <c r="L289" s="2697"/>
      <c r="M289" s="2697"/>
      <c r="N289" s="2753" t="s">
        <v>3272</v>
      </c>
      <c r="O289" s="2797"/>
    </row>
    <row r="290" spans="2:15" ht="22.5" customHeight="1">
      <c r="B290" s="2014" t="s">
        <v>697</v>
      </c>
      <c r="D290" s="395"/>
      <c r="E290" s="2763"/>
      <c r="F290" s="2699" t="str">
        <f>IF(F289=$F$7,$G$2,IF(ROUNDDOWN(F289,0)=$F$2,$H$2,$G$2))</f>
        <v>　Level 1</v>
      </c>
      <c r="G290" s="1170" t="s">
        <v>2528</v>
      </c>
      <c r="H290" s="2815"/>
      <c r="I290" s="2815"/>
      <c r="J290" s="2815"/>
      <c r="K290" s="2815"/>
      <c r="L290" s="2815"/>
      <c r="M290" s="2816"/>
      <c r="N290" s="3958" t="s">
        <v>3268</v>
      </c>
      <c r="O290" s="3959"/>
    </row>
    <row r="291" spans="2:15" ht="22.5" customHeight="1">
      <c r="B291" s="2014">
        <v>2</v>
      </c>
      <c r="D291" s="395"/>
      <c r="E291" s="2763"/>
      <c r="F291" s="2702" t="str">
        <f>IF(F289=$F$7,$G$3,IF(ROUNDDOWN(F289,0)=$F$3,$H$3,$G$3))</f>
        <v>　Level 2</v>
      </c>
      <c r="G291" s="2789" t="s">
        <v>3266</v>
      </c>
      <c r="H291" s="2333"/>
      <c r="I291" s="2333"/>
      <c r="J291" s="2333"/>
      <c r="K291" s="2333"/>
      <c r="L291" s="2333"/>
      <c r="M291" s="2333"/>
      <c r="N291" s="4181"/>
      <c r="O291" s="4240"/>
    </row>
    <row r="292" spans="2:15" ht="22.5" customHeight="1">
      <c r="B292" s="2014">
        <v>3</v>
      </c>
      <c r="D292" s="395"/>
      <c r="E292" s="2763"/>
      <c r="F292" s="2702" t="str">
        <f>IF(F289=$F$7,$G$4,IF(ROUNDDOWN(F289,0)=$F$4,$H$4,$G$4))</f>
        <v>　Level 3</v>
      </c>
      <c r="G292" s="2789" t="s">
        <v>3267</v>
      </c>
      <c r="H292" s="2333"/>
      <c r="I292" s="2333"/>
      <c r="J292" s="2333"/>
      <c r="K292" s="2333"/>
      <c r="L292" s="2333"/>
      <c r="M292" s="2333"/>
      <c r="N292" s="4181"/>
      <c r="O292" s="4240"/>
    </row>
    <row r="293" spans="2:15" ht="22.5" customHeight="1">
      <c r="B293" s="2014">
        <v>4</v>
      </c>
      <c r="D293" s="395"/>
      <c r="E293" s="2763"/>
      <c r="F293" s="2702" t="str">
        <f>IF(F289=$F$7,$G$5,IF(ROUNDDOWN(F289,0)=$F$5,$H$5,$G$5))</f>
        <v>■Level 4</v>
      </c>
      <c r="G293" s="2789" t="s">
        <v>3344</v>
      </c>
      <c r="H293" s="2790"/>
      <c r="I293" s="2790"/>
      <c r="J293" s="2790"/>
      <c r="K293" s="2790"/>
      <c r="L293" s="2790"/>
      <c r="M293" s="2854"/>
      <c r="N293" s="4181"/>
      <c r="O293" s="4240"/>
    </row>
    <row r="294" spans="2:15" ht="22.5" customHeight="1">
      <c r="B294" s="2014" t="s">
        <v>697</v>
      </c>
      <c r="D294" s="395"/>
      <c r="E294" s="2763"/>
      <c r="F294" s="2704" t="str">
        <f>IF(F289=$F$7,$G$6,IF(ROUNDDOWN(F289,0)=$F$6,$H$6,$G$6))</f>
        <v>　Level 5</v>
      </c>
      <c r="G294" s="2756" t="s">
        <v>2528</v>
      </c>
      <c r="H294" s="2705"/>
      <c r="I294" s="2705"/>
      <c r="J294" s="2705"/>
      <c r="K294" s="2705"/>
      <c r="L294" s="2705"/>
      <c r="M294" s="2705"/>
      <c r="N294" s="3951"/>
      <c r="O294" s="3952"/>
    </row>
    <row r="295" spans="2:15" ht="15.75">
      <c r="B295" s="2850">
        <v>0</v>
      </c>
      <c r="D295" s="395"/>
      <c r="E295" s="119"/>
      <c r="F295" s="2067" t="s">
        <v>3045</v>
      </c>
      <c r="G295" s="2708"/>
      <c r="H295" s="2759"/>
      <c r="I295" s="2709"/>
      <c r="J295" s="2710"/>
      <c r="K295" s="2779" t="s">
        <v>3029</v>
      </c>
    </row>
    <row r="296" spans="2:15">
      <c r="F296" s="2321" t="s">
        <v>1047</v>
      </c>
      <c r="G296" s="2780"/>
      <c r="H296" s="2321" t="s">
        <v>1048</v>
      </c>
      <c r="I296" s="2780"/>
      <c r="J296" s="2321"/>
      <c r="K296" s="2321"/>
    </row>
    <row r="297" spans="2:15"/>
    <row r="298" spans="2:15"/>
    <row r="438"/>
    <row r="439"/>
    <row r="440"/>
  </sheetData>
  <sheetProtection algorithmName="SHA-512" hashValue="2Hkk6EkXLgAn6h8b+BvbpBVsJYYliolGtyzFd69QozaZozbL7/X8W3tWWiM4V1C7AqCkLkDS6Oq4NLz6Z5n4Qg==" saltValue="Bg6KHoJbSENl5G7/wBdIsQ==" spinCount="100000" sheet="1" objects="1" scenarios="1"/>
  <mergeCells count="63">
    <mergeCell ref="H206:H207"/>
    <mergeCell ref="M202:M203"/>
    <mergeCell ref="K160:K161"/>
    <mergeCell ref="G193:O193"/>
    <mergeCell ref="G194:O194"/>
    <mergeCell ref="G192:O192"/>
    <mergeCell ref="G18:L18"/>
    <mergeCell ref="M40:O40"/>
    <mergeCell ref="G46:J46"/>
    <mergeCell ref="G47:J47"/>
    <mergeCell ref="G48:J48"/>
    <mergeCell ref="K45:L49"/>
    <mergeCell ref="N47:O47"/>
    <mergeCell ref="N49:O49"/>
    <mergeCell ref="G49:J49"/>
    <mergeCell ref="K56:N56"/>
    <mergeCell ref="L131:O131"/>
    <mergeCell ref="L132:O132"/>
    <mergeCell ref="L133:O133"/>
    <mergeCell ref="L134:O134"/>
    <mergeCell ref="G131:J131"/>
    <mergeCell ref="G143:J143"/>
    <mergeCell ref="F163:F164"/>
    <mergeCell ref="G164:J164"/>
    <mergeCell ref="H183:O183"/>
    <mergeCell ref="G182:G183"/>
    <mergeCell ref="G132:J132"/>
    <mergeCell ref="G133:J133"/>
    <mergeCell ref="G134:J134"/>
    <mergeCell ref="G140:J140"/>
    <mergeCell ref="G141:J141"/>
    <mergeCell ref="K54:N54"/>
    <mergeCell ref="N290:O294"/>
    <mergeCell ref="L139:O139"/>
    <mergeCell ref="L140:O140"/>
    <mergeCell ref="L141:O141"/>
    <mergeCell ref="L142:O142"/>
    <mergeCell ref="L143:O143"/>
    <mergeCell ref="L157:O157"/>
    <mergeCell ref="L158:O158"/>
    <mergeCell ref="L159:O159"/>
    <mergeCell ref="L161:O161"/>
    <mergeCell ref="G228:O228"/>
    <mergeCell ref="G139:J139"/>
    <mergeCell ref="G216:M216"/>
    <mergeCell ref="N199:O199"/>
    <mergeCell ref="N213:O217"/>
    <mergeCell ref="K55:N55"/>
    <mergeCell ref="G142:J142"/>
    <mergeCell ref="H52:J52"/>
    <mergeCell ref="N102:O106"/>
    <mergeCell ref="G130:J130"/>
    <mergeCell ref="L130:O130"/>
    <mergeCell ref="G97:H97"/>
    <mergeCell ref="G95:H95"/>
    <mergeCell ref="G104:M104"/>
    <mergeCell ref="G116:O116"/>
    <mergeCell ref="G117:O117"/>
    <mergeCell ref="G118:O118"/>
    <mergeCell ref="H123:N123"/>
    <mergeCell ref="H54:J54"/>
    <mergeCell ref="H55:J55"/>
    <mergeCell ref="H56:J56"/>
  </mergeCells>
  <phoneticPr fontId="26"/>
  <conditionalFormatting sqref="F14 F25 F61 F71 F87 F101 F212 F223 F289">
    <cfRule type="expression" dxfId="30" priority="115" stopIfTrue="1">
      <formula>AND(OR(F14&lt;1,F14&gt;5),F14&lt;&gt;0)</formula>
    </cfRule>
    <cfRule type="expression" dxfId="29" priority="116" stopIfTrue="1">
      <formula>$J13&gt;0</formula>
    </cfRule>
  </conditionalFormatting>
  <conditionalFormatting sqref="F129">
    <cfRule type="expression" dxfId="28" priority="92" stopIfTrue="1">
      <formula>AND(OR(F129&lt;1,F129&gt;5),F129&lt;&gt;0)</formula>
    </cfRule>
    <cfRule type="expression" dxfId="27" priority="93" stopIfTrue="1">
      <formula>$J128&gt;0</formula>
    </cfRule>
  </conditionalFormatting>
  <conditionalFormatting sqref="F138">
    <cfRule type="expression" dxfId="26" priority="88" stopIfTrue="1">
      <formula>AND(OR(F138&lt;1,F138&gt;5),F138&lt;&gt;0)</formula>
    </cfRule>
    <cfRule type="expression" dxfId="25" priority="89" stopIfTrue="1">
      <formula>$J137&gt;0</formula>
    </cfRule>
  </conditionalFormatting>
  <conditionalFormatting sqref="F153 F175">
    <cfRule type="expression" dxfId="24" priority="470" stopIfTrue="1">
      <formula>AND(OR(F153&lt;1,F153&gt;5),F153&lt;&gt;0)</formula>
    </cfRule>
    <cfRule type="expression" dxfId="23" priority="471" stopIfTrue="1">
      <formula>AND(J146&gt;0,H153=$N$4)</formula>
    </cfRule>
  </conditionalFormatting>
  <conditionalFormatting sqref="F156:F164">
    <cfRule type="expression" dxfId="22" priority="467" stopIfTrue="1">
      <formula>AND($J$146&gt;0,$H$153=$N$3)</formula>
    </cfRule>
  </conditionalFormatting>
  <conditionalFormatting sqref="G53">
    <cfRule type="expression" dxfId="21" priority="118" stopIfTrue="1">
      <formula>$J$43&gt;0</formula>
    </cfRule>
  </conditionalFormatting>
  <conditionalFormatting sqref="G54:G56">
    <cfRule type="expression" dxfId="20" priority="468" stopIfTrue="1">
      <formula>$G$53=$M$3</formula>
    </cfRule>
    <cfRule type="expression" dxfId="19" priority="469" stopIfTrue="1">
      <formula>$J$43&gt;0.001</formula>
    </cfRule>
  </conditionalFormatting>
  <conditionalFormatting sqref="K25">
    <cfRule type="expression" dxfId="18" priority="110" stopIfTrue="1">
      <formula>AND(OR(K25&lt;1,K25&gt;5),K25&lt;&gt;0)</formula>
    </cfRule>
    <cfRule type="expression" dxfId="17" priority="111" stopIfTrue="1">
      <formula>$O24&gt;0</formula>
    </cfRule>
  </conditionalFormatting>
  <dataValidations count="10">
    <dataValidation type="list" allowBlank="1" showInputMessage="1" sqref="K25 M44 K129 K138" xr:uid="{00000000-0002-0000-0E00-000000000000}">
      <formula1>$C26:$C31</formula1>
    </dataValidation>
    <dataValidation type="list" allowBlank="1" showInputMessage="1" showErrorMessage="1" sqref="G122:G125" xr:uid="{00000000-0002-0000-0E00-000001000000}">
      <formula1>$M$2:$M$3</formula1>
    </dataValidation>
    <dataValidation type="list" allowBlank="1" showInputMessage="1" sqref="F14 F25 F61 F71 F87 F101 F212 F129 F138 F223 F289" xr:uid="{00000000-0002-0000-0E00-000002000000}">
      <formula1>$B15:$B20</formula1>
    </dataValidation>
    <dataValidation type="list" allowBlank="1" showInputMessage="1" sqref="F153 F175" xr:uid="{00000000-0002-0000-0E00-000003000000}">
      <formula1>$B148:$B153</formula1>
    </dataValidation>
    <dataValidation type="list" allowBlank="1" showInputMessage="1" sqref="K153" xr:uid="{00000000-0002-0000-0E00-000004000000}">
      <formula1>$C$148:$C$153</formula1>
    </dataValidation>
    <dataValidation type="list" allowBlank="1" showInputMessage="1" showErrorMessage="1" sqref="G198:G207 L198:L206" xr:uid="{00000000-0002-0000-0E00-000005000000}">
      <formula1>$B$198:$B$199</formula1>
    </dataValidation>
    <dataValidation type="list" allowBlank="1" showInputMessage="1" sqref="G53" xr:uid="{00000000-0002-0000-0E00-000006000000}">
      <formula1>$M$3:$M$4</formula1>
    </dataValidation>
    <dataValidation type="list" allowBlank="1" showInputMessage="1" showErrorMessage="1" sqref="H153 M153 H175" xr:uid="{00000000-0002-0000-0E00-000007000000}">
      <formula1>$N$3:$N$4</formula1>
    </dataValidation>
    <dataValidation type="list" allowBlank="1" showInputMessage="1" showErrorMessage="1" sqref="G178:G182 K156:K160 F156:F163 L39:L40 L34:L37" xr:uid="{00000000-0002-0000-0E00-000008000000}">
      <formula1>$M$3:$M$4</formula1>
    </dataValidation>
    <dataValidation type="list" allowBlank="1" showInputMessage="1" showErrorMessage="1" sqref="I79:I83" xr:uid="{00000000-0002-0000-0E00-000009000000}">
      <formula1>$K$80:$K$83</formula1>
    </dataValidation>
  </dataValidations>
  <printOptions horizontalCentered="1"/>
  <pageMargins left="0.59055118110236227" right="0.59055118110236227" top="0.78740157480314965" bottom="0.59055118110236227" header="0.51181102362204722" footer="0.51181102362204722"/>
  <pageSetup paperSize="9" scale="79" fitToHeight="0" orientation="portrait" verticalDpi="4294967293" r:id="rId1"/>
  <headerFooter alignWithMargins="0">
    <oddHeader>&amp;L&amp;F&amp;R&amp;A</oddHeader>
    <oddFooter>&amp;C&amp;P/&amp;N</oddFooter>
  </headerFooter>
  <rowBreaks count="3" manualBreakCount="3">
    <brk id="40" min="3" max="15" man="1"/>
    <brk id="84" min="3" max="15" man="1"/>
    <brk id="185" min="3" max="15" man="1"/>
  </rowBreak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3">
    <pageSetUpPr autoPageBreaks="0" fitToPage="1"/>
  </sheetPr>
  <dimension ref="A1:AA309"/>
  <sheetViews>
    <sheetView showGridLines="0" zoomScaleNormal="100" workbookViewId="0">
      <selection activeCell="G19" sqref="G19"/>
    </sheetView>
  </sheetViews>
  <sheetFormatPr defaultColWidth="0" defaultRowHeight="14.25" zeroHeight="1"/>
  <cols>
    <col min="1" max="1" width="1.625" style="1105" customWidth="1"/>
    <col min="2" max="3" width="6.75" style="1105" hidden="1" customWidth="1"/>
    <col min="4" max="4" width="4.625" style="1105" customWidth="1"/>
    <col min="5" max="5" width="1.875" style="1105" customWidth="1"/>
    <col min="6" max="15" width="10.625" style="1105" customWidth="1"/>
    <col min="16" max="16" width="2.125" style="1105" customWidth="1"/>
    <col min="17" max="17" width="6.375" style="1105" hidden="1" customWidth="1"/>
    <col min="18" max="18" width="11.875" style="1105" hidden="1" customWidth="1"/>
    <col min="19" max="20" width="10.25" style="1105" hidden="1" customWidth="1"/>
    <col min="21" max="21" width="13" style="1105" hidden="1" customWidth="1"/>
    <col min="22" max="22" width="9.625" style="1105" hidden="1" customWidth="1"/>
    <col min="23" max="24" width="9" style="1105" hidden="1" customWidth="1"/>
    <col min="25" max="25" width="10.5" style="1105" hidden="1" customWidth="1"/>
    <col min="26" max="27" width="0" style="1105" hidden="1" customWidth="1"/>
    <col min="28" max="16384" width="9" style="1105" hidden="1"/>
  </cols>
  <sheetData>
    <row r="1" spans="2:27" ht="15.75">
      <c r="D1" s="393"/>
      <c r="E1" s="1529"/>
      <c r="F1" s="1529"/>
      <c r="G1" s="1529"/>
      <c r="H1" s="1529"/>
      <c r="I1" s="1529"/>
      <c r="J1" s="1529"/>
      <c r="K1" s="1529"/>
      <c r="M1" s="1516" t="s">
        <v>1517</v>
      </c>
      <c r="N1" s="2564" t="str">
        <f>Main!C11</f>
        <v>XXX Building</v>
      </c>
      <c r="O1" s="2564"/>
    </row>
    <row r="2" spans="2:27" ht="15.75" hidden="1">
      <c r="B2" s="1105" t="s">
        <v>4132</v>
      </c>
      <c r="D2" s="393"/>
      <c r="F2" s="1105">
        <v>1</v>
      </c>
      <c r="G2" s="1105" t="s">
        <v>4133</v>
      </c>
      <c r="H2" s="1105" t="s">
        <v>4134</v>
      </c>
      <c r="I2" s="1529"/>
      <c r="K2" s="1529"/>
      <c r="L2" s="1529"/>
      <c r="O2" s="1529"/>
    </row>
    <row r="3" spans="2:27" ht="15.75" hidden="1">
      <c r="D3" s="393"/>
      <c r="F3" s="1105">
        <v>2</v>
      </c>
      <c r="G3" s="1105" t="s">
        <v>4135</v>
      </c>
      <c r="H3" s="1105" t="s">
        <v>4136</v>
      </c>
      <c r="I3" s="1529"/>
      <c r="J3" s="1529"/>
      <c r="K3" s="1105" t="s">
        <v>4132</v>
      </c>
      <c r="L3" s="1105" t="s">
        <v>2829</v>
      </c>
      <c r="M3" s="1105" t="s">
        <v>2418</v>
      </c>
      <c r="N3" s="1105" t="s">
        <v>2832</v>
      </c>
      <c r="O3" s="1105" t="str">
        <f>Main!I37</f>
        <v>Preliminary design stage</v>
      </c>
    </row>
    <row r="4" spans="2:27" ht="15.75" hidden="1">
      <c r="D4" s="393"/>
      <c r="F4" s="1105">
        <v>3</v>
      </c>
      <c r="G4" s="1105" t="s">
        <v>4137</v>
      </c>
      <c r="H4" s="1105" t="s">
        <v>4138</v>
      </c>
      <c r="I4" s="1529"/>
      <c r="J4" s="1529"/>
      <c r="K4" s="1529"/>
      <c r="N4" s="1105" t="s">
        <v>2833</v>
      </c>
      <c r="O4" s="1105" t="str">
        <f>Main!I38</f>
        <v>Execution design stage</v>
      </c>
    </row>
    <row r="5" spans="2:27" ht="15.75" hidden="1">
      <c r="D5" s="393"/>
      <c r="F5" s="1105">
        <v>4</v>
      </c>
      <c r="G5" s="1105" t="s">
        <v>4139</v>
      </c>
      <c r="H5" s="1105" t="s">
        <v>4140</v>
      </c>
      <c r="I5" s="1529"/>
      <c r="J5" s="1529"/>
      <c r="K5" s="1529"/>
      <c r="O5" s="1105" t="str">
        <f>Main!I39</f>
        <v>Construction completion stage</v>
      </c>
    </row>
    <row r="6" spans="2:27" ht="15.75" hidden="1">
      <c r="D6" s="393"/>
      <c r="F6" s="1105">
        <v>5</v>
      </c>
      <c r="G6" s="1105" t="s">
        <v>4141</v>
      </c>
      <c r="H6" s="1105" t="s">
        <v>4142</v>
      </c>
      <c r="I6" s="1529"/>
      <c r="J6" s="1529"/>
      <c r="K6" s="1529"/>
      <c r="M6" s="1105" t="s">
        <v>2418</v>
      </c>
      <c r="O6" s="1529"/>
    </row>
    <row r="7" spans="2:27" ht="15.75" hidden="1">
      <c r="D7" s="393"/>
      <c r="F7" s="1105">
        <v>0</v>
      </c>
      <c r="G7" s="1105" t="s">
        <v>4143</v>
      </c>
      <c r="H7" s="1105" t="s">
        <v>4143</v>
      </c>
      <c r="I7" s="1529"/>
      <c r="J7" s="1529"/>
      <c r="K7" s="1529"/>
      <c r="M7" s="1105" t="s">
        <v>2831</v>
      </c>
      <c r="O7" s="1529"/>
    </row>
    <row r="8" spans="2:27" ht="16.5" thickBot="1">
      <c r="D8" s="393"/>
      <c r="I8" s="1529"/>
      <c r="J8" s="1529"/>
      <c r="K8" s="1529"/>
      <c r="O8" s="1529"/>
    </row>
    <row r="9" spans="2:27" ht="18.75" thickBot="1">
      <c r="D9" s="409" t="s">
        <v>1648</v>
      </c>
      <c r="E9" s="47"/>
      <c r="F9" s="18"/>
      <c r="G9" s="119"/>
      <c r="H9" s="18"/>
      <c r="I9" s="2686"/>
      <c r="J9" s="53" t="s">
        <v>2520</v>
      </c>
      <c r="K9" s="28"/>
      <c r="L9" s="28"/>
      <c r="M9" s="119"/>
      <c r="N9" s="119"/>
      <c r="O9" s="2567" t="str">
        <f>IF(Main!E39=0,"",Main!E39)</f>
        <v>Execution design stage</v>
      </c>
    </row>
    <row r="10" spans="2:27" ht="15.75">
      <c r="D10" s="395"/>
      <c r="E10" s="47"/>
      <c r="F10" s="18"/>
      <c r="G10" s="119"/>
      <c r="H10" s="18"/>
      <c r="I10" s="18"/>
      <c r="J10" s="2568"/>
      <c r="K10" s="119"/>
      <c r="L10" s="119"/>
      <c r="M10" s="119"/>
      <c r="N10" s="119"/>
      <c r="O10" s="2569" t="s">
        <v>3044</v>
      </c>
    </row>
    <row r="11" spans="2:27" ht="21.75" customHeight="1">
      <c r="D11" s="393">
        <v>1</v>
      </c>
      <c r="E11" s="13" t="s">
        <v>3900</v>
      </c>
      <c r="F11" s="18"/>
      <c r="G11" s="1529"/>
      <c r="H11" s="1529"/>
      <c r="I11" s="1529"/>
      <c r="J11" s="3219" t="e">
        <f>IF(OR(F13=0,J12=0),$L$3,"")</f>
        <v>#VALUE!</v>
      </c>
      <c r="K11" s="1529"/>
      <c r="L11" s="1529"/>
      <c r="M11" s="1529"/>
      <c r="N11" s="1529"/>
      <c r="T11" s="1105" t="s">
        <v>4144</v>
      </c>
      <c r="X11" s="1105" t="s">
        <v>4145</v>
      </c>
    </row>
    <row r="12" spans="2:27" ht="16.5" thickBot="1">
      <c r="D12" s="407"/>
      <c r="E12" s="1529"/>
      <c r="F12" s="3220"/>
      <c r="G12" s="2688"/>
      <c r="H12" s="2689" t="s">
        <v>2629</v>
      </c>
      <c r="I12" s="2690"/>
      <c r="J12" s="3221">
        <f>Weight!M175</f>
        <v>0.33333333333333331</v>
      </c>
      <c r="K12" s="2764"/>
      <c r="L12" s="2764"/>
      <c r="M12" s="2764"/>
      <c r="N12" s="2764"/>
      <c r="O12" s="2698"/>
      <c r="R12" s="1105" t="s">
        <v>4146</v>
      </c>
      <c r="T12" s="2417" t="e">
        <f>IF($L$23&lt;=U18,T18,IF($L$23&lt;=U17,T17,IF($L$23&lt;=U16,T16,IF($L$23&lt;=U15,T15,T14))))</f>
        <v>#VALUE!</v>
      </c>
      <c r="V12" s="1105" t="e">
        <f>VLOOKUP($T$12,T14:W18,3)</f>
        <v>#VALUE!</v>
      </c>
      <c r="W12" s="1105" t="e">
        <f>VLOOKUP($T$12,T14:W18,4)</f>
        <v>#VALUE!</v>
      </c>
      <c r="X12" s="2417" t="e">
        <f>IF($L$26&lt;=Y18,X18,IF($L$26&lt;=Y17,X17,IF($L$26&lt;=Y16,X16,IF($L$26&lt;=Y15,X15,X14))))</f>
        <v>#VALUE!</v>
      </c>
      <c r="Z12" s="1105" t="e">
        <f>VLOOKUP($X$12,X14:AA18,3)</f>
        <v>#VALUE!</v>
      </c>
      <c r="AA12" s="1105" t="e">
        <f>VLOOKUP($X$12,X14:AA18,4)</f>
        <v>#VALUE!</v>
      </c>
    </row>
    <row r="13" spans="2:27" ht="27" customHeight="1" thickBot="1">
      <c r="D13" s="522"/>
      <c r="E13" s="395"/>
      <c r="F13" s="2865" t="e">
        <f>(O22*J13+O25*M13)/(J13+M13)</f>
        <v>#VALUE!</v>
      </c>
      <c r="G13" s="3222" t="s">
        <v>2917</v>
      </c>
      <c r="H13" s="3223"/>
      <c r="I13" s="3223"/>
      <c r="J13" s="3224">
        <f>Main!C66</f>
        <v>7000</v>
      </c>
      <c r="K13" s="3225" t="s">
        <v>2433</v>
      </c>
      <c r="L13" s="3226"/>
      <c r="M13" s="3227">
        <f>Main!C67</f>
        <v>0</v>
      </c>
      <c r="N13" s="2697" t="s">
        <v>3272</v>
      </c>
      <c r="O13" s="2698"/>
      <c r="R13" s="1105" t="s">
        <v>4147</v>
      </c>
      <c r="S13" s="1105" t="s">
        <v>4148</v>
      </c>
      <c r="T13" s="2014" t="s">
        <v>4149</v>
      </c>
      <c r="U13" s="2014" t="s">
        <v>4150</v>
      </c>
      <c r="V13" s="1105" t="s">
        <v>4151</v>
      </c>
      <c r="W13" s="1105" t="s">
        <v>4152</v>
      </c>
      <c r="X13" s="2014" t="s">
        <v>4149</v>
      </c>
      <c r="Y13" s="2014" t="s">
        <v>4150</v>
      </c>
      <c r="Z13" s="1105" t="s">
        <v>4151</v>
      </c>
      <c r="AA13" s="1105" t="s">
        <v>4152</v>
      </c>
    </row>
    <row r="14" spans="2:27" ht="17.25" customHeight="1">
      <c r="D14" s="522"/>
      <c r="E14" s="395"/>
      <c r="F14" s="3228" t="e">
        <f>IF(F13=$F$7,$G$2,IF(ROUNDDOWN(F13,0)=$F$2,$H$2,$G$2))</f>
        <v>#VALUE!</v>
      </c>
      <c r="G14" s="3229" t="s">
        <v>3901</v>
      </c>
      <c r="H14" s="2451"/>
      <c r="I14" s="2451"/>
      <c r="J14" s="2451"/>
      <c r="K14" s="2451"/>
      <c r="L14" s="2451"/>
      <c r="M14" s="3230"/>
      <c r="N14" s="3958" t="s">
        <v>3904</v>
      </c>
      <c r="O14" s="3959"/>
      <c r="R14" s="1105">
        <v>1.25</v>
      </c>
      <c r="S14" s="1105">
        <f>R14</f>
        <v>1.25</v>
      </c>
      <c r="T14" s="2014">
        <v>1</v>
      </c>
      <c r="U14" s="2420">
        <f>IF($J$13&lt;300,S14,R14)</f>
        <v>1.25</v>
      </c>
      <c r="V14" s="1105">
        <f>(T15-T14)/(U15-U14)</f>
        <v>-8</v>
      </c>
      <c r="W14" s="1105">
        <f>T15-V14*U15</f>
        <v>11</v>
      </c>
      <c r="X14" s="2014">
        <v>1</v>
      </c>
      <c r="Y14" s="2420">
        <f>R14</f>
        <v>1.25</v>
      </c>
      <c r="Z14" s="1105">
        <f>(X15-X14)/(Y15-Y14)</f>
        <v>-8</v>
      </c>
      <c r="AA14" s="1105">
        <f>X15-Z14*Y15</f>
        <v>11</v>
      </c>
    </row>
    <row r="15" spans="2:27" ht="17.25" customHeight="1">
      <c r="D15" s="522"/>
      <c r="E15" s="395"/>
      <c r="F15" s="3228" t="e">
        <f>IF(F13=$F$7,$G$3,IF(ROUNDDOWN(F13,0)=$F$3,$H$3,$G$3))</f>
        <v>#VALUE!</v>
      </c>
      <c r="G15" s="3231"/>
      <c r="H15" s="3232"/>
      <c r="I15" s="3232"/>
      <c r="J15" s="3232"/>
      <c r="K15" s="3232"/>
      <c r="L15" s="3232"/>
      <c r="M15" s="3233"/>
      <c r="N15" s="4181"/>
      <c r="O15" s="4240"/>
      <c r="R15" s="1105">
        <f>(R14+R16)/2</f>
        <v>1.125</v>
      </c>
      <c r="S15" s="1105">
        <f t="shared" ref="S15:S18" si="0">R15</f>
        <v>1.125</v>
      </c>
      <c r="T15" s="2014">
        <v>2</v>
      </c>
      <c r="U15" s="2420">
        <f>IF($J$13&lt;300,S15,R15)</f>
        <v>1.125</v>
      </c>
      <c r="V15" s="1105">
        <f>(T16-T15)/(U16-U15)</f>
        <v>-8</v>
      </c>
      <c r="W15" s="1105">
        <f>T16-V15*U16</f>
        <v>11</v>
      </c>
      <c r="X15" s="2014">
        <v>2</v>
      </c>
      <c r="Y15" s="2420">
        <f t="shared" ref="Y15:Y18" si="1">R15</f>
        <v>1.125</v>
      </c>
      <c r="Z15" s="1105">
        <f>(X16-X15)/(Y16-Y15)</f>
        <v>-8</v>
      </c>
      <c r="AA15" s="1105">
        <f>X16-Z15*Y16</f>
        <v>11</v>
      </c>
    </row>
    <row r="16" spans="2:27" ht="17.25" customHeight="1">
      <c r="D16" s="522"/>
      <c r="E16" s="395"/>
      <c r="F16" s="3228" t="e">
        <f>IF(F13=$F$7,$G$4,IF(ROUNDDOWN(F13,0)=$F$4,$H$4,$G$4))</f>
        <v>#VALUE!</v>
      </c>
      <c r="G16" s="3234" t="s">
        <v>3902</v>
      </c>
      <c r="H16" s="3232"/>
      <c r="I16" s="3232"/>
      <c r="J16" s="3232"/>
      <c r="K16" s="3232"/>
      <c r="L16" s="3232"/>
      <c r="M16" s="3233"/>
      <c r="N16" s="4181"/>
      <c r="O16" s="4240"/>
      <c r="R16" s="1105">
        <v>1</v>
      </c>
      <c r="S16" s="1105">
        <f t="shared" si="0"/>
        <v>1</v>
      </c>
      <c r="T16" s="2014">
        <v>3</v>
      </c>
      <c r="U16" s="2420">
        <f>IF($J$13&lt;300,S16,R16)</f>
        <v>1</v>
      </c>
      <c r="V16" s="1105">
        <f>(T17-T16)/(U17-U16)</f>
        <v>-4</v>
      </c>
      <c r="W16" s="1105">
        <f>T17-V16*U17</f>
        <v>7</v>
      </c>
      <c r="X16" s="2014">
        <v>3</v>
      </c>
      <c r="Y16" s="2420">
        <f t="shared" si="1"/>
        <v>1</v>
      </c>
      <c r="Z16" s="1105">
        <f>(X17-X16)/(Y17-Y16)</f>
        <v>-4</v>
      </c>
      <c r="AA16" s="1105">
        <f>X17-Z16*Y17</f>
        <v>7</v>
      </c>
    </row>
    <row r="17" spans="2:27" ht="17.25" customHeight="1">
      <c r="D17" s="522"/>
      <c r="E17" s="395"/>
      <c r="F17" s="3228" t="e">
        <f>IF(F13=$F$7,$G$5,IF(ROUNDDOWN(F13,0)=$F$5,$H$5,$G$5))</f>
        <v>#VALUE!</v>
      </c>
      <c r="G17" s="3234"/>
      <c r="H17" s="3232"/>
      <c r="I17" s="3232"/>
      <c r="J17" s="3232"/>
      <c r="K17" s="3232"/>
      <c r="L17" s="3232"/>
      <c r="M17" s="3233"/>
      <c r="N17" s="4181"/>
      <c r="O17" s="4240"/>
      <c r="R17" s="1105">
        <v>0.75</v>
      </c>
      <c r="S17" s="1105">
        <f t="shared" si="0"/>
        <v>0.75</v>
      </c>
      <c r="T17" s="2014">
        <v>4</v>
      </c>
      <c r="U17" s="2420">
        <f>IF($J$13&lt;300,S17,R17)</f>
        <v>0.75</v>
      </c>
      <c r="V17" s="1105">
        <f>(T18-T17)/(U18-U17)</f>
        <v>-4</v>
      </c>
      <c r="W17" s="1105">
        <f>T18-V17*U18</f>
        <v>7</v>
      </c>
      <c r="X17" s="2014">
        <v>4</v>
      </c>
      <c r="Y17" s="2420">
        <f t="shared" si="1"/>
        <v>0.75</v>
      </c>
      <c r="Z17" s="1105">
        <f>(X18-X17)/(Y18-Y17)</f>
        <v>-4</v>
      </c>
      <c r="AA17" s="1105">
        <f>X18-Z17*Y18</f>
        <v>7</v>
      </c>
    </row>
    <row r="18" spans="2:27" ht="17.25" customHeight="1">
      <c r="D18" s="522"/>
      <c r="E18" s="395"/>
      <c r="F18" s="3235" t="e">
        <f>IF(F13=$F$7,$G$6,IF(ROUNDDOWN(F13,0)=$F$6,$H$6,$G$6))</f>
        <v>#VALUE!</v>
      </c>
      <c r="G18" s="3236" t="s">
        <v>3903</v>
      </c>
      <c r="H18" s="3237"/>
      <c r="I18" s="3237"/>
      <c r="J18" s="3237"/>
      <c r="K18" s="3237"/>
      <c r="L18" s="3237"/>
      <c r="M18" s="3238"/>
      <c r="N18" s="3951"/>
      <c r="O18" s="3952"/>
      <c r="R18" s="1105">
        <v>0.5</v>
      </c>
      <c r="S18" s="1105">
        <f t="shared" si="0"/>
        <v>0.5</v>
      </c>
      <c r="T18" s="2014">
        <v>5</v>
      </c>
      <c r="U18" s="2420">
        <f>IF($J$13&lt;300,S18,R18)</f>
        <v>0.5</v>
      </c>
      <c r="X18" s="2014">
        <v>5</v>
      </c>
      <c r="Y18" s="2420">
        <f t="shared" si="1"/>
        <v>0.5</v>
      </c>
    </row>
    <row r="19" spans="2:27" ht="17.25" customHeight="1">
      <c r="D19" s="522"/>
      <c r="E19" s="395"/>
      <c r="F19" s="2067" t="s">
        <v>3045</v>
      </c>
      <c r="G19" s="2708"/>
      <c r="H19" s="2709"/>
      <c r="I19" s="2709"/>
      <c r="J19" s="2710"/>
      <c r="K19" s="2779"/>
      <c r="R19" s="1105" t="s">
        <v>4153</v>
      </c>
      <c r="V19" s="2424"/>
    </row>
    <row r="20" spans="2:27" ht="15.75">
      <c r="D20" s="522"/>
      <c r="E20" s="522"/>
      <c r="F20" s="2585" t="s">
        <v>4096</v>
      </c>
      <c r="H20" s="119"/>
      <c r="I20" s="119"/>
      <c r="J20" s="1529"/>
      <c r="K20" s="1529" t="s">
        <v>4154</v>
      </c>
      <c r="L20" s="1529"/>
      <c r="M20" s="3239"/>
      <c r="N20" s="522"/>
      <c r="O20" s="522"/>
      <c r="R20" s="1105">
        <v>0.95</v>
      </c>
      <c r="S20" s="1105">
        <v>1.05</v>
      </c>
      <c r="T20" s="1105" t="s">
        <v>4155</v>
      </c>
      <c r="W20" s="1105">
        <v>1.05</v>
      </c>
      <c r="X20" s="1105" t="s">
        <v>4156</v>
      </c>
    </row>
    <row r="21" spans="2:27" ht="16.5" thickBot="1">
      <c r="D21" s="522"/>
      <c r="E21" s="395"/>
      <c r="F21" s="1529"/>
      <c r="G21" s="3240"/>
      <c r="H21" s="3241" t="s">
        <v>1505</v>
      </c>
      <c r="I21" s="3242" t="s">
        <v>1506</v>
      </c>
      <c r="J21" s="3243" t="s">
        <v>1507</v>
      </c>
      <c r="K21" s="3241" t="s">
        <v>1468</v>
      </c>
      <c r="L21" s="3240" t="s">
        <v>3906</v>
      </c>
      <c r="M21" s="1529"/>
      <c r="N21" s="1529"/>
      <c r="O21" s="3244" t="s">
        <v>3905</v>
      </c>
      <c r="R21" s="1105">
        <v>0.9</v>
      </c>
      <c r="S21" s="1105">
        <v>1</v>
      </c>
      <c r="T21" s="1105" t="s">
        <v>4157</v>
      </c>
      <c r="W21" s="1105">
        <v>1</v>
      </c>
      <c r="X21" s="1105" t="s">
        <v>4158</v>
      </c>
    </row>
    <row r="22" spans="2:27" ht="16.5" thickBot="1">
      <c r="B22" s="1105" t="s">
        <v>262</v>
      </c>
      <c r="D22" s="522"/>
      <c r="E22" s="395"/>
      <c r="F22" s="1529"/>
      <c r="G22" s="3245" t="s">
        <v>3907</v>
      </c>
      <c r="H22" s="3246">
        <f>IF(Main!I3=3,Indiv.!D9,Std.!D9)</f>
        <v>18.22</v>
      </c>
      <c r="I22" s="3246">
        <f>IF(Main!I3=3,Indiv.!D35,Std.!D35)</f>
        <v>20.11</v>
      </c>
      <c r="J22" s="3246" t="e">
        <f>IF(Main!I3=3,Indiv.!D48,Std.!D48)</f>
        <v>#VALUE!</v>
      </c>
      <c r="K22" s="3247" t="e">
        <f>H22+I22+J22</f>
        <v>#VALUE!</v>
      </c>
      <c r="L22" s="3248">
        <v>1</v>
      </c>
      <c r="M22" s="1529"/>
      <c r="N22" s="2067" t="s">
        <v>4159</v>
      </c>
      <c r="O22" s="3249" t="e">
        <f>IF(K22=0,0,ROUNDDOWN(IF($L23&lt;=$U$18,$T$18,IF($L23&gt;=$U$14,$T$14,$L23*$V$12+$W$12)),1))</f>
        <v>#VALUE!</v>
      </c>
      <c r="R22" s="1105">
        <v>0.75</v>
      </c>
      <c r="S22" s="1105">
        <v>0.75</v>
      </c>
      <c r="T22" s="1105" t="s">
        <v>4160</v>
      </c>
      <c r="W22" s="1105">
        <v>0.95</v>
      </c>
      <c r="X22" s="1105" t="s">
        <v>4161</v>
      </c>
    </row>
    <row r="23" spans="2:27" ht="15.75">
      <c r="D23" s="393"/>
      <c r="E23" s="1529"/>
      <c r="F23" s="1529"/>
      <c r="G23" s="3245" t="s">
        <v>3908</v>
      </c>
      <c r="H23" s="3246">
        <f>IF(Main!I3=3,Indiv.!E9,Std.!E9)</f>
        <v>18.22</v>
      </c>
      <c r="I23" s="3246">
        <f>IF(Main!I3=3,Indiv.!E35,Std.!E35)</f>
        <v>20.11</v>
      </c>
      <c r="J23" s="3246" t="e">
        <f>IF(Main!I3=3,Indiv.!E54,Std.!E49)</f>
        <v>#VALUE!</v>
      </c>
      <c r="K23" s="3247" t="e">
        <f>H23+I23+J23</f>
        <v>#VALUE!</v>
      </c>
      <c r="L23" s="3250" t="e">
        <f>IF(K2=B22,B22,K23/K22)</f>
        <v>#VALUE!</v>
      </c>
      <c r="M23" s="1529"/>
      <c r="N23" s="1529"/>
      <c r="O23" s="1529"/>
      <c r="R23" s="1105">
        <v>0.65</v>
      </c>
      <c r="S23" s="1105">
        <v>0.65</v>
      </c>
      <c r="T23" s="1105" t="s">
        <v>4162</v>
      </c>
      <c r="W23" s="1105">
        <v>0.75</v>
      </c>
      <c r="X23" s="1105" t="s">
        <v>4160</v>
      </c>
    </row>
    <row r="24" spans="2:27" ht="15" hidden="1" thickBot="1">
      <c r="D24" s="119"/>
      <c r="E24" s="119"/>
      <c r="F24" s="3251" t="s">
        <v>4163</v>
      </c>
      <c r="G24" s="3240"/>
      <c r="H24" s="3241" t="s">
        <v>4164</v>
      </c>
      <c r="I24" s="3242" t="s">
        <v>4165</v>
      </c>
      <c r="J24" s="3243" t="s">
        <v>4166</v>
      </c>
      <c r="K24" s="3241" t="s">
        <v>1468</v>
      </c>
      <c r="L24" s="3240" t="s">
        <v>4167</v>
      </c>
      <c r="M24" s="1529"/>
      <c r="N24" s="1529"/>
      <c r="O24" s="2067" t="s">
        <v>4168</v>
      </c>
      <c r="R24" s="1105">
        <v>0.5</v>
      </c>
      <c r="S24" s="1105">
        <v>0.5</v>
      </c>
      <c r="T24" s="1105" t="s">
        <v>4169</v>
      </c>
      <c r="W24" s="1105">
        <v>0.6</v>
      </c>
      <c r="X24" s="1105" t="s">
        <v>4170</v>
      </c>
    </row>
    <row r="25" spans="2:27" ht="15" hidden="1" thickBot="1">
      <c r="D25" s="119"/>
      <c r="E25" s="119"/>
      <c r="G25" s="3245" t="s">
        <v>4171</v>
      </c>
      <c r="H25" s="3252">
        <f>H22</f>
        <v>18.22</v>
      </c>
      <c r="I25" s="3252">
        <f t="shared" ref="I25:J25" si="2">I22</f>
        <v>20.11</v>
      </c>
      <c r="J25" s="3252" t="e">
        <f t="shared" si="2"/>
        <v>#VALUE!</v>
      </c>
      <c r="K25" s="3247" t="e">
        <f>H25+I25+J25</f>
        <v>#VALUE!</v>
      </c>
      <c r="L25" s="3248">
        <v>1</v>
      </c>
      <c r="M25" s="1529"/>
      <c r="N25" s="2067" t="s">
        <v>4172</v>
      </c>
      <c r="O25" s="3253" t="e">
        <f>O22</f>
        <v>#VALUE!</v>
      </c>
    </row>
    <row r="26" spans="2:27" hidden="1">
      <c r="D26" s="119"/>
      <c r="E26" s="119"/>
      <c r="G26" s="3245" t="s">
        <v>4173</v>
      </c>
      <c r="H26" s="3252">
        <f>H23</f>
        <v>18.22</v>
      </c>
      <c r="I26" s="3252">
        <f t="shared" ref="I26:J26" si="3">I23</f>
        <v>20.11</v>
      </c>
      <c r="J26" s="3252" t="e">
        <f t="shared" si="3"/>
        <v>#VALUE!</v>
      </c>
      <c r="K26" s="3247" t="e">
        <f>H26+I26+J26</f>
        <v>#VALUE!</v>
      </c>
      <c r="L26" s="3250" t="e">
        <f>IF(K25=B25,B25,K26/K25)</f>
        <v>#VALUE!</v>
      </c>
      <c r="M26" s="1529"/>
      <c r="N26" s="1529"/>
      <c r="O26" s="1529"/>
    </row>
    <row r="27" spans="2:27"/>
    <row r="28" spans="2:27" ht="15.75">
      <c r="D28" s="393">
        <v>2</v>
      </c>
      <c r="E28" s="13" t="s">
        <v>1650</v>
      </c>
      <c r="F28" s="1529"/>
      <c r="G28" s="1529"/>
      <c r="N28" s="1529"/>
      <c r="O28" s="1529"/>
    </row>
    <row r="29" spans="2:27" ht="18.75" customHeight="1">
      <c r="D29" s="393">
        <v>2.1</v>
      </c>
      <c r="E29" s="47" t="s">
        <v>1651</v>
      </c>
      <c r="F29" s="18"/>
      <c r="G29" s="1529"/>
      <c r="J29" s="1105" t="str">
        <f>IF(OR(F31=0,J30=0),$L$3,"")</f>
        <v/>
      </c>
      <c r="N29" s="1529"/>
      <c r="O29" s="1529"/>
    </row>
    <row r="30" spans="2:27" ht="18.75" customHeight="1" thickBot="1">
      <c r="F30" s="3220"/>
      <c r="G30" s="2688"/>
      <c r="H30" s="2689" t="s">
        <v>2629</v>
      </c>
      <c r="I30" s="2690"/>
      <c r="J30" s="3221">
        <f>Weight!M177</f>
        <v>0.25</v>
      </c>
      <c r="K30" s="2764"/>
      <c r="L30" s="2764"/>
      <c r="M30" s="2764"/>
      <c r="N30" s="2764"/>
      <c r="O30" s="2698"/>
    </row>
    <row r="31" spans="2:27" ht="27" customHeight="1" thickBot="1">
      <c r="D31" s="395"/>
      <c r="E31" s="395"/>
      <c r="F31" s="2693">
        <v>3</v>
      </c>
      <c r="G31" s="2774" t="s">
        <v>2619</v>
      </c>
      <c r="H31" s="2697"/>
      <c r="I31" s="2697"/>
      <c r="J31" s="2697"/>
      <c r="K31" s="2697"/>
      <c r="L31" s="2856"/>
      <c r="M31" s="2697"/>
      <c r="N31" s="2697"/>
      <c r="O31" s="2698"/>
    </row>
    <row r="32" spans="2:27" ht="33" customHeight="1">
      <c r="B32" s="2014">
        <v>1</v>
      </c>
      <c r="D32" s="395"/>
      <c r="E32" s="395"/>
      <c r="F32" s="2702" t="str">
        <f>IF(F31=$F$7,$G$2,IF(ROUNDDOWN(F31,0)=$F$2,$H$2,$G$2))</f>
        <v>　Level 1</v>
      </c>
      <c r="G32" s="3948" t="s">
        <v>3909</v>
      </c>
      <c r="H32" s="3949"/>
      <c r="I32" s="3949"/>
      <c r="J32" s="3949"/>
      <c r="K32" s="3949"/>
      <c r="L32" s="3949"/>
      <c r="M32" s="3949"/>
      <c r="N32" s="3949"/>
      <c r="O32" s="3950"/>
    </row>
    <row r="33" spans="2:15" ht="21" customHeight="1">
      <c r="B33" s="2014" t="s">
        <v>49</v>
      </c>
      <c r="D33" s="395"/>
      <c r="E33" s="395"/>
      <c r="F33" s="2702" t="str">
        <f>IF(F31=$F$7,$G$3,IF(ROUNDDOWN(F31,0)=$F$3,$H$3,$G$3))</f>
        <v>　Level 2</v>
      </c>
      <c r="G33" s="3213" t="s">
        <v>2528</v>
      </c>
      <c r="H33" s="3254"/>
      <c r="I33" s="3254"/>
      <c r="J33" s="3254"/>
      <c r="K33" s="3254"/>
      <c r="L33" s="3254"/>
      <c r="M33" s="3254"/>
      <c r="N33" s="2333"/>
      <c r="O33" s="2703"/>
    </row>
    <row r="34" spans="2:15" ht="28.5" customHeight="1">
      <c r="B34" s="2014">
        <v>3</v>
      </c>
      <c r="D34" s="395"/>
      <c r="E34" s="395"/>
      <c r="F34" s="2702" t="str">
        <f>IF(F31=$F$7,$G$4,IF(ROUNDDOWN(F31,0)=$F$4,$H$4,$G$4))</f>
        <v>■Level 3</v>
      </c>
      <c r="G34" s="4309" t="s">
        <v>3910</v>
      </c>
      <c r="H34" s="4009"/>
      <c r="I34" s="4009"/>
      <c r="J34" s="4009"/>
      <c r="K34" s="4009"/>
      <c r="L34" s="4009"/>
      <c r="M34" s="4009"/>
      <c r="N34" s="4009"/>
      <c r="O34" s="3977"/>
    </row>
    <row r="35" spans="2:15" ht="27" customHeight="1">
      <c r="B35" s="2014">
        <v>4</v>
      </c>
      <c r="D35" s="395"/>
      <c r="E35" s="395"/>
      <c r="F35" s="2702" t="str">
        <f>IF(F31=$F$7,$G$5,IF(ROUNDDOWN(F31,0)=$F$5,$H$5,$G$5))</f>
        <v>　Level 4</v>
      </c>
      <c r="G35" s="4309" t="s">
        <v>3911</v>
      </c>
      <c r="H35" s="4009"/>
      <c r="I35" s="4009"/>
      <c r="J35" s="4009"/>
      <c r="K35" s="4009"/>
      <c r="L35" s="4009"/>
      <c r="M35" s="4009"/>
      <c r="N35" s="4009"/>
      <c r="O35" s="3977"/>
    </row>
    <row r="36" spans="2:15" ht="22.5" customHeight="1">
      <c r="B36" s="2014">
        <v>5</v>
      </c>
      <c r="D36" s="395"/>
      <c r="E36" s="395"/>
      <c r="F36" s="2704" t="str">
        <f>IF(F31=$F$7,$G$6,IF(ROUNDDOWN(F31,0)=$F$6,$H$6,$G$6))</f>
        <v>　Level 5</v>
      </c>
      <c r="G36" s="4310" t="s">
        <v>3912</v>
      </c>
      <c r="H36" s="4010"/>
      <c r="I36" s="4010"/>
      <c r="J36" s="4010"/>
      <c r="K36" s="4010"/>
      <c r="L36" s="4010"/>
      <c r="M36" s="4010"/>
      <c r="N36" s="4010"/>
      <c r="O36" s="4011"/>
    </row>
    <row r="37" spans="2:15" ht="15.75">
      <c r="B37" s="2850">
        <v>0</v>
      </c>
      <c r="C37" s="2850">
        <v>0</v>
      </c>
      <c r="D37" s="395"/>
      <c r="E37" s="395"/>
      <c r="F37" s="2067" t="s">
        <v>4053</v>
      </c>
      <c r="G37" s="2708"/>
      <c r="H37" s="2709"/>
      <c r="I37" s="2709"/>
      <c r="J37" s="2710"/>
      <c r="K37" s="2779"/>
    </row>
    <row r="38" spans="2:15" ht="15.75">
      <c r="B38" s="2712"/>
      <c r="C38" s="2712"/>
      <c r="D38" s="395"/>
      <c r="E38" s="395"/>
      <c r="F38" s="411"/>
      <c r="G38" s="411"/>
      <c r="M38" s="411"/>
      <c r="N38" s="411"/>
      <c r="O38" s="411"/>
    </row>
    <row r="39" spans="2:15" ht="24" customHeight="1">
      <c r="D39" s="393">
        <v>2.2000000000000002</v>
      </c>
      <c r="E39" s="169" t="s">
        <v>3371</v>
      </c>
      <c r="F39" s="411"/>
      <c r="G39" s="411"/>
      <c r="J39" s="1105" t="str">
        <f>IF(OR(F41=0,J40=0),$L$3,"")</f>
        <v/>
      </c>
      <c r="M39" s="411"/>
      <c r="N39" s="411"/>
      <c r="O39" s="411"/>
    </row>
    <row r="40" spans="2:15" ht="19.5" customHeight="1" thickBot="1">
      <c r="F40" s="3220"/>
      <c r="G40" s="2688"/>
      <c r="H40" s="2689" t="s">
        <v>2629</v>
      </c>
      <c r="I40" s="2690"/>
      <c r="J40" s="3221">
        <f>Weight!M178</f>
        <v>0.5</v>
      </c>
      <c r="K40" s="2764"/>
      <c r="L40" s="2764"/>
      <c r="M40" s="2764"/>
      <c r="N40" s="2764"/>
      <c r="O40" s="2698"/>
    </row>
    <row r="41" spans="2:15" ht="27" customHeight="1" thickBot="1">
      <c r="B41" s="1105" t="s">
        <v>1049</v>
      </c>
      <c r="D41" s="395"/>
      <c r="E41" s="1529"/>
      <c r="F41" s="2865">
        <f>G60</f>
        <v>3</v>
      </c>
      <c r="G41" s="3257" t="s">
        <v>2619</v>
      </c>
      <c r="H41" s="2697"/>
      <c r="I41" s="2697"/>
      <c r="J41" s="2697"/>
      <c r="K41" s="2697"/>
      <c r="L41" s="2856"/>
      <c r="M41" s="2697"/>
      <c r="N41" s="2697"/>
      <c r="O41" s="2698"/>
    </row>
    <row r="42" spans="2:15" ht="21" customHeight="1">
      <c r="B42" s="1105">
        <v>0</v>
      </c>
      <c r="D42" s="395"/>
      <c r="E42" s="1529"/>
      <c r="F42" s="2702" t="str">
        <f>IF(F41=$F$7,$G$2,IF(ROUNDDOWN(F41,0)=$F$2,$H$2,$G$2))</f>
        <v>　Level 1</v>
      </c>
      <c r="G42" s="2755" t="s">
        <v>3665</v>
      </c>
      <c r="H42" s="2700"/>
      <c r="I42" s="2700"/>
      <c r="J42" s="2700"/>
      <c r="K42" s="2700"/>
      <c r="L42" s="2700"/>
      <c r="M42" s="2700"/>
      <c r="N42" s="2700"/>
      <c r="O42" s="2701"/>
    </row>
    <row r="43" spans="2:15" ht="21" customHeight="1">
      <c r="B43" s="1105">
        <v>1</v>
      </c>
      <c r="D43" s="395"/>
      <c r="E43" s="1529"/>
      <c r="F43" s="2702" t="str">
        <f>IF(F41=$F$7,$G$3,IF(ROUNDDOWN(F41,0)=$F$3,$H$3,$G$3))</f>
        <v>　Level 2</v>
      </c>
      <c r="G43" s="3213" t="s">
        <v>3666</v>
      </c>
      <c r="H43" s="3254"/>
      <c r="I43" s="3254"/>
      <c r="J43" s="3254"/>
      <c r="K43" s="3254"/>
      <c r="L43" s="3254"/>
      <c r="M43" s="3254"/>
      <c r="N43" s="2333"/>
      <c r="O43" s="2703"/>
    </row>
    <row r="44" spans="2:15" ht="21" customHeight="1">
      <c r="B44" s="1105">
        <v>6</v>
      </c>
      <c r="D44" s="395"/>
      <c r="E44" s="1529"/>
      <c r="F44" s="2702" t="str">
        <f>IF(F41=$F$7,$G$4,IF(ROUNDDOWN(F41,0)=$F$4,$H$4,$G$4))</f>
        <v>■Level 3</v>
      </c>
      <c r="G44" s="3213" t="s">
        <v>3913</v>
      </c>
      <c r="H44" s="3254"/>
      <c r="I44" s="3254"/>
      <c r="J44" s="3254"/>
      <c r="K44" s="3254"/>
      <c r="L44" s="3254"/>
      <c r="M44" s="3254"/>
      <c r="N44" s="2333"/>
      <c r="O44" s="2703"/>
    </row>
    <row r="45" spans="2:15" ht="21" customHeight="1">
      <c r="B45" s="1105">
        <v>13</v>
      </c>
      <c r="D45" s="395"/>
      <c r="E45" s="1529"/>
      <c r="F45" s="2702" t="str">
        <f>IF(F41=$F$7,$G$5,IF(ROUNDDOWN(F41,0)=$F$5,$H$5,$G$5))</f>
        <v>　Level 4</v>
      </c>
      <c r="G45" s="3213" t="s">
        <v>3914</v>
      </c>
      <c r="H45" s="3254"/>
      <c r="I45" s="3254"/>
      <c r="J45" s="3254"/>
      <c r="K45" s="3254"/>
      <c r="L45" s="3254"/>
      <c r="M45" s="3254"/>
      <c r="N45" s="2333"/>
      <c r="O45" s="2703"/>
    </row>
    <row r="46" spans="2:15" ht="21.75" customHeight="1">
      <c r="B46" s="1105">
        <v>20</v>
      </c>
      <c r="D46" s="395"/>
      <c r="E46" s="1529"/>
      <c r="F46" s="2704" t="str">
        <f>IF(F41=$F$7,$G$6,IF(ROUNDDOWN(F41,0)=$F$6,$H$6,$G$6))</f>
        <v>　Level 5</v>
      </c>
      <c r="G46" s="3255" t="s">
        <v>3915</v>
      </c>
      <c r="H46" s="3256"/>
      <c r="I46" s="3256"/>
      <c r="J46" s="3256"/>
      <c r="K46" s="3256"/>
      <c r="L46" s="3256"/>
      <c r="M46" s="3256"/>
      <c r="N46" s="2705"/>
      <c r="O46" s="2706"/>
    </row>
    <row r="47" spans="2:15" ht="15.75">
      <c r="D47" s="395"/>
      <c r="E47" s="1529"/>
      <c r="F47" s="2067" t="s">
        <v>3045</v>
      </c>
      <c r="G47" s="2708"/>
      <c r="H47" s="2709"/>
      <c r="I47" s="2709"/>
      <c r="J47" s="2710"/>
      <c r="K47" s="2779" t="str">
        <f>'Q3'!K19</f>
        <v>Note; Describe specific initiatives for each effort.</v>
      </c>
    </row>
    <row r="48" spans="2:15" ht="31.9" customHeight="1">
      <c r="F48" s="2784" t="s">
        <v>3030</v>
      </c>
      <c r="H48" s="3258" t="e">
        <f>ROUNDDOWN(J48/(M48*O48),2)</f>
        <v>#DIV/0!</v>
      </c>
      <c r="I48" s="3178" t="s">
        <v>3039</v>
      </c>
      <c r="J48" s="3259"/>
      <c r="K48" s="4319" t="s">
        <v>3040</v>
      </c>
      <c r="L48" s="4320"/>
      <c r="M48" s="3260"/>
      <c r="N48" s="3178" t="s">
        <v>3041</v>
      </c>
      <c r="O48" s="3260"/>
    </row>
    <row r="49" spans="2:18">
      <c r="F49" s="2784" t="s">
        <v>3031</v>
      </c>
      <c r="H49" s="2780"/>
      <c r="I49" s="1529"/>
      <c r="J49" s="1529"/>
      <c r="K49" s="1529"/>
      <c r="L49" s="1529"/>
      <c r="M49" s="1529"/>
      <c r="N49" s="1529"/>
      <c r="O49" s="1529"/>
    </row>
    <row r="50" spans="2:18" ht="45">
      <c r="F50" s="2784" t="str">
        <f>'Q3'!F108</f>
        <v xml:space="preserve">Percentage of </v>
      </c>
      <c r="G50" s="1529"/>
      <c r="H50" s="1529"/>
      <c r="I50" s="3261" t="str">
        <f>'Q3'!I108</f>
        <v>Countermeasure area ratio</v>
      </c>
      <c r="J50" s="3262" t="str">
        <f>'Q3'!J108</f>
        <v>Green cover ratio</v>
      </c>
      <c r="K50" s="3261" t="s">
        <v>5016</v>
      </c>
      <c r="L50" s="3263" t="s">
        <v>3035</v>
      </c>
      <c r="M50" s="3261" t="str">
        <f>'Q3'!M108</f>
        <v>Horizontal projection area ratio of medium and tall trees</v>
      </c>
      <c r="N50" s="3261" t="s">
        <v>3037</v>
      </c>
      <c r="O50" s="3261" t="str">
        <f>'Q3'!L108</f>
        <v>Retroreflective surface ratio</v>
      </c>
    </row>
    <row r="51" spans="2:18">
      <c r="F51" s="2784" t="str">
        <f>'Q3'!F110</f>
        <v xml:space="preserve">  appropriate ground surface</v>
      </c>
      <c r="G51" s="1529"/>
      <c r="H51" s="3258">
        <f>ROUNDDOWN(I51,2)</f>
        <v>0</v>
      </c>
      <c r="I51" s="3264">
        <f>J51+2*K51+3*M51+L51+N51+O51</f>
        <v>0</v>
      </c>
      <c r="J51" s="3265">
        <f t="shared" ref="J51:L52" si="4">J55/$I55</f>
        <v>0</v>
      </c>
      <c r="K51" s="3265">
        <f t="shared" si="4"/>
        <v>0</v>
      </c>
      <c r="L51" s="3265">
        <f t="shared" si="4"/>
        <v>0</v>
      </c>
      <c r="M51" s="3265">
        <f>M55/$I55</f>
        <v>0</v>
      </c>
      <c r="N51" s="3265">
        <f>(N55+O55)/$I55</f>
        <v>0</v>
      </c>
      <c r="R51" s="1989"/>
    </row>
    <row r="52" spans="2:18">
      <c r="F52" s="2784" t="s">
        <v>3032</v>
      </c>
      <c r="G52" s="1529"/>
      <c r="H52" s="3258" t="e">
        <f>ROUNDDOWN(I52,2)</f>
        <v>#DIV/0!</v>
      </c>
      <c r="I52" s="3264" t="e">
        <f>J52+2*K52+3*M52+L52+N52+O52</f>
        <v>#DIV/0!</v>
      </c>
      <c r="J52" s="3265" t="e">
        <f t="shared" si="4"/>
        <v>#DIV/0!</v>
      </c>
      <c r="K52" s="3265" t="e">
        <f t="shared" si="4"/>
        <v>#DIV/0!</v>
      </c>
      <c r="L52" s="3265" t="e">
        <f t="shared" si="4"/>
        <v>#DIV/0!</v>
      </c>
      <c r="M52" s="3265" t="e">
        <f>M56/$I56</f>
        <v>#DIV/0!</v>
      </c>
      <c r="N52" s="3265" t="e">
        <f>(N56+O56)/$I56</f>
        <v>#DIV/0!</v>
      </c>
    </row>
    <row r="53" spans="2:18">
      <c r="F53" s="2784" t="str">
        <f>'Q3'!F112</f>
        <v xml:space="preserve">  appropriate exterior wall surface</v>
      </c>
      <c r="G53" s="1529"/>
      <c r="H53" s="3258" t="e">
        <f>ROUNDDOWN(I53,2)</f>
        <v>#DIV/0!</v>
      </c>
      <c r="I53" s="3264" t="e">
        <f>J53+2*K53+3*M53+L53+N53+O53</f>
        <v>#DIV/0!</v>
      </c>
      <c r="J53" s="3265" t="e">
        <f>'Q3'!J112</f>
        <v>#DIV/0!</v>
      </c>
      <c r="K53" s="3265"/>
      <c r="L53" s="3265" t="e">
        <f>'Q3'!K112</f>
        <v>#DIV/0!</v>
      </c>
      <c r="M53" s="3265"/>
      <c r="N53" s="3265" t="e">
        <f>(N57)/$I57</f>
        <v>#DIV/0!</v>
      </c>
      <c r="O53" s="3265" t="e">
        <f>(O57)/$I57</f>
        <v>#DIV/0!</v>
      </c>
    </row>
    <row r="54" spans="2:18" ht="45">
      <c r="F54" s="2784"/>
      <c r="H54" s="1516"/>
      <c r="I54" s="3266" t="str">
        <f>'Q3'!I113</f>
        <v>subtotal area</v>
      </c>
      <c r="J54" s="3266" t="str">
        <f>'Q3'!J113</f>
        <v>green area</v>
      </c>
      <c r="K54" s="3266" t="s">
        <v>3033</v>
      </c>
      <c r="L54" s="3263" t="s">
        <v>5017</v>
      </c>
      <c r="M54" s="3263" t="str">
        <f>'Q3'!M113</f>
        <v>horizontal projection areas of medium and tall trees</v>
      </c>
      <c r="N54" s="3263" t="s">
        <v>3036</v>
      </c>
      <c r="O54" s="3263" t="str">
        <f>'Q3'!L113</f>
        <v>retroreflective material covered area</v>
      </c>
    </row>
    <row r="55" spans="2:18">
      <c r="F55" s="2784"/>
      <c r="G55" s="2784" t="str">
        <f>'Q3'!G114</f>
        <v>Areas [㎡]</v>
      </c>
      <c r="H55" s="1516" t="str">
        <f>'Q3'!H114</f>
        <v>ground surface</v>
      </c>
      <c r="I55" s="3267">
        <f>Main!C17</f>
        <v>5000</v>
      </c>
      <c r="J55" s="3267">
        <f>'Q3'!J114</f>
        <v>0</v>
      </c>
      <c r="K55" s="3267">
        <f>'Q3'!K114</f>
        <v>0</v>
      </c>
      <c r="L55" s="3268"/>
      <c r="M55" s="3267">
        <f>'Q3'!M114</f>
        <v>0</v>
      </c>
      <c r="N55" s="3268"/>
      <c r="O55" s="3268"/>
    </row>
    <row r="56" spans="2:18">
      <c r="F56" s="1529"/>
      <c r="G56" s="1529"/>
      <c r="H56" s="1516" t="s">
        <v>3038</v>
      </c>
      <c r="I56" s="3268"/>
      <c r="J56" s="3268">
        <f>'Q3'!O21</f>
        <v>0</v>
      </c>
      <c r="K56" s="3268"/>
      <c r="L56" s="3268"/>
      <c r="M56" s="3268"/>
      <c r="N56" s="3268"/>
      <c r="O56" s="3268"/>
    </row>
    <row r="57" spans="2:18">
      <c r="F57" s="1529"/>
      <c r="G57" s="1529"/>
      <c r="H57" s="1516" t="str">
        <f>'Q3'!H116</f>
        <v>exterior wall</v>
      </c>
      <c r="I57" s="3267">
        <f>'Q3'!I116</f>
        <v>0</v>
      </c>
      <c r="J57" s="3267">
        <f>'Q3'!J116</f>
        <v>0</v>
      </c>
      <c r="K57" s="3267"/>
      <c r="L57" s="3267">
        <f>'Q3'!K116</f>
        <v>0</v>
      </c>
      <c r="M57" s="3267"/>
      <c r="N57" s="3267"/>
      <c r="O57" s="3269">
        <f>'Q3'!L116</f>
        <v>0</v>
      </c>
    </row>
    <row r="58" spans="2:18">
      <c r="F58" s="1529"/>
      <c r="G58" s="1529"/>
      <c r="H58" s="1516" t="s">
        <v>1468</v>
      </c>
      <c r="I58" s="3270"/>
      <c r="J58" s="3267">
        <f t="shared" ref="J58:O58" si="5">SUM(J55:J57)</f>
        <v>0</v>
      </c>
      <c r="K58" s="3267">
        <f t="shared" si="5"/>
        <v>0</v>
      </c>
      <c r="L58" s="3267">
        <f t="shared" si="5"/>
        <v>0</v>
      </c>
      <c r="M58" s="3267">
        <f t="shared" si="5"/>
        <v>0</v>
      </c>
      <c r="N58" s="3267">
        <f t="shared" si="5"/>
        <v>0</v>
      </c>
      <c r="O58" s="3267">
        <f t="shared" si="5"/>
        <v>0</v>
      </c>
    </row>
    <row r="59" spans="2:18">
      <c r="D59" s="1529"/>
      <c r="E59" s="1529"/>
      <c r="F59" s="1173" t="s">
        <v>3286</v>
      </c>
      <c r="G59" s="1173"/>
      <c r="H59" s="1529"/>
      <c r="I59" s="3194"/>
      <c r="J59" s="3194"/>
      <c r="K59" s="3271"/>
    </row>
    <row r="60" spans="2:18" ht="24.75" thickBot="1">
      <c r="B60" s="1105" t="s">
        <v>4174</v>
      </c>
      <c r="D60" s="395"/>
      <c r="E60" s="119"/>
      <c r="F60" s="1529"/>
      <c r="G60" s="2866">
        <f>IF(G82&gt;=B46,5,IF(G82&gt;=B45,4,IF(G82&gt;=B44,3,IF(G82&gt;=B43,2,1))))</f>
        <v>3</v>
      </c>
      <c r="H60" s="4227" t="s">
        <v>3287</v>
      </c>
      <c r="I60" s="4228"/>
      <c r="J60" s="4229"/>
      <c r="K60" s="4257" t="s">
        <v>3288</v>
      </c>
      <c r="L60" s="4258"/>
      <c r="M60" s="4258"/>
      <c r="N60" s="4259"/>
      <c r="O60" s="2867" t="s">
        <v>3300</v>
      </c>
    </row>
    <row r="61" spans="2:18" ht="61.9" customHeight="1">
      <c r="B61" s="1105">
        <v>2</v>
      </c>
      <c r="D61" s="395"/>
      <c r="E61" s="119"/>
      <c r="F61" s="2321" t="s">
        <v>784</v>
      </c>
      <c r="G61" s="4127">
        <v>1</v>
      </c>
      <c r="H61" s="4304" t="s">
        <v>3916</v>
      </c>
      <c r="I61" s="3918" t="s">
        <v>3917</v>
      </c>
      <c r="J61" s="3920"/>
      <c r="K61" s="4262" t="s">
        <v>3918</v>
      </c>
      <c r="L61" s="4231"/>
      <c r="M61" s="4231"/>
      <c r="N61" s="4232"/>
      <c r="O61" s="4260" t="s">
        <v>4175</v>
      </c>
    </row>
    <row r="62" spans="2:18" ht="63" customHeight="1">
      <c r="B62" s="2813" t="s">
        <v>4176</v>
      </c>
      <c r="D62" s="395"/>
      <c r="E62" s="119"/>
      <c r="G62" s="4082"/>
      <c r="H62" s="4305"/>
      <c r="I62" s="4274"/>
      <c r="J62" s="4275"/>
      <c r="K62" s="4269" t="s">
        <v>3919</v>
      </c>
      <c r="L62" s="4173"/>
      <c r="M62" s="4173"/>
      <c r="N62" s="4174"/>
      <c r="O62" s="4261"/>
    </row>
    <row r="63" spans="2:18" ht="15.75">
      <c r="B63" s="2813"/>
      <c r="D63" s="395"/>
      <c r="E63" s="119"/>
      <c r="G63" s="3275"/>
      <c r="H63" s="4306"/>
      <c r="I63" s="4170"/>
      <c r="J63" s="4172"/>
      <c r="K63" s="4269" t="s">
        <v>3920</v>
      </c>
      <c r="L63" s="4173"/>
      <c r="M63" s="4173"/>
      <c r="N63" s="4174"/>
      <c r="O63" s="3277" t="s">
        <v>1254</v>
      </c>
    </row>
    <row r="64" spans="2:18" ht="30.75" customHeight="1">
      <c r="B64" s="1105">
        <v>2</v>
      </c>
      <c r="D64" s="395"/>
      <c r="E64" s="119"/>
      <c r="F64" s="2321" t="s">
        <v>1046</v>
      </c>
      <c r="G64" s="4081">
        <v>1</v>
      </c>
      <c r="H64" s="4271" t="s">
        <v>3921</v>
      </c>
      <c r="I64" s="4263" t="s">
        <v>3922</v>
      </c>
      <c r="J64" s="4264"/>
      <c r="K64" s="4263" t="s">
        <v>3923</v>
      </c>
      <c r="L64" s="4276"/>
      <c r="M64" s="4276"/>
      <c r="N64" s="4264"/>
      <c r="O64" s="4109" t="s">
        <v>4177</v>
      </c>
    </row>
    <row r="65" spans="2:15" ht="50.25" customHeight="1">
      <c r="D65" s="395"/>
      <c r="E65" s="119"/>
      <c r="G65" s="4270"/>
      <c r="H65" s="4272"/>
      <c r="I65" s="4265"/>
      <c r="J65" s="4266"/>
      <c r="K65" s="4302" t="s">
        <v>3924</v>
      </c>
      <c r="L65" s="4314"/>
      <c r="M65" s="4314"/>
      <c r="N65" s="4315"/>
      <c r="O65" s="4316"/>
    </row>
    <row r="66" spans="2:15" ht="27" customHeight="1">
      <c r="B66" s="1105">
        <v>3</v>
      </c>
      <c r="D66" s="395"/>
      <c r="E66" s="119"/>
      <c r="F66" s="2321" t="s">
        <v>786</v>
      </c>
      <c r="G66" s="4081"/>
      <c r="H66" s="4272"/>
      <c r="I66" s="4265"/>
      <c r="J66" s="4266"/>
      <c r="K66" s="4263" t="s">
        <v>3925</v>
      </c>
      <c r="L66" s="4276"/>
      <c r="M66" s="4276"/>
      <c r="N66" s="4264"/>
      <c r="O66" s="4109" t="s">
        <v>4178</v>
      </c>
    </row>
    <row r="67" spans="2:15" ht="55.5" customHeight="1">
      <c r="D67" s="395"/>
      <c r="E67" s="119"/>
      <c r="G67" s="4082"/>
      <c r="H67" s="4272"/>
      <c r="I67" s="4265"/>
      <c r="J67" s="4266"/>
      <c r="K67" s="4302" t="s">
        <v>3963</v>
      </c>
      <c r="L67" s="4303"/>
      <c r="M67" s="4303"/>
      <c r="N67" s="3278" t="e">
        <f>F48&amp;"="&amp;H48*100&amp;"%"</f>
        <v>#DIV/0!</v>
      </c>
      <c r="O67" s="4261"/>
    </row>
    <row r="68" spans="2:15" ht="24.75" customHeight="1">
      <c r="B68" s="1105">
        <v>3</v>
      </c>
      <c r="D68" s="395"/>
      <c r="E68" s="119"/>
      <c r="F68" s="2321" t="s">
        <v>787</v>
      </c>
      <c r="G68" s="4081"/>
      <c r="H68" s="4272"/>
      <c r="I68" s="4265"/>
      <c r="J68" s="4266"/>
      <c r="K68" s="4263" t="s">
        <v>3926</v>
      </c>
      <c r="L68" s="4135"/>
      <c r="M68" s="4135"/>
      <c r="N68" s="4313"/>
      <c r="O68" s="4109" t="s">
        <v>4178</v>
      </c>
    </row>
    <row r="69" spans="2:15" ht="61.15" customHeight="1">
      <c r="D69" s="395"/>
      <c r="E69" s="119"/>
      <c r="G69" s="4082"/>
      <c r="H69" s="4272"/>
      <c r="I69" s="4267"/>
      <c r="J69" s="4268"/>
      <c r="K69" s="4302" t="s">
        <v>3964</v>
      </c>
      <c r="L69" s="4303"/>
      <c r="M69" s="4303"/>
      <c r="N69" s="3278" t="str">
        <f>"Rw="&amp;H49</f>
        <v>Rw=</v>
      </c>
      <c r="O69" s="4301"/>
    </row>
    <row r="70" spans="2:15" ht="30.6" customHeight="1">
      <c r="B70" s="1105">
        <v>3</v>
      </c>
      <c r="D70" s="395"/>
      <c r="E70" s="119"/>
      <c r="F70" s="2321" t="s">
        <v>788</v>
      </c>
      <c r="G70" s="4081"/>
      <c r="H70" s="4272"/>
      <c r="I70" s="4263" t="s">
        <v>3928</v>
      </c>
      <c r="J70" s="4264"/>
      <c r="K70" s="4307" t="s">
        <v>3927</v>
      </c>
      <c r="L70" s="4087"/>
      <c r="M70" s="4087"/>
      <c r="N70" s="4088"/>
      <c r="O70" s="4109" t="s">
        <v>4178</v>
      </c>
    </row>
    <row r="71" spans="2:15" ht="84" customHeight="1">
      <c r="D71" s="395"/>
      <c r="E71" s="119"/>
      <c r="G71" s="4082"/>
      <c r="H71" s="4272"/>
      <c r="I71" s="4267"/>
      <c r="J71" s="4268"/>
      <c r="K71" s="4302" t="s">
        <v>3965</v>
      </c>
      <c r="L71" s="4303"/>
      <c r="M71" s="4303"/>
      <c r="N71" s="3278" t="str">
        <f>$I$50&amp;"="&amp;H51*100&amp;"%"</f>
        <v>Countermeasure area ratio=0%</v>
      </c>
      <c r="O71" s="4110"/>
    </row>
    <row r="72" spans="2:15" ht="28.15" customHeight="1">
      <c r="B72" s="1105">
        <v>3</v>
      </c>
      <c r="D72" s="395"/>
      <c r="E72" s="119"/>
      <c r="F72" s="2321" t="s">
        <v>1053</v>
      </c>
      <c r="G72" s="4081">
        <v>1</v>
      </c>
      <c r="H72" s="4272"/>
      <c r="I72" s="4263" t="s">
        <v>3931</v>
      </c>
      <c r="J72" s="4264"/>
      <c r="K72" s="4263" t="s">
        <v>3929</v>
      </c>
      <c r="L72" s="4276"/>
      <c r="M72" s="4276"/>
      <c r="N72" s="4264"/>
      <c r="O72" s="4109" t="s">
        <v>4178</v>
      </c>
    </row>
    <row r="73" spans="2:15" ht="75.599999999999994" customHeight="1">
      <c r="D73" s="395"/>
      <c r="E73" s="119"/>
      <c r="F73" s="2321"/>
      <c r="G73" s="4082"/>
      <c r="H73" s="4272"/>
      <c r="I73" s="4265"/>
      <c r="J73" s="4266"/>
      <c r="K73" s="4302" t="s">
        <v>3966</v>
      </c>
      <c r="L73" s="4303"/>
      <c r="M73" s="4303"/>
      <c r="N73" s="3278" t="e">
        <f>$I$50&amp;"="&amp;H52*100&amp;"%"</f>
        <v>#DIV/0!</v>
      </c>
      <c r="O73" s="4261"/>
    </row>
    <row r="74" spans="2:15" ht="27" customHeight="1">
      <c r="B74" s="1105">
        <v>3</v>
      </c>
      <c r="D74" s="395"/>
      <c r="E74" s="119"/>
      <c r="F74" s="2321" t="s">
        <v>1054</v>
      </c>
      <c r="G74" s="4081">
        <v>1</v>
      </c>
      <c r="H74" s="4272"/>
      <c r="I74" s="4265"/>
      <c r="J74" s="4266"/>
      <c r="K74" s="4263" t="s">
        <v>3930</v>
      </c>
      <c r="L74" s="4276"/>
      <c r="M74" s="4276"/>
      <c r="N74" s="4264"/>
      <c r="O74" s="4109" t="s">
        <v>4178</v>
      </c>
    </row>
    <row r="75" spans="2:15" ht="76.150000000000006" customHeight="1">
      <c r="D75" s="395"/>
      <c r="E75" s="119"/>
      <c r="F75" s="2321"/>
      <c r="G75" s="4082"/>
      <c r="H75" s="4272"/>
      <c r="I75" s="4267"/>
      <c r="J75" s="4268"/>
      <c r="K75" s="4302" t="s">
        <v>3967</v>
      </c>
      <c r="L75" s="4303"/>
      <c r="M75" s="4303"/>
      <c r="N75" s="3278" t="e">
        <f>$I$50&amp;"="&amp;H53*100&amp;"%"</f>
        <v>#DIV/0!</v>
      </c>
      <c r="O75" s="4261"/>
    </row>
    <row r="76" spans="2:15" ht="41.45" customHeight="1">
      <c r="B76" s="1105">
        <v>3</v>
      </c>
      <c r="D76" s="395"/>
      <c r="E76" s="119"/>
      <c r="F76" s="2321" t="s">
        <v>1055</v>
      </c>
      <c r="G76" s="4081">
        <v>1</v>
      </c>
      <c r="H76" s="4272"/>
      <c r="I76" s="4263" t="s">
        <v>3934</v>
      </c>
      <c r="J76" s="4264"/>
      <c r="K76" s="4263" t="s">
        <v>3932</v>
      </c>
      <c r="L76" s="4276"/>
      <c r="M76" s="4276"/>
      <c r="N76" s="4264"/>
      <c r="O76" s="4109" t="s">
        <v>4178</v>
      </c>
    </row>
    <row r="77" spans="2:15" ht="48" customHeight="1">
      <c r="D77" s="395"/>
      <c r="E77" s="119"/>
      <c r="F77" s="2321"/>
      <c r="G77" s="4082"/>
      <c r="H77" s="4272"/>
      <c r="I77" s="4265"/>
      <c r="J77" s="4266"/>
      <c r="K77" s="4302" t="s">
        <v>3968</v>
      </c>
      <c r="L77" s="4314"/>
      <c r="M77" s="4314"/>
      <c r="N77" s="4315"/>
      <c r="O77" s="4110"/>
    </row>
    <row r="78" spans="2:15" ht="34.9" customHeight="1">
      <c r="B78" s="1105">
        <v>3</v>
      </c>
      <c r="D78" s="395"/>
      <c r="E78" s="119"/>
      <c r="F78" s="2321" t="s">
        <v>1056</v>
      </c>
      <c r="G78" s="4081">
        <v>1</v>
      </c>
      <c r="H78" s="4272"/>
      <c r="I78" s="4265"/>
      <c r="J78" s="4266"/>
      <c r="K78" s="4263" t="s">
        <v>3933</v>
      </c>
      <c r="L78" s="4276"/>
      <c r="M78" s="4276"/>
      <c r="N78" s="4264"/>
      <c r="O78" s="4109" t="s">
        <v>4178</v>
      </c>
    </row>
    <row r="79" spans="2:15" ht="61.9" customHeight="1">
      <c r="D79" s="395"/>
      <c r="E79" s="119"/>
      <c r="F79" s="2321"/>
      <c r="G79" s="4082"/>
      <c r="H79" s="4273"/>
      <c r="I79" s="4267"/>
      <c r="J79" s="4268"/>
      <c r="K79" s="4302" t="s">
        <v>3969</v>
      </c>
      <c r="L79" s="4314"/>
      <c r="M79" s="4314"/>
      <c r="N79" s="4315"/>
      <c r="O79" s="4261"/>
    </row>
    <row r="80" spans="2:15" ht="36.6" customHeight="1">
      <c r="B80" s="1105">
        <v>2</v>
      </c>
      <c r="D80" s="395"/>
      <c r="E80" s="119"/>
      <c r="F80" s="2321" t="s">
        <v>1057</v>
      </c>
      <c r="G80" s="4081"/>
      <c r="H80" s="4271" t="s">
        <v>3935</v>
      </c>
      <c r="I80" s="4263" t="s">
        <v>3936</v>
      </c>
      <c r="J80" s="4264"/>
      <c r="K80" s="4263" t="s">
        <v>3937</v>
      </c>
      <c r="L80" s="4276"/>
      <c r="M80" s="4276"/>
      <c r="N80" s="4264"/>
      <c r="O80" s="4109" t="s">
        <v>4175</v>
      </c>
    </row>
    <row r="81" spans="2:15" ht="57" customHeight="1" thickBot="1">
      <c r="D81" s="395"/>
      <c r="E81" s="119"/>
      <c r="F81" s="2321"/>
      <c r="G81" s="4112"/>
      <c r="H81" s="4287"/>
      <c r="I81" s="4288"/>
      <c r="J81" s="4289"/>
      <c r="K81" s="4269" t="s">
        <v>3938</v>
      </c>
      <c r="L81" s="4173"/>
      <c r="M81" s="4173"/>
      <c r="N81" s="4174"/>
      <c r="O81" s="4111"/>
    </row>
    <row r="82" spans="2:15" ht="21" customHeight="1">
      <c r="D82" s="395"/>
      <c r="E82" s="119"/>
      <c r="F82" s="2321" t="s">
        <v>1468</v>
      </c>
      <c r="G82" s="2875">
        <f>SUM(G61:G81)</f>
        <v>6</v>
      </c>
      <c r="H82" s="2876" t="s">
        <v>4058</v>
      </c>
      <c r="I82" s="3279"/>
      <c r="J82" s="3280"/>
      <c r="K82" s="3281"/>
      <c r="L82" s="3280"/>
      <c r="M82" s="3281"/>
      <c r="N82" s="3282"/>
      <c r="O82" s="2879">
        <f>SUM(B61:B81)</f>
        <v>27</v>
      </c>
    </row>
    <row r="83" spans="2:15" ht="15" customHeight="1">
      <c r="D83" s="395"/>
      <c r="E83" s="395"/>
      <c r="F83" s="395"/>
      <c r="G83" s="3283"/>
    </row>
    <row r="84" spans="2:15" ht="14.25" customHeight="1">
      <c r="D84" s="393">
        <v>2.2999999999999998</v>
      </c>
      <c r="E84" s="13" t="s">
        <v>1652</v>
      </c>
      <c r="F84" s="9"/>
      <c r="G84" s="119"/>
    </row>
    <row r="85" spans="2:15" ht="14.25" customHeight="1">
      <c r="D85" s="393"/>
      <c r="E85" s="13"/>
      <c r="F85" s="196" t="s">
        <v>3939</v>
      </c>
      <c r="G85" s="119"/>
      <c r="J85" s="1105" t="str">
        <f>IF(OR(F87=0,J86=0),$L$3,"")</f>
        <v/>
      </c>
    </row>
    <row r="86" spans="2:15" ht="18" customHeight="1" thickBot="1">
      <c r="D86" s="393"/>
      <c r="E86" s="3284"/>
      <c r="F86" s="3220"/>
      <c r="G86" s="2688"/>
      <c r="H86" s="2689" t="s">
        <v>2629</v>
      </c>
      <c r="I86" s="2690"/>
      <c r="J86" s="3221">
        <f>Weight!M180</f>
        <v>0.25</v>
      </c>
      <c r="K86" s="2764"/>
      <c r="L86" s="2764"/>
      <c r="M86" s="2764"/>
      <c r="N86" s="2764"/>
      <c r="O86" s="2698"/>
    </row>
    <row r="87" spans="2:15" ht="27" customHeight="1" thickBot="1">
      <c r="F87" s="2693">
        <v>3</v>
      </c>
      <c r="G87" s="3285" t="s">
        <v>4179</v>
      </c>
      <c r="H87" s="2835"/>
      <c r="I87" s="2835"/>
      <c r="J87" s="2835"/>
      <c r="K87" s="2835"/>
      <c r="L87" s="2767" t="s">
        <v>4180</v>
      </c>
      <c r="M87" s="2835"/>
      <c r="N87" s="2835"/>
      <c r="O87" s="3216"/>
    </row>
    <row r="88" spans="2:15" ht="21" customHeight="1">
      <c r="B88" s="3286" t="s">
        <v>358</v>
      </c>
      <c r="F88" s="2702" t="str">
        <f>IF(F87=$F$7,$G$2,IF(ROUNDDOWN(F87,0)=$F$2,$H$2,$G$2))</f>
        <v>　Level 1</v>
      </c>
      <c r="G88" s="2755" t="s">
        <v>2762</v>
      </c>
      <c r="H88" s="2700"/>
      <c r="I88" s="2700"/>
      <c r="J88" s="2700"/>
      <c r="K88" s="2700"/>
      <c r="L88" s="2700"/>
      <c r="M88" s="2700"/>
      <c r="N88" s="2700"/>
      <c r="O88" s="2701"/>
    </row>
    <row r="89" spans="2:15" ht="21" customHeight="1">
      <c r="B89" s="2014" t="s">
        <v>358</v>
      </c>
      <c r="F89" s="2702" t="str">
        <f>IF(F87=$F$7,$G$3,IF(ROUNDDOWN(F87,0)=$F$3,$H$3,$G$3))</f>
        <v>　Level 2</v>
      </c>
      <c r="G89" s="3213" t="s">
        <v>2528</v>
      </c>
      <c r="H89" s="3254"/>
      <c r="I89" s="3254"/>
      <c r="J89" s="3254"/>
      <c r="K89" s="3254"/>
      <c r="L89" s="3254"/>
      <c r="M89" s="3254"/>
      <c r="N89" s="2333"/>
      <c r="O89" s="2703"/>
    </row>
    <row r="90" spans="2:15" ht="31.9" customHeight="1">
      <c r="B90" s="2014">
        <v>3</v>
      </c>
      <c r="F90" s="2702" t="str">
        <f>IF(F87=$F$7,$G$4,IF(ROUNDDOWN(F87,0)=$F$4,$H$4,$G$4))</f>
        <v>■Level 3</v>
      </c>
      <c r="G90" s="4309" t="s">
        <v>3940</v>
      </c>
      <c r="H90" s="4009"/>
      <c r="I90" s="4009"/>
      <c r="J90" s="4009"/>
      <c r="K90" s="3977"/>
      <c r="L90" s="4309" t="s">
        <v>3942</v>
      </c>
      <c r="M90" s="4009"/>
      <c r="N90" s="4009"/>
      <c r="O90" s="3977"/>
    </row>
    <row r="91" spans="2:15" ht="30.6" customHeight="1">
      <c r="B91" s="2014">
        <v>4</v>
      </c>
      <c r="F91" s="2702" t="str">
        <f>IF(F87=$F$7,$G$5,IF(ROUNDDOWN(F87,0)=$F$5,$H$5,$G$5))</f>
        <v>　Level 4</v>
      </c>
      <c r="G91" s="4309" t="s">
        <v>3941</v>
      </c>
      <c r="H91" s="4321"/>
      <c r="I91" s="4321"/>
      <c r="J91" s="4321"/>
      <c r="K91" s="4322"/>
      <c r="L91" s="4309" t="s">
        <v>3943</v>
      </c>
      <c r="M91" s="4009"/>
      <c r="N91" s="4009"/>
      <c r="O91" s="3977"/>
    </row>
    <row r="92" spans="2:15" ht="27" customHeight="1">
      <c r="B92" s="2014">
        <v>5</v>
      </c>
      <c r="F92" s="2704" t="str">
        <f>IF(F87=$F$7,$G$6,IF(ROUNDDOWN(F87,0)=$F$6,$H$6,$G$6))</f>
        <v>　Level 5</v>
      </c>
      <c r="G92" s="4310" t="s">
        <v>3944</v>
      </c>
      <c r="H92" s="4311"/>
      <c r="I92" s="4311"/>
      <c r="J92" s="4311"/>
      <c r="K92" s="4311"/>
      <c r="L92" s="4311"/>
      <c r="M92" s="4311"/>
      <c r="N92" s="4311"/>
      <c r="O92" s="4312"/>
    </row>
    <row r="93" spans="2:15">
      <c r="B93" s="2850">
        <v>0</v>
      </c>
      <c r="C93" s="2850">
        <v>0</v>
      </c>
      <c r="F93" s="2067" t="s">
        <v>3045</v>
      </c>
      <c r="G93" s="2708"/>
      <c r="H93" s="2709"/>
      <c r="I93" s="2709"/>
      <c r="J93" s="2710"/>
      <c r="K93" s="2779"/>
    </row>
    <row r="94" spans="2:15">
      <c r="B94" s="2712"/>
    </row>
    <row r="95" spans="2:15" ht="16.5" customHeight="1">
      <c r="F95" s="196" t="s">
        <v>4020</v>
      </c>
      <c r="J95" s="1105" t="str">
        <f>IF(OR(F97=0,J96=0),$L$3,"")</f>
        <v/>
      </c>
    </row>
    <row r="96" spans="2:15" ht="19.5" customHeight="1" thickBot="1">
      <c r="D96" s="393"/>
      <c r="E96" s="119"/>
      <c r="F96" s="3220"/>
      <c r="G96" s="2688"/>
      <c r="H96" s="2689" t="s">
        <v>2629</v>
      </c>
      <c r="I96" s="2690"/>
      <c r="J96" s="3221">
        <f>Weight!M181</f>
        <v>0.25</v>
      </c>
      <c r="K96" s="2764"/>
      <c r="L96" s="2764"/>
      <c r="M96" s="2764"/>
      <c r="N96" s="2764"/>
      <c r="O96" s="2698"/>
    </row>
    <row r="97" spans="2:15" ht="27" customHeight="1" thickBot="1">
      <c r="F97" s="2693">
        <v>3</v>
      </c>
      <c r="G97" s="2774" t="s">
        <v>2618</v>
      </c>
      <c r="H97" s="2697"/>
      <c r="I97" s="2697"/>
      <c r="J97" s="2697"/>
      <c r="K97" s="2697"/>
      <c r="L97" s="2856"/>
      <c r="M97" s="2697"/>
      <c r="N97" s="2697"/>
      <c r="O97" s="2698"/>
    </row>
    <row r="98" spans="2:15" ht="21" customHeight="1">
      <c r="B98" s="3286" t="s">
        <v>358</v>
      </c>
      <c r="F98" s="2702" t="str">
        <f>IF(F97=$F$7,$G$2,IF(ROUNDDOWN(F97,0)=$F$2,$H$2,$G$2))</f>
        <v>　Level 1</v>
      </c>
      <c r="G98" s="2755" t="s">
        <v>2528</v>
      </c>
      <c r="H98" s="2700"/>
      <c r="I98" s="2700"/>
      <c r="J98" s="2700"/>
      <c r="K98" s="2700"/>
      <c r="L98" s="2700"/>
      <c r="M98" s="2700"/>
      <c r="N98" s="2700"/>
      <c r="O98" s="2701"/>
    </row>
    <row r="99" spans="2:15" ht="21" customHeight="1">
      <c r="B99" s="2014" t="s">
        <v>358</v>
      </c>
      <c r="F99" s="2702" t="str">
        <f>IF(F97=$F$7,$G$3,IF(ROUNDDOWN(F97,0)=$F$3,$H$3,$G$3))</f>
        <v>　Level 2</v>
      </c>
      <c r="G99" s="3213" t="s">
        <v>2528</v>
      </c>
      <c r="H99" s="3254"/>
      <c r="I99" s="3254"/>
      <c r="J99" s="3254"/>
      <c r="K99" s="3254"/>
      <c r="L99" s="3254"/>
      <c r="M99" s="3254"/>
      <c r="N99" s="2333"/>
      <c r="O99" s="2703"/>
    </row>
    <row r="100" spans="2:15" ht="24" customHeight="1">
      <c r="B100" s="2014">
        <v>3</v>
      </c>
      <c r="F100" s="2702" t="str">
        <f>IF(F97=$F$7,$G$4,IF(ROUNDDOWN(F97,0)=$F$4,$H$4,$G$4))</f>
        <v>■Level 3</v>
      </c>
      <c r="G100" s="4309" t="s">
        <v>3945</v>
      </c>
      <c r="H100" s="4009"/>
      <c r="I100" s="4009"/>
      <c r="J100" s="4009"/>
      <c r="K100" s="4009"/>
      <c r="L100" s="4009"/>
      <c r="M100" s="4009"/>
      <c r="N100" s="4009"/>
      <c r="O100" s="3977"/>
    </row>
    <row r="101" spans="2:15" ht="21" customHeight="1">
      <c r="B101" s="2014">
        <v>4</v>
      </c>
      <c r="F101" s="2702" t="str">
        <f>IF(F97=$F$7,$G$5,IF(ROUNDDOWN(F97,0)=$F$5,$H$5,$G$5))</f>
        <v>　Level 4</v>
      </c>
      <c r="G101" s="3213" t="s">
        <v>3946</v>
      </c>
      <c r="H101" s="3254"/>
      <c r="I101" s="3254"/>
      <c r="J101" s="3254"/>
      <c r="K101" s="3254"/>
      <c r="L101" s="3254"/>
      <c r="M101" s="3254"/>
      <c r="N101" s="2333"/>
      <c r="O101" s="2703"/>
    </row>
    <row r="102" spans="2:15" ht="21" customHeight="1">
      <c r="B102" s="2014" t="s">
        <v>512</v>
      </c>
      <c r="F102" s="2704" t="str">
        <f>IF(F97=$F$7,$G$6,IF(ROUNDDOWN(F97,0)=$F$6,$H$6,$G$6))</f>
        <v>　Level 5</v>
      </c>
      <c r="G102" s="3255" t="s">
        <v>2528</v>
      </c>
      <c r="H102" s="3256"/>
      <c r="I102" s="3256"/>
      <c r="J102" s="3256"/>
      <c r="K102" s="3256"/>
      <c r="L102" s="3256"/>
      <c r="M102" s="3256"/>
      <c r="N102" s="2705"/>
      <c r="O102" s="2706"/>
    </row>
    <row r="103" spans="2:15" ht="13.5" customHeight="1">
      <c r="B103" s="2850">
        <v>0</v>
      </c>
      <c r="C103" s="2850">
        <v>0</v>
      </c>
      <c r="F103" s="2067" t="s">
        <v>3045</v>
      </c>
      <c r="G103" s="2708"/>
      <c r="H103" s="2709"/>
      <c r="I103" s="2709"/>
      <c r="J103" s="2710"/>
      <c r="K103" s="2779"/>
    </row>
    <row r="104" spans="2:15" ht="13.5" customHeight="1">
      <c r="B104" s="2712"/>
    </row>
    <row r="105" spans="2:15" ht="13.5" customHeight="1">
      <c r="F105" s="196" t="s">
        <v>3947</v>
      </c>
      <c r="J105" s="1105" t="str">
        <f>IF(OR(F107=0,J106=0),$L$3,"")</f>
        <v/>
      </c>
    </row>
    <row r="106" spans="2:15" ht="14.25" customHeight="1" thickBot="1">
      <c r="D106" s="393"/>
      <c r="E106" s="119"/>
      <c r="F106" s="3220"/>
      <c r="G106" s="2688"/>
      <c r="H106" s="2689" t="s">
        <v>2629</v>
      </c>
      <c r="I106" s="2690"/>
      <c r="J106" s="3221">
        <f>Weight!M182</f>
        <v>0.25</v>
      </c>
      <c r="K106" s="2764"/>
      <c r="L106" s="2764"/>
      <c r="M106" s="2764"/>
      <c r="N106" s="2764"/>
      <c r="O106" s="2698"/>
    </row>
    <row r="107" spans="2:15" ht="27" customHeight="1" thickBot="1">
      <c r="B107" s="1105" t="s">
        <v>1049</v>
      </c>
      <c r="F107" s="2865">
        <f>G115</f>
        <v>3</v>
      </c>
      <c r="G107" s="2774" t="s">
        <v>2619</v>
      </c>
      <c r="H107" s="2697"/>
      <c r="I107" s="2697"/>
      <c r="J107" s="2697"/>
      <c r="K107" s="2697"/>
      <c r="L107" s="2856"/>
      <c r="M107" s="2697"/>
      <c r="N107" s="2697"/>
      <c r="O107" s="2698"/>
    </row>
    <row r="108" spans="2:15" ht="21" customHeight="1">
      <c r="B108" s="1105">
        <v>0</v>
      </c>
      <c r="F108" s="2702" t="str">
        <f>IF(F107=$F$7,$G$2,IF(ROUNDDOWN(F107,0)=$F$2,$H$2,$G$2))</f>
        <v>　Level 1</v>
      </c>
      <c r="G108" s="2755" t="s">
        <v>3665</v>
      </c>
      <c r="H108" s="2700"/>
      <c r="I108" s="2700"/>
      <c r="J108" s="2700"/>
      <c r="K108" s="2700"/>
      <c r="L108" s="2700"/>
      <c r="M108" s="2700"/>
      <c r="N108" s="2700"/>
      <c r="O108" s="2701"/>
    </row>
    <row r="109" spans="2:15" ht="21" customHeight="1">
      <c r="B109" s="1105">
        <v>1</v>
      </c>
      <c r="F109" s="2702" t="str">
        <f>IF(F107=$F$7,$G$3,IF(ROUNDDOWN(F107,0)=$F$3,$H$3,$G$3))</f>
        <v>　Level 2</v>
      </c>
      <c r="G109" s="3213" t="s">
        <v>3948</v>
      </c>
      <c r="H109" s="3254"/>
      <c r="I109" s="3254"/>
      <c r="J109" s="3254"/>
      <c r="K109" s="3254"/>
      <c r="L109" s="3254"/>
      <c r="M109" s="3254"/>
      <c r="N109" s="2333"/>
      <c r="O109" s="2703"/>
    </row>
    <row r="110" spans="2:15" ht="21" customHeight="1">
      <c r="B110" s="1105">
        <v>2</v>
      </c>
      <c r="F110" s="2702" t="str">
        <f>IF(F107=$F$7,$G$4,IF(ROUNDDOWN(F107,0)=$F$4,$H$4,$G$4))</f>
        <v>■Level 3</v>
      </c>
      <c r="G110" s="3213" t="s">
        <v>3949</v>
      </c>
      <c r="H110" s="3254"/>
      <c r="I110" s="3254"/>
      <c r="J110" s="3254"/>
      <c r="K110" s="3254"/>
      <c r="L110" s="3254"/>
      <c r="M110" s="3254"/>
      <c r="N110" s="2333"/>
      <c r="O110" s="2703"/>
    </row>
    <row r="111" spans="2:15" ht="21" customHeight="1">
      <c r="B111" s="1105">
        <v>3</v>
      </c>
      <c r="F111" s="2702" t="str">
        <f>IF(F107=$F$7,$G$5,IF(ROUNDDOWN(F107,0)=$F$5,$H$5,$G$5))</f>
        <v>　Level 4</v>
      </c>
      <c r="G111" s="3213" t="s">
        <v>3950</v>
      </c>
      <c r="H111" s="3254"/>
      <c r="I111" s="3254"/>
      <c r="J111" s="3254"/>
      <c r="K111" s="3254"/>
      <c r="L111" s="3254"/>
      <c r="M111" s="3254"/>
      <c r="N111" s="2333"/>
      <c r="O111" s="2703"/>
    </row>
    <row r="112" spans="2:15" ht="21" customHeight="1">
      <c r="B112" s="1105">
        <v>4</v>
      </c>
      <c r="F112" s="2704" t="str">
        <f>IF(F107=$F$7,$G$6,IF(ROUNDDOWN(F107,0)=$F$6,$H$6,$G$6))</f>
        <v>　Level 5</v>
      </c>
      <c r="G112" s="3255" t="s">
        <v>3951</v>
      </c>
      <c r="H112" s="3256"/>
      <c r="I112" s="3256"/>
      <c r="J112" s="3256"/>
      <c r="K112" s="3256"/>
      <c r="L112" s="3256"/>
      <c r="M112" s="3256"/>
      <c r="N112" s="2705"/>
      <c r="O112" s="2706"/>
    </row>
    <row r="113" spans="2:15">
      <c r="F113" s="2067" t="s">
        <v>3045</v>
      </c>
      <c r="G113" s="2708"/>
      <c r="H113" s="2709"/>
      <c r="I113" s="2709"/>
      <c r="J113" s="2710"/>
      <c r="K113" s="2779" t="s">
        <v>3637</v>
      </c>
    </row>
    <row r="114" spans="2:15">
      <c r="F114" s="1173" t="s">
        <v>3286</v>
      </c>
      <c r="G114" s="1173"/>
      <c r="H114" s="1529"/>
      <c r="I114" s="3194"/>
      <c r="J114" s="3194"/>
      <c r="K114" s="3271"/>
    </row>
    <row r="115" spans="2:15" ht="24.75" thickBot="1">
      <c r="B115" s="1105" t="s">
        <v>1050</v>
      </c>
      <c r="F115" s="395"/>
      <c r="G115" s="2866">
        <f>IF(G122&gt;=B112,5,IF(G122&gt;=B111,4,IF(G122&gt;=B110,3,IF(G122&gt;=B109,2,1))))</f>
        <v>3</v>
      </c>
      <c r="H115" s="4227" t="s">
        <v>4056</v>
      </c>
      <c r="I115" s="4228"/>
      <c r="J115" s="4229"/>
      <c r="K115" s="4227" t="s">
        <v>4057</v>
      </c>
      <c r="L115" s="4228"/>
      <c r="M115" s="4228"/>
      <c r="N115" s="4228"/>
      <c r="O115" s="2867" t="s">
        <v>3300</v>
      </c>
    </row>
    <row r="116" spans="2:15" ht="64.900000000000006" customHeight="1">
      <c r="B116" s="1105">
        <v>1</v>
      </c>
      <c r="D116" s="393"/>
      <c r="E116" s="1529"/>
      <c r="F116" s="2321" t="s">
        <v>784</v>
      </c>
      <c r="G116" s="2868"/>
      <c r="H116" s="3919" t="s">
        <v>3952</v>
      </c>
      <c r="I116" s="3919"/>
      <c r="J116" s="3920"/>
      <c r="K116" s="4022" t="s">
        <v>3980</v>
      </c>
      <c r="L116" s="4062"/>
      <c r="M116" s="4062"/>
      <c r="N116" s="4062"/>
      <c r="O116" s="3287">
        <v>1</v>
      </c>
    </row>
    <row r="117" spans="2:15" ht="28.15" customHeight="1">
      <c r="B117" s="1105">
        <v>1</v>
      </c>
      <c r="D117" s="393"/>
      <c r="E117" s="1529"/>
      <c r="F117" s="2321" t="s">
        <v>785</v>
      </c>
      <c r="G117" s="2873">
        <v>1</v>
      </c>
      <c r="H117" s="4293"/>
      <c r="I117" s="4293"/>
      <c r="J117" s="4275"/>
      <c r="K117" s="4007" t="s">
        <v>3958</v>
      </c>
      <c r="L117" s="4165"/>
      <c r="M117" s="4165"/>
      <c r="N117" s="4166"/>
      <c r="O117" s="3288">
        <v>1</v>
      </c>
    </row>
    <row r="118" spans="2:15" ht="44.45" customHeight="1">
      <c r="B118" s="1105">
        <v>1</v>
      </c>
      <c r="D118" s="393"/>
      <c r="E118" s="1529"/>
      <c r="F118" s="2321" t="s">
        <v>1052</v>
      </c>
      <c r="G118" s="2870"/>
      <c r="H118" s="4290" t="s">
        <v>3953</v>
      </c>
      <c r="I118" s="4290"/>
      <c r="J118" s="4291"/>
      <c r="K118" s="4274" t="s">
        <v>3954</v>
      </c>
      <c r="L118" s="4293"/>
      <c r="M118" s="4293"/>
      <c r="N118" s="4293"/>
      <c r="O118" s="3288">
        <v>1</v>
      </c>
    </row>
    <row r="119" spans="2:15" ht="30" customHeight="1">
      <c r="B119" s="1105">
        <v>1</v>
      </c>
      <c r="D119" s="393"/>
      <c r="E119" s="1529"/>
      <c r="F119" s="2321" t="s">
        <v>787</v>
      </c>
      <c r="G119" s="2870">
        <v>1</v>
      </c>
      <c r="H119" s="4293"/>
      <c r="I119" s="4293"/>
      <c r="J119" s="4275"/>
      <c r="K119" s="4007" t="s">
        <v>3955</v>
      </c>
      <c r="L119" s="4165"/>
      <c r="M119" s="4165"/>
      <c r="N119" s="4165"/>
      <c r="O119" s="3288">
        <v>1</v>
      </c>
    </row>
    <row r="120" spans="2:15" ht="43.9" customHeight="1">
      <c r="B120" s="1105">
        <v>1</v>
      </c>
      <c r="D120" s="393"/>
      <c r="E120" s="1529"/>
      <c r="F120" s="2321" t="s">
        <v>788</v>
      </c>
      <c r="G120" s="2870"/>
      <c r="H120" s="4293"/>
      <c r="I120" s="4293"/>
      <c r="J120" s="4275"/>
      <c r="K120" s="4007" t="s">
        <v>3956</v>
      </c>
      <c r="L120" s="4165"/>
      <c r="M120" s="4165"/>
      <c r="N120" s="4165"/>
      <c r="O120" s="3288">
        <v>1</v>
      </c>
    </row>
    <row r="121" spans="2:15" ht="21.75" customHeight="1" thickBot="1">
      <c r="B121" s="1105">
        <v>1</v>
      </c>
      <c r="D121" s="393"/>
      <c r="E121" s="1529"/>
      <c r="F121" s="2321" t="s">
        <v>789</v>
      </c>
      <c r="G121" s="2873"/>
      <c r="H121" s="4293"/>
      <c r="I121" s="4293"/>
      <c r="J121" s="4275"/>
      <c r="K121" s="4274" t="s">
        <v>3957</v>
      </c>
      <c r="L121" s="4293"/>
      <c r="M121" s="4293"/>
      <c r="N121" s="4293"/>
      <c r="O121" s="3288">
        <v>1</v>
      </c>
    </row>
    <row r="122" spans="2:15" ht="21" customHeight="1">
      <c r="D122" s="393"/>
      <c r="E122" s="1529"/>
      <c r="F122" s="2321" t="s">
        <v>1468</v>
      </c>
      <c r="G122" s="2875">
        <f>SUM(G116:G121)</f>
        <v>2</v>
      </c>
      <c r="H122" s="2876" t="s">
        <v>4058</v>
      </c>
      <c r="I122" s="3279"/>
      <c r="J122" s="3280"/>
      <c r="K122" s="3281"/>
      <c r="L122" s="3280"/>
      <c r="M122" s="3281"/>
      <c r="N122" s="3282"/>
      <c r="O122" s="2879">
        <f>SUM(B116:B121)</f>
        <v>6</v>
      </c>
    </row>
    <row r="123" spans="2:15" ht="15.75">
      <c r="D123" s="393"/>
      <c r="E123" s="1529"/>
      <c r="F123" s="1529"/>
      <c r="G123" s="1529"/>
      <c r="O123" s="1529"/>
    </row>
    <row r="124" spans="2:15" ht="15.75">
      <c r="D124" s="393"/>
      <c r="E124" s="1529"/>
      <c r="F124" s="196" t="s">
        <v>3959</v>
      </c>
      <c r="G124" s="1529"/>
      <c r="J124" s="1105" t="str">
        <f>IF(OR(F126=0,J125=0),$L$3,"")</f>
        <v/>
      </c>
      <c r="O124" s="1529"/>
    </row>
    <row r="125" spans="2:15" ht="16.5" thickBot="1">
      <c r="B125" s="2813" t="s">
        <v>4181</v>
      </c>
      <c r="D125" s="393"/>
      <c r="E125" s="1529"/>
      <c r="F125" s="3220"/>
      <c r="G125" s="2688"/>
      <c r="H125" s="2689" t="s">
        <v>2629</v>
      </c>
      <c r="I125" s="2690"/>
      <c r="J125" s="3221">
        <f>Weight!M183</f>
        <v>0.25</v>
      </c>
      <c r="K125" s="2764"/>
      <c r="L125" s="2764"/>
      <c r="M125" s="2764"/>
      <c r="N125" s="2764"/>
      <c r="O125" s="2698"/>
    </row>
    <row r="126" spans="2:15" ht="27" customHeight="1" thickBot="1">
      <c r="B126" s="1105" t="s">
        <v>1049</v>
      </c>
      <c r="C126" s="1105" t="s">
        <v>1049</v>
      </c>
      <c r="F126" s="2865">
        <f>G134</f>
        <v>3</v>
      </c>
      <c r="G126" s="2774" t="s">
        <v>2917</v>
      </c>
      <c r="H126" s="2697"/>
      <c r="I126" s="2697"/>
      <c r="J126" s="3224">
        <f>Main!C66</f>
        <v>7000</v>
      </c>
      <c r="K126" s="2753" t="s">
        <v>2433</v>
      </c>
      <c r="L126" s="2697"/>
      <c r="M126" s="2697"/>
      <c r="N126" s="2697"/>
      <c r="O126" s="3227">
        <f>Main!C67</f>
        <v>0</v>
      </c>
    </row>
    <row r="127" spans="2:15" ht="21" customHeight="1">
      <c r="B127" s="1105">
        <v>0</v>
      </c>
      <c r="C127" s="1105">
        <v>0</v>
      </c>
      <c r="F127" s="2702" t="str">
        <f>IF(F126=$F$7,$G$2,IF(ROUNDDOWN(F126,0)=$F$2,$H$2,$G$2))</f>
        <v>　Level 1</v>
      </c>
      <c r="G127" s="2755" t="s">
        <v>3960</v>
      </c>
      <c r="H127" s="3190"/>
      <c r="I127" s="3190"/>
      <c r="J127" s="3190"/>
      <c r="K127" s="2755"/>
      <c r="L127" s="3190"/>
      <c r="M127" s="3190"/>
      <c r="N127" s="2700"/>
      <c r="O127" s="2701"/>
    </row>
    <row r="128" spans="2:15" ht="21" customHeight="1">
      <c r="B128" s="1105">
        <v>2</v>
      </c>
      <c r="C128" s="1105">
        <v>2</v>
      </c>
      <c r="F128" s="2702" t="str">
        <f>IF(F126=$F$7,$G$3,IF(ROUNDDOWN(F126,0)=$F$3,$H$3,$G$3))</f>
        <v>　Level 2</v>
      </c>
      <c r="G128" s="1170" t="s">
        <v>3949</v>
      </c>
      <c r="H128" s="2676"/>
      <c r="I128" s="2676"/>
      <c r="J128" s="2676"/>
      <c r="K128" s="1170"/>
      <c r="L128" s="3289"/>
      <c r="M128" s="2676"/>
      <c r="N128" s="2333"/>
      <c r="O128" s="2703"/>
    </row>
    <row r="129" spans="2:15" ht="21" customHeight="1">
      <c r="B129" s="1105">
        <v>3</v>
      </c>
      <c r="C129" s="1105">
        <v>3</v>
      </c>
      <c r="F129" s="2702" t="str">
        <f>IF(F126=$F$7,$G$4,IF(ROUNDDOWN(F126,0)=$F$4,$H$4,$G$4))</f>
        <v>■Level 3</v>
      </c>
      <c r="G129" s="1170" t="s">
        <v>3950</v>
      </c>
      <c r="H129" s="2676"/>
      <c r="I129" s="2676"/>
      <c r="J129" s="2676"/>
      <c r="K129" s="1170"/>
      <c r="L129" s="3289"/>
      <c r="M129" s="2676"/>
      <c r="N129" s="2333"/>
      <c r="O129" s="2703"/>
    </row>
    <row r="130" spans="2:15" ht="21" customHeight="1">
      <c r="B130" s="1105">
        <v>4</v>
      </c>
      <c r="C130" s="1105">
        <v>4</v>
      </c>
      <c r="F130" s="2702" t="str">
        <f>IF(F126=$F$7,$G$5,IF(ROUNDDOWN(F126,0)=$F$5,$H$5,$G$5))</f>
        <v>　Level 4</v>
      </c>
      <c r="G130" s="1170" t="s">
        <v>3961</v>
      </c>
      <c r="H130" s="2676"/>
      <c r="I130" s="2676"/>
      <c r="J130" s="2676"/>
      <c r="K130" s="1170"/>
      <c r="L130" s="3289"/>
      <c r="M130" s="2676"/>
      <c r="N130" s="2333"/>
      <c r="O130" s="2703"/>
    </row>
    <row r="131" spans="2:15" ht="21" customHeight="1">
      <c r="B131" s="1105">
        <v>5</v>
      </c>
      <c r="C131" s="1105">
        <v>5</v>
      </c>
      <c r="F131" s="2704" t="str">
        <f>IF(F126=$F$7,$G$6,IF(ROUNDDOWN(F126,0)=$F$6,$H$6,$G$6))</f>
        <v>　Level 5</v>
      </c>
      <c r="G131" s="2756" t="s">
        <v>3962</v>
      </c>
      <c r="H131" s="3193"/>
      <c r="I131" s="3193"/>
      <c r="J131" s="3193"/>
      <c r="K131" s="2756"/>
      <c r="L131" s="3215"/>
      <c r="M131" s="3193"/>
      <c r="N131" s="2705"/>
      <c r="O131" s="2706"/>
    </row>
    <row r="132" spans="2:15">
      <c r="F132" s="2067" t="s">
        <v>3045</v>
      </c>
      <c r="G132" s="2708"/>
      <c r="H132" s="2709"/>
      <c r="I132" s="2709"/>
      <c r="J132" s="2710"/>
      <c r="K132" s="2779" t="s">
        <v>3637</v>
      </c>
    </row>
    <row r="133" spans="2:15">
      <c r="F133" s="1173" t="s">
        <v>3286</v>
      </c>
      <c r="H133" s="1529"/>
      <c r="I133" s="3194"/>
      <c r="J133" s="3194"/>
      <c r="K133" s="3271"/>
      <c r="L133" s="3271"/>
      <c r="M133" s="3271"/>
      <c r="N133" s="3271"/>
      <c r="O133" s="1529"/>
    </row>
    <row r="134" spans="2:15" ht="24.75" thickBot="1">
      <c r="B134" s="1105" t="s">
        <v>1050</v>
      </c>
      <c r="F134" s="395"/>
      <c r="G134" s="2866">
        <f>(K142*J126+M142*O126)/(J126+O126)</f>
        <v>3</v>
      </c>
      <c r="H134" s="4227" t="s">
        <v>4056</v>
      </c>
      <c r="I134" s="4228"/>
      <c r="J134" s="4229"/>
      <c r="K134" s="4227" t="s">
        <v>4057</v>
      </c>
      <c r="L134" s="4228"/>
      <c r="M134" s="4228"/>
      <c r="N134" s="4228"/>
      <c r="O134" s="2867" t="s">
        <v>3300</v>
      </c>
    </row>
    <row r="135" spans="2:15" ht="35.25" customHeight="1">
      <c r="B135" s="1105">
        <v>1</v>
      </c>
      <c r="D135" s="393"/>
      <c r="E135" s="1529"/>
      <c r="F135" s="2321" t="s">
        <v>784</v>
      </c>
      <c r="G135" s="2868">
        <v>1</v>
      </c>
      <c r="H135" s="4061" t="s">
        <v>3970</v>
      </c>
      <c r="I135" s="4317"/>
      <c r="J135" s="4318"/>
      <c r="K135" s="4022" t="s">
        <v>3973</v>
      </c>
      <c r="L135" s="4062"/>
      <c r="M135" s="4062"/>
      <c r="N135" s="4063"/>
      <c r="O135" s="3287">
        <v>1</v>
      </c>
    </row>
    <row r="136" spans="2:15" ht="35.25" customHeight="1">
      <c r="B136" s="1105">
        <v>1</v>
      </c>
      <c r="D136" s="393"/>
      <c r="E136" s="1529"/>
      <c r="F136" s="2321" t="s">
        <v>785</v>
      </c>
      <c r="G136" s="2873">
        <v>1</v>
      </c>
      <c r="H136" s="4282" t="s">
        <v>3971</v>
      </c>
      <c r="I136" s="4290"/>
      <c r="J136" s="4291"/>
      <c r="K136" s="4007" t="s">
        <v>3974</v>
      </c>
      <c r="L136" s="3928"/>
      <c r="M136" s="3928"/>
      <c r="N136" s="3929"/>
      <c r="O136" s="3288">
        <v>1</v>
      </c>
    </row>
    <row r="137" spans="2:15" ht="27" customHeight="1">
      <c r="B137" s="1105">
        <v>1</v>
      </c>
      <c r="D137" s="393"/>
      <c r="E137" s="1529"/>
      <c r="F137" s="2321" t="s">
        <v>786</v>
      </c>
      <c r="G137" s="2870"/>
      <c r="H137" s="4292"/>
      <c r="I137" s="4293"/>
      <c r="J137" s="4275"/>
      <c r="K137" s="4007" t="s">
        <v>3975</v>
      </c>
      <c r="L137" s="3928"/>
      <c r="M137" s="3928"/>
      <c r="N137" s="3929"/>
      <c r="O137" s="3288">
        <v>1</v>
      </c>
    </row>
    <row r="138" spans="2:15" ht="24.75" customHeight="1">
      <c r="B138" s="1105">
        <v>1</v>
      </c>
      <c r="D138" s="393"/>
      <c r="E138" s="1529"/>
      <c r="F138" s="2321" t="s">
        <v>1051</v>
      </c>
      <c r="G138" s="2870"/>
      <c r="H138" s="4292"/>
      <c r="I138" s="4293"/>
      <c r="J138" s="4275"/>
      <c r="K138" s="4007" t="s">
        <v>3976</v>
      </c>
      <c r="L138" s="3928"/>
      <c r="M138" s="3928"/>
      <c r="N138" s="3929"/>
      <c r="O138" s="3288">
        <v>1</v>
      </c>
    </row>
    <row r="139" spans="2:15" ht="15.75">
      <c r="B139" s="2813" t="s">
        <v>4182</v>
      </c>
      <c r="D139" s="393"/>
      <c r="E139" s="1529"/>
      <c r="F139" s="2321" t="s">
        <v>788</v>
      </c>
      <c r="G139" s="3275"/>
      <c r="H139" s="3276"/>
      <c r="I139" s="3290"/>
      <c r="J139" s="3290"/>
      <c r="K139" s="4170" t="s">
        <v>3977</v>
      </c>
      <c r="L139" s="4297"/>
      <c r="M139" s="4297"/>
      <c r="N139" s="4297"/>
      <c r="O139" s="3288" t="s">
        <v>1255</v>
      </c>
    </row>
    <row r="140" spans="2:15" ht="46.5" customHeight="1">
      <c r="B140" s="1105">
        <v>1</v>
      </c>
      <c r="D140" s="393"/>
      <c r="E140" s="1529"/>
      <c r="F140" s="2321" t="s">
        <v>789</v>
      </c>
      <c r="G140" s="2870">
        <v>1</v>
      </c>
      <c r="H140" s="4282" t="s">
        <v>3972</v>
      </c>
      <c r="I140" s="4290"/>
      <c r="J140" s="4291"/>
      <c r="K140" s="4007" t="s">
        <v>3978</v>
      </c>
      <c r="L140" s="3928"/>
      <c r="M140" s="3928"/>
      <c r="N140" s="3929"/>
      <c r="O140" s="3288">
        <v>1</v>
      </c>
    </row>
    <row r="141" spans="2:15" ht="24" customHeight="1" thickBot="1">
      <c r="B141" s="1105">
        <v>1</v>
      </c>
      <c r="D141" s="393"/>
      <c r="E141" s="1529"/>
      <c r="F141" s="2321" t="s">
        <v>790</v>
      </c>
      <c r="G141" s="3291"/>
      <c r="H141" s="4298"/>
      <c r="I141" s="4299"/>
      <c r="J141" s="4300"/>
      <c r="K141" s="4008" t="s">
        <v>3979</v>
      </c>
      <c r="L141" s="3931"/>
      <c r="M141" s="3931"/>
      <c r="N141" s="3932"/>
      <c r="O141" s="3292">
        <v>1</v>
      </c>
    </row>
    <row r="142" spans="2:15" ht="21" customHeight="1">
      <c r="D142" s="393"/>
      <c r="E142" s="1529"/>
      <c r="F142" s="2321" t="s">
        <v>1468</v>
      </c>
      <c r="G142" s="2875">
        <f>SUM(G135:G141)</f>
        <v>3</v>
      </c>
      <c r="H142" s="2876" t="s">
        <v>4058</v>
      </c>
      <c r="I142" s="3279"/>
      <c r="J142" s="3280" t="s">
        <v>4183</v>
      </c>
      <c r="K142" s="3293">
        <f>IF(G142&gt;=B131,5,IF(G142&gt;=B130,4,IF(G142&gt;=B129,3,IF(G142&gt;=B128,2,1))))</f>
        <v>3</v>
      </c>
      <c r="L142" s="3280" t="s">
        <v>4184</v>
      </c>
      <c r="M142" s="3293">
        <f>IF(G142&gt;=C131,5,IF(G142&gt;=C130,4,IF(G142&gt;=C129,3,IF(G142&gt;=C128,2,1))))</f>
        <v>3</v>
      </c>
      <c r="N142" s="3282"/>
      <c r="O142" s="2879">
        <f>SUM(B135:B141)</f>
        <v>6</v>
      </c>
    </row>
    <row r="143" spans="2:15" ht="15.75">
      <c r="D143" s="393"/>
      <c r="E143" s="1529"/>
      <c r="F143" s="1529"/>
    </row>
    <row r="144" spans="2:15" ht="15.75">
      <c r="D144" s="393">
        <v>3</v>
      </c>
      <c r="E144" s="13" t="s">
        <v>1656</v>
      </c>
      <c r="F144" s="13"/>
    </row>
    <row r="145" spans="2:15" ht="15.75">
      <c r="D145" s="393">
        <v>3.1</v>
      </c>
      <c r="E145" s="13" t="s">
        <v>1657</v>
      </c>
      <c r="F145" s="13"/>
    </row>
    <row r="146" spans="2:15" ht="15.75">
      <c r="D146" s="393"/>
      <c r="E146" s="13"/>
      <c r="F146" s="412" t="s">
        <v>3981</v>
      </c>
      <c r="J146" s="1105" t="str">
        <f>IF(OR(F148=0,J147=0),$L$3,"")</f>
        <v/>
      </c>
    </row>
    <row r="147" spans="2:15" ht="16.5" thickBot="1">
      <c r="D147" s="393"/>
      <c r="E147" s="1529"/>
      <c r="F147" s="3220"/>
      <c r="G147" s="2688"/>
      <c r="H147" s="2689" t="s">
        <v>2629</v>
      </c>
      <c r="I147" s="2690"/>
      <c r="J147" s="3221">
        <f>Weight!M187</f>
        <v>0.33333333333333331</v>
      </c>
      <c r="K147" s="2764"/>
      <c r="L147" s="2764"/>
      <c r="M147" s="2764"/>
      <c r="N147" s="2764"/>
      <c r="O147" s="2698"/>
    </row>
    <row r="148" spans="2:15" ht="27" customHeight="1" thickBot="1">
      <c r="D148" s="395"/>
      <c r="E148" s="395"/>
      <c r="F148" s="2693">
        <v>3</v>
      </c>
      <c r="G148" s="2774" t="s">
        <v>2618</v>
      </c>
      <c r="H148" s="2697"/>
      <c r="I148" s="2697"/>
      <c r="J148" s="2697"/>
      <c r="K148" s="2697"/>
      <c r="L148" s="2856"/>
      <c r="M148" s="2697" t="s">
        <v>4185</v>
      </c>
      <c r="N148" s="2753" t="s">
        <v>3272</v>
      </c>
      <c r="O148" s="2698"/>
    </row>
    <row r="149" spans="2:15" ht="30" customHeight="1">
      <c r="B149" s="2014">
        <v>1</v>
      </c>
      <c r="D149" s="395"/>
      <c r="E149" s="395"/>
      <c r="F149" s="2702" t="str">
        <f>IF(F148=$F$7,$G$2,IF(ROUNDDOWN(F148,0)=$F$2,$H$2,$G$2))</f>
        <v>　Level 1</v>
      </c>
      <c r="G149" s="3948" t="s">
        <v>4186</v>
      </c>
      <c r="H149" s="4237"/>
      <c r="I149" s="4237"/>
      <c r="J149" s="4237"/>
      <c r="K149" s="4237"/>
      <c r="L149" s="4237"/>
      <c r="M149" s="4238"/>
      <c r="N149" s="3958" t="s">
        <v>4006</v>
      </c>
      <c r="O149" s="3959"/>
    </row>
    <row r="150" spans="2:15" ht="21" customHeight="1">
      <c r="B150" s="2014" t="s">
        <v>251</v>
      </c>
      <c r="D150" s="395"/>
      <c r="E150" s="395"/>
      <c r="F150" s="2702" t="str">
        <f>IF(F148=$F$7,$G$3,IF(ROUNDDOWN(F148,0)=$F$3,$H$3,$G$3))</f>
        <v>　Level 2</v>
      </c>
      <c r="G150" s="1170" t="s">
        <v>2528</v>
      </c>
      <c r="H150" s="2676"/>
      <c r="I150" s="2676"/>
      <c r="J150" s="2676"/>
      <c r="K150" s="2676"/>
      <c r="L150" s="3295"/>
      <c r="M150" s="2676"/>
      <c r="N150" s="4181"/>
      <c r="O150" s="4240"/>
    </row>
    <row r="151" spans="2:15" ht="30" customHeight="1">
      <c r="B151" s="2014">
        <v>3</v>
      </c>
      <c r="D151" s="395"/>
      <c r="E151" s="395"/>
      <c r="F151" s="2702" t="str">
        <f>IF(F148=$F$7,$G$4,IF(ROUNDDOWN(F148,0)=$F$4,$H$4,$G$4))</f>
        <v>■Level 3</v>
      </c>
      <c r="G151" s="3808" t="s">
        <v>4187</v>
      </c>
      <c r="H151" s="4009"/>
      <c r="I151" s="4009"/>
      <c r="J151" s="4009"/>
      <c r="K151" s="4009"/>
      <c r="L151" s="4009"/>
      <c r="M151" s="3977"/>
      <c r="N151" s="4181"/>
      <c r="O151" s="4240"/>
    </row>
    <row r="152" spans="2:15" ht="21" customHeight="1">
      <c r="B152" s="2014" t="s">
        <v>251</v>
      </c>
      <c r="D152" s="395"/>
      <c r="E152" s="395"/>
      <c r="F152" s="2702" t="str">
        <f>IF(F148=$F$7,$G$5,IF(ROUNDDOWN(F148,0)=$F$5,$H$5,$G$5))</f>
        <v>　Level 4</v>
      </c>
      <c r="G152" s="1170" t="s">
        <v>2528</v>
      </c>
      <c r="H152" s="2676"/>
      <c r="I152" s="2676"/>
      <c r="J152" s="2676"/>
      <c r="K152" s="2676"/>
      <c r="L152" s="3295"/>
      <c r="M152" s="2676"/>
      <c r="N152" s="4181"/>
      <c r="O152" s="4240"/>
    </row>
    <row r="153" spans="2:15" ht="41.45" customHeight="1">
      <c r="B153" s="2014">
        <v>5</v>
      </c>
      <c r="D153" s="395"/>
      <c r="E153" s="395"/>
      <c r="F153" s="2704" t="str">
        <f>IF(F148=$F$7,$G$6,IF(ROUNDDOWN(F148,0)=$F$6,$H$6,$G$6))</f>
        <v>　Level 5</v>
      </c>
      <c r="G153" s="3937" t="s">
        <v>4188</v>
      </c>
      <c r="H153" s="3973"/>
      <c r="I153" s="3973"/>
      <c r="J153" s="3973"/>
      <c r="K153" s="3973"/>
      <c r="L153" s="3973"/>
      <c r="M153" s="3990"/>
      <c r="N153" s="3951"/>
      <c r="O153" s="3952"/>
    </row>
    <row r="154" spans="2:15">
      <c r="B154" s="2850">
        <v>0</v>
      </c>
      <c r="C154" s="2850">
        <v>0</v>
      </c>
      <c r="F154" s="2067" t="s">
        <v>3045</v>
      </c>
      <c r="G154" s="2708"/>
      <c r="H154" s="2709"/>
      <c r="I154" s="2709"/>
      <c r="J154" s="2710"/>
      <c r="K154" s="2779"/>
    </row>
    <row r="155" spans="2:15">
      <c r="B155" s="2712"/>
      <c r="G155" s="2784" t="s">
        <v>3982</v>
      </c>
      <c r="H155" s="411"/>
      <c r="I155" s="411"/>
      <c r="J155" s="411"/>
      <c r="K155" s="411"/>
      <c r="L155" s="411"/>
      <c r="M155" s="411"/>
      <c r="N155" s="411"/>
      <c r="O155" s="411"/>
    </row>
    <row r="156" spans="2:15">
      <c r="B156" s="2712"/>
      <c r="G156" s="2784" t="s">
        <v>3983</v>
      </c>
      <c r="H156" s="411"/>
      <c r="I156" s="411"/>
      <c r="J156" s="411"/>
      <c r="K156" s="411"/>
      <c r="L156" s="411"/>
      <c r="M156" s="411"/>
      <c r="N156" s="411"/>
      <c r="O156" s="411"/>
    </row>
    <row r="157" spans="2:15" ht="15.75">
      <c r="F157" s="1172" t="s">
        <v>3984</v>
      </c>
      <c r="G157" s="1172"/>
      <c r="H157" s="395"/>
      <c r="I157" s="395"/>
      <c r="J157" s="395"/>
      <c r="K157" s="13"/>
      <c r="L157" s="13"/>
    </row>
    <row r="158" spans="2:15" ht="27.6" customHeight="1">
      <c r="F158" s="4308" t="s">
        <v>3985</v>
      </c>
      <c r="G158" s="4308"/>
      <c r="H158" s="4308"/>
      <c r="I158" s="4308"/>
      <c r="J158" s="4308"/>
      <c r="K158" s="4308"/>
      <c r="L158" s="4308"/>
      <c r="M158" s="4308"/>
      <c r="N158" s="4308"/>
      <c r="O158" s="4308"/>
    </row>
    <row r="159" spans="2:15">
      <c r="F159" s="3296"/>
      <c r="G159" s="4294" t="s">
        <v>3986</v>
      </c>
      <c r="H159" s="4295"/>
      <c r="I159" s="4296"/>
      <c r="J159" s="4294" t="s">
        <v>3987</v>
      </c>
      <c r="K159" s="4295"/>
      <c r="L159" s="4296"/>
    </row>
    <row r="160" spans="2:15" ht="22.5">
      <c r="F160" s="3297"/>
      <c r="G160" s="3198" t="s">
        <v>3988</v>
      </c>
      <c r="H160" s="3199" t="s">
        <v>3989</v>
      </c>
      <c r="I160" s="3200" t="s">
        <v>3990</v>
      </c>
      <c r="J160" s="3198" t="s">
        <v>3988</v>
      </c>
      <c r="K160" s="3199" t="s">
        <v>3989</v>
      </c>
      <c r="L160" s="3200" t="s">
        <v>3990</v>
      </c>
    </row>
    <row r="161" spans="4:15" ht="29.25" customHeight="1">
      <c r="F161" s="3796" t="s">
        <v>5002</v>
      </c>
      <c r="G161" s="3201" t="s">
        <v>3991</v>
      </c>
      <c r="H161" s="3202" t="s">
        <v>3991</v>
      </c>
      <c r="I161" s="3203" t="s">
        <v>3991</v>
      </c>
      <c r="J161" s="3201" t="s">
        <v>3991</v>
      </c>
      <c r="K161" s="3202" t="s">
        <v>3991</v>
      </c>
      <c r="L161" s="3203" t="s">
        <v>3991</v>
      </c>
    </row>
    <row r="162" spans="4:15">
      <c r="F162" s="2702" t="s">
        <v>2032</v>
      </c>
      <c r="G162" s="3204"/>
      <c r="H162" s="3205"/>
      <c r="I162" s="3206"/>
      <c r="J162" s="3204"/>
      <c r="K162" s="3205"/>
      <c r="L162" s="3206"/>
    </row>
    <row r="163" spans="4:15" ht="24">
      <c r="F163" s="2702" t="s">
        <v>2370</v>
      </c>
      <c r="G163" s="3207" t="s">
        <v>3992</v>
      </c>
      <c r="H163" s="3208" t="s">
        <v>3993</v>
      </c>
      <c r="I163" s="3209" t="s">
        <v>3993</v>
      </c>
      <c r="J163" s="3207" t="s">
        <v>3994</v>
      </c>
      <c r="K163" s="3208" t="s">
        <v>3992</v>
      </c>
      <c r="L163" s="3209" t="s">
        <v>3992</v>
      </c>
    </row>
    <row r="164" spans="4:15">
      <c r="F164" s="2702" t="s">
        <v>2033</v>
      </c>
      <c r="G164" s="3204"/>
      <c r="H164" s="3205"/>
      <c r="I164" s="3206"/>
      <c r="J164" s="3204"/>
      <c r="K164" s="3205"/>
      <c r="L164" s="3206"/>
    </row>
    <row r="165" spans="4:15" ht="24">
      <c r="F165" s="2704" t="s">
        <v>5004</v>
      </c>
      <c r="G165" s="3210" t="s">
        <v>3995</v>
      </c>
      <c r="H165" s="3211" t="s">
        <v>3996</v>
      </c>
      <c r="I165" s="3212" t="s">
        <v>3996</v>
      </c>
      <c r="J165" s="3210" t="s">
        <v>3993</v>
      </c>
      <c r="K165" s="3211" t="s">
        <v>3995</v>
      </c>
      <c r="L165" s="3212" t="s">
        <v>3995</v>
      </c>
    </row>
    <row r="166" spans="4:15">
      <c r="F166" s="3296"/>
      <c r="G166" s="4294" t="s">
        <v>3997</v>
      </c>
      <c r="H166" s="4295"/>
      <c r="I166" s="4296"/>
      <c r="J166" s="4294" t="s">
        <v>3998</v>
      </c>
      <c r="K166" s="4295"/>
      <c r="L166" s="4296"/>
    </row>
    <row r="167" spans="4:15" ht="22.5">
      <c r="F167" s="3298"/>
      <c r="G167" s="3198" t="s">
        <v>3988</v>
      </c>
      <c r="H167" s="3199" t="s">
        <v>3989</v>
      </c>
      <c r="I167" s="3200" t="s">
        <v>3990</v>
      </c>
      <c r="J167" s="3198" t="s">
        <v>3988</v>
      </c>
      <c r="K167" s="3199" t="s">
        <v>3989</v>
      </c>
      <c r="L167" s="3200" t="s">
        <v>3990</v>
      </c>
    </row>
    <row r="168" spans="4:15" ht="29.25" customHeight="1">
      <c r="F168" s="2702" t="s">
        <v>5005</v>
      </c>
      <c r="G168" s="3201" t="s">
        <v>3991</v>
      </c>
      <c r="H168" s="3202" t="s">
        <v>3991</v>
      </c>
      <c r="I168" s="3203" t="s">
        <v>3991</v>
      </c>
      <c r="J168" s="3201" t="s">
        <v>3991</v>
      </c>
      <c r="K168" s="3202" t="s">
        <v>3991</v>
      </c>
      <c r="L168" s="3203" t="s">
        <v>3991</v>
      </c>
    </row>
    <row r="169" spans="4:15">
      <c r="F169" s="2702" t="s">
        <v>5003</v>
      </c>
      <c r="G169" s="3204"/>
      <c r="H169" s="3205"/>
      <c r="I169" s="3206"/>
      <c r="J169" s="3204"/>
      <c r="K169" s="3205"/>
      <c r="L169" s="3206"/>
    </row>
    <row r="170" spans="4:15" ht="24">
      <c r="F170" s="2702" t="s">
        <v>1972</v>
      </c>
      <c r="G170" s="3207" t="s">
        <v>3999</v>
      </c>
      <c r="H170" s="3208" t="s">
        <v>4000</v>
      </c>
      <c r="I170" s="3209" t="s">
        <v>3994</v>
      </c>
      <c r="J170" s="3207" t="s">
        <v>4001</v>
      </c>
      <c r="K170" s="3208" t="s">
        <v>3999</v>
      </c>
      <c r="L170" s="3209" t="s">
        <v>4000</v>
      </c>
    </row>
    <row r="171" spans="4:15">
      <c r="F171" s="2702" t="s">
        <v>1973</v>
      </c>
      <c r="G171" s="3204"/>
      <c r="H171" s="3205"/>
      <c r="I171" s="3206"/>
      <c r="J171" s="3204"/>
      <c r="K171" s="3205"/>
      <c r="L171" s="3206"/>
    </row>
    <row r="172" spans="4:15" ht="24">
      <c r="F172" s="2704" t="s">
        <v>1974</v>
      </c>
      <c r="G172" s="3210" t="s">
        <v>3994</v>
      </c>
      <c r="H172" s="3211" t="s">
        <v>3992</v>
      </c>
      <c r="I172" s="3212" t="s">
        <v>3993</v>
      </c>
      <c r="J172" s="3210" t="s">
        <v>3999</v>
      </c>
      <c r="K172" s="3211" t="s">
        <v>3994</v>
      </c>
      <c r="L172" s="3212" t="s">
        <v>3992</v>
      </c>
    </row>
    <row r="173" spans="4:15" ht="14.25" customHeight="1">
      <c r="D173" s="395"/>
      <c r="E173" s="395"/>
      <c r="F173" s="395"/>
    </row>
    <row r="174" spans="4:15" ht="15.75">
      <c r="D174" s="395"/>
      <c r="E174" s="395"/>
      <c r="F174" s="412" t="s">
        <v>4002</v>
      </c>
      <c r="J174" s="1105" t="str">
        <f>IF(OR(F176=0,J175=0),$L$3,"")</f>
        <v/>
      </c>
    </row>
    <row r="175" spans="4:15" ht="16.5" thickBot="1">
      <c r="D175" s="393"/>
      <c r="E175" s="1529"/>
      <c r="F175" s="3220"/>
      <c r="G175" s="2688"/>
      <c r="H175" s="2689" t="s">
        <v>2629</v>
      </c>
      <c r="I175" s="2690"/>
      <c r="J175" s="3221">
        <f>Weight!M188</f>
        <v>0.33333333333333331</v>
      </c>
      <c r="K175" s="2764"/>
      <c r="L175" s="2764"/>
      <c r="M175" s="2764"/>
      <c r="N175" s="2764"/>
      <c r="O175" s="2698"/>
    </row>
    <row r="176" spans="4:15" ht="27" customHeight="1" thickBot="1">
      <c r="D176" s="393"/>
      <c r="E176" s="13"/>
      <c r="F176" s="2693">
        <v>3</v>
      </c>
      <c r="G176" s="2774" t="s">
        <v>2618</v>
      </c>
      <c r="H176" s="2697"/>
      <c r="I176" s="2697"/>
      <c r="J176" s="2697"/>
      <c r="K176" s="2697"/>
      <c r="L176" s="2856"/>
      <c r="M176" s="2697"/>
      <c r="N176" s="2753" t="s">
        <v>3272</v>
      </c>
      <c r="O176" s="2698"/>
    </row>
    <row r="177" spans="2:15" ht="28.9" customHeight="1">
      <c r="B177" s="2014">
        <v>1</v>
      </c>
      <c r="D177" s="393"/>
      <c r="E177" s="13"/>
      <c r="F177" s="2702" t="str">
        <f>IF(F176=$F$7,$G$2,IF(ROUNDDOWN(F176,0)=$F$2,$H$2,$G$2))</f>
        <v>　Level 1</v>
      </c>
      <c r="G177" s="3948" t="s">
        <v>4189</v>
      </c>
      <c r="H177" s="3949"/>
      <c r="I177" s="3949"/>
      <c r="J177" s="3949"/>
      <c r="K177" s="3949"/>
      <c r="L177" s="3949"/>
      <c r="M177" s="3950"/>
      <c r="N177" s="3958" t="s">
        <v>4003</v>
      </c>
      <c r="O177" s="3959"/>
    </row>
    <row r="178" spans="2:15" ht="21" customHeight="1">
      <c r="B178" s="2014" t="s">
        <v>90</v>
      </c>
      <c r="D178" s="393"/>
      <c r="E178" s="13"/>
      <c r="F178" s="2702" t="str">
        <f>IF(F176=$F$7,$G$3,IF(ROUNDDOWN(F176,0)=$F$3,$H$3,$G$3))</f>
        <v>　Level 2</v>
      </c>
      <c r="G178" s="1170" t="s">
        <v>2528</v>
      </c>
      <c r="H178" s="2676"/>
      <c r="I178" s="2676"/>
      <c r="J178" s="2676"/>
      <c r="K178" s="2676"/>
      <c r="L178" s="3295"/>
      <c r="M178" s="2676"/>
      <c r="N178" s="4181"/>
      <c r="O178" s="4240"/>
    </row>
    <row r="179" spans="2:15" ht="30.6" customHeight="1">
      <c r="B179" s="2014">
        <v>3</v>
      </c>
      <c r="D179" s="393"/>
      <c r="E179" s="13"/>
      <c r="F179" s="2702" t="str">
        <f>IF(F176=$F$7,$G$4,IF(ROUNDDOWN(F176,0)=$F$4,$H$4,$G$4))</f>
        <v>■Level 3</v>
      </c>
      <c r="G179" s="3808" t="s">
        <v>4190</v>
      </c>
      <c r="H179" s="4009"/>
      <c r="I179" s="4009"/>
      <c r="J179" s="4009"/>
      <c r="K179" s="4009"/>
      <c r="L179" s="4009"/>
      <c r="M179" s="3977"/>
      <c r="N179" s="4181"/>
      <c r="O179" s="4240"/>
    </row>
    <row r="180" spans="2:15" ht="21" customHeight="1">
      <c r="B180" s="2014" t="s">
        <v>49</v>
      </c>
      <c r="D180" s="393"/>
      <c r="E180" s="13"/>
      <c r="F180" s="2702" t="str">
        <f>IF(F176=$F$7,$G$5,IF(ROUNDDOWN(F176,0)=$F$5,$H$5,$G$5))</f>
        <v>　Level 4</v>
      </c>
      <c r="G180" s="1170" t="s">
        <v>2528</v>
      </c>
      <c r="H180" s="2676"/>
      <c r="I180" s="2676"/>
      <c r="J180" s="2676"/>
      <c r="K180" s="2676"/>
      <c r="L180" s="3295"/>
      <c r="M180" s="2676"/>
      <c r="N180" s="4181"/>
      <c r="O180" s="4240"/>
    </row>
    <row r="181" spans="2:15" ht="30" customHeight="1">
      <c r="B181" s="2014">
        <v>5</v>
      </c>
      <c r="D181" s="393"/>
      <c r="E181" s="13"/>
      <c r="F181" s="2704" t="str">
        <f>IF(F176=$F$7,$G$6,IF(ROUNDDOWN(F176,0)=$F$6,$H$6,$G$6))</f>
        <v>　Level 5</v>
      </c>
      <c r="G181" s="3937" t="s">
        <v>4191</v>
      </c>
      <c r="H181" s="4010"/>
      <c r="I181" s="4010"/>
      <c r="J181" s="4010"/>
      <c r="K181" s="4010"/>
      <c r="L181" s="4010"/>
      <c r="M181" s="4011"/>
      <c r="N181" s="3951"/>
      <c r="O181" s="3952"/>
    </row>
    <row r="182" spans="2:15" ht="15.75">
      <c r="B182" s="2850">
        <v>0</v>
      </c>
      <c r="C182" s="2850">
        <v>0</v>
      </c>
      <c r="D182" s="393"/>
      <c r="E182" s="13"/>
      <c r="F182" s="2067" t="s">
        <v>3045</v>
      </c>
      <c r="G182" s="2708"/>
      <c r="H182" s="2709"/>
      <c r="I182" s="2709"/>
      <c r="J182" s="2710"/>
      <c r="K182" s="2779"/>
    </row>
    <row r="183" spans="2:15" ht="15.75">
      <c r="B183" s="2712"/>
      <c r="D183" s="393"/>
      <c r="E183" s="13"/>
      <c r="G183" s="2784" t="s">
        <v>4004</v>
      </c>
      <c r="H183" s="411"/>
      <c r="I183" s="411"/>
      <c r="J183" s="411"/>
      <c r="K183" s="411"/>
      <c r="L183" s="411"/>
      <c r="M183" s="411"/>
      <c r="N183" s="411"/>
      <c r="O183" s="1529"/>
    </row>
    <row r="184" spans="2:15" ht="15.75">
      <c r="B184" s="2712"/>
      <c r="D184" s="393"/>
      <c r="E184" s="13"/>
      <c r="F184" s="1089"/>
      <c r="G184" s="2784" t="s">
        <v>4005</v>
      </c>
      <c r="H184" s="1089"/>
      <c r="I184" s="1089"/>
      <c r="J184" s="1089"/>
      <c r="K184" s="1089"/>
      <c r="L184" s="1089"/>
      <c r="M184" s="1089"/>
      <c r="N184" s="1089"/>
      <c r="O184" s="1529"/>
    </row>
    <row r="185" spans="2:15" ht="15.75">
      <c r="D185" s="393"/>
      <c r="E185" s="13"/>
      <c r="F185" s="1172" t="s">
        <v>4009</v>
      </c>
      <c r="G185" s="1172"/>
      <c r="H185" s="395"/>
      <c r="I185" s="395"/>
      <c r="J185" s="395"/>
      <c r="K185" s="13"/>
      <c r="L185" s="13"/>
    </row>
    <row r="186" spans="2:15" ht="15.75">
      <c r="D186" s="393"/>
      <c r="E186" s="13"/>
      <c r="F186" s="1529" t="s">
        <v>4010</v>
      </c>
    </row>
    <row r="187" spans="2:15" ht="15.75">
      <c r="D187" s="393"/>
      <c r="E187" s="13"/>
      <c r="F187" s="3300"/>
      <c r="G187" s="4294" t="s">
        <v>3986</v>
      </c>
      <c r="H187" s="4295"/>
      <c r="I187" s="4296"/>
      <c r="J187" s="4294" t="s">
        <v>3986</v>
      </c>
      <c r="K187" s="4295"/>
      <c r="L187" s="4296"/>
    </row>
    <row r="188" spans="2:15" ht="15.75">
      <c r="D188" s="393"/>
      <c r="E188" s="13"/>
      <c r="F188" s="3297"/>
      <c r="G188" s="3198" t="s">
        <v>3988</v>
      </c>
      <c r="H188" s="3208" t="s">
        <v>4007</v>
      </c>
      <c r="I188" s="3200"/>
      <c r="J188" s="3198" t="s">
        <v>3988</v>
      </c>
      <c r="K188" s="3208" t="s">
        <v>4007</v>
      </c>
      <c r="L188" s="3200"/>
    </row>
    <row r="189" spans="2:15" ht="33" customHeight="1">
      <c r="D189" s="393"/>
      <c r="E189" s="13"/>
      <c r="F189" s="2702" t="s">
        <v>5005</v>
      </c>
      <c r="G189" s="3201" t="s">
        <v>3991</v>
      </c>
      <c r="H189" s="3202" t="s">
        <v>3991</v>
      </c>
      <c r="I189" s="3203"/>
      <c r="J189" s="3201" t="s">
        <v>3991</v>
      </c>
      <c r="K189" s="3202" t="s">
        <v>3991</v>
      </c>
      <c r="L189" s="3203"/>
    </row>
    <row r="190" spans="2:15" ht="15.75">
      <c r="D190" s="393"/>
      <c r="E190" s="13"/>
      <c r="F190" s="2702" t="s">
        <v>5003</v>
      </c>
      <c r="G190" s="3204"/>
      <c r="H190" s="3205"/>
      <c r="I190" s="3206"/>
      <c r="J190" s="3204"/>
      <c r="K190" s="3205"/>
      <c r="L190" s="3206"/>
    </row>
    <row r="191" spans="2:15" ht="24">
      <c r="D191" s="393"/>
      <c r="E191" s="13"/>
      <c r="F191" s="2702" t="s">
        <v>1972</v>
      </c>
      <c r="G191" s="3207" t="s">
        <v>3999</v>
      </c>
      <c r="H191" s="3208" t="s">
        <v>4000</v>
      </c>
      <c r="I191" s="3209"/>
      <c r="J191" s="3207" t="s">
        <v>4008</v>
      </c>
      <c r="K191" s="3208" t="s">
        <v>3999</v>
      </c>
      <c r="L191" s="3209"/>
    </row>
    <row r="192" spans="2:15" ht="15.75">
      <c r="D192" s="393"/>
      <c r="E192" s="13"/>
      <c r="F192" s="2702" t="s">
        <v>1973</v>
      </c>
      <c r="G192" s="3204"/>
      <c r="H192" s="3205"/>
      <c r="I192" s="3206"/>
      <c r="J192" s="3204"/>
      <c r="K192" s="3205"/>
      <c r="L192" s="3206"/>
    </row>
    <row r="193" spans="2:15" ht="24">
      <c r="D193" s="393"/>
      <c r="E193" s="13"/>
      <c r="F193" s="2704" t="s">
        <v>1974</v>
      </c>
      <c r="G193" s="3210" t="s">
        <v>4000</v>
      </c>
      <c r="H193" s="3211" t="s">
        <v>3994</v>
      </c>
      <c r="I193" s="3212"/>
      <c r="J193" s="3210" t="s">
        <v>3999</v>
      </c>
      <c r="K193" s="3211" t="s">
        <v>4000</v>
      </c>
      <c r="L193" s="3212"/>
    </row>
    <row r="194" spans="2:15" ht="15.75">
      <c r="D194" s="393"/>
      <c r="E194" s="13"/>
      <c r="F194" s="18"/>
    </row>
    <row r="195" spans="2:15" ht="15.75">
      <c r="D195" s="393"/>
      <c r="E195" s="13"/>
      <c r="F195" s="412" t="s">
        <v>4011</v>
      </c>
      <c r="J195" s="1105" t="str">
        <f>IF(OR(F197=0,J196=0),$L$3,"")</f>
        <v/>
      </c>
    </row>
    <row r="196" spans="2:15" ht="16.5" thickBot="1">
      <c r="D196" s="393"/>
      <c r="E196" s="1529"/>
      <c r="F196" s="3220"/>
      <c r="G196" s="2688"/>
      <c r="H196" s="2689" t="s">
        <v>2629</v>
      </c>
      <c r="I196" s="2690"/>
      <c r="J196" s="3221">
        <f>Weight!M189</f>
        <v>0.33333333333333331</v>
      </c>
      <c r="K196" s="2764"/>
      <c r="L196" s="2764"/>
      <c r="M196" s="2764"/>
      <c r="N196" s="2764"/>
      <c r="O196" s="2698"/>
    </row>
    <row r="197" spans="2:15" ht="27" customHeight="1" thickBot="1">
      <c r="D197" s="395"/>
      <c r="E197" s="395"/>
      <c r="F197" s="2693">
        <v>3</v>
      </c>
      <c r="G197" s="2774" t="s">
        <v>2618</v>
      </c>
      <c r="H197" s="2697"/>
      <c r="I197" s="2697"/>
      <c r="J197" s="2697"/>
      <c r="K197" s="2697"/>
      <c r="L197" s="2856"/>
      <c r="M197" s="2697"/>
      <c r="N197" s="2753" t="s">
        <v>3272</v>
      </c>
      <c r="O197" s="2698"/>
    </row>
    <row r="198" spans="2:15" ht="31.9" customHeight="1">
      <c r="B198" s="2014">
        <v>1</v>
      </c>
      <c r="D198" s="395"/>
      <c r="E198" s="395"/>
      <c r="F198" s="2702" t="str">
        <f>IF(F197=$F$7,$G$2,IF(ROUNDDOWN(F197,0)=$F$2,$H$2,$G$2))</f>
        <v>　Level 1</v>
      </c>
      <c r="G198" s="3948" t="s">
        <v>4189</v>
      </c>
      <c r="H198" s="3949"/>
      <c r="I198" s="3949"/>
      <c r="J198" s="3949"/>
      <c r="K198" s="3949"/>
      <c r="L198" s="3949"/>
      <c r="M198" s="3950"/>
      <c r="N198" s="3958" t="s">
        <v>5018</v>
      </c>
      <c r="O198" s="3959"/>
    </row>
    <row r="199" spans="2:15" ht="21" customHeight="1">
      <c r="B199" s="2014" t="s">
        <v>90</v>
      </c>
      <c r="D199" s="395"/>
      <c r="E199" s="395"/>
      <c r="F199" s="2702" t="str">
        <f>IF(F197=$F$7,$G$3,IF(ROUNDDOWN(F197,0)=$F$3,$H$3,$G$3))</f>
        <v>　Level 2</v>
      </c>
      <c r="G199" s="1170" t="s">
        <v>2528</v>
      </c>
      <c r="H199" s="2676"/>
      <c r="I199" s="2676"/>
      <c r="J199" s="2676"/>
      <c r="K199" s="2676"/>
      <c r="L199" s="3295"/>
      <c r="M199" s="2676"/>
      <c r="N199" s="4181"/>
      <c r="O199" s="4240"/>
    </row>
    <row r="200" spans="2:15" ht="30" customHeight="1">
      <c r="B200" s="2014">
        <v>3</v>
      </c>
      <c r="D200" s="395"/>
      <c r="E200" s="395"/>
      <c r="F200" s="2702" t="str">
        <f>IF(F197=$F$7,$G$4,IF(ROUNDDOWN(F197,0)=$F$4,$H$4,$G$4))</f>
        <v>■Level 3</v>
      </c>
      <c r="G200" s="3808" t="s">
        <v>4190</v>
      </c>
      <c r="H200" s="4009"/>
      <c r="I200" s="4009"/>
      <c r="J200" s="4009"/>
      <c r="K200" s="4009"/>
      <c r="L200" s="4009"/>
      <c r="M200" s="3977"/>
      <c r="N200" s="4181"/>
      <c r="O200" s="4240"/>
    </row>
    <row r="201" spans="2:15" ht="21" customHeight="1">
      <c r="B201" s="2014" t="s">
        <v>90</v>
      </c>
      <c r="D201" s="395"/>
      <c r="E201" s="395"/>
      <c r="F201" s="2702" t="str">
        <f>IF(F197=$F$7,$G$5,IF(ROUNDDOWN(F197,0)=$F$5,$H$5,$G$5))</f>
        <v>　Level 4</v>
      </c>
      <c r="G201" s="1170" t="s">
        <v>2528</v>
      </c>
      <c r="H201" s="2676"/>
      <c r="I201" s="2676"/>
      <c r="J201" s="2676"/>
      <c r="K201" s="2676"/>
      <c r="L201" s="3295"/>
      <c r="M201" s="2676"/>
      <c r="N201" s="4181"/>
      <c r="O201" s="4240"/>
    </row>
    <row r="202" spans="2:15" ht="31.9" customHeight="1">
      <c r="B202" s="2014" t="s">
        <v>90</v>
      </c>
      <c r="D202" s="395"/>
      <c r="F202" s="2704" t="str">
        <f>IF(F197=$F$7,$G$6,IF(ROUNDDOWN(F197,0)=$F$6,$H$6,$G$6))</f>
        <v>　Level 5</v>
      </c>
      <c r="G202" s="3937" t="s">
        <v>4191</v>
      </c>
      <c r="H202" s="4010"/>
      <c r="I202" s="4010"/>
      <c r="J202" s="4010"/>
      <c r="K202" s="4010"/>
      <c r="L202" s="4010"/>
      <c r="M202" s="4011"/>
      <c r="N202" s="3951"/>
      <c r="O202" s="3952"/>
    </row>
    <row r="203" spans="2:15" ht="15.75">
      <c r="B203" s="2850">
        <v>0</v>
      </c>
      <c r="C203" s="2850">
        <v>0</v>
      </c>
      <c r="D203" s="395"/>
      <c r="E203" s="395"/>
      <c r="F203" s="2067" t="s">
        <v>3045</v>
      </c>
      <c r="G203" s="2708"/>
      <c r="H203" s="2709"/>
      <c r="I203" s="2709"/>
      <c r="J203" s="2710"/>
      <c r="K203" s="2779"/>
    </row>
    <row r="204" spans="2:15" ht="15.75">
      <c r="B204" s="2712"/>
      <c r="D204" s="395"/>
      <c r="E204" s="395"/>
      <c r="F204" s="3301"/>
    </row>
    <row r="205" spans="2:15" ht="13.5" customHeight="1">
      <c r="D205" s="393">
        <v>3.2</v>
      </c>
      <c r="E205" s="395" t="s">
        <v>3365</v>
      </c>
      <c r="F205" s="3197"/>
    </row>
    <row r="206" spans="2:15" ht="13.5" customHeight="1">
      <c r="D206" s="393"/>
      <c r="E206" s="395"/>
      <c r="F206" s="196" t="s">
        <v>4012</v>
      </c>
      <c r="J206" s="1105" t="str">
        <f>IF(OR(F208=0,J207=0),$L$3,"")</f>
        <v/>
      </c>
    </row>
    <row r="207" spans="2:15" ht="16.5" thickBot="1">
      <c r="D207" s="393"/>
      <c r="E207" s="1529"/>
      <c r="F207" s="3220"/>
      <c r="G207" s="2688"/>
      <c r="H207" s="2689" t="s">
        <v>2629</v>
      </c>
      <c r="I207" s="2690"/>
      <c r="J207" s="3221">
        <f>Weight!M191</f>
        <v>0.7</v>
      </c>
      <c r="K207" s="2764"/>
      <c r="L207" s="2764"/>
      <c r="M207" s="2764"/>
      <c r="N207" s="2764"/>
      <c r="O207" s="2698"/>
    </row>
    <row r="208" spans="2:15" ht="27" customHeight="1" thickBot="1">
      <c r="D208" s="393"/>
      <c r="E208" s="395"/>
      <c r="F208" s="2693">
        <v>3</v>
      </c>
      <c r="G208" s="2774" t="s">
        <v>2618</v>
      </c>
      <c r="H208" s="2697"/>
      <c r="I208" s="2697"/>
      <c r="J208" s="2697"/>
      <c r="K208" s="2697"/>
      <c r="L208" s="2856"/>
      <c r="M208" s="2697"/>
      <c r="N208" s="2753" t="s">
        <v>3272</v>
      </c>
      <c r="O208" s="2698"/>
    </row>
    <row r="209" spans="2:15" ht="30" customHeight="1">
      <c r="B209" s="3286">
        <v>1</v>
      </c>
      <c r="D209" s="395"/>
      <c r="E209" s="395"/>
      <c r="F209" s="2702" t="str">
        <f>IF(F208=$F$7,$G$2,IF(ROUNDDOWN(F208,0)=$F$2,$H$2,$G$2))</f>
        <v>　Level 1</v>
      </c>
      <c r="G209" s="3967" t="s">
        <v>4013</v>
      </c>
      <c r="H209" s="3999"/>
      <c r="I209" s="3999"/>
      <c r="J209" s="3999"/>
      <c r="K209" s="3999"/>
      <c r="L209" s="3999"/>
      <c r="M209" s="3968"/>
      <c r="N209" s="3958" t="s">
        <v>4018</v>
      </c>
      <c r="O209" s="3959"/>
    </row>
    <row r="210" spans="2:15" ht="60" customHeight="1">
      <c r="B210" s="2014">
        <v>2</v>
      </c>
      <c r="D210" s="395"/>
      <c r="E210" s="395"/>
      <c r="F210" s="2702" t="str">
        <f>IF(F208=$F$7,$G$3,IF(ROUNDDOWN(F208,0)=$F$3,$H$3,$G$3))</f>
        <v>　Level 2</v>
      </c>
      <c r="G210" s="3927" t="s">
        <v>4014</v>
      </c>
      <c r="H210" s="3928"/>
      <c r="I210" s="3928"/>
      <c r="J210" s="3928"/>
      <c r="K210" s="3928"/>
      <c r="L210" s="3928"/>
      <c r="M210" s="3929"/>
      <c r="N210" s="4181"/>
      <c r="O210" s="4240"/>
    </row>
    <row r="211" spans="2:15" ht="61.9" customHeight="1">
      <c r="B211" s="2014">
        <v>3</v>
      </c>
      <c r="D211" s="395"/>
      <c r="E211" s="395"/>
      <c r="F211" s="2702" t="str">
        <f>IF(F208=$F$7,$G$4,IF(ROUNDDOWN(F208,0)=$F$4,$H$4,$G$4))</f>
        <v>■Level 3</v>
      </c>
      <c r="G211" s="3927" t="s">
        <v>4015</v>
      </c>
      <c r="H211" s="3928"/>
      <c r="I211" s="3928"/>
      <c r="J211" s="3928"/>
      <c r="K211" s="3928"/>
      <c r="L211" s="3928"/>
      <c r="M211" s="3929"/>
      <c r="N211" s="4181"/>
      <c r="O211" s="4240"/>
    </row>
    <row r="212" spans="2:15" ht="49.15" customHeight="1">
      <c r="B212" s="2014">
        <v>4</v>
      </c>
      <c r="D212" s="395"/>
      <c r="E212" s="395"/>
      <c r="F212" s="2702" t="str">
        <f>IF(F208=$F$7,$G$5,IF(ROUNDDOWN(F208,0)=$F$5,$H$5,$G$5))</f>
        <v>　Level 4</v>
      </c>
      <c r="G212" s="3927" t="s">
        <v>4016</v>
      </c>
      <c r="H212" s="3928"/>
      <c r="I212" s="3928"/>
      <c r="J212" s="3928"/>
      <c r="K212" s="3928"/>
      <c r="L212" s="3928"/>
      <c r="M212" s="3929"/>
      <c r="N212" s="4181"/>
      <c r="O212" s="4240"/>
    </row>
    <row r="213" spans="2:15" ht="50.45" customHeight="1">
      <c r="B213" s="2014">
        <v>5</v>
      </c>
      <c r="D213" s="395"/>
      <c r="E213" s="395"/>
      <c r="F213" s="2704" t="str">
        <f>IF(F208=$F$7,$G$6,IF(ROUNDDOWN(F208,0)=$F$6,$H$6,$G$6))</f>
        <v>　Level 5</v>
      </c>
      <c r="G213" s="3930" t="s">
        <v>4017</v>
      </c>
      <c r="H213" s="3931"/>
      <c r="I213" s="3931"/>
      <c r="J213" s="3931"/>
      <c r="K213" s="3931"/>
      <c r="L213" s="3931"/>
      <c r="M213" s="3932"/>
      <c r="N213" s="3951"/>
      <c r="O213" s="3952"/>
    </row>
    <row r="214" spans="2:15" ht="15.75">
      <c r="B214" s="2850">
        <v>0</v>
      </c>
      <c r="C214" s="2850">
        <v>0</v>
      </c>
      <c r="D214" s="395"/>
      <c r="E214" s="395"/>
      <c r="F214" s="2067" t="s">
        <v>3045</v>
      </c>
      <c r="G214" s="2708"/>
      <c r="H214" s="2709"/>
      <c r="I214" s="2709"/>
      <c r="J214" s="2710"/>
      <c r="K214" s="2779" t="s">
        <v>4039</v>
      </c>
    </row>
    <row r="215" spans="2:15" ht="15.75">
      <c r="B215" s="2712"/>
      <c r="C215" s="2712"/>
      <c r="D215" s="395"/>
      <c r="E215" s="395"/>
      <c r="F215" s="395"/>
    </row>
    <row r="216" spans="2:15" ht="15.75">
      <c r="D216" s="395"/>
      <c r="E216" s="395"/>
      <c r="F216" s="196" t="s">
        <v>4019</v>
      </c>
      <c r="J216" s="1105" t="str">
        <f>IF(OR(F218=0,J217=0),$L$3,"")</f>
        <v>&lt;N.A.&gt;</v>
      </c>
    </row>
    <row r="217" spans="2:15" ht="16.5" thickBot="1">
      <c r="D217" s="393"/>
      <c r="E217" s="1529"/>
      <c r="F217" s="3220"/>
      <c r="G217" s="2688"/>
      <c r="H217" s="2689" t="s">
        <v>2629</v>
      </c>
      <c r="I217" s="2690"/>
      <c r="J217" s="3221">
        <f>Weight!M192</f>
        <v>0</v>
      </c>
      <c r="K217" s="2764"/>
      <c r="L217" s="2764"/>
      <c r="M217" s="2764"/>
      <c r="N217" s="2764"/>
      <c r="O217" s="2698"/>
    </row>
    <row r="218" spans="2:15" ht="27" customHeight="1" thickBot="1">
      <c r="B218" s="1105" t="s">
        <v>1049</v>
      </c>
      <c r="D218" s="395"/>
      <c r="E218" s="395"/>
      <c r="F218" s="2865">
        <f>G226</f>
        <v>3</v>
      </c>
      <c r="G218" s="2774" t="s">
        <v>4030</v>
      </c>
      <c r="H218" s="2697"/>
      <c r="I218" s="2697"/>
      <c r="J218" s="2697"/>
      <c r="K218" s="2697"/>
      <c r="L218" s="2856"/>
      <c r="M218" s="2697"/>
      <c r="N218" s="2697"/>
      <c r="O218" s="2698"/>
    </row>
    <row r="219" spans="2:15" ht="21" customHeight="1">
      <c r="B219" s="1105">
        <v>0</v>
      </c>
      <c r="D219" s="395"/>
      <c r="E219" s="395"/>
      <c r="F219" s="2702" t="str">
        <f>IF(F218=$F$7,$G$2,IF(ROUNDDOWN(F218,0)=$F$2,$H$2,$G$2))</f>
        <v>　Level 1</v>
      </c>
      <c r="G219" s="2755" t="s">
        <v>3665</v>
      </c>
      <c r="H219" s="3190"/>
      <c r="I219" s="3190"/>
      <c r="J219" s="3190"/>
      <c r="K219" s="3190"/>
      <c r="L219" s="3294"/>
      <c r="M219" s="3190"/>
      <c r="N219" s="3190"/>
      <c r="O219" s="3189"/>
    </row>
    <row r="220" spans="2:15" ht="21" customHeight="1">
      <c r="B220" s="1105">
        <v>1</v>
      </c>
      <c r="D220" s="395"/>
      <c r="E220" s="395"/>
      <c r="F220" s="2702" t="str">
        <f>IF(F218=$F$7,$G$3,IF(ROUNDDOWN(F218,0)=$F$3,$H$3,$G$3))</f>
        <v>　Level 2</v>
      </c>
      <c r="G220" s="1170" t="s">
        <v>4025</v>
      </c>
      <c r="H220" s="2676"/>
      <c r="I220" s="2676"/>
      <c r="J220" s="2676"/>
      <c r="K220" s="2676"/>
      <c r="L220" s="3295"/>
      <c r="M220" s="2676"/>
      <c r="N220" s="2676"/>
      <c r="O220" s="2677"/>
    </row>
    <row r="221" spans="2:15" ht="21" customHeight="1">
      <c r="B221" s="1105">
        <v>2</v>
      </c>
      <c r="D221" s="395"/>
      <c r="E221" s="395"/>
      <c r="F221" s="2702" t="str">
        <f>IF(F218=$F$7,$G$4,IF(ROUNDDOWN(F218,0)=$F$4,$H$4,$G$4))</f>
        <v>■Level 3</v>
      </c>
      <c r="G221" s="1170" t="s">
        <v>4026</v>
      </c>
      <c r="H221" s="2676"/>
      <c r="I221" s="2676"/>
      <c r="J221" s="2676"/>
      <c r="K221" s="2676"/>
      <c r="L221" s="3295"/>
      <c r="M221" s="2676"/>
      <c r="N221" s="2676"/>
      <c r="O221" s="2677"/>
    </row>
    <row r="222" spans="2:15" ht="21" customHeight="1">
      <c r="B222" s="1105">
        <v>3</v>
      </c>
      <c r="D222" s="395"/>
      <c r="E222" s="395"/>
      <c r="F222" s="2702" t="str">
        <f>IF(F218=$F$7,$G$5,IF(ROUNDDOWN(F218,0)=$F$5,$H$5,$G$5))</f>
        <v>　Level 4</v>
      </c>
      <c r="G222" s="1170" t="s">
        <v>4027</v>
      </c>
      <c r="H222" s="2676"/>
      <c r="I222" s="2676"/>
      <c r="J222" s="2676"/>
      <c r="K222" s="2676"/>
      <c r="L222" s="3295"/>
      <c r="M222" s="2676"/>
      <c r="N222" s="2676"/>
      <c r="O222" s="2677"/>
    </row>
    <row r="223" spans="2:15" ht="21" customHeight="1">
      <c r="B223" s="1105">
        <v>4</v>
      </c>
      <c r="D223" s="395"/>
      <c r="E223" s="395"/>
      <c r="F223" s="2704" t="str">
        <f>IF(F218=$F$7,$G$6,IF(ROUNDDOWN(F218,0)=$F$6,$H$6,$G$6))</f>
        <v>　Level 5</v>
      </c>
      <c r="G223" s="2756" t="s">
        <v>4028</v>
      </c>
      <c r="H223" s="3193"/>
      <c r="I223" s="3193"/>
      <c r="J223" s="3193"/>
      <c r="K223" s="3193"/>
      <c r="L223" s="3299"/>
      <c r="M223" s="3193"/>
      <c r="N223" s="3193"/>
      <c r="O223" s="3191"/>
    </row>
    <row r="224" spans="2:15" ht="15.75">
      <c r="D224" s="395"/>
      <c r="E224" s="395"/>
      <c r="F224" s="2067" t="s">
        <v>3045</v>
      </c>
      <c r="G224" s="2708"/>
      <c r="H224" s="2709"/>
      <c r="I224" s="2709"/>
      <c r="J224" s="2710"/>
      <c r="K224" s="2779" t="s">
        <v>3637</v>
      </c>
    </row>
    <row r="225" spans="2:15" ht="15.75">
      <c r="D225" s="395"/>
      <c r="E225" s="395"/>
      <c r="F225" s="1173" t="s">
        <v>3286</v>
      </c>
      <c r="H225" s="1529"/>
      <c r="I225" s="3194"/>
      <c r="J225" s="3194"/>
      <c r="K225" s="3271"/>
      <c r="L225" s="3271"/>
      <c r="M225" s="3271"/>
      <c r="N225" s="3271"/>
      <c r="O225" s="1529"/>
    </row>
    <row r="226" spans="2:15" ht="24.75" thickBot="1">
      <c r="B226" s="1105" t="s">
        <v>1050</v>
      </c>
      <c r="C226" s="2712"/>
      <c r="D226" s="395"/>
      <c r="E226" s="395"/>
      <c r="F226" s="3196"/>
      <c r="G226" s="2866">
        <f>IF(G232&gt;=B223,5,IF(G232&gt;=B222,4,IF(G232&gt;=B221,3,IF(G232&gt;=B220,2,1))))</f>
        <v>3</v>
      </c>
      <c r="H226" s="4227" t="s">
        <v>3287</v>
      </c>
      <c r="I226" s="4228"/>
      <c r="J226" s="4229"/>
      <c r="K226" s="4227" t="s">
        <v>3288</v>
      </c>
      <c r="L226" s="4228"/>
      <c r="M226" s="4228"/>
      <c r="N226" s="4228"/>
      <c r="O226" s="2867" t="s">
        <v>3300</v>
      </c>
    </row>
    <row r="227" spans="2:15" ht="27.75" customHeight="1">
      <c r="B227" s="1105">
        <v>2</v>
      </c>
      <c r="C227" s="2712"/>
      <c r="D227" s="395"/>
      <c r="E227" s="395"/>
      <c r="F227" s="2321" t="s">
        <v>784</v>
      </c>
      <c r="G227" s="4277">
        <v>2</v>
      </c>
      <c r="H227" s="3919" t="s">
        <v>4021</v>
      </c>
      <c r="I227" s="4334"/>
      <c r="J227" s="4335"/>
      <c r="K227" s="4022" t="s">
        <v>4031</v>
      </c>
      <c r="L227" s="4062"/>
      <c r="M227" s="4062"/>
      <c r="N227" s="4063"/>
      <c r="O227" s="3287">
        <v>1</v>
      </c>
    </row>
    <row r="228" spans="2:15" ht="18" customHeight="1">
      <c r="C228" s="2712"/>
      <c r="D228" s="395"/>
      <c r="E228" s="395"/>
      <c r="G228" s="4278"/>
      <c r="H228" s="4120"/>
      <c r="I228" s="4120"/>
      <c r="J228" s="4121"/>
      <c r="K228" s="3302" t="s">
        <v>4032</v>
      </c>
      <c r="L228" s="3303"/>
      <c r="M228" s="3303"/>
      <c r="N228" s="3303"/>
      <c r="O228" s="3288">
        <v>2</v>
      </c>
    </row>
    <row r="229" spans="2:15" ht="18" customHeight="1">
      <c r="B229" s="1105">
        <v>4</v>
      </c>
      <c r="C229" s="2712"/>
      <c r="D229" s="395"/>
      <c r="E229" s="395"/>
      <c r="F229" s="2321" t="s">
        <v>785</v>
      </c>
      <c r="G229" s="4279"/>
      <c r="H229" s="4282" t="s">
        <v>4022</v>
      </c>
      <c r="I229" s="4283"/>
      <c r="J229" s="4116"/>
      <c r="K229" s="3302" t="s">
        <v>4033</v>
      </c>
      <c r="L229" s="3303"/>
      <c r="M229" s="3303"/>
      <c r="N229" s="3303"/>
      <c r="O229" s="3288">
        <v>1</v>
      </c>
    </row>
    <row r="230" spans="2:15" ht="15.6" customHeight="1">
      <c r="B230" s="2712"/>
      <c r="C230" s="2712"/>
      <c r="D230" s="395"/>
      <c r="E230" s="395"/>
      <c r="F230" s="3196"/>
      <c r="G230" s="4280"/>
      <c r="H230" s="4284"/>
      <c r="I230" s="4119"/>
      <c r="J230" s="4118"/>
      <c r="K230" s="3302" t="s">
        <v>4034</v>
      </c>
      <c r="L230" s="3303"/>
      <c r="M230" s="3303"/>
      <c r="N230" s="3303"/>
      <c r="O230" s="3288">
        <v>2</v>
      </c>
    </row>
    <row r="231" spans="2:15" ht="16.149999999999999" customHeight="1" thickBot="1">
      <c r="B231" s="2712"/>
      <c r="C231" s="2712"/>
      <c r="D231" s="395"/>
      <c r="E231" s="395"/>
      <c r="F231" s="3196"/>
      <c r="G231" s="4281"/>
      <c r="H231" s="4285"/>
      <c r="I231" s="3852"/>
      <c r="J231" s="4286"/>
      <c r="K231" s="3304" t="s">
        <v>4035</v>
      </c>
      <c r="L231" s="2406"/>
      <c r="M231" s="2406"/>
      <c r="N231" s="2406"/>
      <c r="O231" s="3292">
        <v>4</v>
      </c>
    </row>
    <row r="232" spans="2:15" ht="21" customHeight="1">
      <c r="B232" s="2712"/>
      <c r="C232" s="2712"/>
      <c r="D232" s="395"/>
      <c r="E232" s="395"/>
      <c r="F232" s="2321" t="s">
        <v>1468</v>
      </c>
      <c r="G232" s="2875">
        <f>SUM(G227:G231)</f>
        <v>2</v>
      </c>
      <c r="H232" s="2876" t="s">
        <v>4058</v>
      </c>
      <c r="I232" s="3279"/>
      <c r="J232" s="3280"/>
      <c r="K232" s="3281"/>
      <c r="L232" s="3280"/>
      <c r="M232" s="3281"/>
      <c r="N232" s="3282"/>
      <c r="O232" s="2879">
        <f>SUM(B227:B231)</f>
        <v>6</v>
      </c>
    </row>
    <row r="233" spans="2:15" ht="15.75">
      <c r="B233" s="2712"/>
      <c r="C233" s="2712"/>
      <c r="D233" s="395"/>
      <c r="E233" s="395"/>
      <c r="F233" s="3196"/>
    </row>
    <row r="234" spans="2:15" ht="15.75">
      <c r="D234" s="395"/>
      <c r="E234" s="395"/>
      <c r="F234" s="196" t="s">
        <v>4192</v>
      </c>
      <c r="J234" s="1105" t="str">
        <f>IF(OR(F236=0,J235=0),$L$3,"")</f>
        <v/>
      </c>
    </row>
    <row r="235" spans="2:15" ht="16.5" thickBot="1">
      <c r="D235" s="393"/>
      <c r="E235" s="1529"/>
      <c r="F235" s="3220"/>
      <c r="G235" s="2688"/>
      <c r="H235" s="2689" t="s">
        <v>2629</v>
      </c>
      <c r="I235" s="2690"/>
      <c r="J235" s="3221">
        <f>Weight!M193</f>
        <v>0.3</v>
      </c>
      <c r="K235" s="2764"/>
      <c r="L235" s="2764"/>
      <c r="M235" s="2764"/>
      <c r="N235" s="2764"/>
      <c r="O235" s="2698"/>
    </row>
    <row r="236" spans="2:15" ht="27" customHeight="1" thickBot="1">
      <c r="D236" s="395"/>
      <c r="E236" s="395"/>
      <c r="F236" s="2693">
        <v>3</v>
      </c>
      <c r="G236" s="2774" t="s">
        <v>2618</v>
      </c>
      <c r="H236" s="2697"/>
      <c r="I236" s="2697"/>
      <c r="J236" s="2697"/>
      <c r="K236" s="2697"/>
      <c r="L236" s="2856"/>
      <c r="M236" s="2697"/>
      <c r="N236" s="2697"/>
      <c r="O236" s="2698"/>
    </row>
    <row r="237" spans="2:15" ht="21" customHeight="1">
      <c r="B237" s="2014">
        <v>1</v>
      </c>
      <c r="C237" s="2014">
        <v>1</v>
      </c>
      <c r="D237" s="395"/>
      <c r="E237" s="395"/>
      <c r="F237" s="2702" t="str">
        <f>IF(F236=$F$7,$G$2,IF(ROUNDDOWN(F236,0)=$F$2,$H$2,$G$2))</f>
        <v>　Level 1</v>
      </c>
      <c r="G237" s="2755" t="s">
        <v>3548</v>
      </c>
      <c r="H237" s="3190"/>
      <c r="I237" s="3190"/>
      <c r="J237" s="3190"/>
      <c r="K237" s="3190"/>
      <c r="L237" s="3294"/>
      <c r="M237" s="3190"/>
      <c r="N237" s="3190"/>
      <c r="O237" s="3189"/>
    </row>
    <row r="238" spans="2:15" ht="21" customHeight="1">
      <c r="B238" s="2014" t="s">
        <v>358</v>
      </c>
      <c r="C238" s="2014">
        <v>2</v>
      </c>
      <c r="D238" s="395"/>
      <c r="E238" s="395"/>
      <c r="F238" s="2702" t="str">
        <f>IF(F236=$F$7,$G$3,IF(ROUNDDOWN(F236,0)=$F$3,$H$3,$G$3))</f>
        <v>　Level 2</v>
      </c>
      <c r="G238" s="1170" t="s">
        <v>2528</v>
      </c>
      <c r="H238" s="2676"/>
      <c r="I238" s="2676"/>
      <c r="J238" s="2676"/>
      <c r="K238" s="2676"/>
      <c r="L238" s="3295"/>
      <c r="M238" s="2676"/>
      <c r="N238" s="2676"/>
      <c r="O238" s="2677"/>
    </row>
    <row r="239" spans="2:15" ht="21" customHeight="1">
      <c r="B239" s="2014">
        <v>3</v>
      </c>
      <c r="C239" s="2014">
        <v>3</v>
      </c>
      <c r="D239" s="395"/>
      <c r="E239" s="395"/>
      <c r="F239" s="2702" t="str">
        <f>IF(F236=$F$7,$G$4,IF(ROUNDDOWN(F236,0)=$F$4,$H$4,$G$4))</f>
        <v>■Level 3</v>
      </c>
      <c r="G239" s="1170" t="s">
        <v>4036</v>
      </c>
      <c r="H239" s="2676"/>
      <c r="I239" s="2676"/>
      <c r="J239" s="2676"/>
      <c r="K239" s="2676"/>
      <c r="L239" s="3295"/>
      <c r="M239" s="2676"/>
      <c r="N239" s="2676"/>
      <c r="O239" s="2677"/>
    </row>
    <row r="240" spans="2:15" ht="21" customHeight="1">
      <c r="B240" s="2014">
        <v>4</v>
      </c>
      <c r="C240" s="2014">
        <v>4</v>
      </c>
      <c r="D240" s="395"/>
      <c r="E240" s="395"/>
      <c r="F240" s="2702" t="str">
        <f>IF(F236=$F$7,$G$5,IF(ROUNDDOWN(F236,0)=$F$5,$H$5,$G$5))</f>
        <v>　Level 4</v>
      </c>
      <c r="G240" s="1170" t="s">
        <v>4037</v>
      </c>
      <c r="H240" s="2676"/>
      <c r="I240" s="2676"/>
      <c r="J240" s="2676"/>
      <c r="K240" s="2676"/>
      <c r="L240" s="3295"/>
      <c r="M240" s="2676"/>
      <c r="N240" s="2676"/>
      <c r="O240" s="2677"/>
    </row>
    <row r="241" spans="2:15" ht="21" customHeight="1">
      <c r="B241" s="2014" t="s">
        <v>358</v>
      </c>
      <c r="C241" s="2014">
        <v>5</v>
      </c>
      <c r="D241" s="395"/>
      <c r="E241" s="395"/>
      <c r="F241" s="2704" t="str">
        <f>IF(F236=$F$7,$G$6,IF(ROUNDDOWN(F236,0)=$F$6,$H$6,$G$6))</f>
        <v>　Level 5</v>
      </c>
      <c r="G241" s="2756" t="s">
        <v>4038</v>
      </c>
      <c r="H241" s="3193"/>
      <c r="I241" s="3193"/>
      <c r="J241" s="3193"/>
      <c r="K241" s="3193"/>
      <c r="L241" s="3299"/>
      <c r="M241" s="3193"/>
      <c r="N241" s="3193"/>
      <c r="O241" s="3191"/>
    </row>
    <row r="242" spans="2:15" ht="15.75">
      <c r="B242" s="2850">
        <v>0</v>
      </c>
      <c r="C242" s="2850">
        <v>0</v>
      </c>
      <c r="D242" s="395"/>
      <c r="E242" s="395"/>
      <c r="F242" s="2067" t="s">
        <v>3045</v>
      </c>
      <c r="G242" s="2708"/>
      <c r="H242" s="2709"/>
      <c r="I242" s="2709"/>
      <c r="J242" s="2710"/>
      <c r="K242" s="2779" t="s">
        <v>5019</v>
      </c>
    </row>
    <row r="243" spans="2:15" ht="24" customHeight="1">
      <c r="B243" s="2712"/>
      <c r="C243" s="2712"/>
      <c r="D243" s="395"/>
      <c r="E243" s="395"/>
      <c r="G243" s="4184" t="s">
        <v>4040</v>
      </c>
      <c r="H243" s="4184"/>
      <c r="I243" s="4184"/>
      <c r="J243" s="4184"/>
      <c r="K243" s="4184"/>
      <c r="L243" s="4184"/>
      <c r="M243" s="4184"/>
      <c r="N243" s="4184"/>
      <c r="O243" s="4184"/>
    </row>
    <row r="244" spans="2:15" ht="15.75">
      <c r="D244" s="395"/>
      <c r="E244" s="395"/>
      <c r="F244" s="3196"/>
    </row>
    <row r="245" spans="2:15" ht="15.75">
      <c r="D245" s="393">
        <v>3.3</v>
      </c>
      <c r="E245" s="395" t="s">
        <v>1662</v>
      </c>
      <c r="F245" s="395"/>
    </row>
    <row r="246" spans="2:15" ht="15.75">
      <c r="D246" s="393"/>
      <c r="E246" s="395"/>
      <c r="F246" s="196" t="s">
        <v>4041</v>
      </c>
      <c r="O246" s="1105" t="str">
        <f>IF(OR(F248=0,J247=0),$L$3,"")</f>
        <v/>
      </c>
    </row>
    <row r="247" spans="2:15" ht="15" thickBot="1">
      <c r="D247" s="1529"/>
      <c r="E247" s="1529"/>
      <c r="F247" s="3220"/>
      <c r="G247" s="2688"/>
      <c r="H247" s="2689" t="s">
        <v>2629</v>
      </c>
      <c r="I247" s="2690"/>
      <c r="J247" s="3221">
        <f>Weight!M195</f>
        <v>0.7</v>
      </c>
      <c r="K247" s="2764"/>
      <c r="L247" s="2764"/>
      <c r="M247" s="2764"/>
      <c r="N247" s="2764"/>
      <c r="O247" s="2698"/>
    </row>
    <row r="248" spans="2:15" ht="27" customHeight="1" thickBot="1">
      <c r="B248" s="1105" t="s">
        <v>1049</v>
      </c>
      <c r="D248" s="395"/>
      <c r="E248" s="1529"/>
      <c r="F248" s="2865">
        <f>G256</f>
        <v>3</v>
      </c>
      <c r="G248" s="2774" t="s">
        <v>2619</v>
      </c>
      <c r="H248" s="2697"/>
      <c r="I248" s="2697"/>
      <c r="J248" s="2697"/>
      <c r="K248" s="2697"/>
      <c r="L248" s="2856"/>
      <c r="M248" s="2697"/>
      <c r="N248" s="2697"/>
      <c r="O248" s="2698"/>
    </row>
    <row r="249" spans="2:15" ht="21" customHeight="1">
      <c r="B249" s="1105">
        <v>0</v>
      </c>
      <c r="D249" s="395"/>
      <c r="E249" s="1529"/>
      <c r="F249" s="2702" t="str">
        <f>IF(F248=$F$7,$G$2,IF(ROUNDDOWN(F248,0)=$F$2,$H$2,$G$2))</f>
        <v>　Level 1</v>
      </c>
      <c r="G249" s="2755" t="s">
        <v>3665</v>
      </c>
      <c r="H249" s="3190"/>
      <c r="I249" s="3190"/>
      <c r="J249" s="3190"/>
      <c r="K249" s="3190"/>
      <c r="L249" s="3294"/>
      <c r="M249" s="3190"/>
      <c r="N249" s="3190"/>
      <c r="O249" s="3189"/>
    </row>
    <row r="250" spans="2:15" ht="21" customHeight="1">
      <c r="B250" s="1105">
        <v>1</v>
      </c>
      <c r="D250" s="395"/>
      <c r="E250" s="1529"/>
      <c r="F250" s="2702" t="str">
        <f>IF(F248=$F$7,$G$3,IF(ROUNDDOWN(F248,0)=$F$3,$H$3,$G$3))</f>
        <v>　Level 2</v>
      </c>
      <c r="G250" s="1170" t="s">
        <v>3948</v>
      </c>
      <c r="H250" s="2676"/>
      <c r="I250" s="2676"/>
      <c r="J250" s="2676"/>
      <c r="K250" s="2676"/>
      <c r="L250" s="3295"/>
      <c r="M250" s="2676"/>
      <c r="N250" s="2676"/>
      <c r="O250" s="2677"/>
    </row>
    <row r="251" spans="2:15" ht="21" customHeight="1">
      <c r="B251" s="1105">
        <v>2</v>
      </c>
      <c r="D251" s="395"/>
      <c r="E251" s="1529"/>
      <c r="F251" s="2702" t="str">
        <f>IF(F248=$F$7,$G$4,IF(ROUNDDOWN(F248,0)=$F$4,$H$4,$G$4))</f>
        <v>■Level 3</v>
      </c>
      <c r="G251" s="1170" t="s">
        <v>3949</v>
      </c>
      <c r="H251" s="2676"/>
      <c r="I251" s="2676"/>
      <c r="J251" s="2676"/>
      <c r="K251" s="2676"/>
      <c r="L251" s="3295"/>
      <c r="M251" s="2676"/>
      <c r="N251" s="2676"/>
      <c r="O251" s="2677"/>
    </row>
    <row r="252" spans="2:15" ht="21" customHeight="1">
      <c r="B252" s="1105">
        <v>3</v>
      </c>
      <c r="D252" s="395"/>
      <c r="E252" s="1529"/>
      <c r="F252" s="2702" t="str">
        <f>IF(F248=$F$7,$G$5,IF(ROUNDDOWN(F248,0)=$F$5,$H$5,$G$5))</f>
        <v>　Level 4</v>
      </c>
      <c r="G252" s="1170" t="s">
        <v>3950</v>
      </c>
      <c r="H252" s="2676"/>
      <c r="I252" s="2676"/>
      <c r="J252" s="2676"/>
      <c r="K252" s="2676"/>
      <c r="L252" s="3295"/>
      <c r="M252" s="2676"/>
      <c r="N252" s="2676"/>
      <c r="O252" s="2677"/>
    </row>
    <row r="253" spans="2:15" ht="21" customHeight="1">
      <c r="B253" s="1105">
        <v>4</v>
      </c>
      <c r="D253" s="395"/>
      <c r="E253" s="1529"/>
      <c r="F253" s="2704" t="str">
        <f>IF(F248=$F$7,$G$6,IF(ROUNDDOWN(F248,0)=$F$6,$H$6,$G$6))</f>
        <v>　Level 5</v>
      </c>
      <c r="G253" s="2756" t="s">
        <v>3961</v>
      </c>
      <c r="H253" s="3193"/>
      <c r="I253" s="3193"/>
      <c r="J253" s="3193"/>
      <c r="K253" s="3193"/>
      <c r="L253" s="3299"/>
      <c r="M253" s="3193"/>
      <c r="N253" s="3193"/>
      <c r="O253" s="3191"/>
    </row>
    <row r="254" spans="2:15" ht="15.75">
      <c r="D254" s="395"/>
      <c r="E254" s="1529"/>
      <c r="F254" s="2067" t="s">
        <v>3045</v>
      </c>
      <c r="G254" s="2708"/>
      <c r="H254" s="2709"/>
      <c r="I254" s="2709"/>
      <c r="J254" s="2710"/>
      <c r="K254" s="2779" t="s">
        <v>3637</v>
      </c>
    </row>
    <row r="255" spans="2:15" ht="15.75">
      <c r="D255" s="395"/>
      <c r="E255" s="1529"/>
      <c r="F255" s="1173" t="s">
        <v>3286</v>
      </c>
      <c r="H255" s="1529"/>
      <c r="I255" s="3194"/>
      <c r="J255" s="3194"/>
      <c r="K255" s="3271"/>
      <c r="L255" s="3271"/>
      <c r="M255" s="3271"/>
      <c r="N255" s="3271"/>
      <c r="O255" s="1529"/>
    </row>
    <row r="256" spans="2:15" ht="24.75" thickBot="1">
      <c r="B256" s="1105" t="s">
        <v>1050</v>
      </c>
      <c r="D256" s="395"/>
      <c r="E256" s="47"/>
      <c r="F256" s="1529"/>
      <c r="G256" s="2866">
        <f>IF(G263&gt;=B253,5,IF(G263&gt;=B252,4,IF(G263&gt;=B251,3,IF(G263&gt;=B250,2,1))))</f>
        <v>3</v>
      </c>
      <c r="H256" s="4336" t="s">
        <v>3288</v>
      </c>
      <c r="I256" s="4336"/>
      <c r="J256" s="4336"/>
      <c r="K256" s="4336"/>
      <c r="L256" s="4336"/>
      <c r="M256" s="4336"/>
      <c r="N256" s="4336"/>
      <c r="O256" s="2867" t="s">
        <v>3300</v>
      </c>
    </row>
    <row r="257" spans="2:15" ht="15.6" customHeight="1">
      <c r="B257" s="1105">
        <v>2</v>
      </c>
      <c r="D257" s="395"/>
      <c r="E257" s="119"/>
      <c r="F257" s="2321" t="s">
        <v>784</v>
      </c>
      <c r="G257" s="4127"/>
      <c r="H257" s="3305" t="s">
        <v>4042</v>
      </c>
      <c r="I257" s="3306"/>
      <c r="J257" s="3306"/>
      <c r="K257" s="3306"/>
      <c r="L257" s="3306"/>
      <c r="M257" s="3306"/>
      <c r="N257" s="3306"/>
      <c r="O257" s="4337" t="s">
        <v>4177</v>
      </c>
    </row>
    <row r="258" spans="2:15" ht="23.45" customHeight="1">
      <c r="D258" s="395"/>
      <c r="E258" s="119"/>
      <c r="G258" s="4098"/>
      <c r="H258" s="4326" t="s">
        <v>4043</v>
      </c>
      <c r="I258" s="4332"/>
      <c r="J258" s="4332"/>
      <c r="K258" s="4332"/>
      <c r="L258" s="4332"/>
      <c r="M258" s="4332"/>
      <c r="N258" s="4333"/>
      <c r="O258" s="4083"/>
    </row>
    <row r="259" spans="2:15" ht="23.45" customHeight="1">
      <c r="D259" s="395"/>
      <c r="E259" s="119"/>
      <c r="G259" s="4082"/>
      <c r="H259" s="4323" t="s">
        <v>4044</v>
      </c>
      <c r="I259" s="4324"/>
      <c r="J259" s="4324"/>
      <c r="K259" s="4324"/>
      <c r="L259" s="4324"/>
      <c r="M259" s="4324"/>
      <c r="N259" s="4325"/>
      <c r="O259" s="4083"/>
    </row>
    <row r="260" spans="2:15" ht="15.6" customHeight="1">
      <c r="B260" s="1105">
        <v>2</v>
      </c>
      <c r="D260" s="395"/>
      <c r="E260" s="119"/>
      <c r="F260" s="2321" t="s">
        <v>785</v>
      </c>
      <c r="G260" s="4081">
        <v>2</v>
      </c>
      <c r="H260" s="3797" t="s">
        <v>4045</v>
      </c>
      <c r="I260" s="3738"/>
      <c r="J260" s="3738"/>
      <c r="K260" s="3738"/>
      <c r="L260" s="3738"/>
      <c r="M260" s="3738"/>
      <c r="N260" s="3738"/>
      <c r="O260" s="4083" t="s">
        <v>4177</v>
      </c>
    </row>
    <row r="261" spans="2:15" ht="24.6" customHeight="1">
      <c r="D261" s="395"/>
      <c r="E261" s="119"/>
      <c r="F261" s="1529"/>
      <c r="G261" s="4098"/>
      <c r="H261" s="4326" t="s">
        <v>4046</v>
      </c>
      <c r="I261" s="4327"/>
      <c r="J261" s="4327"/>
      <c r="K261" s="4327"/>
      <c r="L261" s="4327"/>
      <c r="M261" s="4327"/>
      <c r="N261" s="4328"/>
      <c r="O261" s="4083"/>
    </row>
    <row r="262" spans="2:15" ht="24.6" customHeight="1" thickBot="1">
      <c r="D262" s="395"/>
      <c r="E262" s="119"/>
      <c r="F262" s="1529"/>
      <c r="G262" s="4112"/>
      <c r="H262" s="4329" t="s">
        <v>4047</v>
      </c>
      <c r="I262" s="4330"/>
      <c r="J262" s="4330"/>
      <c r="K262" s="4330"/>
      <c r="L262" s="4330"/>
      <c r="M262" s="4330"/>
      <c r="N262" s="4331"/>
      <c r="O262" s="4083"/>
    </row>
    <row r="263" spans="2:15" ht="21" customHeight="1">
      <c r="D263" s="395"/>
      <c r="E263" s="119"/>
      <c r="F263" s="2321" t="s">
        <v>1468</v>
      </c>
      <c r="G263" s="2875">
        <f>SUM(G257:G262)</f>
        <v>2</v>
      </c>
      <c r="H263" s="2876" t="s">
        <v>4058</v>
      </c>
      <c r="I263" s="3279"/>
      <c r="J263" s="3280"/>
      <c r="K263" s="3281"/>
      <c r="L263" s="3280"/>
      <c r="M263" s="3281"/>
      <c r="N263" s="3282"/>
      <c r="O263" s="2879">
        <f>SUM(B257:B262)</f>
        <v>4</v>
      </c>
    </row>
    <row r="264" spans="2:15" ht="15.75">
      <c r="D264" s="395"/>
      <c r="E264" s="119"/>
      <c r="F264" s="119"/>
    </row>
    <row r="265" spans="2:15" ht="15.75">
      <c r="D265" s="395"/>
      <c r="E265" s="119"/>
      <c r="F265" s="196" t="s">
        <v>4048</v>
      </c>
      <c r="O265" s="1105" t="str">
        <f>IF(OR(F267=0,J266=0),$L$3,"")</f>
        <v/>
      </c>
    </row>
    <row r="266" spans="2:15" ht="16.5" thickBot="1">
      <c r="D266" s="393"/>
      <c r="E266" s="1529"/>
      <c r="F266" s="3220"/>
      <c r="G266" s="2688"/>
      <c r="H266" s="2689" t="s">
        <v>2629</v>
      </c>
      <c r="I266" s="2690"/>
      <c r="J266" s="3221">
        <f>Weight!M196</f>
        <v>0.3</v>
      </c>
      <c r="K266" s="2764"/>
      <c r="L266" s="2764"/>
      <c r="M266" s="2764"/>
      <c r="N266" s="2764"/>
      <c r="O266" s="2698"/>
    </row>
    <row r="267" spans="2:15" ht="27" customHeight="1" thickBot="1">
      <c r="D267" s="393"/>
      <c r="E267" s="1529"/>
      <c r="F267" s="2693">
        <v>3</v>
      </c>
      <c r="G267" s="2774" t="s">
        <v>2618</v>
      </c>
      <c r="H267" s="2697"/>
      <c r="I267" s="2697"/>
      <c r="J267" s="2697"/>
      <c r="K267" s="2697"/>
      <c r="L267" s="2856"/>
      <c r="M267" s="2697"/>
      <c r="N267" s="2697"/>
      <c r="O267" s="2698"/>
    </row>
    <row r="268" spans="2:15" ht="21" customHeight="1">
      <c r="B268" s="2014" t="s">
        <v>512</v>
      </c>
      <c r="D268" s="393"/>
      <c r="E268" s="1529"/>
      <c r="F268" s="2702" t="str">
        <f>IF(F267=$F$7,$G$2,IF(ROUNDDOWN(F267,0)=$F$2,$H$2,$G$2))</f>
        <v>　Level 1</v>
      </c>
      <c r="G268" s="2755" t="s">
        <v>2528</v>
      </c>
      <c r="H268" s="2700"/>
      <c r="I268" s="2700"/>
      <c r="J268" s="2700"/>
      <c r="K268" s="2700"/>
      <c r="L268" s="2700"/>
      <c r="M268" s="2700"/>
      <c r="N268" s="2620"/>
      <c r="O268" s="2670"/>
    </row>
    <row r="269" spans="2:15" ht="21" customHeight="1">
      <c r="B269" s="2014" t="s">
        <v>512</v>
      </c>
      <c r="D269" s="393"/>
      <c r="E269" s="1529"/>
      <c r="F269" s="2702" t="str">
        <f>IF(F267=$F$7,$G$3,IF(ROUNDDOWN(F267,0)=$F$3,$H$3,$G$3))</f>
        <v>　Level 2</v>
      </c>
      <c r="G269" s="3213" t="s">
        <v>2528</v>
      </c>
      <c r="H269" s="3214"/>
      <c r="I269" s="3214"/>
      <c r="J269" s="3214"/>
      <c r="K269" s="3214"/>
      <c r="L269" s="3214"/>
      <c r="M269" s="3214"/>
      <c r="N269" s="2621"/>
      <c r="O269" s="2671"/>
    </row>
    <row r="270" spans="2:15" ht="21" customHeight="1">
      <c r="B270" s="2014">
        <v>3</v>
      </c>
      <c r="D270" s="393"/>
      <c r="E270" s="1529"/>
      <c r="F270" s="2702" t="str">
        <f>IF(F267=$F$7,$G$4,IF(ROUNDDOWN(F267,0)=$F$4,$H$4,$G$4))</f>
        <v>■Level 3</v>
      </c>
      <c r="G270" s="3213" t="s">
        <v>3554</v>
      </c>
      <c r="H270" s="3214"/>
      <c r="I270" s="3214"/>
      <c r="J270" s="3214"/>
      <c r="K270" s="3214"/>
      <c r="L270" s="3214"/>
      <c r="M270" s="3214"/>
      <c r="N270" s="2621"/>
      <c r="O270" s="2671"/>
    </row>
    <row r="271" spans="2:15" ht="21" customHeight="1">
      <c r="B271" s="2014">
        <v>4</v>
      </c>
      <c r="D271" s="393"/>
      <c r="E271" s="1529"/>
      <c r="F271" s="2702" t="str">
        <f>IF(F267=$F$7,$G$5,IF(ROUNDDOWN(F267,0)=$F$5,$H$5,$G$5))</f>
        <v>　Level 4</v>
      </c>
      <c r="G271" s="3213" t="s">
        <v>4049</v>
      </c>
      <c r="H271" s="3214"/>
      <c r="I271" s="3214"/>
      <c r="J271" s="3214"/>
      <c r="K271" s="3214"/>
      <c r="L271" s="3214"/>
      <c r="M271" s="3214"/>
      <c r="N271" s="2621"/>
      <c r="O271" s="2671"/>
    </row>
    <row r="272" spans="2:15" ht="27.6" customHeight="1">
      <c r="B272" s="2014">
        <v>5</v>
      </c>
      <c r="D272" s="393"/>
      <c r="E272" s="1529"/>
      <c r="F272" s="2704" t="str">
        <f>IF(F267=$F$7,$G$6,IF(ROUNDDOWN(F267,0)=$F$6,$H$6,$G$6))</f>
        <v>　Level 5</v>
      </c>
      <c r="G272" s="4310" t="s">
        <v>4050</v>
      </c>
      <c r="H272" s="4311"/>
      <c r="I272" s="4311"/>
      <c r="J272" s="4311"/>
      <c r="K272" s="4311"/>
      <c r="L272" s="4311"/>
      <c r="M272" s="4311"/>
      <c r="N272" s="4311"/>
      <c r="O272" s="4312"/>
    </row>
    <row r="273" spans="2:11">
      <c r="B273" s="2850">
        <v>0</v>
      </c>
      <c r="C273" s="2850">
        <v>0</v>
      </c>
      <c r="F273" s="2067" t="s">
        <v>3045</v>
      </c>
      <c r="G273" s="2708"/>
      <c r="H273" s="2709"/>
      <c r="I273" s="2709"/>
      <c r="J273" s="2710"/>
      <c r="K273" s="2779"/>
    </row>
    <row r="289"/>
    <row r="290"/>
    <row r="291"/>
    <row r="297"/>
    <row r="298"/>
    <row r="299"/>
    <row r="300"/>
    <row r="301"/>
    <row r="302"/>
    <row r="303"/>
    <row r="304"/>
    <row r="305"/>
    <row r="306"/>
    <row r="307"/>
    <row r="308"/>
    <row r="309"/>
  </sheetData>
  <sheetProtection algorithmName="SHA-512" hashValue="H1vL3RCBim+BvTZdTCZ4TQsUR1c45UAG+FlgN51vonLrsAGolo65NVg9b3k4tkMT/q0QqvPGZ9VVqHWtgvEnew==" saltValue="zkhBNLlahAvw4L9Qh9X6SA==" spinCount="100000" sheet="1" objects="1" scenarios="1"/>
  <mergeCells count="129">
    <mergeCell ref="H259:N259"/>
    <mergeCell ref="H261:N261"/>
    <mergeCell ref="H262:N262"/>
    <mergeCell ref="G149:M149"/>
    <mergeCell ref="G177:M177"/>
    <mergeCell ref="G179:M179"/>
    <mergeCell ref="G181:M181"/>
    <mergeCell ref="G198:M198"/>
    <mergeCell ref="G200:M200"/>
    <mergeCell ref="G202:M202"/>
    <mergeCell ref="K227:N227"/>
    <mergeCell ref="H258:N258"/>
    <mergeCell ref="G260:G262"/>
    <mergeCell ref="K226:N226"/>
    <mergeCell ref="G243:O243"/>
    <mergeCell ref="O260:O262"/>
    <mergeCell ref="H227:J228"/>
    <mergeCell ref="H256:N256"/>
    <mergeCell ref="G257:G259"/>
    <mergeCell ref="G209:M209"/>
    <mergeCell ref="N177:O181"/>
    <mergeCell ref="G153:M153"/>
    <mergeCell ref="G151:M151"/>
    <mergeCell ref="O257:O259"/>
    <mergeCell ref="G272:O272"/>
    <mergeCell ref="K48:L48"/>
    <mergeCell ref="O76:O77"/>
    <mergeCell ref="O78:O79"/>
    <mergeCell ref="H118:J121"/>
    <mergeCell ref="K118:N118"/>
    <mergeCell ref="K119:N119"/>
    <mergeCell ref="K120:N120"/>
    <mergeCell ref="H115:J115"/>
    <mergeCell ref="K115:N115"/>
    <mergeCell ref="K116:N116"/>
    <mergeCell ref="K121:N121"/>
    <mergeCell ref="K117:N117"/>
    <mergeCell ref="H116:J117"/>
    <mergeCell ref="G80:G81"/>
    <mergeCell ref="I76:J79"/>
    <mergeCell ref="K79:N79"/>
    <mergeCell ref="K77:N77"/>
    <mergeCell ref="G91:K91"/>
    <mergeCell ref="L91:O91"/>
    <mergeCell ref="L90:O90"/>
    <mergeCell ref="G90:K90"/>
    <mergeCell ref="G100:O100"/>
    <mergeCell ref="J166:L166"/>
    <mergeCell ref="N14:O18"/>
    <mergeCell ref="K70:N70"/>
    <mergeCell ref="K72:N72"/>
    <mergeCell ref="K74:N74"/>
    <mergeCell ref="F158:O158"/>
    <mergeCell ref="G32:O32"/>
    <mergeCell ref="G34:O34"/>
    <mergeCell ref="G35:O35"/>
    <mergeCell ref="G36:O36"/>
    <mergeCell ref="G92:O92"/>
    <mergeCell ref="O80:O81"/>
    <mergeCell ref="K80:N80"/>
    <mergeCell ref="K68:N68"/>
    <mergeCell ref="K64:N64"/>
    <mergeCell ref="K66:N66"/>
    <mergeCell ref="K65:N65"/>
    <mergeCell ref="K71:M71"/>
    <mergeCell ref="K73:M73"/>
    <mergeCell ref="K75:M75"/>
    <mergeCell ref="K69:M69"/>
    <mergeCell ref="G66:G67"/>
    <mergeCell ref="O64:O65"/>
    <mergeCell ref="O66:O67"/>
    <mergeCell ref="H135:J135"/>
    <mergeCell ref="K134:N134"/>
    <mergeCell ref="K63:N63"/>
    <mergeCell ref="O68:O69"/>
    <mergeCell ref="O70:O71"/>
    <mergeCell ref="K67:M67"/>
    <mergeCell ref="G76:G77"/>
    <mergeCell ref="G78:G79"/>
    <mergeCell ref="H61:H63"/>
    <mergeCell ref="O74:O75"/>
    <mergeCell ref="H226:J226"/>
    <mergeCell ref="G211:M211"/>
    <mergeCell ref="G212:M212"/>
    <mergeCell ref="G227:G228"/>
    <mergeCell ref="G229:G231"/>
    <mergeCell ref="H229:J231"/>
    <mergeCell ref="G213:M213"/>
    <mergeCell ref="H80:H81"/>
    <mergeCell ref="I80:J81"/>
    <mergeCell ref="K81:N81"/>
    <mergeCell ref="H136:J138"/>
    <mergeCell ref="K136:N136"/>
    <mergeCell ref="K137:N137"/>
    <mergeCell ref="K138:N138"/>
    <mergeCell ref="G187:I187"/>
    <mergeCell ref="J187:L187"/>
    <mergeCell ref="K139:N139"/>
    <mergeCell ref="H140:J141"/>
    <mergeCell ref="K140:N140"/>
    <mergeCell ref="K141:N141"/>
    <mergeCell ref="G159:I159"/>
    <mergeCell ref="J159:L159"/>
    <mergeCell ref="G166:I166"/>
    <mergeCell ref="N198:O202"/>
    <mergeCell ref="N209:O213"/>
    <mergeCell ref="G210:M210"/>
    <mergeCell ref="N149:O153"/>
    <mergeCell ref="K60:N60"/>
    <mergeCell ref="H60:J60"/>
    <mergeCell ref="O61:O62"/>
    <mergeCell ref="K61:N61"/>
    <mergeCell ref="G70:G71"/>
    <mergeCell ref="G72:G73"/>
    <mergeCell ref="I64:J69"/>
    <mergeCell ref="I70:J71"/>
    <mergeCell ref="I72:J75"/>
    <mergeCell ref="G61:G62"/>
    <mergeCell ref="G68:G69"/>
    <mergeCell ref="K62:N62"/>
    <mergeCell ref="O72:O73"/>
    <mergeCell ref="G64:G65"/>
    <mergeCell ref="H64:H79"/>
    <mergeCell ref="G74:G75"/>
    <mergeCell ref="I61:J63"/>
    <mergeCell ref="K78:N78"/>
    <mergeCell ref="K76:N76"/>
    <mergeCell ref="K135:N135"/>
    <mergeCell ref="H134:J134"/>
  </mergeCells>
  <phoneticPr fontId="26"/>
  <conditionalFormatting sqref="F31 F87 F97 F148 F176 F197 F208 F236 F267">
    <cfRule type="expression" dxfId="16" priority="18" stopIfTrue="1">
      <formula>AND(OR(F31&lt;1,F31&gt;5),F31&lt;&gt;0)</formula>
    </cfRule>
    <cfRule type="expression" dxfId="15" priority="19" stopIfTrue="1">
      <formula>$J30&gt;0</formula>
    </cfRule>
  </conditionalFormatting>
  <conditionalFormatting sqref="G227:G231">
    <cfRule type="expression" dxfId="14" priority="16" stopIfTrue="1">
      <formula>$J$217&gt;0</formula>
    </cfRule>
  </conditionalFormatting>
  <dataValidations xWindow="203" yWindow="331" count="1">
    <dataValidation type="list" allowBlank="1" showInputMessage="1" sqref="F31 F87 F97 F148 F176 F197 F208 F236 F267" xr:uid="{00000000-0002-0000-0F00-000000000000}">
      <formula1>$B32:$B37</formula1>
    </dataValidation>
  </dataValidations>
  <printOptions horizontalCentered="1"/>
  <pageMargins left="0.59055118110236227" right="0.59055118110236227" top="0.78740157480314965" bottom="0.59055118110236227" header="0.51181102362204722" footer="0.51181102362204722"/>
  <pageSetup paperSize="9" scale="79" fitToHeight="0" orientation="portrait" verticalDpi="4294967293" r:id="rId1"/>
  <headerFooter alignWithMargins="0">
    <oddHeader>&amp;L&amp;F&amp;R&amp;A</oddHeader>
    <oddFooter>&amp;C&amp;P/&amp;N</oddFooter>
  </headerFooter>
  <rowBreaks count="8" manualBreakCount="8">
    <brk id="58" min="3" max="15" man="1"/>
    <brk id="77" min="3" max="15" man="1"/>
    <brk id="83" min="3" max="15" man="1"/>
    <brk id="123" min="3" max="15" man="1"/>
    <brk id="143" min="3" max="15" man="1"/>
    <brk id="173" min="3" max="15" man="1"/>
    <brk id="214" min="3" max="15" man="1"/>
    <brk id="244" min="3" max="15" man="1"/>
  </rowBreaks>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4">
    <pageSetUpPr fitToPage="1"/>
  </sheetPr>
  <dimension ref="A1:AB207"/>
  <sheetViews>
    <sheetView showGridLines="0" workbookViewId="0">
      <selection activeCell="D4" sqref="D4"/>
    </sheetView>
  </sheetViews>
  <sheetFormatPr defaultColWidth="0" defaultRowHeight="14.25" zeroHeight="1"/>
  <cols>
    <col min="1" max="1" width="1.125" style="1105" customWidth="1"/>
    <col min="2" max="2" width="2.375" style="1105" customWidth="1"/>
    <col min="3" max="3" width="2" style="1105" customWidth="1"/>
    <col min="4" max="4" width="17" style="1105" customWidth="1"/>
    <col min="5" max="5" width="20.125" style="1105" customWidth="1"/>
    <col min="6" max="6" width="8.125" style="1105" bestFit="1" customWidth="1"/>
    <col min="7" max="7" width="2" style="1105" customWidth="1"/>
    <col min="8" max="8" width="10" style="1105" customWidth="1"/>
    <col min="9" max="9" width="9.625" style="1105" customWidth="1"/>
    <col min="10" max="10" width="8.875" style="1105" customWidth="1"/>
    <col min="11" max="11" width="9.125" style="1105" customWidth="1"/>
    <col min="12" max="12" width="11.875" style="1105" bestFit="1" customWidth="1"/>
    <col min="13" max="13" width="6" style="1105" bestFit="1" customWidth="1"/>
    <col min="14" max="14" width="8.125" style="1105" bestFit="1" customWidth="1"/>
    <col min="15" max="15" width="11.875" style="1105" bestFit="1" customWidth="1"/>
    <col min="16" max="16" width="2.625" style="1105" customWidth="1"/>
    <col min="17" max="17" width="6.25" style="1105" hidden="1" customWidth="1"/>
    <col min="18" max="18" width="9.125" style="1105" hidden="1" customWidth="1"/>
    <col min="19" max="19" width="13" style="1105" hidden="1" customWidth="1"/>
    <col min="20" max="20" width="6.875" style="1105" hidden="1" customWidth="1"/>
    <col min="21" max="21" width="12" style="1105" hidden="1" customWidth="1"/>
    <col min="22" max="22" width="5" style="1105" hidden="1" customWidth="1"/>
    <col min="23" max="23" width="6.125" style="1105" hidden="1" customWidth="1"/>
    <col min="24" max="24" width="8" style="1105" hidden="1" customWidth="1"/>
    <col min="25" max="25" width="6.375" style="1105" hidden="1" customWidth="1"/>
    <col min="26" max="26" width="5" style="1105" hidden="1" customWidth="1"/>
    <col min="27" max="28" width="5.25" style="1105" hidden="1" customWidth="1"/>
    <col min="29" max="16384" width="8.875" style="1105" hidden="1"/>
  </cols>
  <sheetData>
    <row r="1" spans="1:27" ht="7.5" customHeight="1" thickBot="1">
      <c r="A1" s="1989"/>
    </row>
    <row r="2" spans="1:27">
      <c r="B2" s="2211" t="str">
        <f>Main!C6</f>
        <v>CASBEE for Building Design (New Construction) 2024 Edition</v>
      </c>
      <c r="C2" s="2212"/>
      <c r="D2" s="2213"/>
      <c r="E2" s="2214"/>
      <c r="F2" s="1959"/>
      <c r="G2" s="1959"/>
      <c r="H2" s="1959"/>
      <c r="I2" s="1959"/>
      <c r="J2" s="1959"/>
      <c r="K2" s="2322" t="s">
        <v>1491</v>
      </c>
      <c r="L2" s="1529"/>
      <c r="M2" s="1529"/>
      <c r="O2" s="2323" t="str">
        <f>Main!C6</f>
        <v>CASBEE for Building Design (New Construction) 2024 Edition</v>
      </c>
    </row>
    <row r="3" spans="1:27" ht="15" thickBot="1">
      <c r="B3" s="2215" t="str">
        <f>Main!C11</f>
        <v>XXX Building</v>
      </c>
      <c r="C3" s="2216"/>
      <c r="D3" s="2217"/>
      <c r="E3" s="2218"/>
      <c r="F3" s="1959"/>
      <c r="G3" s="1959"/>
      <c r="H3" s="1959"/>
      <c r="I3" s="1959"/>
      <c r="J3" s="1959"/>
      <c r="K3" s="2322" t="s">
        <v>1492</v>
      </c>
      <c r="L3" s="1529"/>
      <c r="M3" s="2324"/>
      <c r="O3" s="2321" t="str">
        <f>Main!C5</f>
        <v>CASBEE-BD_NCe_2024_v1.21</v>
      </c>
    </row>
    <row r="4" spans="1:27" ht="6.75" customHeight="1" thickBot="1">
      <c r="B4" s="1959"/>
      <c r="C4" s="1959"/>
      <c r="D4" s="1959"/>
      <c r="E4" s="1959"/>
      <c r="F4" s="1959"/>
      <c r="G4" s="1959"/>
      <c r="H4" s="1959"/>
      <c r="I4" s="1959"/>
      <c r="J4" s="1959"/>
      <c r="K4" s="1959"/>
      <c r="L4" s="1959"/>
      <c r="M4" s="1959"/>
      <c r="N4" s="1959"/>
      <c r="O4" s="1959"/>
    </row>
    <row r="5" spans="1:27" ht="15.75">
      <c r="B5" s="2219" t="s">
        <v>2296</v>
      </c>
      <c r="C5" s="2220"/>
      <c r="D5" s="2221"/>
      <c r="E5" s="2220"/>
      <c r="F5" s="2222"/>
      <c r="G5" s="2222"/>
      <c r="H5" s="2222"/>
      <c r="I5" s="2222"/>
      <c r="J5" s="2222"/>
      <c r="K5" s="2220"/>
      <c r="L5" s="2223"/>
      <c r="M5" s="2224"/>
      <c r="N5" s="2225"/>
      <c r="O5" s="2226"/>
    </row>
    <row r="6" spans="1:27" ht="15.75">
      <c r="B6" s="2227"/>
      <c r="C6" s="2228"/>
      <c r="D6" s="2229"/>
      <c r="E6" s="2228"/>
      <c r="F6" s="2230"/>
      <c r="G6" s="2230"/>
      <c r="H6" s="2230"/>
      <c r="I6" s="2230"/>
      <c r="J6" s="2230"/>
      <c r="K6" s="2228"/>
      <c r="L6" s="2231" t="s">
        <v>2292</v>
      </c>
      <c r="M6" s="2232"/>
      <c r="N6" s="2233"/>
      <c r="O6" s="2234" t="s">
        <v>2293</v>
      </c>
      <c r="R6" s="1105" t="s">
        <v>2297</v>
      </c>
      <c r="S6" s="1105" t="s">
        <v>2298</v>
      </c>
      <c r="T6" s="1105" t="s">
        <v>2299</v>
      </c>
      <c r="U6" s="1105" t="s">
        <v>2300</v>
      </c>
    </row>
    <row r="7" spans="1:27" ht="15">
      <c r="B7" s="2203" t="s">
        <v>2266</v>
      </c>
      <c r="C7" s="2228"/>
      <c r="D7" s="2229"/>
      <c r="E7" s="2228"/>
      <c r="F7" s="2230"/>
      <c r="G7" s="2230"/>
      <c r="H7" s="2230"/>
      <c r="I7" s="2230"/>
      <c r="J7" s="2230"/>
      <c r="K7" s="2228"/>
      <c r="L7" s="2235"/>
      <c r="M7" s="2232"/>
      <c r="N7" s="2233"/>
      <c r="O7" s="2236"/>
      <c r="R7" s="1105" t="s">
        <v>2301</v>
      </c>
      <c r="T7" s="1105" t="s">
        <v>2302</v>
      </c>
      <c r="U7" s="2237">
        <f>SUM(S8:S20)+U21+S22+S23+S25</f>
        <v>7000</v>
      </c>
    </row>
    <row r="8" spans="1:27" ht="15.75">
      <c r="B8" s="2238"/>
      <c r="C8" s="2204" t="s">
        <v>2267</v>
      </c>
      <c r="D8" s="2239"/>
      <c r="E8" s="2228"/>
      <c r="F8" s="2230"/>
      <c r="G8" s="2230"/>
      <c r="H8" s="2235"/>
      <c r="I8" s="2240"/>
      <c r="J8" s="2235"/>
      <c r="K8" s="2240"/>
      <c r="L8" s="2235" t="s">
        <v>2085</v>
      </c>
      <c r="M8" s="2240"/>
      <c r="N8" s="2240"/>
      <c r="O8" s="2236" t="s">
        <v>2085</v>
      </c>
      <c r="R8" s="2014" t="str">
        <f>Main!B47</f>
        <v xml:space="preserve"> Offices</v>
      </c>
      <c r="S8" s="2241">
        <f>Main!C47</f>
        <v>7000</v>
      </c>
    </row>
    <row r="9" spans="1:27" ht="22.5">
      <c r="B9" s="2238"/>
      <c r="C9" s="2242"/>
      <c r="D9" s="2242" t="str">
        <f>'GHG data'!I3</f>
        <v>Q2/2.2.1 Service Life of Structural Frame Materials</v>
      </c>
      <c r="E9" s="2243"/>
      <c r="F9" s="2210" t="s">
        <v>2306</v>
      </c>
      <c r="G9" s="2243"/>
      <c r="H9" s="2208" t="s">
        <v>1972</v>
      </c>
      <c r="I9" s="2208" t="s">
        <v>1973</v>
      </c>
      <c r="J9" s="2208" t="s">
        <v>1974</v>
      </c>
      <c r="K9" s="2209" t="s">
        <v>125</v>
      </c>
      <c r="L9" s="3154" t="s">
        <v>2295</v>
      </c>
      <c r="M9" s="2243"/>
      <c r="N9" s="2209" t="s">
        <v>125</v>
      </c>
      <c r="O9" s="3155" t="str">
        <f>L9</f>
        <v>GHG emission</v>
      </c>
      <c r="R9" s="2014">
        <f>Main!B48</f>
        <v>0</v>
      </c>
      <c r="S9" s="2241">
        <f>Main!C48</f>
        <v>0</v>
      </c>
    </row>
    <row r="10" spans="1:27">
      <c r="B10" s="2244"/>
      <c r="C10" s="2242"/>
      <c r="D10" s="2235"/>
      <c r="E10" s="2326" t="str">
        <f>'GHG data'!E191</f>
        <v>Office</v>
      </c>
      <c r="F10" s="2245">
        <f>IF($U$7=0,0,S8/$U$7)</f>
        <v>1</v>
      </c>
      <c r="G10" s="2243"/>
      <c r="H10" s="2245">
        <f>IF(OR($F$20=$R$6,$F$20=$U$6),'GHG data'!I12,IF($F$20=$S$6,'GHG data'!L12,'GHG data'!O12))</f>
        <v>18.22</v>
      </c>
      <c r="I10" s="2245">
        <f>IF(OR($F$20=$R$6,$F$20=$U$6),'GHG data'!J12,IF($F$20=$S$6,'GHG data'!M12,'GHG data'!P12))</f>
        <v>18.22</v>
      </c>
      <c r="J10" s="2246">
        <f>IF(OR($F$20=$R$6,$F$20=$U$6),'GHG data'!K12,IF($F$20=$S$6,'GHG data'!N12,'GHG data'!Q12))</f>
        <v>18.22</v>
      </c>
      <c r="K10" s="2247">
        <f>Score!Q83</f>
        <v>3</v>
      </c>
      <c r="L10" s="2248">
        <f t="shared" ref="L10:L18" si="0">IF(K10&gt;=5,$J10,IF(K10&gt;=4,$I10,$H10))</f>
        <v>18.22</v>
      </c>
      <c r="M10" s="2243"/>
      <c r="N10" s="2247">
        <v>3</v>
      </c>
      <c r="O10" s="2249">
        <f>IF(OR($F$20=$R$6,$F$20=$U$6),'GHG data'!I7,IF($F$20=$S$6,'GHG data'!L7,'GHG data'!O7))</f>
        <v>18.22</v>
      </c>
      <c r="R10" s="2014" t="str">
        <f>Main!B50</f>
        <v xml:space="preserve"> Schools</v>
      </c>
      <c r="S10" s="2241">
        <f>Main!C50</f>
        <v>0</v>
      </c>
    </row>
    <row r="11" spans="1:27">
      <c r="B11" s="2244"/>
      <c r="C11" s="2242"/>
      <c r="D11" s="2235"/>
      <c r="E11" s="2326" t="str">
        <f>'GHG data'!E192</f>
        <v>School</v>
      </c>
      <c r="F11" s="2245">
        <f>IF($U$7=0,0,S10/$U$7)</f>
        <v>0</v>
      </c>
      <c r="G11" s="2243"/>
      <c r="H11" s="2245">
        <f>IF(OR($F$20=$R$6,$F$20=$U$6),'GHG data'!I18,IF($F$20=$S$6,'GHG data'!L18,'GHG data'!O18))</f>
        <v>18.59</v>
      </c>
      <c r="I11" s="2245">
        <f>IF(OR($F$20=$R$6,$F$20=$U$6),'GHG data'!J18,IF($F$20=$S$6,'GHG data'!M18,'GHG data'!P18))</f>
        <v>18.59</v>
      </c>
      <c r="J11" s="2246">
        <f>IF(OR($F$20=$R$6,$F$20=$U$6),'GHG data'!K18,IF($F$20=$S$6,'GHG data'!N18,'GHG data'!Q18))</f>
        <v>18.59</v>
      </c>
      <c r="K11" s="2247">
        <f t="shared" ref="K11:K18" si="1">K$10</f>
        <v>3</v>
      </c>
      <c r="L11" s="2248">
        <f t="shared" si="0"/>
        <v>18.59</v>
      </c>
      <c r="M11" s="2243"/>
      <c r="N11" s="2247">
        <f t="shared" ref="N11:N18" si="2">N$10</f>
        <v>3</v>
      </c>
      <c r="O11" s="2249">
        <f>IF(OR($F$20=$R$6,$F$20=$U$6),'GHG data'!I13,IF($F$20=$S$6,'GHG data'!L13,'GHG data'!O13))</f>
        <v>18.59</v>
      </c>
      <c r="R11" s="2014">
        <f>Main!B51</f>
        <v>0</v>
      </c>
      <c r="S11" s="2241">
        <f>Main!C51</f>
        <v>0</v>
      </c>
      <c r="AA11" s="1105" t="str">
        <f>Weight!AB6</f>
        <v>Sch</v>
      </c>
    </row>
    <row r="12" spans="1:27">
      <c r="B12" s="2244"/>
      <c r="C12" s="2242"/>
      <c r="D12" s="2235"/>
      <c r="E12" s="2326" t="str">
        <f>'GHG data'!E193</f>
        <v>Retailers</v>
      </c>
      <c r="F12" s="2245">
        <f>IF($U$7=0,0,S15/$U$7)</f>
        <v>0</v>
      </c>
      <c r="G12" s="2243"/>
      <c r="H12" s="2245">
        <f>IF(OR($F$20=$R$6,$F$20=$U$6),'GHG data'!I24,IF($F$20=$S$6,'GHG data'!L24,'GHG data'!O24))</f>
        <v>22.88</v>
      </c>
      <c r="I12" s="2245">
        <f>IF(OR($F$20=$R$6,$F$20=$U$6),'GHG data'!J24,IF($F$20=$S$6,'GHG data'!M24,'GHG data'!P24))</f>
        <v>22.88</v>
      </c>
      <c r="J12" s="2246">
        <f>IF(OR($F$20=$R$6,$F$20=$U$6),'GHG data'!K24,IF($F$20=$S$6,'GHG data'!N24,'GHG data'!Q24))</f>
        <v>22.88</v>
      </c>
      <c r="K12" s="2247">
        <f t="shared" si="1"/>
        <v>3</v>
      </c>
      <c r="L12" s="2248">
        <f t="shared" si="0"/>
        <v>22.88</v>
      </c>
      <c r="M12" s="2243"/>
      <c r="N12" s="2247">
        <f t="shared" si="2"/>
        <v>3</v>
      </c>
      <c r="O12" s="2249">
        <f>IF(OR($F$20=$R$6,$F$20=$U$6),'GHG data'!I19,IF($F$20=$S$6,'GHG data'!L19,'GHG data'!O19))</f>
        <v>22.88</v>
      </c>
      <c r="R12" s="2014">
        <f>Main!B52</f>
        <v>0</v>
      </c>
      <c r="S12" s="2241">
        <f>Main!C52</f>
        <v>0</v>
      </c>
      <c r="AA12" s="1105">
        <f>Weight!AB7</f>
        <v>0</v>
      </c>
    </row>
    <row r="13" spans="1:27">
      <c r="B13" s="2244"/>
      <c r="C13" s="2242"/>
      <c r="D13" s="2235"/>
      <c r="E13" s="2326" t="str">
        <f>'GHG data'!E194</f>
        <v>Restaurants</v>
      </c>
      <c r="F13" s="2245">
        <f>IF($U$7=0,0,S17/$U$7)</f>
        <v>0</v>
      </c>
      <c r="G13" s="2243"/>
      <c r="H13" s="2245">
        <f>IF(OR($F$20=$R$6,$F$20=$U$6),'GHG data'!I30,IF($F$20=$S$6,'GHG data'!L30,'GHG data'!O30))</f>
        <v>22.88</v>
      </c>
      <c r="I13" s="2245">
        <f>IF(OR($F$20=$R$6,$F$20=$U$6),'GHG data'!J30,IF($F$20=$S$6,'GHG data'!M30,'GHG data'!P30))</f>
        <v>22.88</v>
      </c>
      <c r="J13" s="2246">
        <f>IF(OR($F$20=$R$6,$F$20=$U$6),'GHG data'!K30,IF($F$20=$S$6,'GHG data'!N30,'GHG data'!Q30))</f>
        <v>22.88</v>
      </c>
      <c r="K13" s="2247">
        <f t="shared" si="1"/>
        <v>3</v>
      </c>
      <c r="L13" s="2248">
        <f t="shared" si="0"/>
        <v>22.88</v>
      </c>
      <c r="M13" s="2243"/>
      <c r="N13" s="2247">
        <f t="shared" si="2"/>
        <v>3</v>
      </c>
      <c r="O13" s="2249">
        <f>IF(OR($F$20=$R$6,$F$20=$U$6),'GHG data'!I25,IF($F$20=$S$6,'GHG data'!L25,'GHG data'!O25))</f>
        <v>22.88</v>
      </c>
      <c r="R13" s="2014">
        <f>Main!B53</f>
        <v>0</v>
      </c>
      <c r="S13" s="2241">
        <f>Main!C53</f>
        <v>0</v>
      </c>
    </row>
    <row r="14" spans="1:27">
      <c r="B14" s="2244"/>
      <c r="C14" s="2242"/>
      <c r="D14" s="2235"/>
      <c r="E14" s="2326" t="str">
        <f>'GHG data'!E195</f>
        <v>Halls</v>
      </c>
      <c r="F14" s="2245">
        <f>IF($U$7=0,0,S18/$U$7)</f>
        <v>0</v>
      </c>
      <c r="G14" s="2243"/>
      <c r="H14" s="2245">
        <f>IF(OR($F$20=$R$6,$F$20=$U$6),'GHG data'!I36,IF($F$20=$S$6,'GHG data'!L36,'GHG data'!O36))</f>
        <v>17.920000000000002</v>
      </c>
      <c r="I14" s="2245">
        <f>IF(OR($F$20=$R$6,$F$20=$U$6),'GHG data'!J36,IF($F$20=$S$6,'GHG data'!M36,'GHG data'!P36))</f>
        <v>17.920000000000002</v>
      </c>
      <c r="J14" s="2246">
        <f>IF(OR($F$20=$R$6,$F$20=$U$6),'GHG data'!K36,IF($F$20=$S$6,'GHG data'!N36,'GHG data'!Q36))</f>
        <v>17.920000000000002</v>
      </c>
      <c r="K14" s="2247">
        <f t="shared" si="1"/>
        <v>3</v>
      </c>
      <c r="L14" s="2248">
        <f t="shared" si="0"/>
        <v>17.920000000000002</v>
      </c>
      <c r="M14" s="2243"/>
      <c r="N14" s="2247">
        <f t="shared" si="2"/>
        <v>3</v>
      </c>
      <c r="O14" s="2249">
        <f>IF(OR($F$20=$R$6,$F$20=$U$6),'GHG data'!I31,IF($F$20=$S$6,'GHG data'!L31,'GHG data'!O31))</f>
        <v>17.920000000000002</v>
      </c>
      <c r="R14" s="2014">
        <f>Main!B54</f>
        <v>0</v>
      </c>
      <c r="S14" s="2241">
        <f>Main!C54</f>
        <v>0</v>
      </c>
    </row>
    <row r="15" spans="1:27">
      <c r="B15" s="2244"/>
      <c r="C15" s="2242"/>
      <c r="D15" s="2235"/>
      <c r="E15" s="2326" t="str">
        <f>'GHG data'!E196</f>
        <v>Factories</v>
      </c>
      <c r="F15" s="2245">
        <f>IF($U$7=0,0,U21/$U$7)</f>
        <v>0</v>
      </c>
      <c r="G15" s="2243"/>
      <c r="H15" s="2245">
        <f>IF(OR($F$20=$R$6,$F$20=$U$6),'GHG data'!I42,IF($F$20=$S$6,'GHG data'!L42,'GHG data'!O42))</f>
        <v>30.17</v>
      </c>
      <c r="I15" s="2245">
        <f>IF(OR($F$20=$R$6,$F$20=$U$6),'GHG data'!J42,IF($F$20=$S$6,'GHG data'!M42,'GHG data'!P42))</f>
        <v>30.17</v>
      </c>
      <c r="J15" s="2246">
        <f>IF(OR($F$20=$R$6,$F$20=$U$6),'GHG data'!K42,IF($F$20=$S$6,'GHG data'!N42,'GHG data'!Q42))</f>
        <v>30.17</v>
      </c>
      <c r="K15" s="2247">
        <f t="shared" si="1"/>
        <v>3</v>
      </c>
      <c r="L15" s="2248">
        <f t="shared" si="0"/>
        <v>30.17</v>
      </c>
      <c r="M15" s="2243"/>
      <c r="N15" s="2247">
        <f t="shared" si="2"/>
        <v>3</v>
      </c>
      <c r="O15" s="2249">
        <f>IF(OR($F$20=$R$6,$F$20=$U$6),'GHG data'!I37,IF($F$20=$S$6,'GHG data'!L37,'GHG data'!O37))</f>
        <v>30.17</v>
      </c>
      <c r="R15" s="2014" t="str">
        <f>Main!B55</f>
        <v xml:space="preserve"> Retailers</v>
      </c>
      <c r="S15" s="2241">
        <f>Main!C55</f>
        <v>0</v>
      </c>
    </row>
    <row r="16" spans="1:27">
      <c r="B16" s="2244"/>
      <c r="C16" s="2242"/>
      <c r="D16" s="2235"/>
      <c r="E16" s="2326" t="str">
        <f>'GHG data'!E197</f>
        <v>Hospitals</v>
      </c>
      <c r="F16" s="2245">
        <f>IF($U$7=0,0,S22/$U$7)</f>
        <v>0</v>
      </c>
      <c r="G16" s="2243"/>
      <c r="H16" s="2245">
        <f>IF(OR($F$20=$R$6,$F$20=$U$6),'GHG data'!I48,IF($F$20=$S$6,'GHG data'!L48,'GHG data'!O48))</f>
        <v>18.170000000000002</v>
      </c>
      <c r="I16" s="2245">
        <f>IF(OR($F$20=$R$6,$F$20=$U$6),'GHG data'!J48,IF($F$20=$S$6,'GHG data'!M48,'GHG data'!P48))</f>
        <v>18.170000000000002</v>
      </c>
      <c r="J16" s="2246">
        <f>IF(OR($F$20=$R$6,$F$20=$U$6),'GHG data'!K48,IF($F$20=$S$6,'GHG data'!N48,'GHG data'!Q48))</f>
        <v>18.170000000000002</v>
      </c>
      <c r="K16" s="2247">
        <f t="shared" si="1"/>
        <v>3</v>
      </c>
      <c r="L16" s="2248">
        <f t="shared" si="0"/>
        <v>18.170000000000002</v>
      </c>
      <c r="M16" s="2243"/>
      <c r="N16" s="2247">
        <f t="shared" si="2"/>
        <v>3</v>
      </c>
      <c r="O16" s="2249">
        <f>IF(OR($F$20=$R$6,$F$20=$U$6),'GHG data'!I43,IF($F$20=$S$6,'GHG data'!L43,'GHG data'!O43))</f>
        <v>18.170000000000002</v>
      </c>
      <c r="R16" s="2014">
        <f>Main!B58</f>
        <v>0</v>
      </c>
      <c r="S16" s="2241">
        <f>Main!C58</f>
        <v>0</v>
      </c>
    </row>
    <row r="17" spans="2:21">
      <c r="B17" s="2244"/>
      <c r="C17" s="2242"/>
      <c r="D17" s="2235"/>
      <c r="E17" s="2326" t="str">
        <f>'GHG data'!E198</f>
        <v>Hotels</v>
      </c>
      <c r="F17" s="2245">
        <f>IF($U$7=0,0,S23/$U$7)</f>
        <v>0</v>
      </c>
      <c r="G17" s="2243"/>
      <c r="H17" s="2245">
        <f>IF(OR($F$20=$R$6,$F$20=$U$6),'GHG data'!I54,IF($F$20=$S$6,'GHG data'!L54,'GHG data'!O54))</f>
        <v>19.72</v>
      </c>
      <c r="I17" s="2245">
        <f>IF(OR($F$20=$R$6,$F$20=$U$6),'GHG data'!J54,IF($F$20=$S$6,'GHG data'!M54,'GHG data'!P54))</f>
        <v>19.72</v>
      </c>
      <c r="J17" s="2246">
        <f>IF(OR($F$20=$R$6,$F$20=$U$6),'GHG data'!K54,IF($F$20=$S$6,'GHG data'!N54,'GHG data'!Q54))</f>
        <v>19.72</v>
      </c>
      <c r="K17" s="2247">
        <f t="shared" si="1"/>
        <v>3</v>
      </c>
      <c r="L17" s="2248">
        <f t="shared" si="0"/>
        <v>19.72</v>
      </c>
      <c r="M17" s="2243"/>
      <c r="N17" s="2247">
        <f t="shared" si="2"/>
        <v>3</v>
      </c>
      <c r="O17" s="2249">
        <f>IF(OR($F$20=$R$6,$F$20=$U$6),'GHG data'!I49,IF($F$20=$S$6,'GHG data'!L49,'GHG data'!O49))</f>
        <v>19.72</v>
      </c>
      <c r="R17" s="2014" t="str">
        <f>Main!B59</f>
        <v xml:space="preserve"> Restaurants</v>
      </c>
      <c r="S17" s="2241">
        <f>Main!C59</f>
        <v>0</v>
      </c>
    </row>
    <row r="18" spans="2:21">
      <c r="B18" s="2244"/>
      <c r="C18" s="2242"/>
      <c r="D18" s="2235"/>
      <c r="E18" s="2326" t="str">
        <f>'GHG data'!E199</f>
        <v>Apartments</v>
      </c>
      <c r="F18" s="2245">
        <f>IF($U$7=0,0,S25/$U$7)</f>
        <v>0</v>
      </c>
      <c r="G18" s="2243"/>
      <c r="H18" s="2245">
        <f>IF(OR($F$20=$R$6,$F$20=$U$6),'GHG data'!I60,IF($F$20=$S$6,'GHG data'!L60,'GHG data'!O60))</f>
        <v>33.92</v>
      </c>
      <c r="I18" s="2245">
        <f>IF(OR($F$20=$R$6,$F$20=$U$6),'GHG data'!J60,IF($F$20=$S$6,'GHG data'!M60,'GHG data'!P60))</f>
        <v>16.96</v>
      </c>
      <c r="J18" s="2246">
        <f>IF(OR($F$20=$R$6,$F$20=$U$6),'GHG data'!K60,IF($F$20=$S$6,'GHG data'!N60,'GHG data'!Q60))</f>
        <v>11.31</v>
      </c>
      <c r="K18" s="2247">
        <f t="shared" si="1"/>
        <v>3</v>
      </c>
      <c r="L18" s="2248">
        <f t="shared" si="0"/>
        <v>33.92</v>
      </c>
      <c r="M18" s="2243"/>
      <c r="N18" s="2247">
        <f t="shared" si="2"/>
        <v>3</v>
      </c>
      <c r="O18" s="2249">
        <f>IF(OR($F$20=$R$6,$F$20=$U$6),'GHG data'!I55,IF($F$20=$S$6,'GHG data'!L55,'GHG data'!O55))</f>
        <v>33.92</v>
      </c>
      <c r="R18" s="2014" t="str">
        <f>Main!B60</f>
        <v xml:space="preserve"> Halls</v>
      </c>
      <c r="S18" s="2241">
        <f>Main!C60</f>
        <v>0</v>
      </c>
    </row>
    <row r="19" spans="2:21">
      <c r="B19" s="2244"/>
      <c r="C19" s="2242"/>
      <c r="D19" s="2242"/>
      <c r="E19" s="2242"/>
      <c r="F19" s="2242"/>
      <c r="G19" s="2242"/>
      <c r="H19" s="2242"/>
      <c r="I19" s="2250"/>
      <c r="J19" s="2250"/>
      <c r="K19" s="2251"/>
      <c r="L19" s="2252"/>
      <c r="M19" s="2243"/>
      <c r="N19" s="2251"/>
      <c r="O19" s="2253"/>
      <c r="R19" s="2014">
        <f>Main!B61</f>
        <v>0</v>
      </c>
      <c r="S19" s="2241">
        <f>Main!C61</f>
        <v>0</v>
      </c>
    </row>
    <row r="20" spans="2:21">
      <c r="B20" s="2244"/>
      <c r="C20" s="2243"/>
      <c r="D20" s="2243" t="s">
        <v>2265</v>
      </c>
      <c r="E20" s="2243"/>
      <c r="F20" s="2254" t="str">
        <f>Main!C23</f>
        <v>RC</v>
      </c>
      <c r="G20" s="2243"/>
      <c r="H20" s="2255"/>
      <c r="I20" s="2255"/>
      <c r="J20" s="2255"/>
      <c r="K20" s="2256"/>
      <c r="L20" s="2243"/>
      <c r="M20" s="2243"/>
      <c r="N20" s="2256"/>
      <c r="O20" s="2257"/>
      <c r="R20" s="2014">
        <f>Main!B62</f>
        <v>0</v>
      </c>
      <c r="S20" s="2241">
        <f>Main!C62</f>
        <v>0</v>
      </c>
    </row>
    <row r="21" spans="2:21">
      <c r="B21" s="2258"/>
      <c r="C21" s="1150"/>
      <c r="D21" s="1150" t="str">
        <f>'GHG data'!D8</f>
        <v>LR2.2.2 Existing structural frame</v>
      </c>
      <c r="E21" s="1150"/>
      <c r="F21" s="2259">
        <f>Std.!E32</f>
        <v>0</v>
      </c>
      <c r="G21" s="1150"/>
      <c r="H21" s="1150"/>
      <c r="I21" s="1150"/>
      <c r="J21" s="1150"/>
      <c r="K21" s="1150"/>
      <c r="L21" s="1150"/>
      <c r="M21" s="1150"/>
      <c r="N21" s="2260">
        <v>0</v>
      </c>
      <c r="O21" s="2261"/>
      <c r="R21" s="2014" t="str">
        <f>Main!B63</f>
        <v xml:space="preserve"> Factories</v>
      </c>
      <c r="S21" s="2241">
        <f>Main!C63</f>
        <v>0</v>
      </c>
      <c r="T21" s="2241" t="str">
        <f>Main!D63</f>
        <v>㎡ 　Area subjected for energy efficiency calc</v>
      </c>
      <c r="U21" s="2241">
        <f>Main!E63</f>
        <v>0</v>
      </c>
    </row>
    <row r="22" spans="2:21">
      <c r="B22" s="2258"/>
      <c r="C22" s="1150"/>
      <c r="D22" s="2325" t="str">
        <f>'GHG data'!D9</f>
        <v>LR2.2.3 Recycled materials 
(Use of blast furnace cement)</v>
      </c>
      <c r="E22" s="1150"/>
      <c r="F22" s="2259">
        <f>Std.!E31</f>
        <v>0</v>
      </c>
      <c r="G22" s="1150"/>
      <c r="H22" s="1150"/>
      <c r="I22" s="1150"/>
      <c r="J22" s="1150"/>
      <c r="K22" s="1150"/>
      <c r="L22" s="1150"/>
      <c r="M22" s="1150"/>
      <c r="N22" s="2260">
        <v>0</v>
      </c>
      <c r="O22" s="2261"/>
      <c r="R22" s="2014" t="str">
        <f>Main!B64</f>
        <v xml:space="preserve"> Hospitals</v>
      </c>
      <c r="S22" s="2241">
        <f>Main!C64</f>
        <v>0</v>
      </c>
    </row>
    <row r="23" spans="2:21">
      <c r="B23" s="2258"/>
      <c r="C23" s="2243"/>
      <c r="D23" s="2242"/>
      <c r="E23" s="2262"/>
      <c r="F23" s="1150"/>
      <c r="G23" s="1150"/>
      <c r="H23" s="1150"/>
      <c r="I23" s="1150"/>
      <c r="J23" s="1150"/>
      <c r="K23" s="1150"/>
      <c r="L23" s="2263"/>
      <c r="M23" s="1150"/>
      <c r="N23" s="1150"/>
      <c r="O23" s="2264"/>
      <c r="R23" s="2014" t="str">
        <f>Main!B65</f>
        <v xml:space="preserve"> Hotels</v>
      </c>
      <c r="S23" s="2241">
        <f>Main!C65</f>
        <v>0</v>
      </c>
    </row>
    <row r="24" spans="2:21" hidden="1">
      <c r="B24" s="2258"/>
      <c r="C24" s="2204"/>
      <c r="D24" s="2242"/>
      <c r="E24" s="1150"/>
      <c r="F24" s="1150"/>
      <c r="G24" s="1150"/>
      <c r="H24" s="1150"/>
      <c r="I24" s="1150"/>
      <c r="J24" s="1150"/>
      <c r="K24" s="1150"/>
      <c r="L24" s="1150"/>
      <c r="M24" s="1150"/>
      <c r="N24" s="1150"/>
      <c r="O24" s="2261"/>
      <c r="R24" s="2014" t="str">
        <f>Main!B66</f>
        <v xml:space="preserve"> Non-Apartment   Subtotal</v>
      </c>
      <c r="S24" s="2241">
        <f>Main!C66</f>
        <v>7000</v>
      </c>
    </row>
    <row r="25" spans="2:21" hidden="1">
      <c r="B25" s="2258"/>
      <c r="C25" s="2243"/>
      <c r="D25" s="2242"/>
      <c r="E25" s="2262"/>
      <c r="F25" s="1150"/>
      <c r="G25" s="1150"/>
      <c r="H25" s="1150"/>
      <c r="I25" s="1150"/>
      <c r="J25" s="1150"/>
      <c r="K25" s="1150"/>
      <c r="L25" s="2263"/>
      <c r="M25" s="1150"/>
      <c r="N25" s="1150"/>
      <c r="O25" s="2264"/>
      <c r="R25" s="2014" t="str">
        <f>Main!B67</f>
        <v xml:space="preserve"> Apartments</v>
      </c>
      <c r="S25" s="2241">
        <f>Main!C67</f>
        <v>0</v>
      </c>
    </row>
    <row r="26" spans="2:21" hidden="1">
      <c r="B26" s="2258"/>
      <c r="C26" s="2243" t="s">
        <v>2264</v>
      </c>
      <c r="D26" s="1150"/>
      <c r="E26" s="2242" t="str">
        <f>'GHG data'!E191</f>
        <v>Office</v>
      </c>
      <c r="F26" s="2254">
        <f>Main!N47</f>
        <v>1</v>
      </c>
      <c r="G26" s="1150"/>
      <c r="H26" s="2245">
        <f>IF(OR($F$20=$R$6,$F$20=$U$6),'GHG data'!I191,IF($F$20=$S$6,'GHG data'!L191,'GHG data'!O191))</f>
        <v>60</v>
      </c>
      <c r="I26" s="2245">
        <f>IF(OR($F$20=$R$6,$F$20=$U$6),'GHG data'!J191,IF($F$20=$S$6,'GHG data'!M191,'GHG data'!P191))</f>
        <v>60</v>
      </c>
      <c r="J26" s="2245">
        <f>IF(OR($F$20=$R$6,$F$20=$U$6),'GHG data'!K191,IF($F$20=$S$6,'GHG data'!N191,'GHG data'!Q191))</f>
        <v>60</v>
      </c>
      <c r="K26" s="2265">
        <f t="shared" ref="K26:K34" si="3">K10</f>
        <v>3</v>
      </c>
      <c r="L26" s="2266">
        <f>IF($F26=1,IF($K26&lt;4,$H26,IF($K26&lt;5,$I26,$J26)),0)</f>
        <v>60</v>
      </c>
      <c r="M26" s="1150"/>
      <c r="N26" s="2247">
        <v>3</v>
      </c>
      <c r="O26" s="2267">
        <f t="shared" ref="O26:O34" si="4">IF($F26=1,IF($N26&lt;4,$H26,IF($N26&lt;5,$I26,$J26)),0)</f>
        <v>60</v>
      </c>
      <c r="R26" s="2014" t="str">
        <f>IF($H$35=L26,$E26&amp;",","")</f>
        <v>Office,</v>
      </c>
      <c r="U26" s="2014" t="str">
        <f>IF($N$35=O26,$E26&amp;",","")</f>
        <v>Office,</v>
      </c>
    </row>
    <row r="27" spans="2:21" hidden="1">
      <c r="B27" s="2258"/>
      <c r="C27" s="2243"/>
      <c r="D27" s="1150"/>
      <c r="E27" s="2242" t="str">
        <f>'GHG data'!E192</f>
        <v>School</v>
      </c>
      <c r="F27" s="2254">
        <f>Main!N50</f>
        <v>0</v>
      </c>
      <c r="G27" s="1150"/>
      <c r="H27" s="2245">
        <f>IF(OR($F$20=$R$6,$F$20=$U$6),'GHG data'!I192,IF($F$20=$S$6,'GHG data'!L192,'GHG data'!O192))</f>
        <v>60</v>
      </c>
      <c r="I27" s="2245">
        <f>IF(OR($F$20=$R$6,$F$20=$U$6),'GHG data'!J192,IF($F$20=$S$6,'GHG data'!M192,'GHG data'!P192))</f>
        <v>60</v>
      </c>
      <c r="J27" s="2245">
        <f>IF(OR($F$20=$R$6,$F$20=$U$6),'GHG data'!K192,IF($F$20=$S$6,'GHG data'!N192,'GHG data'!Q192))</f>
        <v>60</v>
      </c>
      <c r="K27" s="2265">
        <f t="shared" si="3"/>
        <v>3</v>
      </c>
      <c r="L27" s="2266">
        <f t="shared" ref="L27:L34" si="5">IF($F27=1,IF($K27&lt;4,$H27,IF($K27&lt;5,$I27,$J27)),0)</f>
        <v>0</v>
      </c>
      <c r="M27" s="1150"/>
      <c r="N27" s="2247">
        <v>3</v>
      </c>
      <c r="O27" s="2267">
        <f t="shared" si="4"/>
        <v>0</v>
      </c>
      <c r="R27" s="2014" t="str">
        <f t="shared" ref="R27:R33" si="6">IF($H$35=L27,$E27&amp;",","")</f>
        <v/>
      </c>
      <c r="U27" s="2014" t="str">
        <f t="shared" ref="U27:U34" si="7">IF($N$35=O27,$E27&amp;",","")</f>
        <v/>
      </c>
    </row>
    <row r="28" spans="2:21" hidden="1">
      <c r="B28" s="2258"/>
      <c r="C28" s="2243"/>
      <c r="D28" s="1150"/>
      <c r="E28" s="2242" t="str">
        <f>'GHG data'!E193</f>
        <v>Retailers</v>
      </c>
      <c r="F28" s="2254">
        <f>Main!N55</f>
        <v>0</v>
      </c>
      <c r="G28" s="1150"/>
      <c r="H28" s="2245">
        <f>IF(OR($F$20=$R$6,$F$20=$U$6),'GHG data'!I193,IF($F$20=$S$6,'GHG data'!L193,'GHG data'!O193))</f>
        <v>30</v>
      </c>
      <c r="I28" s="2245">
        <f>IF(OR($F$20=$R$6,$F$20=$U$6),'GHG data'!J193,IF($F$20=$S$6,'GHG data'!M193,'GHG data'!P193))</f>
        <v>30</v>
      </c>
      <c r="J28" s="2245">
        <f>IF(OR($F$20=$R$6,$F$20=$U$6),'GHG data'!K193,IF($F$20=$S$6,'GHG data'!N193,'GHG data'!Q193))</f>
        <v>30</v>
      </c>
      <c r="K28" s="2265">
        <f t="shared" si="3"/>
        <v>3</v>
      </c>
      <c r="L28" s="2266">
        <f t="shared" si="5"/>
        <v>0</v>
      </c>
      <c r="M28" s="1150"/>
      <c r="N28" s="2247">
        <v>3</v>
      </c>
      <c r="O28" s="2267">
        <f t="shared" si="4"/>
        <v>0</v>
      </c>
      <c r="R28" s="2014" t="str">
        <f t="shared" si="6"/>
        <v/>
      </c>
      <c r="U28" s="2014" t="str">
        <f t="shared" si="7"/>
        <v/>
      </c>
    </row>
    <row r="29" spans="2:21" hidden="1">
      <c r="B29" s="2258"/>
      <c r="C29" s="2243"/>
      <c r="D29" s="1150"/>
      <c r="E29" s="2242" t="str">
        <f>'GHG data'!E194</f>
        <v>Restaurants</v>
      </c>
      <c r="F29" s="2254">
        <f>Main!N59</f>
        <v>0</v>
      </c>
      <c r="G29" s="1150"/>
      <c r="H29" s="2245">
        <f>IF(OR($F$20=$R$6,$F$20=$U$6),'GHG data'!I194,IF($F$20=$S$6,'GHG data'!L194,'GHG data'!O194))</f>
        <v>30</v>
      </c>
      <c r="I29" s="2245">
        <f>IF(OR($F$20=$R$6,$F$20=$U$6),'GHG data'!J194,IF($F$20=$S$6,'GHG data'!M194,'GHG data'!P194))</f>
        <v>30</v>
      </c>
      <c r="J29" s="2245">
        <f>IF(OR($F$20=$R$6,$F$20=$U$6),'GHG data'!K194,IF($F$20=$S$6,'GHG data'!N194,'GHG data'!Q194))</f>
        <v>30</v>
      </c>
      <c r="K29" s="2265">
        <f t="shared" si="3"/>
        <v>3</v>
      </c>
      <c r="L29" s="2266">
        <f t="shared" si="5"/>
        <v>0</v>
      </c>
      <c r="M29" s="1150"/>
      <c r="N29" s="2247">
        <v>3</v>
      </c>
      <c r="O29" s="2267">
        <f t="shared" si="4"/>
        <v>0</v>
      </c>
      <c r="R29" s="2014" t="str">
        <f t="shared" si="6"/>
        <v/>
      </c>
      <c r="U29" s="2014" t="str">
        <f t="shared" si="7"/>
        <v/>
      </c>
    </row>
    <row r="30" spans="2:21" hidden="1">
      <c r="B30" s="2258"/>
      <c r="C30" s="2243"/>
      <c r="D30" s="1150"/>
      <c r="E30" s="2242" t="str">
        <f>'GHG data'!E195</f>
        <v>Halls</v>
      </c>
      <c r="F30" s="2254">
        <f>Main!N60</f>
        <v>0</v>
      </c>
      <c r="G30" s="1150"/>
      <c r="H30" s="2245">
        <f>IF(OR($F$20=$R$6,$F$20=$U$6),'GHG data'!I195,IF($F$20=$S$6,'GHG data'!L195,'GHG data'!O195))</f>
        <v>60</v>
      </c>
      <c r="I30" s="2245">
        <f>IF(OR($F$20=$R$6,$F$20=$U$6),'GHG data'!J195,IF($F$20=$S$6,'GHG data'!M195,'GHG data'!P195))</f>
        <v>60</v>
      </c>
      <c r="J30" s="2245">
        <f>IF(OR($F$20=$R$6,$F$20=$U$6),'GHG data'!K195,IF($F$20=$S$6,'GHG data'!N195,'GHG data'!Q195))</f>
        <v>60</v>
      </c>
      <c r="K30" s="2265">
        <f t="shared" si="3"/>
        <v>3</v>
      </c>
      <c r="L30" s="2266">
        <f t="shared" si="5"/>
        <v>0</v>
      </c>
      <c r="M30" s="1150"/>
      <c r="N30" s="2247">
        <v>3</v>
      </c>
      <c r="O30" s="2267">
        <f t="shared" si="4"/>
        <v>0</v>
      </c>
      <c r="R30" s="2014" t="str">
        <f t="shared" si="6"/>
        <v/>
      </c>
      <c r="U30" s="2014" t="str">
        <f t="shared" si="7"/>
        <v/>
      </c>
    </row>
    <row r="31" spans="2:21" hidden="1">
      <c r="B31" s="2258"/>
      <c r="C31" s="2243"/>
      <c r="D31" s="1150"/>
      <c r="E31" s="2242" t="str">
        <f>'GHG data'!E196</f>
        <v>Factories</v>
      </c>
      <c r="F31" s="2254">
        <f>Main!N63</f>
        <v>0</v>
      </c>
      <c r="G31" s="1150"/>
      <c r="H31" s="2245">
        <f>IF(OR($F$20=$R$6,$F$20=$U$6),'GHG data'!I196,IF($F$20=$S$6,'GHG data'!L196,'GHG data'!O196))</f>
        <v>30</v>
      </c>
      <c r="I31" s="2245">
        <f>IF(OR($F$20=$R$6,$F$20=$U$6),'GHG data'!J196,IF($F$20=$S$6,'GHG data'!M196,'GHG data'!P196))</f>
        <v>30</v>
      </c>
      <c r="J31" s="2245">
        <f>IF(OR($F$20=$R$6,$F$20=$U$6),'GHG data'!K196,IF($F$20=$S$6,'GHG data'!N196,'GHG data'!Q196))</f>
        <v>30</v>
      </c>
      <c r="K31" s="2265">
        <f t="shared" si="3"/>
        <v>3</v>
      </c>
      <c r="L31" s="2266">
        <f t="shared" si="5"/>
        <v>0</v>
      </c>
      <c r="M31" s="1150"/>
      <c r="N31" s="2247">
        <v>3</v>
      </c>
      <c r="O31" s="2267">
        <f t="shared" si="4"/>
        <v>0</v>
      </c>
      <c r="R31" s="2014" t="str">
        <f t="shared" si="6"/>
        <v/>
      </c>
      <c r="U31" s="2014" t="str">
        <f t="shared" si="7"/>
        <v/>
      </c>
    </row>
    <row r="32" spans="2:21" hidden="1">
      <c r="B32" s="2258"/>
      <c r="C32" s="2243"/>
      <c r="D32" s="1150"/>
      <c r="E32" s="2242" t="str">
        <f>'GHG data'!E197</f>
        <v>Hospitals</v>
      </c>
      <c r="F32" s="2254">
        <f>Main!N64</f>
        <v>0</v>
      </c>
      <c r="G32" s="1150"/>
      <c r="H32" s="2245">
        <f>IF(OR($F$20=$R$6,$F$20=$U$6),'GHG data'!I197,IF($F$20=$S$6,'GHG data'!L197,'GHG data'!O197))</f>
        <v>60</v>
      </c>
      <c r="I32" s="2245">
        <f>IF(OR($F$20=$R$6,$F$20=$U$6),'GHG data'!J197,IF($F$20=$S$6,'GHG data'!M197,'GHG data'!P197))</f>
        <v>60</v>
      </c>
      <c r="J32" s="2245">
        <f>IF(OR($F$20=$R$6,$F$20=$U$6),'GHG data'!K197,IF($F$20=$S$6,'GHG data'!N197,'GHG data'!Q197))</f>
        <v>60</v>
      </c>
      <c r="K32" s="2265">
        <f t="shared" si="3"/>
        <v>3</v>
      </c>
      <c r="L32" s="2266">
        <f t="shared" si="5"/>
        <v>0</v>
      </c>
      <c r="M32" s="1150"/>
      <c r="N32" s="2247">
        <v>3</v>
      </c>
      <c r="O32" s="2267">
        <f t="shared" si="4"/>
        <v>0</v>
      </c>
      <c r="R32" s="2014" t="str">
        <f t="shared" si="6"/>
        <v/>
      </c>
      <c r="U32" s="2014" t="str">
        <f t="shared" si="7"/>
        <v/>
      </c>
    </row>
    <row r="33" spans="2:21" hidden="1">
      <c r="B33" s="2258"/>
      <c r="C33" s="2243"/>
      <c r="D33" s="1150"/>
      <c r="E33" s="2242" t="str">
        <f>'GHG data'!E198</f>
        <v>Hotels</v>
      </c>
      <c r="F33" s="2254">
        <f>Main!N65</f>
        <v>0</v>
      </c>
      <c r="G33" s="1150"/>
      <c r="H33" s="2245">
        <f>IF(OR($F$20=$R$6,$F$20=$U$6),'GHG data'!I198,IF($F$20=$S$6,'GHG data'!L198,'GHG data'!O198))</f>
        <v>60</v>
      </c>
      <c r="I33" s="2245">
        <f>IF(OR($F$20=$R$6,$F$20=$U$6),'GHG data'!J198,IF($F$20=$S$6,'GHG data'!M198,'GHG data'!P198))</f>
        <v>60</v>
      </c>
      <c r="J33" s="2245">
        <f>IF(OR($F$20=$R$6,$F$20=$U$6),'GHG data'!K198,IF($F$20=$S$6,'GHG data'!N198,'GHG data'!Q198))</f>
        <v>60</v>
      </c>
      <c r="K33" s="2265">
        <f t="shared" si="3"/>
        <v>3</v>
      </c>
      <c r="L33" s="2266">
        <f t="shared" si="5"/>
        <v>0</v>
      </c>
      <c r="M33" s="1150"/>
      <c r="N33" s="2247">
        <v>3</v>
      </c>
      <c r="O33" s="2267">
        <f t="shared" si="4"/>
        <v>0</v>
      </c>
      <c r="R33" s="2014" t="str">
        <f t="shared" si="6"/>
        <v/>
      </c>
      <c r="U33" s="2014" t="str">
        <f t="shared" si="7"/>
        <v/>
      </c>
    </row>
    <row r="34" spans="2:21" hidden="1">
      <c r="B34" s="2258"/>
      <c r="C34" s="2243"/>
      <c r="D34" s="1150"/>
      <c r="E34" s="2242" t="str">
        <f>'GHG data'!E199</f>
        <v>Apartments</v>
      </c>
      <c r="F34" s="2254">
        <f>Main!N67</f>
        <v>0</v>
      </c>
      <c r="G34" s="1150"/>
      <c r="H34" s="2245">
        <f>IF(OR($F$20=$R$6,$F$20=$U$6),'GHG data'!I199,IF($F$20=$S$6,'GHG data'!L199,'GHG data'!O199))</f>
        <v>30</v>
      </c>
      <c r="I34" s="2245">
        <f>IF(OR($F$20=$R$6,$F$20=$U$6),'GHG data'!J199,IF($F$20=$S$6,'GHG data'!M199,'GHG data'!P199))</f>
        <v>60</v>
      </c>
      <c r="J34" s="2245">
        <f>IF(OR($F$20=$R$6,$F$20=$U$6),'GHG data'!K199,IF($F$20=$S$6,'GHG data'!N199,'GHG data'!Q199))</f>
        <v>90</v>
      </c>
      <c r="K34" s="2265">
        <f t="shared" si="3"/>
        <v>3</v>
      </c>
      <c r="L34" s="2266">
        <f t="shared" si="5"/>
        <v>0</v>
      </c>
      <c r="M34" s="1150"/>
      <c r="N34" s="2247">
        <v>3</v>
      </c>
      <c r="O34" s="2267">
        <f t="shared" si="4"/>
        <v>0</v>
      </c>
      <c r="R34" s="2014" t="str">
        <f>IF($H$35=L34,$E34,"")</f>
        <v/>
      </c>
      <c r="U34" s="2014" t="str">
        <f t="shared" si="7"/>
        <v/>
      </c>
    </row>
    <row r="35" spans="2:21" ht="15" hidden="1" thickBot="1">
      <c r="B35" s="2258"/>
      <c r="C35" s="2243"/>
      <c r="D35" s="1150"/>
      <c r="E35" s="2262" t="s">
        <v>1468</v>
      </c>
      <c r="F35" s="2262"/>
      <c r="G35" s="2262"/>
      <c r="H35" s="2268">
        <f>MAX(L26:L34)</f>
        <v>60</v>
      </c>
      <c r="I35" s="2262"/>
      <c r="J35" s="2262"/>
      <c r="K35" s="2262"/>
      <c r="L35" s="2269" t="str">
        <f>H35&amp;"years("&amp;R35&amp;")"</f>
        <v>60years(Office,)</v>
      </c>
      <c r="M35" s="2262"/>
      <c r="N35" s="2268">
        <f>MAX(O26:O34)</f>
        <v>60</v>
      </c>
      <c r="O35" s="2269" t="str">
        <f>N35&amp;"years("&amp;U35&amp;")"</f>
        <v>60years(Office,)</v>
      </c>
      <c r="R35" s="2014" t="str">
        <f>R26&amp;R27&amp;R28&amp;R29&amp;R30&amp;R31&amp;R32&amp;R33&amp;R34</f>
        <v>Office,</v>
      </c>
      <c r="U35" s="2014" t="str">
        <f>U26&amp;U27&amp;U28&amp;U29&amp;U30&amp;U31&amp;U32&amp;U33&amp;U34</f>
        <v>Office,</v>
      </c>
    </row>
    <row r="36" spans="2:21" hidden="1">
      <c r="B36" s="2258"/>
      <c r="C36" s="2243"/>
      <c r="D36" s="1150"/>
      <c r="E36" s="2262"/>
      <c r="F36" s="2262"/>
      <c r="G36" s="2262"/>
      <c r="H36" s="2262"/>
      <c r="I36" s="2262"/>
      <c r="J36" s="2262"/>
      <c r="K36" s="2262"/>
      <c r="L36" s="2262"/>
      <c r="M36" s="2262"/>
      <c r="N36" s="2262"/>
      <c r="O36" s="2270"/>
    </row>
    <row r="37" spans="2:21" hidden="1">
      <c r="B37" s="2271"/>
      <c r="C37" s="2272" t="str">
        <f>'GHG data'!C201</f>
        <v>Quantities of Representative Materials</v>
      </c>
      <c r="D37" s="2272"/>
      <c r="E37" s="2273"/>
      <c r="F37" s="2273"/>
      <c r="G37" s="2273"/>
      <c r="H37" s="2274"/>
      <c r="I37" s="1933" t="str">
        <f>'GHG data'!J201</f>
        <v>Existing Structure 100%</v>
      </c>
      <c r="J37" s="1933" t="str">
        <f>'GHG data'!K201</f>
        <v>Blast furnace cement100%</v>
      </c>
      <c r="K37" s="2275"/>
      <c r="L37" s="2275"/>
      <c r="M37" s="2275"/>
      <c r="N37" s="2275"/>
      <c r="O37" s="2276"/>
    </row>
    <row r="38" spans="2:21" hidden="1">
      <c r="B38" s="2271"/>
      <c r="C38" s="2273"/>
      <c r="D38" s="2273" t="str">
        <f>'GHG data'!D202</f>
        <v>Office</v>
      </c>
      <c r="E38" s="2273" t="str">
        <f>'GHG data'!E202</f>
        <v>Regular concrete</v>
      </c>
      <c r="F38" s="2245">
        <f>F10</f>
        <v>1</v>
      </c>
      <c r="G38" s="2273"/>
      <c r="H38" s="2245">
        <f>IF(OR($F$20=$R$6,$F$20=$U$6),'GHG data'!I202,IF($F$20=$S$6,'GHG data'!L202,'GHG data'!O202))</f>
        <v>0.69599999999999995</v>
      </c>
      <c r="I38" s="2245">
        <f>IF(OR($F$20=$R$6,$F$20=$U$6),'GHG data'!J202,IF($F$20=$S$6,'GHG data'!M202,'GHG data'!P202))</f>
        <v>0</v>
      </c>
      <c r="J38" s="2245">
        <f>IF(OR($F$20=$R$6,$F$20=$U$6),'GHG data'!K202,IF($F$20=$S$6,'GHG data'!N202,'GHG data'!Q202))</f>
        <v>0</v>
      </c>
      <c r="K38" s="2275"/>
      <c r="L38" s="2277">
        <f>H38-(H38-I38)*$F$21-(H38-J38)*$F$22</f>
        <v>0.69599999999999995</v>
      </c>
      <c r="M38" s="2275"/>
      <c r="N38" s="2274"/>
      <c r="O38" s="2278">
        <f>H38</f>
        <v>0.69599999999999995</v>
      </c>
      <c r="P38" s="1105" t="str">
        <f>'GHG data'!F202</f>
        <v>m3/m2</v>
      </c>
    </row>
    <row r="39" spans="2:21" hidden="1">
      <c r="B39" s="2271"/>
      <c r="C39" s="2273"/>
      <c r="D39" s="2273"/>
      <c r="E39" s="2273" t="str">
        <f>'GHG data'!E203</f>
        <v>Blast furnace cement concrete</v>
      </c>
      <c r="F39" s="2245">
        <f>$F$38</f>
        <v>1</v>
      </c>
      <c r="G39" s="2273"/>
      <c r="H39" s="2245">
        <f>IF(OR($F$20=$R$6,$F$20=$U$6),'GHG data'!I203,IF($F$20=$S$6,'GHG data'!L203,'GHG data'!O203))</f>
        <v>0</v>
      </c>
      <c r="I39" s="2245">
        <f>IF(OR($F$20=$R$6,$F$20=$U$6),'GHG data'!J203,IF($F$20=$S$6,'GHG data'!M203,'GHG data'!P203))</f>
        <v>0</v>
      </c>
      <c r="J39" s="2245">
        <f>IF(OR($F$20=$R$6,$F$20=$U$6),'GHG data'!K203,IF($F$20=$S$6,'GHG data'!N203,'GHG data'!Q203))</f>
        <v>0.69599999999999995</v>
      </c>
      <c r="K39" s="2275"/>
      <c r="L39" s="2277">
        <f>H39-(H39-I39)*$F$21-(H39-J39)*$F$22</f>
        <v>0</v>
      </c>
      <c r="M39" s="2275"/>
      <c r="N39" s="2274"/>
      <c r="O39" s="2278">
        <f>H39</f>
        <v>0</v>
      </c>
      <c r="P39" s="1105" t="str">
        <f>'GHG data'!F203</f>
        <v>m3/m2</v>
      </c>
    </row>
    <row r="40" spans="2:21" hidden="1">
      <c r="B40" s="2271"/>
      <c r="C40" s="2273"/>
      <c r="D40" s="2273"/>
      <c r="E40" s="2273" t="str">
        <f>'GHG data'!E204</f>
        <v>Formwork</v>
      </c>
      <c r="F40" s="2245">
        <f>$F$38</f>
        <v>1</v>
      </c>
      <c r="G40" s="2273"/>
      <c r="H40" s="2245">
        <f>IF(OR($F$20=$R$6,$F$20=$U$6),'GHG data'!I204,IF($F$20=$S$6,'GHG data'!L204,'GHG data'!O204))</f>
        <v>0.66749999999999998</v>
      </c>
      <c r="I40" s="2245">
        <f>IF(OR($F$20=$R$6,$F$20=$U$6),'GHG data'!J204,IF($F$20=$S$6,'GHG data'!M204,'GHG data'!P204))</f>
        <v>0</v>
      </c>
      <c r="J40" s="2245">
        <f>IF(OR($F$20=$R$6,$F$20=$U$6),'GHG data'!K204,IF($F$20=$S$6,'GHG data'!N204,'GHG data'!Q204))</f>
        <v>0.66749999999999998</v>
      </c>
      <c r="K40" s="2275"/>
      <c r="L40" s="2277">
        <f t="shared" ref="L40:L69" si="8">H40-(H40-I40)*$F$21-(H40-J40)*$F$22</f>
        <v>0.66749999999999998</v>
      </c>
      <c r="M40" s="2275"/>
      <c r="N40" s="2274"/>
      <c r="O40" s="2279">
        <f t="shared" ref="O40:O69" si="9">H40</f>
        <v>0.66749999999999998</v>
      </c>
      <c r="P40" s="1105" t="str">
        <f>'GHG data'!F204</f>
        <v>m2/m2</v>
      </c>
    </row>
    <row r="41" spans="2:21" hidden="1">
      <c r="B41" s="2271"/>
      <c r="C41" s="2273"/>
      <c r="D41" s="2273"/>
      <c r="E41" s="2273" t="str">
        <f>'GHG data'!E205</f>
        <v>Reinforcing bars</v>
      </c>
      <c r="F41" s="2245">
        <f>$F$38</f>
        <v>1</v>
      </c>
      <c r="G41" s="2273"/>
      <c r="H41" s="2245">
        <f>IF(OR($F$20=$R$6,$F$20=$U$6),'GHG data'!I205,IF($F$20=$S$6,'GHG data'!L205,'GHG data'!O205))</f>
        <v>7.8E-2</v>
      </c>
      <c r="I41" s="2245">
        <f>IF(OR($F$20=$R$6,$F$20=$U$6),'GHG data'!J205,IF($F$20=$S$6,'GHG data'!M205,'GHG data'!P205))</f>
        <v>0</v>
      </c>
      <c r="J41" s="2245">
        <f>IF(OR($F$20=$R$6,$F$20=$U$6),'GHG data'!K205,IF($F$20=$S$6,'GHG data'!N205,'GHG data'!Q205))</f>
        <v>7.8E-2</v>
      </c>
      <c r="K41" s="2275"/>
      <c r="L41" s="2277">
        <f t="shared" si="8"/>
        <v>7.8E-2</v>
      </c>
      <c r="M41" s="2275"/>
      <c r="N41" s="2274"/>
      <c r="O41" s="2279">
        <f t="shared" si="9"/>
        <v>7.8E-2</v>
      </c>
      <c r="P41" s="1105" t="str">
        <f>'GHG data'!F205</f>
        <v>t/m2</v>
      </c>
    </row>
    <row r="42" spans="2:21" hidden="1">
      <c r="B42" s="2271"/>
      <c r="C42" s="2273"/>
      <c r="D42" s="2273"/>
      <c r="E42" s="2273" t="str">
        <f>'GHG data'!E206</f>
        <v>Steel frame</v>
      </c>
      <c r="F42" s="2245">
        <f>$F$38</f>
        <v>1</v>
      </c>
      <c r="G42" s="2273"/>
      <c r="H42" s="2245">
        <f>IF(OR($F$20=$R$6,$F$20=$U$6),'GHG data'!I206,IF($F$20=$S$6,'GHG data'!L206,'GHG data'!O206))</f>
        <v>0.1</v>
      </c>
      <c r="I42" s="2245">
        <f>IF(OR($F$20=$R$6,$F$20=$U$6),'GHG data'!J206,IF($F$20=$S$6,'GHG data'!M206,'GHG data'!P206))</f>
        <v>0</v>
      </c>
      <c r="J42" s="2245">
        <f>IF(OR($F$20=$R$6,$F$20=$U$6),'GHG data'!K206,IF($F$20=$S$6,'GHG data'!N206,'GHG data'!Q206))</f>
        <v>0.1</v>
      </c>
      <c r="K42" s="2275"/>
      <c r="L42" s="2277">
        <f t="shared" si="8"/>
        <v>0.1</v>
      </c>
      <c r="M42" s="2275"/>
      <c r="N42" s="2274"/>
      <c r="O42" s="2279">
        <f t="shared" si="9"/>
        <v>0.1</v>
      </c>
      <c r="P42" s="1105" t="str">
        <f>'GHG data'!F206</f>
        <v>t/m2</v>
      </c>
    </row>
    <row r="43" spans="2:21" hidden="1">
      <c r="B43" s="2271"/>
      <c r="C43" s="2273"/>
      <c r="D43" s="2273"/>
      <c r="E43" s="2273" t="str">
        <f>'GHG data'!E207</f>
        <v>Deck plate</v>
      </c>
      <c r="F43" s="2245">
        <f>$F$38</f>
        <v>1</v>
      </c>
      <c r="G43" s="2273"/>
      <c r="H43" s="2245">
        <f>IF(OR($F$20=$R$6,$F$20=$U$6),'GHG data'!I207,IF($F$20=$S$6,'GHG data'!L207,'GHG data'!O207))</f>
        <v>0</v>
      </c>
      <c r="I43" s="2245">
        <f>IF(OR($F$20=$R$6,$F$20=$U$6),'GHG data'!J207,IF($F$20=$S$6,'GHG data'!M207,'GHG data'!P207))</f>
        <v>0</v>
      </c>
      <c r="J43" s="2245">
        <f>IF(OR($F$20=$R$6,$F$20=$U$6),'GHG data'!K207,IF($F$20=$S$6,'GHG data'!N207,'GHG data'!Q207))</f>
        <v>0</v>
      </c>
      <c r="K43" s="2275"/>
      <c r="L43" s="2277">
        <f t="shared" si="8"/>
        <v>0</v>
      </c>
      <c r="M43" s="2275"/>
      <c r="N43" s="2274"/>
      <c r="O43" s="2279">
        <f t="shared" si="9"/>
        <v>0</v>
      </c>
      <c r="P43" s="1105" t="str">
        <f>'GHG data'!F207</f>
        <v>m2/m2</v>
      </c>
    </row>
    <row r="44" spans="2:21" hidden="1">
      <c r="B44" s="2271"/>
      <c r="C44" s="2273"/>
      <c r="D44" s="2273" t="str">
        <f>'GHG data'!D208</f>
        <v>School</v>
      </c>
      <c r="E44" s="2273" t="str">
        <f>'GHG data'!E208</f>
        <v>Regular concrete</v>
      </c>
      <c r="F44" s="2245">
        <f>F11</f>
        <v>0</v>
      </c>
      <c r="G44" s="2273"/>
      <c r="H44" s="2245">
        <f>IF(OR($F$20=$R$6,$F$20=$U$6),'GHG data'!I208,IF($F$20=$S$6,'GHG data'!L208,'GHG data'!O208))</f>
        <v>0.95799999999999996</v>
      </c>
      <c r="I44" s="2245">
        <f>IF(OR($F$20=$R$6,$F$20=$U$6),'GHG data'!J208,IF($F$20=$S$6,'GHG data'!M208,'GHG data'!P208))</f>
        <v>0</v>
      </c>
      <c r="J44" s="2245">
        <f>IF(OR($F$20=$R$6,$F$20=$U$6),'GHG data'!K208,IF($F$20=$S$6,'GHG data'!N208,'GHG data'!Q208))</f>
        <v>0</v>
      </c>
      <c r="K44" s="2275"/>
      <c r="L44" s="2277">
        <f t="shared" si="8"/>
        <v>0.95799999999999996</v>
      </c>
      <c r="M44" s="2275"/>
      <c r="N44" s="2274"/>
      <c r="O44" s="2279">
        <f t="shared" si="9"/>
        <v>0.95799999999999996</v>
      </c>
      <c r="P44" s="1105" t="str">
        <f>'GHG data'!F208</f>
        <v>m3/m2</v>
      </c>
    </row>
    <row r="45" spans="2:21" hidden="1">
      <c r="B45" s="2271"/>
      <c r="C45" s="2273"/>
      <c r="D45" s="2273"/>
      <c r="E45" s="2273" t="str">
        <f>'GHG data'!E209</f>
        <v>Blast furnace cement concrete</v>
      </c>
      <c r="F45" s="2245">
        <f>$F$44</f>
        <v>0</v>
      </c>
      <c r="G45" s="2273"/>
      <c r="H45" s="2245">
        <f>IF(OR($F$20=$R$6,$F$20=$U$6),'GHG data'!I209,IF($F$20=$S$6,'GHG data'!L209,'GHG data'!O209))</f>
        <v>0</v>
      </c>
      <c r="I45" s="2245">
        <f>IF(OR($F$20=$R$6,$F$20=$U$6),'GHG data'!J209,IF($F$20=$S$6,'GHG data'!M209,'GHG data'!P209))</f>
        <v>0</v>
      </c>
      <c r="J45" s="2245">
        <f>IF(OR($F$20=$R$6,$F$20=$U$6),'GHG data'!K209,IF($F$20=$S$6,'GHG data'!N209,'GHG data'!Q209))</f>
        <v>0.95799999999999996</v>
      </c>
      <c r="K45" s="2275"/>
      <c r="L45" s="2277">
        <f t="shared" si="8"/>
        <v>0</v>
      </c>
      <c r="M45" s="2275"/>
      <c r="N45" s="2274"/>
      <c r="O45" s="2279">
        <f t="shared" si="9"/>
        <v>0</v>
      </c>
      <c r="P45" s="1105" t="str">
        <f>'GHG data'!F209</f>
        <v>m3/m2</v>
      </c>
    </row>
    <row r="46" spans="2:21" hidden="1">
      <c r="B46" s="2271"/>
      <c r="C46" s="2273"/>
      <c r="D46" s="2273"/>
      <c r="E46" s="2273" t="str">
        <f>'GHG data'!E210</f>
        <v>Formwork</v>
      </c>
      <c r="F46" s="2245">
        <f>$F$44</f>
        <v>0</v>
      </c>
      <c r="G46" s="2273"/>
      <c r="H46" s="2245">
        <f>IF(OR($F$20=$R$6,$F$20=$U$6),'GHG data'!I210,IF($F$20=$S$6,'GHG data'!L210,'GHG data'!O210))</f>
        <v>0.97250000000000003</v>
      </c>
      <c r="I46" s="2245">
        <f>IF(OR($F$20=$R$6,$F$20=$U$6),'GHG data'!J210,IF($F$20=$S$6,'GHG data'!M210,'GHG data'!P210))</f>
        <v>0</v>
      </c>
      <c r="J46" s="2245">
        <f>IF(OR($F$20=$R$6,$F$20=$U$6),'GHG data'!K210,IF($F$20=$S$6,'GHG data'!N210,'GHG data'!Q210))</f>
        <v>0.97250000000000003</v>
      </c>
      <c r="K46" s="2275"/>
      <c r="L46" s="2277">
        <f t="shared" si="8"/>
        <v>0.97250000000000003</v>
      </c>
      <c r="M46" s="2275"/>
      <c r="N46" s="2274"/>
      <c r="O46" s="2279">
        <f t="shared" si="9"/>
        <v>0.97250000000000003</v>
      </c>
      <c r="P46" s="1105" t="str">
        <f>'GHG data'!F210</f>
        <v>m2/m2</v>
      </c>
    </row>
    <row r="47" spans="2:21" hidden="1">
      <c r="B47" s="2271"/>
      <c r="C47" s="2273"/>
      <c r="D47" s="2273"/>
      <c r="E47" s="2273" t="str">
        <f>'GHG data'!E211</f>
        <v>Reinforcing bars</v>
      </c>
      <c r="F47" s="2245">
        <f>$F$44</f>
        <v>0</v>
      </c>
      <c r="G47" s="2273"/>
      <c r="H47" s="2245">
        <f>IF(OR($F$20=$R$6,$F$20=$U$6),'GHG data'!I211,IF($F$20=$S$6,'GHG data'!L211,'GHG data'!O211))</f>
        <v>0.11</v>
      </c>
      <c r="I47" s="2245">
        <f>IF(OR($F$20=$R$6,$F$20=$U$6),'GHG data'!J211,IF($F$20=$S$6,'GHG data'!M211,'GHG data'!P211))</f>
        <v>0</v>
      </c>
      <c r="J47" s="2245">
        <f>IF(OR($F$20=$R$6,$F$20=$U$6),'GHG data'!K211,IF($F$20=$S$6,'GHG data'!N211,'GHG data'!Q211))</f>
        <v>0.11</v>
      </c>
      <c r="K47" s="2275"/>
      <c r="L47" s="2277">
        <f t="shared" si="8"/>
        <v>0.11</v>
      </c>
      <c r="M47" s="2275"/>
      <c r="N47" s="2274"/>
      <c r="O47" s="2279">
        <f t="shared" si="9"/>
        <v>0.11</v>
      </c>
      <c r="P47" s="1105" t="str">
        <f>'GHG data'!F211</f>
        <v>t/m2</v>
      </c>
    </row>
    <row r="48" spans="2:21" hidden="1">
      <c r="B48" s="2271"/>
      <c r="C48" s="2273"/>
      <c r="D48" s="2273"/>
      <c r="E48" s="2273" t="str">
        <f>'GHG data'!E212</f>
        <v>Steel frame</v>
      </c>
      <c r="F48" s="2245">
        <f>$F$44</f>
        <v>0</v>
      </c>
      <c r="G48" s="2273"/>
      <c r="H48" s="2245">
        <f>IF(OR($F$20=$R$6,$F$20=$U$6),'GHG data'!I212,IF($F$20=$S$6,'GHG data'!L212,'GHG data'!O212))</f>
        <v>7.8E-2</v>
      </c>
      <c r="I48" s="2245">
        <f>IF(OR($F$20=$R$6,$F$20=$U$6),'GHG data'!J212,IF($F$20=$S$6,'GHG data'!M212,'GHG data'!P212))</f>
        <v>0</v>
      </c>
      <c r="J48" s="2245">
        <f>IF(OR($F$20=$R$6,$F$20=$U$6),'GHG data'!K212,IF($F$20=$S$6,'GHG data'!N212,'GHG data'!Q212))</f>
        <v>7.8E-2</v>
      </c>
      <c r="K48" s="2275"/>
      <c r="L48" s="2277">
        <f t="shared" si="8"/>
        <v>7.8E-2</v>
      </c>
      <c r="M48" s="2275"/>
      <c r="N48" s="2274"/>
      <c r="O48" s="2279">
        <f t="shared" si="9"/>
        <v>7.8E-2</v>
      </c>
      <c r="P48" s="1105" t="str">
        <f>'GHG data'!F212</f>
        <v>t/m2</v>
      </c>
    </row>
    <row r="49" spans="2:16" hidden="1">
      <c r="B49" s="2271"/>
      <c r="C49" s="2273"/>
      <c r="D49" s="2273"/>
      <c r="E49" s="2273" t="str">
        <f>'GHG data'!E213</f>
        <v>Deck plate</v>
      </c>
      <c r="F49" s="2245">
        <f>$F$44</f>
        <v>0</v>
      </c>
      <c r="G49" s="2273"/>
      <c r="H49" s="2245">
        <f>IF(OR($F$20=$R$6,$F$20=$U$6),'GHG data'!I213,IF($F$20=$S$6,'GHG data'!L213,'GHG data'!O213))</f>
        <v>0</v>
      </c>
      <c r="I49" s="2245">
        <f>IF(OR($F$20=$R$6,$F$20=$U$6),'GHG data'!J213,IF($F$20=$S$6,'GHG data'!M213,'GHG data'!P213))</f>
        <v>0</v>
      </c>
      <c r="J49" s="2245">
        <f>IF(OR($F$20=$R$6,$F$20=$U$6),'GHG data'!K213,IF($F$20=$S$6,'GHG data'!N213,'GHG data'!Q213))</f>
        <v>0</v>
      </c>
      <c r="K49" s="2275"/>
      <c r="L49" s="2277">
        <f t="shared" si="8"/>
        <v>0</v>
      </c>
      <c r="M49" s="2275"/>
      <c r="N49" s="2274"/>
      <c r="O49" s="2279">
        <f t="shared" si="9"/>
        <v>0</v>
      </c>
      <c r="P49" s="1105" t="str">
        <f>'GHG data'!F213</f>
        <v>m2/m2</v>
      </c>
    </row>
    <row r="50" spans="2:16" hidden="1">
      <c r="B50" s="2271"/>
      <c r="C50" s="2273"/>
      <c r="D50" s="2273" t="str">
        <f>'GHG data'!D214</f>
        <v>Retailers</v>
      </c>
      <c r="E50" s="2273" t="str">
        <f>'GHG data'!E214</f>
        <v>Regular concrete</v>
      </c>
      <c r="F50" s="2245">
        <f>F12</f>
        <v>0</v>
      </c>
      <c r="G50" s="2273"/>
      <c r="H50" s="2245">
        <f>IF(OR($F$20=$R$6,$F$20=$U$6),'GHG data'!I214,IF($F$20=$S$6,'GHG data'!L214,'GHG data'!O214))</f>
        <v>0.307</v>
      </c>
      <c r="I50" s="2245">
        <f>IF(OR($F$20=$R$6,$F$20=$U$6),'GHG data'!J214,IF($F$20=$S$6,'GHG data'!M214,'GHG data'!P214))</f>
        <v>0</v>
      </c>
      <c r="J50" s="2245">
        <f>IF(OR($F$20=$R$6,$F$20=$U$6),'GHG data'!K214,IF($F$20=$S$6,'GHG data'!N214,'GHG data'!Q214))</f>
        <v>0</v>
      </c>
      <c r="K50" s="2275"/>
      <c r="L50" s="2277">
        <f t="shared" si="8"/>
        <v>0.307</v>
      </c>
      <c r="M50" s="2275"/>
      <c r="N50" s="2274"/>
      <c r="O50" s="2279">
        <f t="shared" si="9"/>
        <v>0.307</v>
      </c>
      <c r="P50" s="1105" t="str">
        <f>'GHG data'!F214</f>
        <v>m3/m2</v>
      </c>
    </row>
    <row r="51" spans="2:16" hidden="1">
      <c r="B51" s="2271"/>
      <c r="C51" s="2273"/>
      <c r="D51" s="2273"/>
      <c r="E51" s="2273" t="str">
        <f>'GHG data'!E215</f>
        <v>Blast furnace cement concrete</v>
      </c>
      <c r="F51" s="2245">
        <f>$F$50</f>
        <v>0</v>
      </c>
      <c r="G51" s="2273"/>
      <c r="H51" s="2245">
        <f>IF(OR($F$20=$R$6,$F$20=$U$6),'GHG data'!I215,IF($F$20=$S$6,'GHG data'!L215,'GHG data'!O215))</f>
        <v>0</v>
      </c>
      <c r="I51" s="2245">
        <f>IF(OR($F$20=$R$6,$F$20=$U$6),'GHG data'!J215,IF($F$20=$S$6,'GHG data'!M215,'GHG data'!P215))</f>
        <v>0</v>
      </c>
      <c r="J51" s="2245">
        <f>IF(OR($F$20=$R$6,$F$20=$U$6),'GHG data'!K215,IF($F$20=$S$6,'GHG data'!N215,'GHG data'!Q215))</f>
        <v>0.307</v>
      </c>
      <c r="K51" s="2275"/>
      <c r="L51" s="2277">
        <f t="shared" si="8"/>
        <v>0</v>
      </c>
      <c r="M51" s="2275"/>
      <c r="N51" s="2274"/>
      <c r="O51" s="2279">
        <f t="shared" si="9"/>
        <v>0</v>
      </c>
      <c r="P51" s="1105" t="str">
        <f>'GHG data'!F215</f>
        <v>m3/m2</v>
      </c>
    </row>
    <row r="52" spans="2:16" hidden="1">
      <c r="B52" s="2271"/>
      <c r="C52" s="2273"/>
      <c r="D52" s="2273"/>
      <c r="E52" s="2273" t="str">
        <f>'GHG data'!E216</f>
        <v>Formwork</v>
      </c>
      <c r="F52" s="2245">
        <f>$F$50</f>
        <v>0</v>
      </c>
      <c r="G52" s="2273"/>
      <c r="H52" s="2245">
        <f>IF(OR($F$20=$R$6,$F$20=$U$6),'GHG data'!I216,IF($F$20=$S$6,'GHG data'!L216,'GHG data'!O216))</f>
        <v>0.40250000000000002</v>
      </c>
      <c r="I52" s="2245">
        <f>IF(OR($F$20=$R$6,$F$20=$U$6),'GHG data'!J216,IF($F$20=$S$6,'GHG data'!M216,'GHG data'!P216))</f>
        <v>0</v>
      </c>
      <c r="J52" s="2245">
        <f>IF(OR($F$20=$R$6,$F$20=$U$6),'GHG data'!K216,IF($F$20=$S$6,'GHG data'!N216,'GHG data'!Q216))</f>
        <v>0.40250000000000002</v>
      </c>
      <c r="K52" s="2275"/>
      <c r="L52" s="2277">
        <f t="shared" si="8"/>
        <v>0.40250000000000002</v>
      </c>
      <c r="M52" s="2275"/>
      <c r="N52" s="2274"/>
      <c r="O52" s="2279">
        <f t="shared" si="9"/>
        <v>0.40250000000000002</v>
      </c>
      <c r="P52" s="1105" t="str">
        <f>'GHG data'!F216</f>
        <v>m2/m2</v>
      </c>
    </row>
    <row r="53" spans="2:16" hidden="1">
      <c r="B53" s="2271"/>
      <c r="C53" s="2273"/>
      <c r="D53" s="2273"/>
      <c r="E53" s="2273" t="str">
        <f>'GHG data'!E217</f>
        <v>Reinforcing bars</v>
      </c>
      <c r="F53" s="2245">
        <f>$F$50</f>
        <v>0</v>
      </c>
      <c r="G53" s="2273"/>
      <c r="H53" s="2245">
        <f>IF(OR($F$20=$R$6,$F$20=$U$6),'GHG data'!I217,IF($F$20=$S$6,'GHG data'!L217,'GHG data'!O217))</f>
        <v>5.2999999999999999E-2</v>
      </c>
      <c r="I53" s="2245">
        <f>IF(OR($F$20=$R$6,$F$20=$U$6),'GHG data'!J217,IF($F$20=$S$6,'GHG data'!M217,'GHG data'!P217))</f>
        <v>0</v>
      </c>
      <c r="J53" s="2245">
        <f>IF(OR($F$20=$R$6,$F$20=$U$6),'GHG data'!K217,IF($F$20=$S$6,'GHG data'!N217,'GHG data'!Q217))</f>
        <v>5.2999999999999999E-2</v>
      </c>
      <c r="K53" s="2275"/>
      <c r="L53" s="2277">
        <f t="shared" si="8"/>
        <v>5.2999999999999999E-2</v>
      </c>
      <c r="M53" s="2275"/>
      <c r="N53" s="2274"/>
      <c r="O53" s="2279">
        <f t="shared" si="9"/>
        <v>5.2999999999999999E-2</v>
      </c>
      <c r="P53" s="1105" t="str">
        <f>'GHG data'!F217</f>
        <v>t/m2</v>
      </c>
    </row>
    <row r="54" spans="2:16" hidden="1">
      <c r="B54" s="2271"/>
      <c r="C54" s="2273"/>
      <c r="D54" s="2273"/>
      <c r="E54" s="2273" t="str">
        <f>'GHG data'!E218</f>
        <v>Steel frame</v>
      </c>
      <c r="F54" s="2245">
        <f>$F$50</f>
        <v>0</v>
      </c>
      <c r="G54" s="2273"/>
      <c r="H54" s="2245">
        <f>IF(OR($F$20=$R$6,$F$20=$U$6),'GHG data'!I218,IF($F$20=$S$6,'GHG data'!L218,'GHG data'!O218))</f>
        <v>7.0999999999999994E-2</v>
      </c>
      <c r="I54" s="2245">
        <f>IF(OR($F$20=$R$6,$F$20=$U$6),'GHG data'!J218,IF($F$20=$S$6,'GHG data'!M218,'GHG data'!P218))</f>
        <v>0</v>
      </c>
      <c r="J54" s="2245">
        <f>IF(OR($F$20=$R$6,$F$20=$U$6),'GHG data'!K218,IF($F$20=$S$6,'GHG data'!N218,'GHG data'!Q218))</f>
        <v>7.0999999999999994E-2</v>
      </c>
      <c r="K54" s="2275"/>
      <c r="L54" s="2277">
        <f t="shared" si="8"/>
        <v>7.0999999999999994E-2</v>
      </c>
      <c r="M54" s="2275"/>
      <c r="N54" s="2274"/>
      <c r="O54" s="2279">
        <f t="shared" si="9"/>
        <v>7.0999999999999994E-2</v>
      </c>
      <c r="P54" s="1105" t="str">
        <f>'GHG data'!F218</f>
        <v>t/m2</v>
      </c>
    </row>
    <row r="55" spans="2:16" hidden="1">
      <c r="B55" s="2271"/>
      <c r="C55" s="2273"/>
      <c r="D55" s="2273"/>
      <c r="E55" s="2273" t="str">
        <f>'GHG data'!E219</f>
        <v>Deck plate</v>
      </c>
      <c r="F55" s="2245">
        <f>$F$50</f>
        <v>0</v>
      </c>
      <c r="G55" s="2273"/>
      <c r="H55" s="2245">
        <f>IF(OR($F$20=$R$6,$F$20=$U$6),'GHG data'!I219,IF($F$20=$S$6,'GHG data'!L219,'GHG data'!O219))</f>
        <v>0</v>
      </c>
      <c r="I55" s="2245">
        <f>IF(OR($F$20=$R$6,$F$20=$U$6),'GHG data'!J219,IF($F$20=$S$6,'GHG data'!M219,'GHG data'!P219))</f>
        <v>0</v>
      </c>
      <c r="J55" s="2245">
        <f>IF(OR($F$20=$R$6,$F$20=$U$6),'GHG data'!K219,IF($F$20=$S$6,'GHG data'!N219,'GHG data'!Q219))</f>
        <v>0</v>
      </c>
      <c r="K55" s="2275"/>
      <c r="L55" s="2277">
        <f t="shared" si="8"/>
        <v>0</v>
      </c>
      <c r="M55" s="2275"/>
      <c r="N55" s="2274"/>
      <c r="O55" s="2279">
        <f t="shared" si="9"/>
        <v>0</v>
      </c>
      <c r="P55" s="1105" t="str">
        <f>'GHG data'!F219</f>
        <v>m2/m2</v>
      </c>
    </row>
    <row r="56" spans="2:16" hidden="1">
      <c r="B56" s="2271"/>
      <c r="C56" s="2273"/>
      <c r="D56" s="2273" t="str">
        <f>'GHG data'!D220</f>
        <v>Restaurants</v>
      </c>
      <c r="E56" s="2273" t="str">
        <f>'GHG data'!E220</f>
        <v>Regular concrete</v>
      </c>
      <c r="F56" s="2245">
        <f>F13</f>
        <v>0</v>
      </c>
      <c r="G56" s="2273"/>
      <c r="H56" s="2245">
        <f>IF(OR($F$20=$R$6,$F$20=$U$6),'GHG data'!I220,IF($F$20=$S$6,'GHG data'!L220,'GHG data'!O220))</f>
        <v>0.307</v>
      </c>
      <c r="I56" s="2245">
        <f>IF(OR($F$20=$R$6,$F$20=$U$6),'GHG data'!J220,IF($F$20=$S$6,'GHG data'!M220,'GHG data'!P220))</f>
        <v>0</v>
      </c>
      <c r="J56" s="2245">
        <f>IF(OR($F$20=$R$6,$F$20=$U$6),'GHG data'!K220,IF($F$20=$S$6,'GHG data'!N220,'GHG data'!Q220))</f>
        <v>0</v>
      </c>
      <c r="K56" s="2275"/>
      <c r="L56" s="2277">
        <f t="shared" si="8"/>
        <v>0.307</v>
      </c>
      <c r="M56" s="2275"/>
      <c r="N56" s="2274"/>
      <c r="O56" s="2279">
        <f t="shared" si="9"/>
        <v>0.307</v>
      </c>
      <c r="P56" s="1105" t="str">
        <f>'GHG data'!F220</f>
        <v>m3/m2</v>
      </c>
    </row>
    <row r="57" spans="2:16" hidden="1">
      <c r="B57" s="2271"/>
      <c r="C57" s="2273"/>
      <c r="D57" s="2273"/>
      <c r="E57" s="2273" t="str">
        <f>'GHG data'!E221</f>
        <v>Blast furnace cement concrete</v>
      </c>
      <c r="F57" s="2245">
        <f>$F$56</f>
        <v>0</v>
      </c>
      <c r="G57" s="2273"/>
      <c r="H57" s="2245">
        <f>IF(OR($F$20=$R$6,$F$20=$U$6),'GHG data'!I221,IF($F$20=$S$6,'GHG data'!L221,'GHG data'!O221))</f>
        <v>0</v>
      </c>
      <c r="I57" s="2245">
        <f>IF(OR($F$20=$R$6,$F$20=$U$6),'GHG data'!J221,IF($F$20=$S$6,'GHG data'!M221,'GHG data'!P221))</f>
        <v>0</v>
      </c>
      <c r="J57" s="2245">
        <f>IF(OR($F$20=$R$6,$F$20=$U$6),'GHG data'!K221,IF($F$20=$S$6,'GHG data'!N221,'GHG data'!Q221))</f>
        <v>0.307</v>
      </c>
      <c r="K57" s="2275"/>
      <c r="L57" s="2277">
        <f t="shared" si="8"/>
        <v>0</v>
      </c>
      <c r="M57" s="2275"/>
      <c r="N57" s="2274"/>
      <c r="O57" s="2279">
        <f t="shared" si="9"/>
        <v>0</v>
      </c>
      <c r="P57" s="1105" t="str">
        <f>'GHG data'!F221</f>
        <v>m3/m2</v>
      </c>
    </row>
    <row r="58" spans="2:16" hidden="1">
      <c r="B58" s="2271"/>
      <c r="C58" s="2273"/>
      <c r="D58" s="2273"/>
      <c r="E58" s="2273" t="str">
        <f>'GHG data'!E222</f>
        <v>Formwork</v>
      </c>
      <c r="F58" s="2245">
        <f>$F$56</f>
        <v>0</v>
      </c>
      <c r="G58" s="2273"/>
      <c r="H58" s="2245">
        <f>IF(OR($F$20=$R$6,$F$20=$U$6),'GHG data'!I222,IF($F$20=$S$6,'GHG data'!L222,'GHG data'!O222))</f>
        <v>0.40250000000000002</v>
      </c>
      <c r="I58" s="2245">
        <f>IF(OR($F$20=$R$6,$F$20=$U$6),'GHG data'!J222,IF($F$20=$S$6,'GHG data'!M222,'GHG data'!P222))</f>
        <v>0</v>
      </c>
      <c r="J58" s="2245">
        <f>IF(OR($F$20=$R$6,$F$20=$U$6),'GHG data'!K222,IF($F$20=$S$6,'GHG data'!N222,'GHG data'!Q222))</f>
        <v>0.40250000000000002</v>
      </c>
      <c r="K58" s="2275"/>
      <c r="L58" s="2277">
        <f t="shared" si="8"/>
        <v>0.40250000000000002</v>
      </c>
      <c r="M58" s="2275"/>
      <c r="N58" s="2274"/>
      <c r="O58" s="2279">
        <f t="shared" si="9"/>
        <v>0.40250000000000002</v>
      </c>
      <c r="P58" s="1105" t="str">
        <f>'GHG data'!F222</f>
        <v>m2/m2</v>
      </c>
    </row>
    <row r="59" spans="2:16" hidden="1">
      <c r="B59" s="2271"/>
      <c r="C59" s="2273"/>
      <c r="D59" s="2273"/>
      <c r="E59" s="2273" t="str">
        <f>'GHG data'!E223</f>
        <v>Reinforcing bars</v>
      </c>
      <c r="F59" s="2245">
        <f>$F$56</f>
        <v>0</v>
      </c>
      <c r="G59" s="2273"/>
      <c r="H59" s="2245">
        <f>IF(OR($F$20=$R$6,$F$20=$U$6),'GHG data'!I223,IF($F$20=$S$6,'GHG data'!L223,'GHG data'!O223))</f>
        <v>5.2999999999999999E-2</v>
      </c>
      <c r="I59" s="2245">
        <f>IF(OR($F$20=$R$6,$F$20=$U$6),'GHG data'!J223,IF($F$20=$S$6,'GHG data'!M223,'GHG data'!P223))</f>
        <v>0</v>
      </c>
      <c r="J59" s="2245">
        <f>IF(OR($F$20=$R$6,$F$20=$U$6),'GHG data'!K223,IF($F$20=$S$6,'GHG data'!N223,'GHG data'!Q223))</f>
        <v>5.2999999999999999E-2</v>
      </c>
      <c r="K59" s="2275"/>
      <c r="L59" s="2277">
        <f t="shared" si="8"/>
        <v>5.2999999999999999E-2</v>
      </c>
      <c r="M59" s="2275"/>
      <c r="N59" s="2274"/>
      <c r="O59" s="2279">
        <f t="shared" si="9"/>
        <v>5.2999999999999999E-2</v>
      </c>
      <c r="P59" s="1105" t="str">
        <f>'GHG data'!F223</f>
        <v>t/m2</v>
      </c>
    </row>
    <row r="60" spans="2:16" hidden="1">
      <c r="B60" s="2271"/>
      <c r="C60" s="2273"/>
      <c r="D60" s="2273"/>
      <c r="E60" s="2273" t="str">
        <f>'GHG data'!E224</f>
        <v>Steel frame</v>
      </c>
      <c r="F60" s="2245">
        <f>$F$56</f>
        <v>0</v>
      </c>
      <c r="G60" s="2273"/>
      <c r="H60" s="2245">
        <f>IF(OR($F$20=$R$6,$F$20=$U$6),'GHG data'!I224,IF($F$20=$S$6,'GHG data'!L224,'GHG data'!O224))</f>
        <v>7.0999999999999994E-2</v>
      </c>
      <c r="I60" s="2245">
        <f>IF(OR($F$20=$R$6,$F$20=$U$6),'GHG data'!J224,IF($F$20=$S$6,'GHG data'!M224,'GHG data'!P224))</f>
        <v>0</v>
      </c>
      <c r="J60" s="2245">
        <f>IF(OR($F$20=$R$6,$F$20=$U$6),'GHG data'!K224,IF($F$20=$S$6,'GHG data'!N224,'GHG data'!Q224))</f>
        <v>7.0999999999999994E-2</v>
      </c>
      <c r="K60" s="2275"/>
      <c r="L60" s="2277">
        <f t="shared" si="8"/>
        <v>7.0999999999999994E-2</v>
      </c>
      <c r="M60" s="2275"/>
      <c r="N60" s="2274"/>
      <c r="O60" s="2279">
        <f t="shared" si="9"/>
        <v>7.0999999999999994E-2</v>
      </c>
      <c r="P60" s="1105" t="str">
        <f>'GHG data'!F224</f>
        <v>t/m2</v>
      </c>
    </row>
    <row r="61" spans="2:16" hidden="1">
      <c r="B61" s="2271"/>
      <c r="C61" s="2273"/>
      <c r="D61" s="2273"/>
      <c r="E61" s="2273" t="str">
        <f>'GHG data'!E225</f>
        <v>Deck plate</v>
      </c>
      <c r="F61" s="2245">
        <f>$F$56</f>
        <v>0</v>
      </c>
      <c r="G61" s="2273"/>
      <c r="H61" s="2245">
        <f>IF(OR($F$20=$R$6,$F$20=$U$6),'GHG data'!I225,IF($F$20=$S$6,'GHG data'!L225,'GHG data'!O225))</f>
        <v>0</v>
      </c>
      <c r="I61" s="2245">
        <f>IF(OR($F$20=$R$6,$F$20=$U$6),'GHG data'!J225,IF($F$20=$S$6,'GHG data'!M225,'GHG data'!P225))</f>
        <v>0</v>
      </c>
      <c r="J61" s="2245">
        <f>IF(OR($F$20=$R$6,$F$20=$U$6),'GHG data'!K225,IF($F$20=$S$6,'GHG data'!N225,'GHG data'!Q225))</f>
        <v>0</v>
      </c>
      <c r="K61" s="2275"/>
      <c r="L61" s="2277">
        <f t="shared" si="8"/>
        <v>0</v>
      </c>
      <c r="M61" s="2275"/>
      <c r="N61" s="2274"/>
      <c r="O61" s="2279">
        <f t="shared" si="9"/>
        <v>0</v>
      </c>
      <c r="P61" s="1105" t="str">
        <f>'GHG data'!F225</f>
        <v>m2/m2</v>
      </c>
    </row>
    <row r="62" spans="2:16" hidden="1">
      <c r="B62" s="2271"/>
      <c r="C62" s="2273"/>
      <c r="D62" s="2273" t="str">
        <f>'GHG data'!D226</f>
        <v>Halls</v>
      </c>
      <c r="E62" s="2273" t="str">
        <f>'GHG data'!E226</f>
        <v>Regular concrete</v>
      </c>
      <c r="F62" s="2245">
        <f>F14</f>
        <v>0</v>
      </c>
      <c r="G62" s="2273"/>
      <c r="H62" s="2245">
        <f>IF(OR($F$20=$R$6,$F$20=$U$6),'GHG data'!I226,IF($F$20=$S$6,'GHG data'!L226,'GHG data'!O226))</f>
        <v>0.86199999999999999</v>
      </c>
      <c r="I62" s="2245">
        <f>IF(OR($F$20=$R$6,$F$20=$U$6),'GHG data'!J226,IF($F$20=$S$6,'GHG data'!M226,'GHG data'!P226))</f>
        <v>0</v>
      </c>
      <c r="J62" s="2245">
        <f>IF(OR($F$20=$R$6,$F$20=$U$6),'GHG data'!K226,IF($F$20=$S$6,'GHG data'!N226,'GHG data'!Q226))</f>
        <v>0</v>
      </c>
      <c r="K62" s="2275"/>
      <c r="L62" s="2277">
        <f t="shared" si="8"/>
        <v>0.86199999999999999</v>
      </c>
      <c r="M62" s="2275"/>
      <c r="N62" s="2274"/>
      <c r="O62" s="2279">
        <f t="shared" si="9"/>
        <v>0.86199999999999999</v>
      </c>
      <c r="P62" s="1105" t="str">
        <f>'GHG data'!F226</f>
        <v>m3/m2</v>
      </c>
    </row>
    <row r="63" spans="2:16" hidden="1">
      <c r="B63" s="2271"/>
      <c r="C63" s="2273"/>
      <c r="D63" s="2273"/>
      <c r="E63" s="2273" t="str">
        <f>'GHG data'!E227</f>
        <v>Blast furnace cement concrete</v>
      </c>
      <c r="F63" s="2245">
        <f>$F$62</f>
        <v>0</v>
      </c>
      <c r="G63" s="2273"/>
      <c r="H63" s="2245">
        <f>IF(OR($F$20=$R$6,$F$20=$U$6),'GHG data'!I227,IF($F$20=$S$6,'GHG data'!L227,'GHG data'!O227))</f>
        <v>0</v>
      </c>
      <c r="I63" s="2245">
        <f>IF(OR($F$20=$R$6,$F$20=$U$6),'GHG data'!J227,IF($F$20=$S$6,'GHG data'!M227,'GHG data'!P227))</f>
        <v>0</v>
      </c>
      <c r="J63" s="2245">
        <f>IF(OR($F$20=$R$6,$F$20=$U$6),'GHG data'!K227,IF($F$20=$S$6,'GHG data'!N227,'GHG data'!Q227))</f>
        <v>0.86199999999999999</v>
      </c>
      <c r="K63" s="2275"/>
      <c r="L63" s="2277">
        <f t="shared" si="8"/>
        <v>0</v>
      </c>
      <c r="M63" s="2275"/>
      <c r="N63" s="2274"/>
      <c r="O63" s="2279">
        <f t="shared" si="9"/>
        <v>0</v>
      </c>
      <c r="P63" s="1105" t="str">
        <f>'GHG data'!F227</f>
        <v>m3/m2</v>
      </c>
    </row>
    <row r="64" spans="2:16" hidden="1">
      <c r="B64" s="2271"/>
      <c r="C64" s="2273"/>
      <c r="D64" s="2273"/>
      <c r="E64" s="2273" t="str">
        <f>'GHG data'!E228</f>
        <v>Formwork</v>
      </c>
      <c r="F64" s="2245">
        <f>$F$62</f>
        <v>0</v>
      </c>
      <c r="G64" s="2273"/>
      <c r="H64" s="2245">
        <f>IF(OR($F$20=$R$6,$F$20=$U$6),'GHG data'!I228,IF($F$20=$S$6,'GHG data'!L228,'GHG data'!O228))</f>
        <v>1.0225</v>
      </c>
      <c r="I64" s="2245">
        <f>IF(OR($F$20=$R$6,$F$20=$U$6),'GHG data'!J228,IF($F$20=$S$6,'GHG data'!M228,'GHG data'!P228))</f>
        <v>0</v>
      </c>
      <c r="J64" s="2245">
        <f>IF(OR($F$20=$R$6,$F$20=$U$6),'GHG data'!K228,IF($F$20=$S$6,'GHG data'!N228,'GHG data'!Q228))</f>
        <v>1.0225</v>
      </c>
      <c r="K64" s="2275"/>
      <c r="L64" s="2277">
        <f t="shared" si="8"/>
        <v>1.0225</v>
      </c>
      <c r="M64" s="2275"/>
      <c r="N64" s="2274"/>
      <c r="O64" s="2279">
        <f t="shared" si="9"/>
        <v>1.0225</v>
      </c>
      <c r="P64" s="1105" t="str">
        <f>'GHG data'!F228</f>
        <v>m2/m2</v>
      </c>
    </row>
    <row r="65" spans="2:16" hidden="1">
      <c r="B65" s="2271"/>
      <c r="C65" s="2273"/>
      <c r="D65" s="2273"/>
      <c r="E65" s="2273" t="str">
        <f>'GHG data'!E229</f>
        <v>Reinforcing bars</v>
      </c>
      <c r="F65" s="2245">
        <f>$F$62</f>
        <v>0</v>
      </c>
      <c r="G65" s="2273"/>
      <c r="H65" s="2245">
        <f>IF(OR($F$20=$R$6,$F$20=$U$6),'GHG data'!I229,IF($F$20=$S$6,'GHG data'!L229,'GHG data'!O229))</f>
        <v>0.1</v>
      </c>
      <c r="I65" s="2245">
        <f>IF(OR($F$20=$R$6,$F$20=$U$6),'GHG data'!J229,IF($F$20=$S$6,'GHG data'!M229,'GHG data'!P229))</f>
        <v>0</v>
      </c>
      <c r="J65" s="2245">
        <f>IF(OR($F$20=$R$6,$F$20=$U$6),'GHG data'!K229,IF($F$20=$S$6,'GHG data'!N229,'GHG data'!Q229))</f>
        <v>0.1</v>
      </c>
      <c r="K65" s="2275"/>
      <c r="L65" s="2277">
        <f t="shared" si="8"/>
        <v>0.1</v>
      </c>
      <c r="M65" s="2275"/>
      <c r="N65" s="2274"/>
      <c r="O65" s="2279">
        <f t="shared" si="9"/>
        <v>0.1</v>
      </c>
      <c r="P65" s="1105" t="str">
        <f>'GHG data'!F229</f>
        <v>t/m2</v>
      </c>
    </row>
    <row r="66" spans="2:16" hidden="1">
      <c r="B66" s="2271"/>
      <c r="C66" s="2273"/>
      <c r="D66" s="2273"/>
      <c r="E66" s="2273" t="str">
        <f>'GHG data'!E230</f>
        <v>Steel frame</v>
      </c>
      <c r="F66" s="2245">
        <f>$F$62</f>
        <v>0</v>
      </c>
      <c r="G66" s="2273"/>
      <c r="H66" s="2245">
        <f>IF(OR($F$20=$R$6,$F$20=$U$6),'GHG data'!I230,IF($F$20=$S$6,'GHG data'!L230,'GHG data'!O230))</f>
        <v>5.8999999999999997E-2</v>
      </c>
      <c r="I66" s="2245">
        <f>IF(OR($F$20=$R$6,$F$20=$U$6),'GHG data'!J230,IF($F$20=$S$6,'GHG data'!M230,'GHG data'!P230))</f>
        <v>0</v>
      </c>
      <c r="J66" s="2245">
        <f>IF(OR($F$20=$R$6,$F$20=$U$6),'GHG data'!K230,IF($F$20=$S$6,'GHG data'!N230,'GHG data'!Q230))</f>
        <v>5.8999999999999997E-2</v>
      </c>
      <c r="K66" s="2275"/>
      <c r="L66" s="2277">
        <f t="shared" si="8"/>
        <v>5.8999999999999997E-2</v>
      </c>
      <c r="M66" s="2275"/>
      <c r="N66" s="2274"/>
      <c r="O66" s="2279">
        <f t="shared" si="9"/>
        <v>5.8999999999999997E-2</v>
      </c>
      <c r="P66" s="1105" t="str">
        <f>'GHG data'!F230</f>
        <v>t/m2</v>
      </c>
    </row>
    <row r="67" spans="2:16" hidden="1">
      <c r="B67" s="2271"/>
      <c r="C67" s="2273"/>
      <c r="D67" s="2273"/>
      <c r="E67" s="2273" t="str">
        <f>'GHG data'!E231</f>
        <v>Deck plate</v>
      </c>
      <c r="F67" s="2245">
        <f>$F$62</f>
        <v>0</v>
      </c>
      <c r="G67" s="2273"/>
      <c r="H67" s="2245">
        <f>IF(OR($F$20=$R$6,$F$20=$U$6),'GHG data'!I231,IF($F$20=$S$6,'GHG data'!L231,'GHG data'!O231))</f>
        <v>0</v>
      </c>
      <c r="I67" s="2245">
        <f>IF(OR($F$20=$R$6,$F$20=$U$6),'GHG data'!J231,IF($F$20=$S$6,'GHG data'!M231,'GHG data'!P231))</f>
        <v>0</v>
      </c>
      <c r="J67" s="2245">
        <f>IF(OR($F$20=$R$6,$F$20=$U$6),'GHG data'!K231,IF($F$20=$S$6,'GHG data'!N231,'GHG data'!Q231))</f>
        <v>0</v>
      </c>
      <c r="K67" s="2275"/>
      <c r="L67" s="2277">
        <f t="shared" si="8"/>
        <v>0</v>
      </c>
      <c r="M67" s="2275"/>
      <c r="N67" s="2274"/>
      <c r="O67" s="2279">
        <f t="shared" si="9"/>
        <v>0</v>
      </c>
      <c r="P67" s="1105" t="str">
        <f>'GHG data'!F231</f>
        <v>m2/m2</v>
      </c>
    </row>
    <row r="68" spans="2:16" hidden="1">
      <c r="B68" s="2271"/>
      <c r="C68" s="2273"/>
      <c r="D68" s="2273" t="str">
        <f>'GHG data'!D232</f>
        <v>Factories</v>
      </c>
      <c r="E68" s="2273" t="str">
        <f>'GHG data'!E232</f>
        <v>Regular concrete</v>
      </c>
      <c r="F68" s="2245">
        <f>F15</f>
        <v>0</v>
      </c>
      <c r="G68" s="2273"/>
      <c r="H68" s="2245">
        <f>IF(OR($F$20=$R$6,$F$20=$U$6),'GHG data'!I232,IF($F$20=$S$6,'GHG data'!L232,'GHG data'!O232))</f>
        <v>0.66900000000000004</v>
      </c>
      <c r="I68" s="2245">
        <f>IF(OR($F$20=$R$6,$F$20=$U$6),'GHG data'!J232,IF($F$20=$S$6,'GHG data'!M232,'GHG data'!P232))</f>
        <v>0</v>
      </c>
      <c r="J68" s="2245">
        <f>IF(OR($F$20=$R$6,$F$20=$U$6),'GHG data'!K232,IF($F$20=$S$6,'GHG data'!N232,'GHG data'!Q232))</f>
        <v>0</v>
      </c>
      <c r="K68" s="2275"/>
      <c r="L68" s="2277">
        <f t="shared" si="8"/>
        <v>0.66900000000000004</v>
      </c>
      <c r="M68" s="2275"/>
      <c r="N68" s="2274"/>
      <c r="O68" s="2279">
        <f t="shared" si="9"/>
        <v>0.66900000000000004</v>
      </c>
      <c r="P68" s="1105" t="str">
        <f>'GHG data'!F232</f>
        <v>m3/m2</v>
      </c>
    </row>
    <row r="69" spans="2:16" hidden="1">
      <c r="B69" s="2271"/>
      <c r="C69" s="2273"/>
      <c r="D69" s="2273"/>
      <c r="E69" s="2273" t="str">
        <f>'GHG data'!E233</f>
        <v>Blast furnace cement concrete</v>
      </c>
      <c r="F69" s="2245">
        <f>$F$68</f>
        <v>0</v>
      </c>
      <c r="G69" s="2273"/>
      <c r="H69" s="2245">
        <f>IF(OR($F$20=$R$6,$F$20=$U$6),'GHG data'!I233,IF($F$20=$S$6,'GHG data'!L233,'GHG data'!O233))</f>
        <v>0</v>
      </c>
      <c r="I69" s="2245">
        <f>IF(OR($F$20=$R$6,$F$20=$U$6),'GHG data'!J233,IF($F$20=$S$6,'GHG data'!M233,'GHG data'!P233))</f>
        <v>0</v>
      </c>
      <c r="J69" s="2245">
        <f>IF(OR($F$20=$R$6,$F$20=$U$6),'GHG data'!K233,IF($F$20=$S$6,'GHG data'!N233,'GHG data'!Q233))</f>
        <v>0.66900000000000004</v>
      </c>
      <c r="K69" s="2275"/>
      <c r="L69" s="2277">
        <f t="shared" si="8"/>
        <v>0</v>
      </c>
      <c r="M69" s="2275"/>
      <c r="N69" s="2274"/>
      <c r="O69" s="2279">
        <f t="shared" si="9"/>
        <v>0</v>
      </c>
      <c r="P69" s="1105" t="str">
        <f>'GHG data'!F233</f>
        <v>m3/m2</v>
      </c>
    </row>
    <row r="70" spans="2:16" hidden="1">
      <c r="B70" s="2271"/>
      <c r="C70" s="2273"/>
      <c r="D70" s="2273"/>
      <c r="E70" s="2273" t="str">
        <f>'GHG data'!E234</f>
        <v>Formwork</v>
      </c>
      <c r="F70" s="2245">
        <f>$F$68</f>
        <v>0</v>
      </c>
      <c r="G70" s="2273"/>
      <c r="H70" s="2245">
        <f>IF(OR($F$20=$R$6,$F$20=$U$6),'GHG data'!I234,IF($F$20=$S$6,'GHG data'!L234,'GHG data'!O234))</f>
        <v>0.5575</v>
      </c>
      <c r="I70" s="2245">
        <f>IF(OR($F$20=$R$6,$F$20=$U$6),'GHG data'!J234,IF($F$20=$S$6,'GHG data'!M234,'GHG data'!P234))</f>
        <v>0</v>
      </c>
      <c r="J70" s="2245">
        <f>IF(OR($F$20=$R$6,$F$20=$U$6),'GHG data'!K234,IF($F$20=$S$6,'GHG data'!N234,'GHG data'!Q234))</f>
        <v>0.5575</v>
      </c>
      <c r="K70" s="2275"/>
      <c r="L70" s="2277">
        <f t="shared" ref="L70:L91" si="10">H70-(H70-I70)*$F$21-(H70-J70)*$F$22</f>
        <v>0.5575</v>
      </c>
      <c r="M70" s="2275"/>
      <c r="N70" s="2274"/>
      <c r="O70" s="2279">
        <f t="shared" ref="O70:O91" si="11">H70</f>
        <v>0.5575</v>
      </c>
      <c r="P70" s="1105" t="str">
        <f>'GHG data'!F234</f>
        <v>m2/m2</v>
      </c>
    </row>
    <row r="71" spans="2:16" hidden="1">
      <c r="B71" s="2271"/>
      <c r="C71" s="2273"/>
      <c r="D71" s="2273"/>
      <c r="E71" s="2273" t="str">
        <f>'GHG data'!E235</f>
        <v>Reinforcing bars</v>
      </c>
      <c r="F71" s="2245">
        <f>$F$68</f>
        <v>0</v>
      </c>
      <c r="G71" s="2273"/>
      <c r="H71" s="2245">
        <f>IF(OR($F$20=$R$6,$F$20=$U$6),'GHG data'!I235,IF($F$20=$S$6,'GHG data'!L235,'GHG data'!O235))</f>
        <v>0.08</v>
      </c>
      <c r="I71" s="2245">
        <f>IF(OR($F$20=$R$6,$F$20=$U$6),'GHG data'!J235,IF($F$20=$S$6,'GHG data'!M235,'GHG data'!P235))</f>
        <v>0</v>
      </c>
      <c r="J71" s="2245">
        <f>IF(OR($F$20=$R$6,$F$20=$U$6),'GHG data'!K235,IF($F$20=$S$6,'GHG data'!N235,'GHG data'!Q235))</f>
        <v>0.08</v>
      </c>
      <c r="K71" s="2275"/>
      <c r="L71" s="2277">
        <f t="shared" si="10"/>
        <v>0.08</v>
      </c>
      <c r="M71" s="2275"/>
      <c r="N71" s="2274"/>
      <c r="O71" s="2279">
        <f t="shared" si="11"/>
        <v>0.08</v>
      </c>
      <c r="P71" s="1105" t="str">
        <f>'GHG data'!F235</f>
        <v>t/m2</v>
      </c>
    </row>
    <row r="72" spans="2:16" hidden="1">
      <c r="B72" s="2271"/>
      <c r="C72" s="2273"/>
      <c r="D72" s="2273"/>
      <c r="E72" s="2273" t="str">
        <f>'GHG data'!E236</f>
        <v>Steel frame</v>
      </c>
      <c r="F72" s="2245">
        <f>$F$68</f>
        <v>0</v>
      </c>
      <c r="G72" s="2273"/>
      <c r="H72" s="2245">
        <f>IF(OR($F$20=$R$6,$F$20=$U$6),'GHG data'!I236,IF($F$20=$S$6,'GHG data'!L236,'GHG data'!O236))</f>
        <v>7.6999999999999999E-2</v>
      </c>
      <c r="I72" s="2245">
        <f>IF(OR($F$20=$R$6,$F$20=$U$6),'GHG data'!J236,IF($F$20=$S$6,'GHG data'!M236,'GHG data'!P236))</f>
        <v>0</v>
      </c>
      <c r="J72" s="2245">
        <f>IF(OR($F$20=$R$6,$F$20=$U$6),'GHG data'!K236,IF($F$20=$S$6,'GHG data'!N236,'GHG data'!Q236))</f>
        <v>7.6999999999999999E-2</v>
      </c>
      <c r="K72" s="2275"/>
      <c r="L72" s="2277">
        <f t="shared" si="10"/>
        <v>7.6999999999999999E-2</v>
      </c>
      <c r="M72" s="2275"/>
      <c r="N72" s="2274"/>
      <c r="O72" s="2279">
        <f t="shared" si="11"/>
        <v>7.6999999999999999E-2</v>
      </c>
      <c r="P72" s="1105" t="str">
        <f>'GHG data'!F236</f>
        <v>t/m2</v>
      </c>
    </row>
    <row r="73" spans="2:16" hidden="1">
      <c r="B73" s="2271"/>
      <c r="C73" s="2273"/>
      <c r="D73" s="2273"/>
      <c r="E73" s="2273" t="str">
        <f>'GHG data'!E237</f>
        <v>Deck plate</v>
      </c>
      <c r="F73" s="2245">
        <f>$F$68</f>
        <v>0</v>
      </c>
      <c r="G73" s="2273"/>
      <c r="H73" s="2245">
        <f>IF(OR($F$20=$R$6,$F$20=$U$6),'GHG data'!I237,IF($F$20=$S$6,'GHG data'!L237,'GHG data'!O237))</f>
        <v>0</v>
      </c>
      <c r="I73" s="2245">
        <f>IF(OR($F$20=$R$6,$F$20=$U$6),'GHG data'!J237,IF($F$20=$S$6,'GHG data'!M237,'GHG data'!P237))</f>
        <v>0</v>
      </c>
      <c r="J73" s="2245">
        <f>IF(OR($F$20=$R$6,$F$20=$U$6),'GHG data'!K237,IF($F$20=$S$6,'GHG data'!N237,'GHG data'!Q237))</f>
        <v>0</v>
      </c>
      <c r="K73" s="2275"/>
      <c r="L73" s="2277">
        <f t="shared" si="10"/>
        <v>0</v>
      </c>
      <c r="M73" s="2275"/>
      <c r="N73" s="2274"/>
      <c r="O73" s="2279">
        <f t="shared" si="11"/>
        <v>0</v>
      </c>
      <c r="P73" s="1105" t="str">
        <f>'GHG data'!F237</f>
        <v>m2/m2</v>
      </c>
    </row>
    <row r="74" spans="2:16" hidden="1">
      <c r="B74" s="2271"/>
      <c r="C74" s="2273"/>
      <c r="D74" s="2273" t="str">
        <f>'GHG data'!D238</f>
        <v>Hospitals</v>
      </c>
      <c r="E74" s="2273" t="str">
        <f>'GHG data'!E238</f>
        <v>Regular concrete</v>
      </c>
      <c r="F74" s="2245">
        <f>F16</f>
        <v>0</v>
      </c>
      <c r="G74" s="2273"/>
      <c r="H74" s="2245">
        <f>IF(OR($F$20=$R$6,$F$20=$U$6),'GHG data'!I238,IF($F$20=$S$6,'GHG data'!L238,'GHG data'!O238))</f>
        <v>0.81200000000000006</v>
      </c>
      <c r="I74" s="2245">
        <f>IF(OR($F$20=$R$6,$F$20=$U$6),'GHG data'!J238,IF($F$20=$S$6,'GHG data'!M238,'GHG data'!P238))</f>
        <v>0</v>
      </c>
      <c r="J74" s="2245">
        <f>IF(OR($F$20=$R$6,$F$20=$U$6),'GHG data'!K238,IF($F$20=$S$6,'GHG data'!N238,'GHG data'!Q238))</f>
        <v>0</v>
      </c>
      <c r="K74" s="2275"/>
      <c r="L74" s="2277">
        <f t="shared" si="10"/>
        <v>0.81200000000000006</v>
      </c>
      <c r="M74" s="2275"/>
      <c r="N74" s="2274"/>
      <c r="O74" s="2279">
        <f t="shared" si="11"/>
        <v>0.81200000000000006</v>
      </c>
      <c r="P74" s="1105" t="str">
        <f>'GHG data'!F238</f>
        <v>m3/m2</v>
      </c>
    </row>
    <row r="75" spans="2:16" hidden="1">
      <c r="B75" s="2271"/>
      <c r="C75" s="2273"/>
      <c r="D75" s="2273"/>
      <c r="E75" s="2273" t="str">
        <f>'GHG data'!E239</f>
        <v>Blast furnace cement concrete</v>
      </c>
      <c r="F75" s="2245">
        <f>$F$74</f>
        <v>0</v>
      </c>
      <c r="G75" s="2273"/>
      <c r="H75" s="2245">
        <f>IF(OR($F$20=$R$6,$F$20=$U$6),'GHG data'!I239,IF($F$20=$S$6,'GHG data'!L239,'GHG data'!O239))</f>
        <v>0</v>
      </c>
      <c r="I75" s="2245">
        <f>IF(OR($F$20=$R$6,$F$20=$U$6),'GHG data'!J239,IF($F$20=$S$6,'GHG data'!M239,'GHG data'!P239))</f>
        <v>0</v>
      </c>
      <c r="J75" s="2245">
        <f>IF(OR($F$20=$R$6,$F$20=$U$6),'GHG data'!K239,IF($F$20=$S$6,'GHG data'!N239,'GHG data'!Q239))</f>
        <v>0.81200000000000006</v>
      </c>
      <c r="K75" s="2275"/>
      <c r="L75" s="2277">
        <f t="shared" si="10"/>
        <v>0</v>
      </c>
      <c r="M75" s="2275"/>
      <c r="N75" s="2274"/>
      <c r="O75" s="2279">
        <f t="shared" si="11"/>
        <v>0</v>
      </c>
      <c r="P75" s="1105" t="str">
        <f>'GHG data'!F239</f>
        <v>m3/m2</v>
      </c>
    </row>
    <row r="76" spans="2:16" hidden="1">
      <c r="B76" s="2271"/>
      <c r="C76" s="2273"/>
      <c r="D76" s="2273"/>
      <c r="E76" s="2273" t="str">
        <f>'GHG data'!E240</f>
        <v>Formwork</v>
      </c>
      <c r="F76" s="2245">
        <f>$F$74</f>
        <v>0</v>
      </c>
      <c r="G76" s="2273"/>
      <c r="H76" s="2245">
        <f>IF(OR($F$20=$R$6,$F$20=$U$6),'GHG data'!I240,IF($F$20=$S$6,'GHG data'!L240,'GHG data'!O240))</f>
        <v>0.8075</v>
      </c>
      <c r="I76" s="2245">
        <f>IF(OR($F$20=$R$6,$F$20=$U$6),'GHG data'!J240,IF($F$20=$S$6,'GHG data'!M240,'GHG data'!P240))</f>
        <v>0</v>
      </c>
      <c r="J76" s="2245">
        <f>IF(OR($F$20=$R$6,$F$20=$U$6),'GHG data'!K240,IF($F$20=$S$6,'GHG data'!N240,'GHG data'!Q240))</f>
        <v>0.8075</v>
      </c>
      <c r="K76" s="2275"/>
      <c r="L76" s="2277">
        <f t="shared" si="10"/>
        <v>0.8075</v>
      </c>
      <c r="M76" s="2275"/>
      <c r="N76" s="2274"/>
      <c r="O76" s="2279">
        <f t="shared" si="11"/>
        <v>0.8075</v>
      </c>
      <c r="P76" s="1105" t="str">
        <f>'GHG data'!F240</f>
        <v>m2/m2</v>
      </c>
    </row>
    <row r="77" spans="2:16" hidden="1">
      <c r="B77" s="2271"/>
      <c r="C77" s="2273"/>
      <c r="D77" s="2273"/>
      <c r="E77" s="2273" t="str">
        <f>'GHG data'!E241</f>
        <v>Reinforcing bars</v>
      </c>
      <c r="F77" s="2245">
        <f>$F$74</f>
        <v>0</v>
      </c>
      <c r="G77" s="2273"/>
      <c r="H77" s="2245">
        <f>IF(OR($F$20=$R$6,$F$20=$U$6),'GHG data'!I241,IF($F$20=$S$6,'GHG data'!L241,'GHG data'!O241))</f>
        <v>8.8999999999999996E-2</v>
      </c>
      <c r="I77" s="2245">
        <f>IF(OR($F$20=$R$6,$F$20=$U$6),'GHG data'!J241,IF($F$20=$S$6,'GHG data'!M241,'GHG data'!P241))</f>
        <v>0</v>
      </c>
      <c r="J77" s="2245">
        <f>IF(OR($F$20=$R$6,$F$20=$U$6),'GHG data'!K241,IF($F$20=$S$6,'GHG data'!N241,'GHG data'!Q241))</f>
        <v>8.8999999999999996E-2</v>
      </c>
      <c r="K77" s="2275"/>
      <c r="L77" s="2277">
        <f t="shared" si="10"/>
        <v>8.8999999999999996E-2</v>
      </c>
      <c r="M77" s="2275"/>
      <c r="N77" s="2274"/>
      <c r="O77" s="2279">
        <f t="shared" si="11"/>
        <v>8.8999999999999996E-2</v>
      </c>
      <c r="P77" s="1105" t="str">
        <f>'GHG data'!F241</f>
        <v>t/m2</v>
      </c>
    </row>
    <row r="78" spans="2:16" hidden="1">
      <c r="B78" s="2271"/>
      <c r="C78" s="2273"/>
      <c r="D78" s="2273"/>
      <c r="E78" s="2273" t="str">
        <f>'GHG data'!E242</f>
        <v>Steel frame</v>
      </c>
      <c r="F78" s="2245">
        <f>$F$74</f>
        <v>0</v>
      </c>
      <c r="G78" s="2273"/>
      <c r="H78" s="2245">
        <f>IF(OR($F$20=$R$6,$F$20=$U$6),'GHG data'!I242,IF($F$20=$S$6,'GHG data'!L242,'GHG data'!O242))</f>
        <v>6.6000000000000003E-2</v>
      </c>
      <c r="I78" s="2245">
        <f>IF(OR($F$20=$R$6,$F$20=$U$6),'GHG data'!J242,IF($F$20=$S$6,'GHG data'!M242,'GHG data'!P242))</f>
        <v>0</v>
      </c>
      <c r="J78" s="2245">
        <f>IF(OR($F$20=$R$6,$F$20=$U$6),'GHG data'!K242,IF($F$20=$S$6,'GHG data'!N242,'GHG data'!Q242))</f>
        <v>6.6000000000000003E-2</v>
      </c>
      <c r="K78" s="2275"/>
      <c r="L78" s="2277">
        <f t="shared" si="10"/>
        <v>6.6000000000000003E-2</v>
      </c>
      <c r="M78" s="2275"/>
      <c r="N78" s="2274"/>
      <c r="O78" s="2279">
        <f t="shared" si="11"/>
        <v>6.6000000000000003E-2</v>
      </c>
      <c r="P78" s="1105" t="str">
        <f>'GHG data'!F242</f>
        <v>t/m2</v>
      </c>
    </row>
    <row r="79" spans="2:16" hidden="1">
      <c r="B79" s="2271"/>
      <c r="C79" s="2273"/>
      <c r="D79" s="2273"/>
      <c r="E79" s="2273" t="str">
        <f>'GHG data'!E243</f>
        <v>Deck plate</v>
      </c>
      <c r="F79" s="2245">
        <f>$F$74</f>
        <v>0</v>
      </c>
      <c r="G79" s="2273"/>
      <c r="H79" s="2245">
        <f>IF(OR($F$20=$R$6,$F$20=$U$6),'GHG data'!I243,IF($F$20=$S$6,'GHG data'!L243,'GHG data'!O243))</f>
        <v>0</v>
      </c>
      <c r="I79" s="2245">
        <f>IF(OR($F$20=$R$6,$F$20=$U$6),'GHG data'!J243,IF($F$20=$S$6,'GHG data'!M243,'GHG data'!P243))</f>
        <v>0</v>
      </c>
      <c r="J79" s="2245">
        <f>IF(OR($F$20=$R$6,$F$20=$U$6),'GHG data'!K243,IF($F$20=$S$6,'GHG data'!N243,'GHG data'!Q243))</f>
        <v>0</v>
      </c>
      <c r="K79" s="2275"/>
      <c r="L79" s="2277">
        <f t="shared" si="10"/>
        <v>0</v>
      </c>
      <c r="M79" s="2275"/>
      <c r="N79" s="2274"/>
      <c r="O79" s="2279">
        <f t="shared" si="11"/>
        <v>0</v>
      </c>
      <c r="P79" s="1105" t="str">
        <f>'GHG data'!F243</f>
        <v>m2/m2</v>
      </c>
    </row>
    <row r="80" spans="2:16" hidden="1">
      <c r="B80" s="2271"/>
      <c r="C80" s="2273"/>
      <c r="D80" s="2273" t="str">
        <f>'GHG data'!D244</f>
        <v>Hotels</v>
      </c>
      <c r="E80" s="2273" t="str">
        <f>'GHG data'!E244</f>
        <v>Regular concrete</v>
      </c>
      <c r="F80" s="2245">
        <f>F17</f>
        <v>0</v>
      </c>
      <c r="G80" s="2273"/>
      <c r="H80" s="2245">
        <f>IF(OR($F$20=$R$6,$F$20=$U$6),'GHG data'!I244,IF($F$20=$S$6,'GHG data'!L244,'GHG data'!O244))</f>
        <v>0.81599999999999995</v>
      </c>
      <c r="I80" s="2245">
        <f>IF(OR($F$20=$R$6,$F$20=$U$6),'GHG data'!J244,IF($F$20=$S$6,'GHG data'!M244,'GHG data'!P244))</f>
        <v>0</v>
      </c>
      <c r="J80" s="2245">
        <f>IF(OR($F$20=$R$6,$F$20=$U$6),'GHG data'!K244,IF($F$20=$S$6,'GHG data'!N244,'GHG data'!Q244))</f>
        <v>0</v>
      </c>
      <c r="K80" s="2275"/>
      <c r="L80" s="2277">
        <f t="shared" si="10"/>
        <v>0.81599999999999995</v>
      </c>
      <c r="M80" s="2275"/>
      <c r="N80" s="2274"/>
      <c r="O80" s="2279">
        <f t="shared" si="11"/>
        <v>0.81599999999999995</v>
      </c>
      <c r="P80" s="1105" t="str">
        <f>'GHG data'!F244</f>
        <v>m3/m2</v>
      </c>
    </row>
    <row r="81" spans="2:16" hidden="1">
      <c r="B81" s="2271"/>
      <c r="C81" s="2273"/>
      <c r="D81" s="2273"/>
      <c r="E81" s="2273" t="str">
        <f>'GHG data'!E245</f>
        <v>Blast furnace cement concrete</v>
      </c>
      <c r="F81" s="2245">
        <f>$F$80</f>
        <v>0</v>
      </c>
      <c r="G81" s="2273"/>
      <c r="H81" s="2245">
        <f>IF(OR($F$20=$R$6,$F$20=$U$6),'GHG data'!I245,IF($F$20=$S$6,'GHG data'!L245,'GHG data'!O245))</f>
        <v>0</v>
      </c>
      <c r="I81" s="2245">
        <f>IF(OR($F$20=$R$6,$F$20=$U$6),'GHG data'!J245,IF($F$20=$S$6,'GHG data'!M245,'GHG data'!P245))</f>
        <v>0</v>
      </c>
      <c r="J81" s="2245">
        <f>IF(OR($F$20=$R$6,$F$20=$U$6),'GHG data'!K245,IF($F$20=$S$6,'GHG data'!N245,'GHG data'!Q245))</f>
        <v>0.81599999999999995</v>
      </c>
      <c r="K81" s="2275"/>
      <c r="L81" s="2277">
        <f t="shared" si="10"/>
        <v>0</v>
      </c>
      <c r="M81" s="2275"/>
      <c r="N81" s="2274"/>
      <c r="O81" s="2279">
        <f t="shared" si="11"/>
        <v>0</v>
      </c>
      <c r="P81" s="1105" t="str">
        <f>'GHG data'!F245</f>
        <v>m3/m2</v>
      </c>
    </row>
    <row r="82" spans="2:16" hidden="1">
      <c r="B82" s="2271"/>
      <c r="C82" s="2273"/>
      <c r="D82" s="2273"/>
      <c r="E82" s="2273" t="str">
        <f>'GHG data'!E246</f>
        <v>Formwork</v>
      </c>
      <c r="F82" s="2245">
        <f>$F$80</f>
        <v>0</v>
      </c>
      <c r="G82" s="2273"/>
      <c r="H82" s="2245">
        <f>IF(OR($F$20=$R$6,$F$20=$U$6),'GHG data'!I246,IF($F$20=$S$6,'GHG data'!L246,'GHG data'!O246))</f>
        <v>1.04</v>
      </c>
      <c r="I82" s="2245">
        <f>IF(OR($F$20=$R$6,$F$20=$U$6),'GHG data'!J246,IF($F$20=$S$6,'GHG data'!M246,'GHG data'!P246))</f>
        <v>0</v>
      </c>
      <c r="J82" s="2245">
        <f>IF(OR($F$20=$R$6,$F$20=$U$6),'GHG data'!K246,IF($F$20=$S$6,'GHG data'!N246,'GHG data'!Q246))</f>
        <v>1.04</v>
      </c>
      <c r="K82" s="2275"/>
      <c r="L82" s="2277">
        <f t="shared" si="10"/>
        <v>1.04</v>
      </c>
      <c r="M82" s="2275"/>
      <c r="N82" s="2274"/>
      <c r="O82" s="2279">
        <f t="shared" si="11"/>
        <v>1.04</v>
      </c>
      <c r="P82" s="1105" t="str">
        <f>'GHG data'!F246</f>
        <v>m2/m2</v>
      </c>
    </row>
    <row r="83" spans="2:16" hidden="1">
      <c r="B83" s="2271"/>
      <c r="C83" s="2273"/>
      <c r="D83" s="2273"/>
      <c r="E83" s="2273" t="str">
        <f>'GHG data'!E247</f>
        <v>Reinforcing bars</v>
      </c>
      <c r="F83" s="2245">
        <f>$F$80</f>
        <v>0</v>
      </c>
      <c r="G83" s="2273"/>
      <c r="H83" s="2245">
        <f>IF(OR($F$20=$R$6,$F$20=$U$6),'GHG data'!I247,IF($F$20=$S$6,'GHG data'!L247,'GHG data'!O247))</f>
        <v>9.2999999999999999E-2</v>
      </c>
      <c r="I83" s="2245">
        <f>IF(OR($F$20=$R$6,$F$20=$U$6),'GHG data'!J247,IF($F$20=$S$6,'GHG data'!M247,'GHG data'!P247))</f>
        <v>0</v>
      </c>
      <c r="J83" s="2245">
        <f>IF(OR($F$20=$R$6,$F$20=$U$6),'GHG data'!K247,IF($F$20=$S$6,'GHG data'!N247,'GHG data'!Q247))</f>
        <v>9.2999999999999999E-2</v>
      </c>
      <c r="K83" s="2275"/>
      <c r="L83" s="2277">
        <f t="shared" si="10"/>
        <v>9.2999999999999999E-2</v>
      </c>
      <c r="M83" s="2275"/>
      <c r="N83" s="2274"/>
      <c r="O83" s="2279">
        <f t="shared" si="11"/>
        <v>9.2999999999999999E-2</v>
      </c>
      <c r="P83" s="1105" t="str">
        <f>'GHG data'!F247</f>
        <v>t/m2</v>
      </c>
    </row>
    <row r="84" spans="2:16" hidden="1">
      <c r="B84" s="2271"/>
      <c r="C84" s="2273"/>
      <c r="D84" s="2273"/>
      <c r="E84" s="2273" t="str">
        <f>'GHG data'!E248</f>
        <v>Steel frame</v>
      </c>
      <c r="F84" s="2245">
        <f>$F$80</f>
        <v>0</v>
      </c>
      <c r="G84" s="2273"/>
      <c r="H84" s="2245">
        <f>IF(OR($F$20=$R$6,$F$20=$U$6),'GHG data'!I248,IF($F$20=$S$6,'GHG data'!L248,'GHG data'!O248))</f>
        <v>8.4000000000000005E-2</v>
      </c>
      <c r="I84" s="2245">
        <f>IF(OR($F$20=$R$6,$F$20=$U$6),'GHG data'!J248,IF($F$20=$S$6,'GHG data'!M248,'GHG data'!P248))</f>
        <v>0</v>
      </c>
      <c r="J84" s="2245">
        <f>IF(OR($F$20=$R$6,$F$20=$U$6),'GHG data'!K248,IF($F$20=$S$6,'GHG data'!N248,'GHG data'!Q248))</f>
        <v>8.4000000000000005E-2</v>
      </c>
      <c r="K84" s="2275"/>
      <c r="L84" s="2277">
        <f t="shared" si="10"/>
        <v>8.4000000000000005E-2</v>
      </c>
      <c r="M84" s="2275"/>
      <c r="N84" s="2274"/>
      <c r="O84" s="2279">
        <f t="shared" si="11"/>
        <v>8.4000000000000005E-2</v>
      </c>
      <c r="P84" s="1105" t="str">
        <f>'GHG data'!F248</f>
        <v>t/m2</v>
      </c>
    </row>
    <row r="85" spans="2:16" hidden="1">
      <c r="B85" s="2271"/>
      <c r="C85" s="2273"/>
      <c r="D85" s="2273"/>
      <c r="E85" s="2273" t="str">
        <f>'GHG data'!E249</f>
        <v>Deck plate</v>
      </c>
      <c r="F85" s="2245">
        <f>$F$80</f>
        <v>0</v>
      </c>
      <c r="G85" s="2273"/>
      <c r="H85" s="2245">
        <f>IF(OR($F$20=$R$6,$F$20=$U$6),'GHG data'!I249,IF($F$20=$S$6,'GHG data'!L249,'GHG data'!O249))</f>
        <v>0</v>
      </c>
      <c r="I85" s="2245">
        <f>IF(OR($F$20=$R$6,$F$20=$U$6),'GHG data'!J249,IF($F$20=$S$6,'GHG data'!M249,'GHG data'!P249))</f>
        <v>0</v>
      </c>
      <c r="J85" s="2245">
        <f>IF(OR($F$20=$R$6,$F$20=$U$6),'GHG data'!K249,IF($F$20=$S$6,'GHG data'!N249,'GHG data'!Q249))</f>
        <v>0</v>
      </c>
      <c r="K85" s="2275"/>
      <c r="L85" s="2277">
        <f t="shared" si="10"/>
        <v>0</v>
      </c>
      <c r="M85" s="2275"/>
      <c r="N85" s="2274"/>
      <c r="O85" s="2279">
        <f t="shared" si="11"/>
        <v>0</v>
      </c>
      <c r="P85" s="1105" t="str">
        <f>'GHG data'!F249</f>
        <v>m2/m2</v>
      </c>
    </row>
    <row r="86" spans="2:16" hidden="1">
      <c r="B86" s="2271"/>
      <c r="C86" s="2273"/>
      <c r="D86" s="2273" t="str">
        <f>'GHG data'!D250</f>
        <v>Apartments</v>
      </c>
      <c r="E86" s="2273" t="str">
        <f>'GHG data'!E250</f>
        <v>Regular concrete</v>
      </c>
      <c r="F86" s="2245">
        <f>F18</f>
        <v>0</v>
      </c>
      <c r="G86" s="2273"/>
      <c r="H86" s="2245">
        <f>IF(OR($F$20=$R$6,$F$20=$U$6),'GHG data'!I250,IF($F$20=$S$6,'GHG data'!L250,'GHG data'!O250))</f>
        <v>0.75</v>
      </c>
      <c r="I86" s="2245">
        <f>IF(OR($F$20=$R$6,$F$20=$U$6),'GHG data'!J250,IF($F$20=$S$6,'GHG data'!M250,'GHG data'!P250))</f>
        <v>0</v>
      </c>
      <c r="J86" s="2245">
        <f>IF(OR($F$20=$R$6,$F$20=$U$6),'GHG data'!K250,IF($F$20=$S$6,'GHG data'!N250,'GHG data'!Q250))</f>
        <v>0</v>
      </c>
      <c r="K86" s="2275"/>
      <c r="L86" s="2277">
        <f t="shared" si="10"/>
        <v>0.75</v>
      </c>
      <c r="M86" s="2275"/>
      <c r="N86" s="2274"/>
      <c r="O86" s="2278">
        <f>H86</f>
        <v>0.75</v>
      </c>
      <c r="P86" s="1105" t="str">
        <f>'GHG data'!F250</f>
        <v>m3/m2</v>
      </c>
    </row>
    <row r="87" spans="2:16" hidden="1">
      <c r="B87" s="2271"/>
      <c r="C87" s="2273"/>
      <c r="D87" s="2273"/>
      <c r="E87" s="2273" t="str">
        <f>'GHG data'!E251</f>
        <v>Blast furnace cement concrete</v>
      </c>
      <c r="F87" s="2245">
        <f>$F$86</f>
        <v>0</v>
      </c>
      <c r="G87" s="2273"/>
      <c r="H87" s="2245">
        <f>IF(OR($F$20=$R$6,$F$20=$U$6),'GHG data'!I251,IF($F$20=$S$6,'GHG data'!L251,'GHG data'!O251))</f>
        <v>0</v>
      </c>
      <c r="I87" s="2245">
        <f>IF(OR($F$20=$R$6,$F$20=$U$6),'GHG data'!J251,IF($F$20=$S$6,'GHG data'!M251,'GHG data'!P251))</f>
        <v>0</v>
      </c>
      <c r="J87" s="2245">
        <f>IF(OR($F$20=$R$6,$F$20=$U$6),'GHG data'!K251,IF($F$20=$S$6,'GHG data'!N251,'GHG data'!Q251))</f>
        <v>0.75</v>
      </c>
      <c r="K87" s="2275"/>
      <c r="L87" s="2277">
        <f t="shared" si="10"/>
        <v>0</v>
      </c>
      <c r="M87" s="2275"/>
      <c r="N87" s="2274"/>
      <c r="O87" s="2278">
        <f>H87</f>
        <v>0</v>
      </c>
      <c r="P87" s="1105" t="str">
        <f>'GHG data'!F251</f>
        <v>m3/m2</v>
      </c>
    </row>
    <row r="88" spans="2:16" hidden="1">
      <c r="B88" s="2271"/>
      <c r="C88" s="2273"/>
      <c r="D88" s="2273"/>
      <c r="E88" s="2273" t="str">
        <f>'GHG data'!E252</f>
        <v>Formwork</v>
      </c>
      <c r="F88" s="2245">
        <f>$F$86</f>
        <v>0</v>
      </c>
      <c r="G88" s="2273"/>
      <c r="H88" s="2245">
        <f>IF(OR($F$20=$R$6,$F$20=$U$6),'GHG data'!I252,IF($F$20=$S$6,'GHG data'!L252,'GHG data'!O252))</f>
        <v>1.0425</v>
      </c>
      <c r="I88" s="2245">
        <f>IF(OR($F$20=$R$6,$F$20=$U$6),'GHG data'!J252,IF($F$20=$S$6,'GHG data'!M252,'GHG data'!P252))</f>
        <v>0</v>
      </c>
      <c r="J88" s="2245">
        <f>IF(OR($F$20=$R$6,$F$20=$U$6),'GHG data'!K252,IF($F$20=$S$6,'GHG data'!N252,'GHG data'!Q252))</f>
        <v>1.0425</v>
      </c>
      <c r="K88" s="2275"/>
      <c r="L88" s="2277">
        <f t="shared" si="10"/>
        <v>1.0425</v>
      </c>
      <c r="M88" s="2275"/>
      <c r="N88" s="2274"/>
      <c r="O88" s="2279">
        <f t="shared" si="11"/>
        <v>1.0425</v>
      </c>
      <c r="P88" s="1105" t="str">
        <f>'GHG data'!F252</f>
        <v>m2/m2</v>
      </c>
    </row>
    <row r="89" spans="2:16" hidden="1">
      <c r="B89" s="2271"/>
      <c r="C89" s="2273"/>
      <c r="D89" s="2273"/>
      <c r="E89" s="2273" t="str">
        <f>'GHG data'!E253</f>
        <v>Reinforcing bars</v>
      </c>
      <c r="F89" s="2245">
        <f>$F$86</f>
        <v>0</v>
      </c>
      <c r="G89" s="2273"/>
      <c r="H89" s="2245">
        <f>IF(OR($F$20=$R$6,$F$20=$U$6),'GHG data'!I253,IF($F$20=$S$6,'GHG data'!L253,'GHG data'!O253))</f>
        <v>0.13600000000000001</v>
      </c>
      <c r="I89" s="2245">
        <f>IF(OR($F$20=$R$6,$F$20=$U$6),'GHG data'!J253,IF($F$20=$S$6,'GHG data'!M253,'GHG data'!P253))</f>
        <v>0</v>
      </c>
      <c r="J89" s="2245">
        <f>IF(OR($F$20=$R$6,$F$20=$U$6),'GHG data'!K253,IF($F$20=$S$6,'GHG data'!N253,'GHG data'!Q253))</f>
        <v>0.13600000000000001</v>
      </c>
      <c r="K89" s="2275"/>
      <c r="L89" s="2277">
        <f t="shared" si="10"/>
        <v>0.13600000000000001</v>
      </c>
      <c r="M89" s="2275"/>
      <c r="N89" s="2274"/>
      <c r="O89" s="2279">
        <f t="shared" si="11"/>
        <v>0.13600000000000001</v>
      </c>
      <c r="P89" s="1105" t="str">
        <f>'GHG data'!F253</f>
        <v>t/m2</v>
      </c>
    </row>
    <row r="90" spans="2:16" hidden="1">
      <c r="B90" s="2271"/>
      <c r="C90" s="2273"/>
      <c r="D90" s="2273"/>
      <c r="E90" s="2273" t="str">
        <f>'GHG data'!E254</f>
        <v>Steel frame</v>
      </c>
      <c r="F90" s="2245">
        <f>$F$86</f>
        <v>0</v>
      </c>
      <c r="G90" s="2273"/>
      <c r="H90" s="2245">
        <f>IF(OR($F$20=$R$6,$F$20=$U$6),'GHG data'!I254,IF($F$20=$S$6,'GHG data'!L254,'GHG data'!O254))</f>
        <v>5.1999999999999998E-2</v>
      </c>
      <c r="I90" s="2245">
        <f>IF(OR($F$20=$R$6,$F$20=$U$6),'GHG data'!J254,IF($F$20=$S$6,'GHG data'!M254,'GHG data'!P254))</f>
        <v>0</v>
      </c>
      <c r="J90" s="2245">
        <f>IF(OR($F$20=$R$6,$F$20=$U$6),'GHG data'!K254,IF($F$20=$S$6,'GHG data'!N254,'GHG data'!Q254))</f>
        <v>5.1999999999999998E-2</v>
      </c>
      <c r="K90" s="2275"/>
      <c r="L90" s="2277">
        <f t="shared" si="10"/>
        <v>5.1999999999999998E-2</v>
      </c>
      <c r="M90" s="2275"/>
      <c r="N90" s="2274"/>
      <c r="O90" s="2279">
        <f t="shared" si="11"/>
        <v>5.1999999999999998E-2</v>
      </c>
      <c r="P90" s="1105" t="str">
        <f>'GHG data'!F254</f>
        <v>t/m2</v>
      </c>
    </row>
    <row r="91" spans="2:16" hidden="1">
      <c r="B91" s="2271"/>
      <c r="C91" s="2273"/>
      <c r="D91" s="2273"/>
      <c r="E91" s="2273" t="str">
        <f>'GHG data'!E255</f>
        <v>Deck plate</v>
      </c>
      <c r="F91" s="2245">
        <f>$F$86</f>
        <v>0</v>
      </c>
      <c r="G91" s="2273"/>
      <c r="H91" s="2245">
        <f>IF(OR($F$20=$R$6,$F$20=$U$6),'GHG data'!I255,IF($F$20=$S$6,'GHG data'!L255,'GHG data'!O255))</f>
        <v>0</v>
      </c>
      <c r="I91" s="2245">
        <f>IF(OR($F$20=$R$6,$F$20=$U$6),'GHG data'!J255,IF($F$20=$S$6,'GHG data'!M255,'GHG data'!P255))</f>
        <v>0</v>
      </c>
      <c r="J91" s="2245">
        <f>IF(OR($F$20=$R$6,$F$20=$U$6),'GHG data'!K255,IF($F$20=$S$6,'GHG data'!N255,'GHG data'!Q255))</f>
        <v>0</v>
      </c>
      <c r="K91" s="2275"/>
      <c r="L91" s="2277">
        <f t="shared" si="10"/>
        <v>0</v>
      </c>
      <c r="M91" s="2275"/>
      <c r="N91" s="2274"/>
      <c r="O91" s="2279">
        <f t="shared" si="11"/>
        <v>0</v>
      </c>
      <c r="P91" s="1105" t="str">
        <f>'GHG data'!F255</f>
        <v>m2/m2</v>
      </c>
    </row>
    <row r="92" spans="2:16" hidden="1">
      <c r="B92" s="2258"/>
      <c r="C92" s="1150"/>
      <c r="D92" s="1150"/>
      <c r="E92" s="1150"/>
      <c r="F92" s="1150"/>
      <c r="G92" s="1150"/>
      <c r="H92" s="1150"/>
      <c r="I92" s="1150"/>
      <c r="J92" s="1150"/>
      <c r="K92" s="1150"/>
      <c r="L92" s="1150"/>
      <c r="M92" s="1150"/>
      <c r="N92" s="1150"/>
      <c r="O92" s="2261"/>
    </row>
    <row r="93" spans="2:16" hidden="1">
      <c r="B93" s="2271"/>
      <c r="C93" s="2273" t="s">
        <v>2303</v>
      </c>
      <c r="D93" s="2273" t="s">
        <v>1468</v>
      </c>
      <c r="E93" s="2273" t="str">
        <f>'GHG data'!E202</f>
        <v>Regular concrete</v>
      </c>
      <c r="F93" s="1150" t="str">
        <f>'GHG data'!F202</f>
        <v>m3/m2</v>
      </c>
      <c r="G93" s="1150"/>
      <c r="H93" s="1150"/>
      <c r="I93" s="1150"/>
      <c r="J93" s="1150"/>
      <c r="K93" s="2275"/>
      <c r="L93" s="2280">
        <f>$F38*L38+$F44*L44+$F50*L50+$F56*L56+$F62*L62+$F68*L68+$F74*L74+$F80*L80+$F86*L86</f>
        <v>0.69599999999999995</v>
      </c>
      <c r="M93" s="2275"/>
      <c r="N93" s="2281"/>
      <c r="O93" s="2280">
        <f>$F38*O38+$F44*O44+$F50*O50+$F56*O56+$F62*O62+$F68*O68+$F74*O74+$F80*O80+$F86*O86</f>
        <v>0.69599999999999995</v>
      </c>
    </row>
    <row r="94" spans="2:16" hidden="1">
      <c r="B94" s="2271"/>
      <c r="C94" s="2273"/>
      <c r="D94" s="2273"/>
      <c r="E94" s="2273" t="str">
        <f>'GHG data'!E203</f>
        <v>Blast furnace cement concrete</v>
      </c>
      <c r="F94" s="1150" t="str">
        <f>'GHG data'!F203</f>
        <v>m3/m2</v>
      </c>
      <c r="G94" s="1150"/>
      <c r="H94" s="1150"/>
      <c r="I94" s="1150"/>
      <c r="J94" s="1150"/>
      <c r="K94" s="2275"/>
      <c r="L94" s="2282">
        <f t="shared" ref="L94:L98" si="12">$F39*L39+$F45*L45+$F51*L51+$F57*L57+$F63*L63+$F69*L69+$F75*L75+$F81*L81+$F87*L87</f>
        <v>0</v>
      </c>
      <c r="M94" s="2275"/>
      <c r="N94" s="2281"/>
      <c r="O94" s="2282">
        <f t="shared" ref="O94:O98" si="13">$F39*O39+$F45*O45+$F51*O51+$F57*O57+$F63*O63+$F69*O69+$F75*O75+$F81*O81+$F87*O87</f>
        <v>0</v>
      </c>
    </row>
    <row r="95" spans="2:16" hidden="1">
      <c r="B95" s="2271"/>
      <c r="C95" s="2273"/>
      <c r="D95" s="2273"/>
      <c r="E95" s="2273" t="str">
        <f>'GHG data'!E204</f>
        <v>Formwork</v>
      </c>
      <c r="F95" s="1150" t="str">
        <f>'GHG data'!F204</f>
        <v>m2/m2</v>
      </c>
      <c r="G95" s="1150"/>
      <c r="H95" s="1150"/>
      <c r="I95" s="1150"/>
      <c r="J95" s="1150"/>
      <c r="K95" s="2275"/>
      <c r="L95" s="2282">
        <f t="shared" si="12"/>
        <v>0.66749999999999998</v>
      </c>
      <c r="M95" s="2275"/>
      <c r="N95" s="2281"/>
      <c r="O95" s="2282">
        <f t="shared" si="13"/>
        <v>0.66749999999999998</v>
      </c>
    </row>
    <row r="96" spans="2:16" hidden="1">
      <c r="B96" s="2271"/>
      <c r="C96" s="2273"/>
      <c r="D96" s="2273"/>
      <c r="E96" s="2273" t="str">
        <f>'GHG data'!E205</f>
        <v>Reinforcing bars</v>
      </c>
      <c r="F96" s="1150" t="str">
        <f>'GHG data'!F205</f>
        <v>t/m2</v>
      </c>
      <c r="G96" s="1150"/>
      <c r="H96" s="1150"/>
      <c r="I96" s="1150"/>
      <c r="J96" s="1150"/>
      <c r="K96" s="2275"/>
      <c r="L96" s="2282">
        <f t="shared" si="12"/>
        <v>7.8E-2</v>
      </c>
      <c r="M96" s="2275"/>
      <c r="N96" s="2281"/>
      <c r="O96" s="2282">
        <f t="shared" si="13"/>
        <v>7.8E-2</v>
      </c>
    </row>
    <row r="97" spans="2:15" hidden="1">
      <c r="B97" s="2271"/>
      <c r="C97" s="2273"/>
      <c r="D97" s="2273"/>
      <c r="E97" s="2273" t="str">
        <f>'GHG data'!E206</f>
        <v>Steel frame</v>
      </c>
      <c r="F97" s="1150" t="str">
        <f>'GHG data'!F206</f>
        <v>t/m2</v>
      </c>
      <c r="G97" s="1150"/>
      <c r="H97" s="1150"/>
      <c r="I97" s="1150"/>
      <c r="J97" s="1150"/>
      <c r="K97" s="2275"/>
      <c r="L97" s="2282">
        <f t="shared" si="12"/>
        <v>0.1</v>
      </c>
      <c r="M97" s="2275"/>
      <c r="N97" s="2281"/>
      <c r="O97" s="2282">
        <f t="shared" si="13"/>
        <v>0.1</v>
      </c>
    </row>
    <row r="98" spans="2:15" ht="15" hidden="1" thickBot="1">
      <c r="B98" s="2271"/>
      <c r="C98" s="2273"/>
      <c r="D98" s="2273"/>
      <c r="E98" s="2273" t="str">
        <f>'GHG data'!E207</f>
        <v>Deck plate</v>
      </c>
      <c r="F98" s="1150" t="str">
        <f>'GHG data'!F207</f>
        <v>m2/m2</v>
      </c>
      <c r="G98" s="1150"/>
      <c r="H98" s="1150"/>
      <c r="I98" s="1150"/>
      <c r="J98" s="1150"/>
      <c r="K98" s="2275"/>
      <c r="L98" s="2283">
        <f t="shared" si="12"/>
        <v>0</v>
      </c>
      <c r="M98" s="2275"/>
      <c r="N98" s="2281"/>
      <c r="O98" s="2283">
        <f t="shared" si="13"/>
        <v>0</v>
      </c>
    </row>
    <row r="99" spans="2:15">
      <c r="B99" s="2258"/>
      <c r="C99" s="2204" t="s">
        <v>2309</v>
      </c>
      <c r="D99" s="2242"/>
      <c r="E99" s="1150"/>
      <c r="F99" s="1150"/>
      <c r="G99" s="1150"/>
      <c r="H99" s="1150"/>
      <c r="I99" s="1150"/>
      <c r="J99" s="1150"/>
      <c r="K99" s="1150"/>
      <c r="L99" s="1150"/>
      <c r="M99" s="1150"/>
      <c r="N99" s="1150"/>
      <c r="O99" s="2261"/>
    </row>
    <row r="100" spans="2:15">
      <c r="B100" s="2258"/>
      <c r="C100" s="1150"/>
      <c r="D100" s="1150"/>
      <c r="E100" s="1150"/>
      <c r="F100" s="1150" t="s">
        <v>2270</v>
      </c>
      <c r="G100" s="1150"/>
      <c r="H100" s="1150"/>
      <c r="I100" s="1150" t="s">
        <v>2271</v>
      </c>
      <c r="J100" s="1150"/>
      <c r="K100" s="1150"/>
      <c r="L100" s="1150"/>
      <c r="M100" s="1150"/>
      <c r="N100" s="1150"/>
      <c r="O100" s="2261"/>
    </row>
    <row r="101" spans="2:15" ht="15.75">
      <c r="B101" s="2258"/>
      <c r="C101" s="1150"/>
      <c r="D101" s="1150"/>
      <c r="E101" s="2206" t="str">
        <f>'GHG data'!D183</f>
        <v>Solar power generation system</v>
      </c>
      <c r="F101" s="2245">
        <f>'LR1'!I85</f>
        <v>0</v>
      </c>
      <c r="G101" s="1150" t="s">
        <v>1373</v>
      </c>
      <c r="H101" s="1150"/>
      <c r="I101" s="2245">
        <f>HLOOKUP(F103,'GHG data'!I182:K184,2)</f>
        <v>19.34</v>
      </c>
      <c r="J101" s="1150" t="s">
        <v>2312</v>
      </c>
      <c r="K101" s="1150"/>
      <c r="L101" s="2245">
        <f>F101*I101/$F$136</f>
        <v>0</v>
      </c>
      <c r="M101" s="1150"/>
      <c r="N101" s="1150"/>
      <c r="O101" s="2261"/>
    </row>
    <row r="102" spans="2:15" ht="15.75">
      <c r="B102" s="2258"/>
      <c r="C102" s="2204"/>
      <c r="D102" s="2242"/>
      <c r="E102" s="1150" t="str">
        <f>'GHG data'!D184</f>
        <v>Battery</v>
      </c>
      <c r="F102" s="2245">
        <f>'LR1'!M85</f>
        <v>0</v>
      </c>
      <c r="G102" s="1150" t="s">
        <v>1374</v>
      </c>
      <c r="H102" s="1150"/>
      <c r="I102" s="2245">
        <f>HLOOKUP(F103,'GHG data'!I182:K184,3)</f>
        <v>3.33</v>
      </c>
      <c r="J102" s="1150" t="s">
        <v>2313</v>
      </c>
      <c r="K102" s="1150"/>
      <c r="L102" s="2245">
        <f>F102*I102/$F$136</f>
        <v>0</v>
      </c>
      <c r="M102" s="1150"/>
      <c r="N102" s="1150"/>
      <c r="O102" s="2261"/>
    </row>
    <row r="103" spans="2:15">
      <c r="B103" s="2258"/>
      <c r="C103" s="1150"/>
      <c r="D103" s="2284"/>
      <c r="E103" s="2206" t="s">
        <v>3425</v>
      </c>
      <c r="F103" s="2285">
        <f>H35</f>
        <v>60</v>
      </c>
      <c r="G103" s="1150"/>
      <c r="H103" s="2284" t="str">
        <f>R35&amp;" assumed (same as 2-2)"</f>
        <v>Office, assumed (same as 2-2)</v>
      </c>
      <c r="I103" s="1150"/>
      <c r="J103" s="1150"/>
      <c r="K103" s="1150"/>
      <c r="L103" s="1150"/>
      <c r="M103" s="1150"/>
      <c r="N103" s="1150"/>
      <c r="O103" s="2261"/>
    </row>
    <row r="104" spans="2:15" ht="15" thickBot="1">
      <c r="B104" s="2258"/>
      <c r="C104" s="1150"/>
      <c r="D104" s="1150"/>
      <c r="E104" s="1150"/>
      <c r="F104" s="1150"/>
      <c r="G104" s="1150"/>
      <c r="H104" s="1150"/>
      <c r="I104" s="1150"/>
      <c r="J104" s="1150"/>
      <c r="K104" s="1150"/>
      <c r="L104" s="1150"/>
      <c r="M104" s="1150"/>
      <c r="N104" s="1150"/>
      <c r="O104" s="2261"/>
    </row>
    <row r="105" spans="2:15" ht="15" thickBot="1">
      <c r="B105" s="2258"/>
      <c r="C105" s="2204" t="s">
        <v>2269</v>
      </c>
      <c r="D105" s="2242"/>
      <c r="E105" s="2243"/>
      <c r="F105" s="1150"/>
      <c r="G105" s="1150"/>
      <c r="H105" s="1150"/>
      <c r="I105" s="1150"/>
      <c r="J105" s="1150"/>
      <c r="K105" s="2206" t="s">
        <v>2273</v>
      </c>
      <c r="L105" s="2286">
        <f>SUMPRODUCT(F10:F18,L10:L18)</f>
        <v>18.22</v>
      </c>
      <c r="M105" s="1150"/>
      <c r="N105" s="2206" t="s">
        <v>2272</v>
      </c>
      <c r="O105" s="2286">
        <f>SUMPRODUCT(F10:F18,O10:O18)</f>
        <v>18.22</v>
      </c>
    </row>
    <row r="106" spans="2:15" ht="15" thickBot="1">
      <c r="B106" s="2258"/>
      <c r="C106" s="1150"/>
      <c r="D106" s="1150"/>
      <c r="E106" s="1150"/>
      <c r="F106" s="1150"/>
      <c r="G106" s="1150"/>
      <c r="H106" s="1150"/>
      <c r="I106" s="1150"/>
      <c r="J106" s="1150"/>
      <c r="K106" s="2206" t="s">
        <v>2274</v>
      </c>
      <c r="L106" s="2287">
        <f>L105+L101+L102</f>
        <v>18.22</v>
      </c>
      <c r="M106" s="1150"/>
      <c r="N106" s="1150"/>
      <c r="O106" s="2261"/>
    </row>
    <row r="107" spans="2:15">
      <c r="B107" s="2258"/>
      <c r="C107" s="1150"/>
      <c r="D107" s="1150"/>
      <c r="E107" s="1150"/>
      <c r="F107" s="1150"/>
      <c r="G107" s="1150"/>
      <c r="H107" s="1150"/>
      <c r="I107" s="1150"/>
      <c r="J107" s="1150"/>
      <c r="K107" s="2206"/>
      <c r="L107" s="1150"/>
      <c r="M107" s="1150"/>
      <c r="N107" s="1150"/>
      <c r="O107" s="2261"/>
    </row>
    <row r="108" spans="2:15" ht="15">
      <c r="B108" s="2203" t="s">
        <v>2279</v>
      </c>
      <c r="C108" s="2243"/>
      <c r="D108" s="2242"/>
      <c r="E108" s="2243"/>
      <c r="F108" s="1150"/>
      <c r="G108" s="1150"/>
      <c r="H108" s="2235"/>
      <c r="I108" s="2240"/>
      <c r="J108" s="2240"/>
      <c r="K108" s="2240"/>
      <c r="L108" s="2240"/>
      <c r="M108" s="2240"/>
      <c r="N108" s="2240"/>
      <c r="O108" s="2288"/>
    </row>
    <row r="109" spans="2:15" ht="15.75">
      <c r="B109" s="2203"/>
      <c r="C109" s="2204" t="s">
        <v>2294</v>
      </c>
      <c r="D109" s="2242"/>
      <c r="E109" s="2243"/>
      <c r="F109" s="1150"/>
      <c r="G109" s="1150"/>
      <c r="H109" s="2235"/>
      <c r="I109" s="2240"/>
      <c r="J109" s="2235"/>
      <c r="K109" s="2240"/>
      <c r="L109" s="2235" t="s">
        <v>2085</v>
      </c>
      <c r="M109" s="2240"/>
      <c r="N109" s="2240"/>
      <c r="O109" s="2236" t="s">
        <v>2085</v>
      </c>
    </row>
    <row r="110" spans="2:15" ht="22.5">
      <c r="B110" s="2238"/>
      <c r="C110" s="2242"/>
      <c r="D110" s="2242" t="str">
        <f>D9</f>
        <v>Q2/2.2.1 Service Life of Structural Frame Materials</v>
      </c>
      <c r="E110" s="2243"/>
      <c r="F110" s="2210" t="s">
        <v>2306</v>
      </c>
      <c r="G110" s="2243"/>
      <c r="H110" s="2208" t="s">
        <v>1972</v>
      </c>
      <c r="I110" s="2208" t="s">
        <v>1973</v>
      </c>
      <c r="J110" s="2208" t="s">
        <v>1974</v>
      </c>
      <c r="K110" s="2209" t="s">
        <v>125</v>
      </c>
      <c r="L110" s="3154" t="s">
        <v>2295</v>
      </c>
      <c r="M110" s="2243"/>
      <c r="N110" s="2209" t="s">
        <v>125</v>
      </c>
      <c r="O110" s="3155" t="str">
        <f>L110</f>
        <v>GHG emission</v>
      </c>
    </row>
    <row r="111" spans="2:15">
      <c r="B111" s="2238"/>
      <c r="C111" s="2242"/>
      <c r="D111" s="2242"/>
      <c r="E111" s="2326" t="str">
        <f>E10</f>
        <v>Office</v>
      </c>
      <c r="F111" s="2245">
        <f t="shared" ref="F111:F119" si="14">F10</f>
        <v>1</v>
      </c>
      <c r="G111" s="2243"/>
      <c r="H111" s="2245">
        <f>IF(OR($F$20=$R$6,$F$20=$U$6),'GHG data'!I67,IF($F$20=$S$6,'GHG data'!L67,'GHG data'!O67))</f>
        <v>20.11</v>
      </c>
      <c r="I111" s="2245">
        <f>IF(OR($F$20=$R$6,$F$20=$U$6),'GHG data'!J67,IF($F$20=$S$6,'GHG data'!M67,'GHG data'!P67))</f>
        <v>20.11</v>
      </c>
      <c r="J111" s="2245">
        <f>IF(OR($F$20=$R$6,$F$20=$U$6),'GHG data'!K67,IF($F$20=$S$6,'GHG data'!N67,'GHG data'!Q67))</f>
        <v>20.11</v>
      </c>
      <c r="K111" s="2247">
        <f>Score!Q83</f>
        <v>3</v>
      </c>
      <c r="L111" s="2248">
        <f t="shared" ref="L111:L119" si="15">IF(K111&gt;=5,$J111,IF(K111&gt;=4,$I111,$H111))</f>
        <v>20.11</v>
      </c>
      <c r="M111" s="2243"/>
      <c r="N111" s="2247">
        <v>3</v>
      </c>
      <c r="O111" s="2249">
        <f>IF(OR($F$20=$R$6,$F$20=$U$6),'GHG data'!I65,IF($F$20=$S$6,'GHG data'!L65,'GHG data'!O65))</f>
        <v>20.11</v>
      </c>
    </row>
    <row r="112" spans="2:15">
      <c r="B112" s="2238"/>
      <c r="C112" s="2243"/>
      <c r="D112" s="2242"/>
      <c r="E112" s="2326" t="str">
        <f t="shared" ref="E112:E119" si="16">E11</f>
        <v>School</v>
      </c>
      <c r="F112" s="2245">
        <f t="shared" si="14"/>
        <v>0</v>
      </c>
      <c r="G112" s="2243"/>
      <c r="H112" s="2245">
        <f>IF(OR($F$20=$R$6,$F$20=$U$6),'GHG data'!I70,IF($F$20=$S$6,'GHG data'!L70,'GHG data'!O70))</f>
        <v>14.59</v>
      </c>
      <c r="I112" s="2245">
        <f>IF(OR($F$20=$R$6,$F$20=$U$6),'GHG data'!J70,IF($F$20=$S$6,'GHG data'!M70,'GHG data'!P70))</f>
        <v>14.59</v>
      </c>
      <c r="J112" s="2245">
        <f>IF(OR($F$20=$R$6,$F$20=$U$6),'GHG data'!K70,IF($F$20=$S$6,'GHG data'!N70,'GHG data'!Q70))</f>
        <v>14.59</v>
      </c>
      <c r="K112" s="2247">
        <f t="shared" ref="K112:K119" si="17">K$111</f>
        <v>3</v>
      </c>
      <c r="L112" s="2248">
        <f t="shared" si="15"/>
        <v>14.59</v>
      </c>
      <c r="M112" s="2243"/>
      <c r="N112" s="2247">
        <v>3</v>
      </c>
      <c r="O112" s="2249">
        <f>IF(OR($F$20=$R$6,$F$20=$U$6),'GHG data'!I68,IF($F$20=$S$6,'GHG data'!L68,'GHG data'!O68))</f>
        <v>14.59</v>
      </c>
    </row>
    <row r="113" spans="2:15">
      <c r="B113" s="2238"/>
      <c r="C113" s="2243"/>
      <c r="D113" s="1150"/>
      <c r="E113" s="2326" t="str">
        <f t="shared" si="16"/>
        <v>Retailers</v>
      </c>
      <c r="F113" s="2245">
        <f t="shared" si="14"/>
        <v>0</v>
      </c>
      <c r="G113" s="2243"/>
      <c r="H113" s="2245">
        <f>IF(OR($F$20=$R$6,$F$20=$U$6),'GHG data'!I73,IF($F$20=$S$6,'GHG data'!L73,'GHG data'!O73))</f>
        <v>8.7100000000000009</v>
      </c>
      <c r="I113" s="2245">
        <f>IF(OR($F$20=$R$6,$F$20=$U$6),'GHG data'!J73,IF($F$20=$S$6,'GHG data'!M73,'GHG data'!P73))</f>
        <v>8.7100000000000009</v>
      </c>
      <c r="J113" s="2245">
        <f>IF(OR($F$20=$R$6,$F$20=$U$6),'GHG data'!K73,IF($F$20=$S$6,'GHG data'!N73,'GHG data'!Q73))</f>
        <v>8.7100000000000009</v>
      </c>
      <c r="K113" s="2247">
        <f t="shared" si="17"/>
        <v>3</v>
      </c>
      <c r="L113" s="2248">
        <f t="shared" si="15"/>
        <v>8.7100000000000009</v>
      </c>
      <c r="M113" s="2243"/>
      <c r="N113" s="2247">
        <v>3</v>
      </c>
      <c r="O113" s="2249">
        <f>IF(OR($F$20=$R$6,$F$20=$U$6),'GHG data'!I71,IF($F$20=$S$6,'GHG data'!L71,'GHG data'!O71))</f>
        <v>8.7100000000000009</v>
      </c>
    </row>
    <row r="114" spans="2:15">
      <c r="B114" s="2238"/>
      <c r="C114" s="2243"/>
      <c r="D114" s="2242"/>
      <c r="E114" s="2326" t="str">
        <f t="shared" si="16"/>
        <v>Restaurants</v>
      </c>
      <c r="F114" s="2245">
        <f t="shared" si="14"/>
        <v>0</v>
      </c>
      <c r="G114" s="2243"/>
      <c r="H114" s="2245">
        <f>IF(OR($F$20=$R$6,$F$20=$U$6),'GHG data'!I76,IF($F$20=$S$6,'GHG data'!L76,'GHG data'!O76))</f>
        <v>8.7100000000000009</v>
      </c>
      <c r="I114" s="2245">
        <f>IF(OR($F$20=$R$6,$F$20=$U$6),'GHG data'!J76,IF($F$20=$S$6,'GHG data'!M76,'GHG data'!P76))</f>
        <v>8.7100000000000009</v>
      </c>
      <c r="J114" s="2245">
        <f>IF(OR($F$20=$R$6,$F$20=$U$6),'GHG data'!K76,IF($F$20=$S$6,'GHG data'!N76,'GHG data'!Q76))</f>
        <v>8.7100000000000009</v>
      </c>
      <c r="K114" s="2247">
        <f t="shared" si="17"/>
        <v>3</v>
      </c>
      <c r="L114" s="2248">
        <f t="shared" si="15"/>
        <v>8.7100000000000009</v>
      </c>
      <c r="M114" s="2243"/>
      <c r="N114" s="2247">
        <v>3</v>
      </c>
      <c r="O114" s="2249">
        <f>IF(OR($F$20=$R$6,$F$20=$U$6),'GHG data'!I74,IF($F$20=$S$6,'GHG data'!L74,'GHG data'!O74))</f>
        <v>8.7100000000000009</v>
      </c>
    </row>
    <row r="115" spans="2:15">
      <c r="B115" s="2238"/>
      <c r="C115" s="1150"/>
      <c r="D115" s="1150"/>
      <c r="E115" s="2326" t="str">
        <f t="shared" si="16"/>
        <v>Halls</v>
      </c>
      <c r="F115" s="2245">
        <f t="shared" si="14"/>
        <v>0</v>
      </c>
      <c r="G115" s="2243"/>
      <c r="H115" s="2245">
        <f>IF(OR($F$20=$R$6,$F$20=$U$6),'GHG data'!I79,IF($F$20=$S$6,'GHG data'!L79,'GHG data'!O79))</f>
        <v>17.54</v>
      </c>
      <c r="I115" s="2245">
        <f>IF(OR($F$20=$R$6,$F$20=$U$6),'GHG data'!J79,IF($F$20=$S$6,'GHG data'!M79,'GHG data'!P79))</f>
        <v>17.54</v>
      </c>
      <c r="J115" s="2245">
        <f>IF(OR($F$20=$R$6,$F$20=$U$6),'GHG data'!K79,IF($F$20=$S$6,'GHG data'!N79,'GHG data'!Q79))</f>
        <v>17.54</v>
      </c>
      <c r="K115" s="2247">
        <f t="shared" si="17"/>
        <v>3</v>
      </c>
      <c r="L115" s="2248">
        <f t="shared" si="15"/>
        <v>17.54</v>
      </c>
      <c r="M115" s="2243"/>
      <c r="N115" s="2247">
        <v>3</v>
      </c>
      <c r="O115" s="2249">
        <f>IF(OR($F$20=$R$6,$F$20=$U$6),'GHG data'!I77,IF($F$20=$S$6,'GHG data'!L77,'GHG data'!O77))</f>
        <v>17.54</v>
      </c>
    </row>
    <row r="116" spans="2:15">
      <c r="B116" s="2238"/>
      <c r="C116" s="1150"/>
      <c r="D116" s="1150"/>
      <c r="E116" s="2326" t="str">
        <f t="shared" si="16"/>
        <v>Factories</v>
      </c>
      <c r="F116" s="2245">
        <f t="shared" si="14"/>
        <v>0</v>
      </c>
      <c r="G116" s="2243"/>
      <c r="H116" s="2245">
        <f>IF(OR($F$20=$R$6,$F$20=$U$6),'GHG data'!I82,IF($F$20=$S$6,'GHG data'!L82,'GHG data'!O82))</f>
        <v>9.9600000000000009</v>
      </c>
      <c r="I116" s="2245">
        <f>IF(OR($F$20=$R$6,$F$20=$U$6),'GHG data'!J82,IF($F$20=$S$6,'GHG data'!M82,'GHG data'!P82))</f>
        <v>9.9600000000000009</v>
      </c>
      <c r="J116" s="2245">
        <f>IF(OR($F$20=$R$6,$F$20=$U$6),'GHG data'!K82,IF($F$20=$S$6,'GHG data'!N82,'GHG data'!Q82))</f>
        <v>9.9600000000000009</v>
      </c>
      <c r="K116" s="2247">
        <f t="shared" si="17"/>
        <v>3</v>
      </c>
      <c r="L116" s="2248">
        <f t="shared" si="15"/>
        <v>9.9600000000000009</v>
      </c>
      <c r="M116" s="2243"/>
      <c r="N116" s="2247">
        <v>3</v>
      </c>
      <c r="O116" s="2249">
        <f>IF(OR($F$20=$R$6,$F$20=$U$6),'GHG data'!I80,IF($F$20=$S$6,'GHG data'!L80,'GHG data'!O80))</f>
        <v>9.9600000000000009</v>
      </c>
    </row>
    <row r="117" spans="2:15">
      <c r="B117" s="2238"/>
      <c r="C117" s="1150"/>
      <c r="D117" s="1150"/>
      <c r="E117" s="2326" t="str">
        <f t="shared" si="16"/>
        <v>Hospitals</v>
      </c>
      <c r="F117" s="2245">
        <f t="shared" si="14"/>
        <v>0</v>
      </c>
      <c r="G117" s="2243"/>
      <c r="H117" s="2245">
        <f>IF(OR($F$20=$R$6,$F$20=$U$6),'GHG data'!I85,IF($F$20=$S$6,'GHG data'!L85,'GHG data'!O85))</f>
        <v>19.66</v>
      </c>
      <c r="I117" s="2245">
        <f>IF(OR($F$20=$R$6,$F$20=$U$6),'GHG data'!J85,IF($F$20=$S$6,'GHG data'!M85,'GHG data'!P85))</f>
        <v>19.66</v>
      </c>
      <c r="J117" s="2245">
        <f>IF(OR($F$20=$R$6,$F$20=$U$6),'GHG data'!K85,IF($F$20=$S$6,'GHG data'!N85,'GHG data'!Q85))</f>
        <v>19.66</v>
      </c>
      <c r="K117" s="2247">
        <f t="shared" si="17"/>
        <v>3</v>
      </c>
      <c r="L117" s="2248">
        <f t="shared" si="15"/>
        <v>19.66</v>
      </c>
      <c r="M117" s="2243"/>
      <c r="N117" s="2247">
        <v>3</v>
      </c>
      <c r="O117" s="2249">
        <f>IF(OR($F$20=$R$6,$F$20=$U$6),'GHG data'!I83,IF($F$20=$S$6,'GHG data'!L83,'GHG data'!O83))</f>
        <v>19.66</v>
      </c>
    </row>
    <row r="118" spans="2:15">
      <c r="B118" s="2238"/>
      <c r="C118" s="1150"/>
      <c r="D118" s="1150"/>
      <c r="E118" s="2326" t="str">
        <f t="shared" si="16"/>
        <v>Hotels</v>
      </c>
      <c r="F118" s="2245">
        <f t="shared" si="14"/>
        <v>0</v>
      </c>
      <c r="G118" s="2243"/>
      <c r="H118" s="2245">
        <f>IF(OR($F$20=$R$6,$F$20=$U$6),'GHG data'!I88,IF($F$20=$S$6,'GHG data'!L88,'GHG data'!O88))</f>
        <v>22.25</v>
      </c>
      <c r="I118" s="2245">
        <f>IF(OR($F$20=$R$6,$F$20=$U$6),'GHG data'!J88,IF($F$20=$S$6,'GHG data'!M88,'GHG data'!P88))</f>
        <v>22.25</v>
      </c>
      <c r="J118" s="2245">
        <f>IF(OR($F$20=$R$6,$F$20=$U$6),'GHG data'!K88,IF($F$20=$S$6,'GHG data'!N88,'GHG data'!Q88))</f>
        <v>22.25</v>
      </c>
      <c r="K118" s="2247">
        <f t="shared" si="17"/>
        <v>3</v>
      </c>
      <c r="L118" s="2248">
        <f t="shared" si="15"/>
        <v>22.25</v>
      </c>
      <c r="M118" s="2243"/>
      <c r="N118" s="2247">
        <v>3</v>
      </c>
      <c r="O118" s="2249">
        <f>IF(OR($F$20=$R$6,$F$20=$U$6),'GHG data'!I86,IF($F$20=$S$6,'GHG data'!L86,'GHG data'!O86))</f>
        <v>22.25</v>
      </c>
    </row>
    <row r="119" spans="2:15">
      <c r="B119" s="2238"/>
      <c r="C119" s="1150"/>
      <c r="D119" s="1150"/>
      <c r="E119" s="2326" t="str">
        <f t="shared" si="16"/>
        <v>Apartments</v>
      </c>
      <c r="F119" s="2245">
        <f t="shared" si="14"/>
        <v>0</v>
      </c>
      <c r="G119" s="2243"/>
      <c r="H119" s="2245">
        <f>IF(OR($F$20=$R$6,$F$20=$U$6),'GHG data'!I91,IF($F$20=$S$6,'GHG data'!L91,'GHG data'!O91))</f>
        <v>10.89</v>
      </c>
      <c r="I119" s="2245">
        <f>IF(OR($F$20=$R$6,$F$20=$U$6),'GHG data'!J91,IF($F$20=$S$6,'GHG data'!M91,'GHG data'!P91))</f>
        <v>12.24</v>
      </c>
      <c r="J119" s="2245">
        <f>IF(OR($F$20=$R$6,$F$20=$U$6),'GHG data'!K91,IF($F$20=$S$6,'GHG data'!N91,'GHG data'!Q91))</f>
        <v>12.55</v>
      </c>
      <c r="K119" s="2247">
        <f t="shared" si="17"/>
        <v>3</v>
      </c>
      <c r="L119" s="2248">
        <f t="shared" si="15"/>
        <v>10.89</v>
      </c>
      <c r="M119" s="2243"/>
      <c r="N119" s="2247">
        <v>3</v>
      </c>
      <c r="O119" s="2249">
        <f>IF(OR($F$20=$R$6,$F$20=$U$6),'GHG data'!I89,IF($F$20=$S$6,'GHG data'!L89,'GHG data'!O89))</f>
        <v>10.89</v>
      </c>
    </row>
    <row r="120" spans="2:15">
      <c r="B120" s="2238"/>
      <c r="C120" s="1150"/>
      <c r="D120" s="1150"/>
      <c r="E120" s="1150"/>
      <c r="F120" s="1150"/>
      <c r="G120" s="1150"/>
      <c r="H120" s="1150"/>
      <c r="I120" s="1150"/>
      <c r="J120" s="1150"/>
      <c r="K120" s="1150"/>
      <c r="L120" s="1150"/>
      <c r="M120" s="1150"/>
      <c r="N120" s="1150"/>
      <c r="O120" s="2261"/>
    </row>
    <row r="121" spans="2:15">
      <c r="B121" s="2258"/>
      <c r="C121" s="2204" t="s">
        <v>2277</v>
      </c>
      <c r="D121" s="2242"/>
      <c r="E121" s="1150"/>
      <c r="F121" s="1150"/>
      <c r="G121" s="1150"/>
      <c r="H121" s="1150"/>
      <c r="I121" s="1150"/>
      <c r="J121" s="1150"/>
      <c r="K121" s="1150"/>
      <c r="L121" s="1150"/>
      <c r="M121" s="1150"/>
      <c r="N121" s="1150"/>
      <c r="O121" s="2261"/>
    </row>
    <row r="122" spans="2:15">
      <c r="B122" s="2258"/>
      <c r="C122" s="1150"/>
      <c r="D122" s="1150"/>
      <c r="E122" s="1150"/>
      <c r="F122" s="1150" t="s">
        <v>2270</v>
      </c>
      <c r="G122" s="1150"/>
      <c r="H122" s="1150"/>
      <c r="I122" s="1150" t="s">
        <v>2271</v>
      </c>
      <c r="J122" s="1150"/>
      <c r="K122" s="1150"/>
      <c r="L122" s="1150"/>
      <c r="M122" s="1150"/>
      <c r="N122" s="1150"/>
      <c r="O122" s="2261"/>
    </row>
    <row r="123" spans="2:15" ht="15.75">
      <c r="B123" s="2258"/>
      <c r="C123" s="1150"/>
      <c r="D123" s="1150"/>
      <c r="E123" s="2206" t="str">
        <f>E101</f>
        <v>Solar power generation system</v>
      </c>
      <c r="F123" s="2245">
        <f>F101</f>
        <v>0</v>
      </c>
      <c r="G123" s="1150" t="s">
        <v>1373</v>
      </c>
      <c r="H123" s="1150"/>
      <c r="I123" s="2245">
        <f>HLOOKUP(F103,'GHG data'!L182:N184,2)</f>
        <v>39.006662305281083</v>
      </c>
      <c r="J123" s="1150" t="s">
        <v>2312</v>
      </c>
      <c r="K123" s="1150"/>
      <c r="L123" s="2245">
        <f>F123*I123/$F$136</f>
        <v>0</v>
      </c>
      <c r="M123" s="1150"/>
      <c r="N123" s="1150"/>
      <c r="O123" s="2261"/>
    </row>
    <row r="124" spans="2:15" ht="15.75">
      <c r="B124" s="2258"/>
      <c r="C124" s="2204"/>
      <c r="D124" s="2242"/>
      <c r="E124" s="1150" t="str">
        <f>E102</f>
        <v>Battery</v>
      </c>
      <c r="F124" s="2245">
        <f>F102</f>
        <v>0</v>
      </c>
      <c r="G124" s="1150" t="s">
        <v>1374</v>
      </c>
      <c r="H124" s="1150"/>
      <c r="I124" s="2245">
        <f>HLOOKUP(F103,'GHG data'!L182:N184,3)</f>
        <v>6.7022729244710701</v>
      </c>
      <c r="J124" s="1150" t="s">
        <v>2313</v>
      </c>
      <c r="K124" s="1150"/>
      <c r="L124" s="2245">
        <f>F124*I124/$F$136</f>
        <v>0</v>
      </c>
      <c r="M124" s="1150"/>
      <c r="N124" s="1150"/>
      <c r="O124" s="2261"/>
    </row>
    <row r="125" spans="2:15" ht="15" thickBot="1">
      <c r="B125" s="2238"/>
      <c r="C125" s="1150"/>
      <c r="D125" s="1150"/>
      <c r="E125" s="1150"/>
      <c r="F125" s="1150"/>
      <c r="G125" s="1150"/>
      <c r="H125" s="1150"/>
      <c r="I125" s="1150"/>
      <c r="J125" s="1150"/>
      <c r="K125" s="1150"/>
      <c r="L125" s="1150"/>
      <c r="M125" s="1150"/>
      <c r="N125" s="1150"/>
      <c r="O125" s="2261"/>
    </row>
    <row r="126" spans="2:15" ht="15" thickBot="1">
      <c r="B126" s="2258"/>
      <c r="C126" s="2204" t="s">
        <v>2278</v>
      </c>
      <c r="D126" s="2242"/>
      <c r="E126" s="2262"/>
      <c r="F126" s="1150"/>
      <c r="G126" s="1150"/>
      <c r="H126" s="1150"/>
      <c r="I126" s="1150"/>
      <c r="J126" s="1150"/>
      <c r="K126" s="2206" t="s">
        <v>2273</v>
      </c>
      <c r="L126" s="2286">
        <f>SUMPRODUCT(F111:F119,L111:L119)</f>
        <v>20.11</v>
      </c>
      <c r="M126" s="1150"/>
      <c r="N126" s="1150"/>
      <c r="O126" s="2286">
        <f>SUMPRODUCT(F111:F119,O111:O119)</f>
        <v>20.11</v>
      </c>
    </row>
    <row r="127" spans="2:15" ht="15" thickBot="1">
      <c r="B127" s="2238"/>
      <c r="C127" s="1150"/>
      <c r="D127" s="1150"/>
      <c r="E127" s="1150"/>
      <c r="F127" s="1150"/>
      <c r="G127" s="1150"/>
      <c r="H127" s="1150"/>
      <c r="I127" s="1150"/>
      <c r="J127" s="1150"/>
      <c r="K127" s="2206" t="s">
        <v>2274</v>
      </c>
      <c r="L127" s="2287">
        <f>L126+L123+L124</f>
        <v>20.11</v>
      </c>
      <c r="M127" s="1150"/>
      <c r="N127" s="1150"/>
      <c r="O127" s="2261"/>
    </row>
    <row r="128" spans="2:15">
      <c r="B128" s="2238"/>
      <c r="C128" s="1150"/>
      <c r="D128" s="1150"/>
      <c r="E128" s="1150"/>
      <c r="F128" s="1150"/>
      <c r="G128" s="1150"/>
      <c r="H128" s="1150"/>
      <c r="I128" s="1150"/>
      <c r="J128" s="1150"/>
      <c r="K128" s="1150"/>
      <c r="L128" s="1150"/>
      <c r="M128" s="1150"/>
      <c r="N128" s="1150"/>
      <c r="O128" s="2261"/>
    </row>
    <row r="129" spans="2:18" ht="16.5" thickBot="1">
      <c r="B129" s="2203" t="s">
        <v>2280</v>
      </c>
      <c r="C129" s="1150"/>
      <c r="D129" s="1150"/>
      <c r="E129" s="1150"/>
      <c r="F129" s="1150"/>
      <c r="G129" s="1150"/>
      <c r="H129" s="1150"/>
      <c r="I129" s="1150"/>
      <c r="J129" s="1150"/>
      <c r="K129" s="1150"/>
      <c r="L129" s="2235" t="s">
        <v>2085</v>
      </c>
      <c r="M129" s="2240"/>
      <c r="N129" s="2240"/>
      <c r="O129" s="2236" t="s">
        <v>2085</v>
      </c>
      <c r="R129" s="1105" t="s">
        <v>443</v>
      </c>
    </row>
    <row r="130" spans="2:18" ht="15.75" thickBot="1">
      <c r="B130" s="2203"/>
      <c r="C130" s="2204" t="s">
        <v>2281</v>
      </c>
      <c r="D130" s="1150"/>
      <c r="E130" s="1150"/>
      <c r="F130" s="1150" t="s">
        <v>2288</v>
      </c>
      <c r="G130" s="1150"/>
      <c r="H130" s="1150" t="s">
        <v>2308</v>
      </c>
      <c r="I130" s="1150"/>
      <c r="J130" s="1150" t="s">
        <v>3369</v>
      </c>
      <c r="K130" s="1150"/>
      <c r="L130" s="2289" t="e">
        <f>SUM(L132:L135)</f>
        <v>#VALUE!</v>
      </c>
      <c r="M130" s="2243"/>
      <c r="N130" s="2205" t="s">
        <v>2276</v>
      </c>
      <c r="O130" s="2289" t="e">
        <f>SUM(O132:O135)</f>
        <v>#VALUE!</v>
      </c>
    </row>
    <row r="131" spans="2:18" ht="15.75">
      <c r="B131" s="2203"/>
      <c r="C131" s="2204"/>
      <c r="D131" s="1150"/>
      <c r="E131" s="1150"/>
      <c r="F131" s="2290" t="s">
        <v>2304</v>
      </c>
      <c r="G131" s="1150"/>
      <c r="H131" s="2207" t="s">
        <v>2276</v>
      </c>
      <c r="I131" s="2207" t="s">
        <v>2289</v>
      </c>
      <c r="J131" s="2242" t="s">
        <v>2094</v>
      </c>
      <c r="K131" s="1150"/>
      <c r="L131" s="2291"/>
      <c r="M131" s="2243"/>
      <c r="N131" s="2205"/>
      <c r="O131" s="2292"/>
    </row>
    <row r="132" spans="2:18" ht="15">
      <c r="B132" s="2203"/>
      <c r="C132" s="2204"/>
      <c r="D132" s="1150"/>
      <c r="E132" s="2206" t="s">
        <v>2283</v>
      </c>
      <c r="F132" s="2293">
        <f>ENcalc!H103</f>
        <v>7000</v>
      </c>
      <c r="G132" s="1150"/>
      <c r="H132" s="2293">
        <f>ENcalc!P80</f>
        <v>10850</v>
      </c>
      <c r="I132" s="2293">
        <f>ENcalc!N80</f>
        <v>5425</v>
      </c>
      <c r="J132" s="1741" t="e">
        <f>ENcalc!L103</f>
        <v>#VALUE!</v>
      </c>
      <c r="K132" s="1150"/>
      <c r="L132" s="2294" t="e">
        <f>IF(F132=0,0,I132*J132/F136*1000)</f>
        <v>#VALUE!</v>
      </c>
      <c r="M132" s="2243"/>
      <c r="N132" s="2205"/>
      <c r="O132" s="2295" t="e">
        <f>IF(F132=0,0,H132*J132/F136*1000)</f>
        <v>#VALUE!</v>
      </c>
    </row>
    <row r="133" spans="2:18" ht="15" hidden="1">
      <c r="B133" s="2203"/>
      <c r="C133" s="2204"/>
      <c r="D133" s="1150"/>
      <c r="E133" s="2206"/>
      <c r="F133" s="2293"/>
      <c r="G133" s="1150"/>
      <c r="H133" s="2293"/>
      <c r="I133" s="2293"/>
      <c r="J133" s="1741"/>
      <c r="K133" s="1150"/>
      <c r="L133" s="2294"/>
      <c r="M133" s="2243"/>
      <c r="N133" s="2205"/>
      <c r="O133" s="2295"/>
    </row>
    <row r="134" spans="2:18" ht="15">
      <c r="B134" s="2203"/>
      <c r="C134" s="2204"/>
      <c r="D134" s="1150"/>
      <c r="E134" s="2206" t="s">
        <v>2285</v>
      </c>
      <c r="F134" s="2293">
        <f>Main!E67</f>
        <v>0</v>
      </c>
      <c r="G134" s="1150"/>
      <c r="H134" s="2293">
        <f>ENcalc!P114</f>
        <v>0</v>
      </c>
      <c r="I134" s="2293">
        <f>ENcalc!N114</f>
        <v>0</v>
      </c>
      <c r="J134" s="1741" t="e">
        <f>'GHG data'!S143</f>
        <v>#VALUE!</v>
      </c>
      <c r="K134" s="1150"/>
      <c r="L134" s="2294">
        <f>IF(F134=0,0,I134*J134/F136*1000)</f>
        <v>0</v>
      </c>
      <c r="M134" s="2243"/>
      <c r="N134" s="2205"/>
      <c r="O134" s="2295">
        <f>IF(F134=0,0,H134*J134/F136*1000)</f>
        <v>0</v>
      </c>
    </row>
    <row r="135" spans="2:18" ht="15">
      <c r="B135" s="2203"/>
      <c r="C135" s="2204"/>
      <c r="D135" s="1150"/>
      <c r="E135" s="2206" t="s">
        <v>2284</v>
      </c>
      <c r="F135" s="2293">
        <f>Main!E68</f>
        <v>0</v>
      </c>
      <c r="G135" s="1150"/>
      <c r="H135" s="2293">
        <f>ENcalc!P118</f>
        <v>0</v>
      </c>
      <c r="I135" s="2293">
        <f>IF(ENcalc!N118="-",0,ENcalc!N118)</f>
        <v>0</v>
      </c>
      <c r="J135" s="1741" t="e">
        <f>'GHG data'!S144</f>
        <v>#VALUE!</v>
      </c>
      <c r="K135" s="1150"/>
      <c r="L135" s="2294">
        <f>IF(F135=0,0,I135*J135/F136*1000)</f>
        <v>0</v>
      </c>
      <c r="M135" s="2243"/>
      <c r="N135" s="2205"/>
      <c r="O135" s="2295">
        <f>IF(F135=0,0,H135*J135/F136*1000)</f>
        <v>0</v>
      </c>
    </row>
    <row r="136" spans="2:18" ht="15.75" thickBot="1">
      <c r="B136" s="2203"/>
      <c r="C136" s="1150"/>
      <c r="D136" s="1150"/>
      <c r="E136" s="2206" t="s">
        <v>2286</v>
      </c>
      <c r="F136" s="2293">
        <f>SUM(F132:F135)</f>
        <v>7000</v>
      </c>
      <c r="G136" s="1150"/>
      <c r="H136" s="1150"/>
      <c r="I136" s="1150"/>
      <c r="J136" s="1150"/>
      <c r="K136" s="1150"/>
      <c r="L136" s="2235"/>
      <c r="M136" s="2243"/>
      <c r="N136" s="2243"/>
      <c r="O136" s="2236"/>
    </row>
    <row r="137" spans="2:18" ht="15" thickBot="1">
      <c r="B137" s="2238"/>
      <c r="C137" s="2204" t="s">
        <v>2282</v>
      </c>
      <c r="D137" s="1150"/>
      <c r="E137" s="1150"/>
      <c r="F137" s="1150"/>
      <c r="G137" s="1150"/>
      <c r="H137" s="2296"/>
      <c r="I137" s="2207" t="s">
        <v>2290</v>
      </c>
      <c r="J137" s="2242"/>
      <c r="K137" s="1150"/>
      <c r="L137" s="2289" t="e">
        <f>SUM(L139:L141)</f>
        <v>#VALUE!</v>
      </c>
      <c r="M137" s="1150"/>
      <c r="N137" s="1150"/>
      <c r="O137" s="2261"/>
    </row>
    <row r="138" spans="2:18" ht="4.9000000000000004" customHeight="1">
      <c r="B138" s="2238"/>
      <c r="C138" s="2204"/>
      <c r="D138" s="1150"/>
      <c r="E138" s="1150"/>
      <c r="F138" s="2206"/>
      <c r="G138" s="1150"/>
      <c r="H138" s="2297"/>
      <c r="I138" s="2297"/>
      <c r="J138" s="2297"/>
      <c r="K138" s="2297"/>
      <c r="L138" s="1150"/>
      <c r="M138" s="1150"/>
      <c r="N138" s="1150"/>
      <c r="O138" s="2261"/>
    </row>
    <row r="139" spans="2:18">
      <c r="B139" s="2238"/>
      <c r="C139" s="2204"/>
      <c r="D139" s="1150"/>
      <c r="E139" s="2206" t="str">
        <f>E132</f>
        <v>Building except Apt. area</v>
      </c>
      <c r="F139" s="2293">
        <f>F132</f>
        <v>7000</v>
      </c>
      <c r="G139" s="1150"/>
      <c r="H139" s="2297"/>
      <c r="I139" s="2293">
        <f>ENcalc!N121</f>
        <v>2712.5</v>
      </c>
      <c r="J139" s="1741" t="e">
        <f>J132</f>
        <v>#VALUE!</v>
      </c>
      <c r="K139" s="1150"/>
      <c r="L139" s="2294" t="e">
        <f>IF(F139=0,0,I139*J139/F142*1000)</f>
        <v>#VALUE!</v>
      </c>
      <c r="M139" s="1150"/>
      <c r="N139" s="1150"/>
      <c r="O139" s="2261"/>
    </row>
    <row r="140" spans="2:18">
      <c r="B140" s="2238"/>
      <c r="C140" s="2204"/>
      <c r="D140" s="1150"/>
      <c r="E140" s="2206" t="str">
        <f>E134</f>
        <v>Apt.  dwelling area (dwelling units total)</v>
      </c>
      <c r="F140" s="2293">
        <f>F134</f>
        <v>0</v>
      </c>
      <c r="G140" s="1150"/>
      <c r="H140" s="2297"/>
      <c r="I140" s="2293">
        <f>ENcalc!N123</f>
        <v>0</v>
      </c>
      <c r="J140" s="1741" t="e">
        <f>J134</f>
        <v>#VALUE!</v>
      </c>
      <c r="K140" s="1150"/>
      <c r="L140" s="2294">
        <f>IF(F140=0,0,I140*J140/F142*1000)</f>
        <v>0</v>
      </c>
      <c r="M140" s="1150"/>
      <c r="N140" s="1150"/>
      <c r="O140" s="2261"/>
    </row>
    <row r="141" spans="2:18">
      <c r="B141" s="2238"/>
      <c r="C141" s="2204"/>
      <c r="D141" s="1150"/>
      <c r="E141" s="2206" t="str">
        <f t="shared" ref="E141:E143" si="18">E135</f>
        <v>Apt.  Common area</v>
      </c>
      <c r="F141" s="2293">
        <f>F135</f>
        <v>0</v>
      </c>
      <c r="G141" s="1150"/>
      <c r="H141" s="2297"/>
      <c r="I141" s="2293">
        <f>ENcalc!N125</f>
        <v>0</v>
      </c>
      <c r="J141" s="1741" t="e">
        <f>J135</f>
        <v>#VALUE!</v>
      </c>
      <c r="K141" s="1150"/>
      <c r="L141" s="2294">
        <f>IF(F141=0,0,I141*J141/F142*1000)</f>
        <v>0</v>
      </c>
      <c r="M141" s="1150"/>
      <c r="N141" s="1150"/>
      <c r="O141" s="2261"/>
    </row>
    <row r="142" spans="2:18">
      <c r="B142" s="2238"/>
      <c r="C142" s="2204"/>
      <c r="D142" s="1150"/>
      <c r="E142" s="2206" t="str">
        <f t="shared" si="18"/>
        <v>subtotal</v>
      </c>
      <c r="F142" s="2293">
        <f>SUM(F138:F141)</f>
        <v>7000</v>
      </c>
      <c r="G142" s="1150"/>
      <c r="H142" s="2298"/>
      <c r="I142" s="1150"/>
      <c r="J142" s="1150"/>
      <c r="K142" s="1150"/>
      <c r="L142" s="1150"/>
      <c r="M142" s="1150"/>
      <c r="N142" s="1150"/>
      <c r="O142" s="2261"/>
    </row>
    <row r="143" spans="2:18" hidden="1">
      <c r="B143" s="2238"/>
      <c r="C143" s="2204"/>
      <c r="D143" s="1150"/>
      <c r="E143" s="1150">
        <f t="shared" si="18"/>
        <v>0</v>
      </c>
      <c r="F143" s="1150" t="s">
        <v>2305</v>
      </c>
      <c r="G143" s="1150"/>
      <c r="H143" s="2293"/>
      <c r="I143" s="1741"/>
      <c r="J143" s="2299"/>
      <c r="K143" s="1150"/>
      <c r="L143" s="1150"/>
      <c r="M143" s="1150"/>
      <c r="N143" s="1150"/>
      <c r="O143" s="2261"/>
    </row>
    <row r="144" spans="2:18" ht="15" thickBot="1">
      <c r="B144" s="2238"/>
      <c r="C144" s="2204"/>
      <c r="D144" s="1150"/>
      <c r="E144" s="1150"/>
      <c r="F144" s="1150"/>
      <c r="G144" s="1150"/>
      <c r="H144" s="2300"/>
      <c r="I144" s="1150"/>
      <c r="J144" s="2301"/>
      <c r="K144" s="1150"/>
      <c r="L144" s="1150"/>
      <c r="M144" s="1150"/>
      <c r="N144" s="1150"/>
      <c r="O144" s="2261"/>
    </row>
    <row r="145" spans="2:15" ht="15" thickBot="1">
      <c r="B145" s="2238"/>
      <c r="C145" s="2204" t="s">
        <v>2310</v>
      </c>
      <c r="D145" s="1150"/>
      <c r="E145" s="1150"/>
      <c r="F145" s="1150"/>
      <c r="G145" s="1150"/>
      <c r="H145" s="1150"/>
      <c r="I145" s="2207" t="s">
        <v>2291</v>
      </c>
      <c r="J145" s="2301"/>
      <c r="K145" s="2206" t="s">
        <v>2275</v>
      </c>
      <c r="L145" s="2289" t="e">
        <f>L147+L140+L141</f>
        <v>#VALUE!</v>
      </c>
      <c r="M145" s="1150"/>
      <c r="N145" s="1150"/>
      <c r="O145" s="2261"/>
    </row>
    <row r="146" spans="2:15" ht="4.1500000000000004" customHeight="1">
      <c r="B146" s="2238"/>
      <c r="C146" s="2204"/>
      <c r="D146" s="1150"/>
      <c r="E146" s="1150"/>
      <c r="F146" s="2206"/>
      <c r="G146" s="1150"/>
      <c r="H146" s="2297"/>
      <c r="I146" s="2302"/>
      <c r="J146" s="2242"/>
      <c r="K146" s="1150"/>
      <c r="L146" s="1150"/>
      <c r="M146" s="1150"/>
      <c r="N146" s="1150"/>
      <c r="O146" s="2261"/>
    </row>
    <row r="147" spans="2:15">
      <c r="B147" s="2238"/>
      <c r="C147" s="2204"/>
      <c r="D147" s="1150"/>
      <c r="E147" s="1150" t="str">
        <f>E139</f>
        <v>Building except Apt. area</v>
      </c>
      <c r="F147" s="2293">
        <f>F139</f>
        <v>7000</v>
      </c>
      <c r="G147" s="1150"/>
      <c r="H147" s="2297"/>
      <c r="I147" s="2293">
        <f>ENcalc!N128</f>
        <v>2712.5</v>
      </c>
      <c r="J147" s="1741" t="e">
        <f>J132</f>
        <v>#VALUE!</v>
      </c>
      <c r="K147" s="1150"/>
      <c r="L147" s="2294" t="e">
        <f>IF(F147=0,0,I147*J147/F142*1000)</f>
        <v>#VALUE!</v>
      </c>
      <c r="M147" s="1150"/>
      <c r="N147" s="1150"/>
      <c r="O147" s="2261"/>
    </row>
    <row r="148" spans="2:15">
      <c r="B148" s="2238"/>
      <c r="C148" s="2204"/>
      <c r="D148" s="1150"/>
      <c r="E148" s="1150" t="s">
        <v>2311</v>
      </c>
      <c r="F148" s="1150"/>
      <c r="G148" s="1150"/>
      <c r="H148" s="2300"/>
      <c r="I148" s="1150"/>
      <c r="J148" s="2301"/>
      <c r="K148" s="1150"/>
      <c r="L148" s="1150"/>
      <c r="M148" s="1150"/>
      <c r="N148" s="1150"/>
      <c r="O148" s="2261"/>
    </row>
    <row r="149" spans="2:15">
      <c r="B149" s="2238"/>
      <c r="C149" s="2204"/>
      <c r="D149" s="1150"/>
      <c r="E149" s="1150"/>
      <c r="F149" s="1150"/>
      <c r="G149" s="1150"/>
      <c r="H149" s="2243"/>
      <c r="I149" s="1150"/>
      <c r="J149" s="1150"/>
      <c r="K149" s="1150"/>
      <c r="L149" s="2301"/>
      <c r="M149" s="1150"/>
      <c r="N149" s="1150"/>
      <c r="O149" s="2261"/>
    </row>
    <row r="150" spans="2:15" ht="15.75">
      <c r="B150" s="2203" t="s">
        <v>2307</v>
      </c>
      <c r="C150" s="2243"/>
      <c r="D150" s="2242"/>
      <c r="E150" s="2243"/>
      <c r="F150" s="2240"/>
      <c r="G150" s="2243"/>
      <c r="H150" s="2243"/>
      <c r="I150" s="2243"/>
      <c r="J150" s="2243"/>
      <c r="K150" s="2303"/>
      <c r="L150" s="2235" t="s">
        <v>2085</v>
      </c>
      <c r="M150" s="2240"/>
      <c r="N150" s="2240"/>
      <c r="O150" s="2236" t="s">
        <v>2085</v>
      </c>
    </row>
    <row r="151" spans="2:15">
      <c r="B151" s="2244"/>
      <c r="C151" s="2243"/>
      <c r="D151" s="2242"/>
      <c r="E151" s="2243"/>
      <c r="F151" s="2240"/>
      <c r="G151" s="2243"/>
      <c r="H151" s="2243"/>
      <c r="I151" s="2243"/>
      <c r="J151" s="2243"/>
      <c r="K151" s="2303"/>
      <c r="L151" s="3154" t="s">
        <v>2295</v>
      </c>
      <c r="M151" s="2243"/>
      <c r="N151" s="2304"/>
      <c r="O151" s="3155" t="str">
        <f>L151</f>
        <v>GHG emission</v>
      </c>
    </row>
    <row r="152" spans="2:15">
      <c r="B152" s="2244"/>
      <c r="C152" s="2305" t="s">
        <v>1505</v>
      </c>
      <c r="D152" s="2306"/>
      <c r="E152" s="2306"/>
      <c r="F152" s="2307"/>
      <c r="G152" s="2243"/>
      <c r="H152" s="2243"/>
      <c r="I152" s="2243"/>
      <c r="J152" s="2243"/>
      <c r="K152" s="2303"/>
      <c r="L152" s="2308">
        <f>L106</f>
        <v>18.22</v>
      </c>
      <c r="M152" s="2243"/>
      <c r="N152" s="2243"/>
      <c r="O152" s="2309">
        <f>O105</f>
        <v>18.22</v>
      </c>
    </row>
    <row r="153" spans="2:15">
      <c r="B153" s="2244"/>
      <c r="C153" s="2305" t="s">
        <v>2287</v>
      </c>
      <c r="D153" s="2306"/>
      <c r="E153" s="2306"/>
      <c r="F153" s="2307"/>
      <c r="G153" s="2243"/>
      <c r="H153" s="2243"/>
      <c r="I153" s="2243"/>
      <c r="J153" s="2243"/>
      <c r="K153" s="2303"/>
      <c r="L153" s="2308">
        <f>L127</f>
        <v>20.11</v>
      </c>
      <c r="M153" s="2243"/>
      <c r="N153" s="2243"/>
      <c r="O153" s="2309">
        <f>O126</f>
        <v>20.11</v>
      </c>
    </row>
    <row r="154" spans="2:15">
      <c r="B154" s="2244"/>
      <c r="C154" s="2305" t="s">
        <v>1507</v>
      </c>
      <c r="D154" s="2306"/>
      <c r="E154" s="2306"/>
      <c r="F154" s="2307"/>
      <c r="G154" s="2243"/>
      <c r="H154" s="2243"/>
      <c r="I154" s="2243"/>
      <c r="J154" s="2243"/>
      <c r="K154" s="2303"/>
      <c r="L154" s="2310" t="e">
        <f>L137</f>
        <v>#VALUE!</v>
      </c>
      <c r="M154" s="2243"/>
      <c r="N154" s="2243"/>
      <c r="O154" s="2311" t="e">
        <f>O130</f>
        <v>#VALUE!</v>
      </c>
    </row>
    <row r="155" spans="2:15" ht="15.75" thickBot="1">
      <c r="B155" s="2312"/>
      <c r="C155" s="2313" t="s">
        <v>2268</v>
      </c>
      <c r="D155" s="2314"/>
      <c r="E155" s="2315"/>
      <c r="F155" s="2316"/>
      <c r="G155" s="2317"/>
      <c r="H155" s="2317"/>
      <c r="I155" s="2317"/>
      <c r="J155" s="2317"/>
      <c r="K155" s="2317"/>
      <c r="L155" s="2318" t="e">
        <f>IF(COUNTIF(L152:L154,$R$129)&gt;0,$R$129,SUM(L152:L154))</f>
        <v>#VALUE!</v>
      </c>
      <c r="M155" s="2319"/>
      <c r="N155" s="2319"/>
      <c r="O155" s="2320" t="e">
        <f>IF(COUNTIF(O152:O154,$R$129)&gt;0,$R$129,SUM(O152:O154))</f>
        <v>#VALUE!</v>
      </c>
    </row>
    <row r="156" spans="2:15"/>
    <row r="166"/>
    <row r="167"/>
    <row r="168"/>
    <row r="169"/>
    <row r="170"/>
    <row r="177"/>
    <row r="183"/>
    <row r="184"/>
    <row r="185"/>
    <row r="186"/>
    <row r="189"/>
    <row r="193"/>
    <row r="194"/>
    <row r="195"/>
    <row r="196"/>
    <row r="198"/>
    <row r="199"/>
    <row r="200"/>
    <row r="201"/>
    <row r="202"/>
    <row r="204"/>
    <row r="205"/>
    <row r="206"/>
    <row r="207"/>
  </sheetData>
  <sheetProtection algorithmName="SHA-512" hashValue="jLggYoEkgqQX5vMuU5+dz7th2rtOXzmaL24CiFhbecIEIiBwYdHH1639FLn8A8YMjD75MVJ29tM4lHz5WRigZQ==" saltValue="kqbm0yXNa3efKez86gqcFg==" spinCount="100000" sheet="1" objects="1" scenarios="1"/>
  <phoneticPr fontId="26"/>
  <conditionalFormatting sqref="E152 E154">
    <cfRule type="cellIs" dxfId="13" priority="1" stopIfTrue="1" operator="equal">
      <formula>5</formula>
    </cfRule>
    <cfRule type="cellIs" dxfId="12" priority="2" stopIfTrue="1" operator="equal">
      <formula>4</formula>
    </cfRule>
    <cfRule type="cellIs" dxfId="11" priority="3" stopIfTrue="1" operator="equal">
      <formula>2</formula>
    </cfRule>
  </conditionalFormatting>
  <printOptions horizontalCentered="1"/>
  <pageMargins left="0.59055118110236227" right="0.59055118110236227" top="0.78740157480314965" bottom="0.59055118110236227" header="0.51181102362204722" footer="0.51181102362204722"/>
  <pageSetup paperSize="9" scale="71" orientation="portrait" verticalDpi="300" r:id="rId1"/>
  <headerFooter alignWithMargins="0">
    <oddHeader>&amp;L&amp;F&amp;R&amp;A</oddHeader>
    <oddFooter>&amp;C&amp;P/&amp;N</oddFooter>
  </headerFooter>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
    <pageSetUpPr fitToPage="1"/>
  </sheetPr>
  <dimension ref="A1:AO1191"/>
  <sheetViews>
    <sheetView showGridLines="0" zoomScale="120" zoomScaleNormal="120" workbookViewId="0">
      <selection activeCell="E3" sqref="E3"/>
    </sheetView>
  </sheetViews>
  <sheetFormatPr defaultColWidth="0" defaultRowHeight="15.75"/>
  <cols>
    <col min="1" max="1" width="10.25" style="1274" customWidth="1"/>
    <col min="2" max="2" width="5.5" style="1274" customWidth="1"/>
    <col min="3" max="3" width="16.125" style="1274" customWidth="1"/>
    <col min="4" max="4" width="7" style="1274" customWidth="1"/>
    <col min="5" max="5" width="20.875" style="1274" customWidth="1"/>
    <col min="6" max="6" width="71.375" style="1274" customWidth="1"/>
    <col min="7" max="7" width="7" style="1274" customWidth="1"/>
    <col min="8" max="8" width="16.625" style="1274" customWidth="1"/>
    <col min="9" max="11" width="9.125" style="1274" customWidth="1"/>
    <col min="12" max="12" width="32" style="1274" customWidth="1"/>
    <col min="13" max="13" width="5" style="1274" customWidth="1"/>
    <col min="14" max="14" width="5.5" style="1274" customWidth="1"/>
    <col min="15" max="15" width="1.375" style="1274" customWidth="1"/>
    <col min="16" max="16" width="2.375" style="1274" hidden="1" customWidth="1"/>
    <col min="17" max="25" width="3.5" style="1274" hidden="1" customWidth="1"/>
    <col min="26" max="26" width="6.625" style="1274" hidden="1" customWidth="1"/>
    <col min="27" max="27" width="2.375" style="1274" hidden="1" customWidth="1"/>
    <col min="28" max="28" width="6.875" style="1274" hidden="1" customWidth="1"/>
    <col min="29" max="29" width="2.375" style="1274" hidden="1" customWidth="1"/>
    <col min="30" max="31" width="7.625" style="1274" hidden="1" customWidth="1"/>
    <col min="32" max="33" width="6.875" style="1274" hidden="1" customWidth="1"/>
    <col min="34" max="34" width="2.375" style="1274" hidden="1" customWidth="1"/>
    <col min="35" max="35" width="8.5" style="1274" hidden="1" customWidth="1"/>
    <col min="36" max="36" width="7.875" style="1274" hidden="1" customWidth="1"/>
    <col min="37" max="37" width="6.75" style="1274" hidden="1" customWidth="1"/>
    <col min="38" max="38" width="9.375" style="1274" hidden="1" customWidth="1"/>
    <col min="39" max="39" width="11" style="1274" hidden="1" customWidth="1"/>
    <col min="40" max="40" width="10" style="1274" hidden="1" customWidth="1"/>
    <col min="41" max="41" width="0" style="1274" hidden="1" customWidth="1"/>
    <col min="42" max="16384" width="9" style="1274" hidden="1"/>
  </cols>
  <sheetData>
    <row r="1" spans="1:39" ht="35.25">
      <c r="A1" s="1312" t="s">
        <v>4640</v>
      </c>
      <c r="B1" s="1313"/>
      <c r="C1" s="1313"/>
      <c r="D1" s="1313"/>
      <c r="E1" s="1313"/>
      <c r="F1" s="1313"/>
      <c r="G1" s="1313"/>
      <c r="H1" s="1313"/>
      <c r="I1" s="1313"/>
      <c r="J1" s="1308" t="s">
        <v>4653</v>
      </c>
      <c r="K1" s="3778" t="str">
        <f>Main!C11</f>
        <v>XXX Building</v>
      </c>
      <c r="L1" s="1309"/>
      <c r="M1" s="1310"/>
      <c r="N1" s="1311"/>
      <c r="O1" s="1313"/>
      <c r="Q1" s="1471"/>
      <c r="R1" s="1471"/>
      <c r="S1" s="1471"/>
      <c r="T1" s="1471"/>
      <c r="U1" s="1471"/>
      <c r="V1" s="1471"/>
      <c r="W1" s="1471"/>
      <c r="X1" s="1471"/>
      <c r="Y1" s="1471"/>
      <c r="AB1" s="1315"/>
      <c r="AD1" s="1316"/>
      <c r="AE1" s="1316"/>
      <c r="AF1" s="1315"/>
      <c r="AG1" s="1315"/>
      <c r="AH1" s="1315"/>
      <c r="AI1" s="1317"/>
      <c r="AJ1" s="1318"/>
      <c r="AK1" s="1318"/>
      <c r="AL1" s="1318"/>
    </row>
    <row r="2" spans="1:39" ht="11.25" customHeight="1" thickBot="1">
      <c r="A2" s="1313"/>
      <c r="B2" s="1313"/>
      <c r="C2" s="1313"/>
      <c r="D2" s="1313"/>
      <c r="E2" s="1313"/>
      <c r="F2" s="1313"/>
      <c r="G2" s="1313"/>
      <c r="H2" s="1313"/>
      <c r="I2" s="1313"/>
      <c r="J2" s="1313"/>
      <c r="K2" s="1313"/>
      <c r="L2" s="1313"/>
      <c r="M2" s="1313"/>
      <c r="N2" s="1313"/>
      <c r="O2" s="1313"/>
      <c r="Q2" t="s">
        <v>1496</v>
      </c>
      <c r="R2" s="1471"/>
      <c r="S2" s="1471"/>
      <c r="T2" s="1471"/>
      <c r="U2" s="1471"/>
      <c r="V2" s="1471"/>
      <c r="W2" s="1471"/>
      <c r="X2" s="1471"/>
      <c r="Y2" s="1471"/>
      <c r="AB2" s="1315"/>
      <c r="AD2" s="1316"/>
      <c r="AE2" s="1316"/>
      <c r="AF2" s="1315"/>
      <c r="AG2" s="1315"/>
      <c r="AH2" s="1315"/>
      <c r="AI2" s="1317"/>
      <c r="AJ2" s="1318"/>
      <c r="AK2" s="1318"/>
      <c r="AL2" s="1318"/>
    </row>
    <row r="3" spans="1:39" ht="17.25" thickBot="1">
      <c r="A3" s="1313"/>
      <c r="B3" s="1313"/>
      <c r="C3" s="1313"/>
      <c r="D3" s="1314" t="s">
        <v>1495</v>
      </c>
      <c r="E3" s="1456" t="s">
        <v>3302</v>
      </c>
      <c r="F3" s="1313"/>
      <c r="G3" s="1314" t="str">
        <f>Main!B5</f>
        <v>Version</v>
      </c>
      <c r="H3" s="1313" t="str">
        <f>Main!C5</f>
        <v>CASBEE-BD_NCe_2024_v1.21</v>
      </c>
      <c r="J3" s="1313"/>
      <c r="K3" s="3545" t="s">
        <v>1470</v>
      </c>
      <c r="M3" s="1313"/>
      <c r="N3" s="3779" t="str">
        <f>Main!C6</f>
        <v>CASBEE for Building Design (New Construction) 2024 Edition</v>
      </c>
      <c r="O3" s="1313"/>
      <c r="Q3" t="s">
        <v>1497</v>
      </c>
      <c r="R3" s="1315"/>
      <c r="S3" s="1315"/>
      <c r="T3" s="1315"/>
      <c r="U3" s="1315"/>
      <c r="V3" s="1315"/>
      <c r="W3" s="1315"/>
      <c r="X3" s="1315"/>
      <c r="Y3" s="1315"/>
      <c r="Z3" s="1315"/>
      <c r="AA3" s="1315"/>
      <c r="AB3" s="1315"/>
      <c r="AC3" s="1315"/>
      <c r="AD3" s="1315"/>
      <c r="AE3" s="1315"/>
      <c r="AF3" s="1315"/>
      <c r="AG3" s="1315"/>
      <c r="AH3" s="1315"/>
      <c r="AI3" s="1317"/>
      <c r="AJ3" s="1318"/>
      <c r="AK3" s="1318"/>
      <c r="AL3" s="1318"/>
    </row>
    <row r="4" spans="1:39" ht="6" customHeight="1">
      <c r="A4" s="1313"/>
      <c r="B4" s="1313"/>
      <c r="C4" s="1313"/>
      <c r="D4" s="1313"/>
      <c r="E4" s="1313"/>
      <c r="F4" s="1313"/>
      <c r="G4" s="1313"/>
      <c r="H4" s="1313"/>
      <c r="I4" s="1313"/>
      <c r="J4" s="1313"/>
      <c r="K4" s="1313"/>
      <c r="L4" s="1313"/>
      <c r="M4" s="1313"/>
      <c r="N4" s="1313"/>
      <c r="O4" s="1313"/>
      <c r="Q4" s="1298" t="str">
        <f>IF(Main!C47=0,"","〇")</f>
        <v>〇</v>
      </c>
      <c r="R4" s="1298" t="str">
        <f>IF(Main!C50=0,"","〇")</f>
        <v/>
      </c>
      <c r="S4" s="1298" t="str">
        <f>IF(Main!C55=0,"","〇")</f>
        <v/>
      </c>
      <c r="T4" s="1298" t="str">
        <f>IF(Main!C59=0,"","〇")</f>
        <v/>
      </c>
      <c r="U4" s="1298" t="str">
        <f>IF(Main!C60=0,"","〇")</f>
        <v/>
      </c>
      <c r="V4" s="1298" t="str">
        <f>IF(Main!C63=0,"","〇")</f>
        <v/>
      </c>
      <c r="W4" s="1298" t="str">
        <f>IF(Main!C64=0,"","〇")</f>
        <v/>
      </c>
      <c r="X4" s="1298" t="str">
        <f>IF(Main!C65=0,"","〇")</f>
        <v/>
      </c>
      <c r="Y4" s="1298" t="str">
        <f>IF(Main!C67=0,"","〇")</f>
        <v/>
      </c>
      <c r="AB4" s="4392" t="s">
        <v>1245</v>
      </c>
      <c r="AD4" s="4398" t="s">
        <v>1213</v>
      </c>
      <c r="AE4" s="4398"/>
      <c r="AF4" s="4398"/>
      <c r="AG4" s="4398"/>
      <c r="AH4" s="1315"/>
      <c r="AI4" s="1317"/>
      <c r="AJ4" s="1318"/>
      <c r="AK4" s="1318"/>
      <c r="AL4" s="1318"/>
    </row>
    <row r="5" spans="1:39" ht="24" customHeight="1">
      <c r="A5" s="4338" t="s">
        <v>4642</v>
      </c>
      <c r="B5" s="4340" t="s">
        <v>4641</v>
      </c>
      <c r="C5" s="4341"/>
      <c r="D5" s="4341"/>
      <c r="E5" s="4342"/>
      <c r="F5" s="4401" t="s">
        <v>4645</v>
      </c>
      <c r="G5" s="4405" t="s">
        <v>4646</v>
      </c>
      <c r="H5" s="4338" t="s">
        <v>4648</v>
      </c>
      <c r="I5" s="4403" t="s">
        <v>4649</v>
      </c>
      <c r="J5" s="4403" t="s">
        <v>4650</v>
      </c>
      <c r="K5" s="4403" t="s">
        <v>4651</v>
      </c>
      <c r="L5" s="4401" t="s">
        <v>4647</v>
      </c>
      <c r="M5" s="4417" t="s">
        <v>4654</v>
      </c>
      <c r="N5" s="4416" t="s">
        <v>4655</v>
      </c>
      <c r="O5" s="1313"/>
      <c r="Q5" s="4413" t="s">
        <v>1214</v>
      </c>
      <c r="R5" s="4414"/>
      <c r="S5" s="4414"/>
      <c r="T5" s="4414"/>
      <c r="U5" s="4414"/>
      <c r="V5" s="4414"/>
      <c r="W5" s="4414"/>
      <c r="X5" s="4414"/>
      <c r="Y5" s="4415"/>
      <c r="Z5" s="4338" t="s">
        <v>1215</v>
      </c>
      <c r="AB5" s="4393"/>
      <c r="AC5" s="1319"/>
      <c r="AD5" s="1417" t="s">
        <v>622</v>
      </c>
      <c r="AE5" s="1417" t="s">
        <v>623</v>
      </c>
      <c r="AF5" s="1418" t="s">
        <v>1216</v>
      </c>
      <c r="AG5" s="1418" t="s">
        <v>1217</v>
      </c>
      <c r="AH5" s="1320"/>
      <c r="AI5" s="4406" t="s">
        <v>1218</v>
      </c>
      <c r="AJ5" s="4407"/>
      <c r="AK5" s="4338" t="s">
        <v>1219</v>
      </c>
      <c r="AL5" s="4338" t="s">
        <v>1220</v>
      </c>
      <c r="AM5" s="4338" t="s">
        <v>1221</v>
      </c>
    </row>
    <row r="6" spans="1:39" ht="24" customHeight="1">
      <c r="A6" s="4339"/>
      <c r="B6" s="4343" t="s">
        <v>4644</v>
      </c>
      <c r="C6" s="4344"/>
      <c r="D6" s="4343" t="s">
        <v>4643</v>
      </c>
      <c r="E6" s="4344"/>
      <c r="F6" s="4402"/>
      <c r="G6" s="4402"/>
      <c r="H6" s="4339"/>
      <c r="I6" s="4404"/>
      <c r="J6" s="4404"/>
      <c r="K6" s="4404"/>
      <c r="L6" s="4402"/>
      <c r="M6" s="4418"/>
      <c r="N6" s="4339"/>
      <c r="O6" s="1313"/>
      <c r="Q6" s="1321" t="s">
        <v>1222</v>
      </c>
      <c r="R6" s="1321" t="s">
        <v>452</v>
      </c>
      <c r="S6" s="1321" t="s">
        <v>639</v>
      </c>
      <c r="T6" s="1321" t="s">
        <v>1223</v>
      </c>
      <c r="U6" s="1321" t="s">
        <v>1224</v>
      </c>
      <c r="V6" s="1321" t="s">
        <v>1225</v>
      </c>
      <c r="W6" s="1321" t="s">
        <v>1226</v>
      </c>
      <c r="X6" s="1321" t="s">
        <v>359</v>
      </c>
      <c r="Y6" s="1321" t="s">
        <v>1227</v>
      </c>
      <c r="Z6" s="4376"/>
      <c r="AB6" s="1322" t="s">
        <v>1228</v>
      </c>
      <c r="AC6" s="1319"/>
      <c r="AD6" s="1323">
        <f>Score!AF6</f>
        <v>1</v>
      </c>
      <c r="AE6" s="1323">
        <f>Score!AH6</f>
        <v>0</v>
      </c>
      <c r="AF6" s="1322" t="s">
        <v>1229</v>
      </c>
      <c r="AG6" s="1322" t="s">
        <v>1228</v>
      </c>
      <c r="AH6" s="1324"/>
      <c r="AI6" s="4408"/>
      <c r="AJ6" s="4409"/>
      <c r="AK6" s="4376"/>
      <c r="AL6" s="4376"/>
      <c r="AM6" s="4376"/>
    </row>
    <row r="7" spans="1:39" ht="91.5" customHeight="1">
      <c r="A7" s="3775" t="s">
        <v>4927</v>
      </c>
      <c r="B7" s="1278" t="s">
        <v>4656</v>
      </c>
      <c r="C7" s="1276"/>
      <c r="D7" s="1276"/>
      <c r="E7" s="1276"/>
      <c r="F7" s="1276"/>
      <c r="G7" s="1276"/>
      <c r="H7" s="1276"/>
      <c r="I7" s="1276"/>
      <c r="J7" s="1276"/>
      <c r="K7" s="1276"/>
      <c r="L7" s="1276"/>
      <c r="M7" s="1276"/>
      <c r="N7" s="1277"/>
      <c r="O7" s="1313"/>
      <c r="Q7" s="1472"/>
      <c r="R7" s="1473"/>
      <c r="S7" s="1473"/>
      <c r="T7" s="1473"/>
      <c r="U7" s="1473"/>
      <c r="V7" s="1473"/>
      <c r="W7" s="1473"/>
      <c r="X7" s="1473"/>
      <c r="Y7" s="1473"/>
      <c r="Z7" s="1325"/>
      <c r="AB7" s="1325"/>
      <c r="AD7" s="1326"/>
      <c r="AE7" s="1327"/>
      <c r="AF7" s="1327"/>
      <c r="AG7" s="1328"/>
      <c r="AH7" s="1329"/>
      <c r="AI7" s="1330"/>
      <c r="AJ7" s="1327"/>
      <c r="AK7" s="1331"/>
      <c r="AL7" s="1327"/>
      <c r="AM7" s="1328"/>
    </row>
    <row r="8" spans="1:39" ht="91.5" customHeight="1">
      <c r="A8" s="3776" t="s">
        <v>4926</v>
      </c>
      <c r="B8" s="1278" t="s">
        <v>4656</v>
      </c>
      <c r="C8" s="1276"/>
      <c r="D8" s="1276"/>
      <c r="E8" s="1276"/>
      <c r="F8" s="1276"/>
      <c r="G8" s="1276"/>
      <c r="H8" s="1276"/>
      <c r="I8" s="1276"/>
      <c r="J8" s="1276"/>
      <c r="K8" s="1276"/>
      <c r="L8" s="1276"/>
      <c r="M8" s="1276"/>
      <c r="N8" s="1277"/>
      <c r="O8" s="1313"/>
      <c r="Q8" s="1472"/>
      <c r="R8" s="1473"/>
      <c r="S8" s="1473"/>
      <c r="T8" s="1473"/>
      <c r="U8" s="1473"/>
      <c r="V8" s="1473"/>
      <c r="W8" s="1473"/>
      <c r="X8" s="1473"/>
      <c r="Y8" s="1473"/>
      <c r="Z8" s="1325"/>
      <c r="AB8" s="1325"/>
      <c r="AD8" s="1326"/>
      <c r="AE8" s="1327"/>
      <c r="AF8" s="1327"/>
      <c r="AG8" s="1328"/>
      <c r="AH8" s="1329"/>
      <c r="AI8" s="1330"/>
      <c r="AJ8" s="1327"/>
      <c r="AK8" s="1331"/>
      <c r="AL8" s="1327"/>
      <c r="AM8" s="1328"/>
    </row>
    <row r="9" spans="1:39" ht="30" customHeight="1">
      <c r="A9" s="4345" t="s">
        <v>4925</v>
      </c>
      <c r="B9" s="4347">
        <v>3.1</v>
      </c>
      <c r="C9" s="4354" t="s">
        <v>4657</v>
      </c>
      <c r="D9" s="1279" t="s">
        <v>1087</v>
      </c>
      <c r="E9" s="1280" t="s">
        <v>4658</v>
      </c>
      <c r="F9" s="1280" t="s">
        <v>4513</v>
      </c>
      <c r="G9" s="1286" t="s">
        <v>4916</v>
      </c>
      <c r="H9" s="1287" t="s">
        <v>4542</v>
      </c>
      <c r="I9" s="1288" t="str">
        <f>IF(AI9=1,"●","")</f>
        <v/>
      </c>
      <c r="J9" s="1288" t="str">
        <f>IF(AI9=2,"●","")</f>
        <v>●</v>
      </c>
      <c r="K9" s="1288" t="str">
        <f>IF(AI9=3,"●","")</f>
        <v/>
      </c>
      <c r="L9" s="1289"/>
      <c r="M9" s="1280"/>
      <c r="N9" s="1290">
        <f>IF(Z9="N.A.","N.A.",AL9)</f>
        <v>2</v>
      </c>
      <c r="O9" s="1313"/>
      <c r="Q9" s="1291" t="s">
        <v>92</v>
      </c>
      <c r="R9" s="1291" t="s">
        <v>407</v>
      </c>
      <c r="S9" s="1291" t="s">
        <v>445</v>
      </c>
      <c r="T9" s="1291" t="s">
        <v>496</v>
      </c>
      <c r="U9" s="1291" t="s">
        <v>447</v>
      </c>
      <c r="V9" s="1291" t="s">
        <v>82</v>
      </c>
      <c r="W9" s="1291" t="s">
        <v>448</v>
      </c>
      <c r="X9" s="1291" t="s">
        <v>80</v>
      </c>
      <c r="Y9" s="1291" t="s">
        <v>497</v>
      </c>
      <c r="Z9" s="1332" t="str">
        <f t="shared" ref="Z9:Z40" si="0">IF(AG9="#DIV/0!","N.A.",IF(AND($Q$4="〇",Q9&lt;&gt;"")+AND($R$4="〇",R9&lt;&gt;"")+AND($S$4="〇",S9&lt;&gt;"")+AND($T$4="〇",T9&lt;&gt;"")+AND($U$4="〇",U9&lt;&gt;"")+AND($V$4="〇",V9&lt;&gt;"")+AND($W$4="〇",W9&lt;&gt;"")+AND($X$4="〇",X9&lt;&gt;"")+AND($Y$4="〇",Y9&lt;&gt;"")=0,"N.A.","対象"))</f>
        <v>対象</v>
      </c>
      <c r="AB9" s="1333"/>
      <c r="AC9" s="1319"/>
      <c r="AD9" s="1334">
        <f>Score!$Z$22</f>
        <v>3</v>
      </c>
      <c r="AE9" s="1334">
        <f>Score!$AB$22</f>
        <v>0</v>
      </c>
      <c r="AF9" s="1335">
        <f>IF(AE9=0,AD9,IF(AD9=0,AE9,AD9*$AD$6+AE9*$AE$6))</f>
        <v>3</v>
      </c>
      <c r="AG9" s="1336">
        <f>IF(AF9=0,"#DIV/0!",IF(AF9&lt;2,1,IF(AF9&lt;4,2,3)))</f>
        <v>2</v>
      </c>
      <c r="AH9" s="1337"/>
      <c r="AI9" s="1336">
        <f t="shared" ref="AI9:AI40" si="1">IF(Z9="N.A.","#DIV/0!",IF(AG9="",AB9,IF(AB9="",AG9,0)))</f>
        <v>2</v>
      </c>
      <c r="AJ9" s="1298">
        <f>AVERAGEIFS(AI9,AI9,"&lt;&gt;0",AI9,"&lt;&gt;#DIV/0!")</f>
        <v>2</v>
      </c>
      <c r="AK9" s="1338" t="b">
        <v>0</v>
      </c>
      <c r="AL9" s="1339">
        <f>IF(AK9=FALSE,AJ9,IF(AJ9=1,2,3))</f>
        <v>2</v>
      </c>
      <c r="AM9" s="1340">
        <f>AVERAGEIFS(AL9:AL12,AL9:AL12,"&lt;&gt;0",AL9:AL12,"&lt;&gt;#DIV/0!")</f>
        <v>2</v>
      </c>
    </row>
    <row r="10" spans="1:39" ht="30" customHeight="1">
      <c r="A10" s="4346"/>
      <c r="B10" s="4347"/>
      <c r="C10" s="4354"/>
      <c r="D10" s="1279" t="s">
        <v>1088</v>
      </c>
      <c r="E10" s="1280" t="s">
        <v>4659</v>
      </c>
      <c r="F10" s="1280" t="s">
        <v>4660</v>
      </c>
      <c r="G10" s="1286" t="s">
        <v>4916</v>
      </c>
      <c r="H10" s="1287" t="s">
        <v>4543</v>
      </c>
      <c r="I10" s="1288" t="str">
        <f t="shared" ref="I10:I21" si="2">IF(AI10=1,"●","")</f>
        <v/>
      </c>
      <c r="J10" s="1288" t="str">
        <f t="shared" ref="J10:J21" si="3">IF(AI10=2,"●","")</f>
        <v>●</v>
      </c>
      <c r="K10" s="1288" t="str">
        <f t="shared" ref="K10:K21" si="4">IF(AI10=3,"●","")</f>
        <v/>
      </c>
      <c r="L10" s="1289"/>
      <c r="M10" s="1280"/>
      <c r="N10" s="1290">
        <f>IF(Z10="N.A.","N.A.",AL10)</f>
        <v>2</v>
      </c>
      <c r="O10" s="1313"/>
      <c r="Q10" s="1291" t="s">
        <v>92</v>
      </c>
      <c r="R10" s="1291" t="s">
        <v>407</v>
      </c>
      <c r="S10" s="1291" t="s">
        <v>445</v>
      </c>
      <c r="T10" s="1291" t="s">
        <v>496</v>
      </c>
      <c r="U10" s="1291" t="s">
        <v>447</v>
      </c>
      <c r="V10" s="1291" t="s">
        <v>82</v>
      </c>
      <c r="W10" s="1291" t="s">
        <v>448</v>
      </c>
      <c r="X10" s="1291" t="s">
        <v>80</v>
      </c>
      <c r="Y10" s="1291" t="s">
        <v>497</v>
      </c>
      <c r="Z10" s="1332" t="str">
        <f t="shared" si="0"/>
        <v>対象</v>
      </c>
      <c r="AB10" s="1333"/>
      <c r="AC10" s="1319"/>
      <c r="AD10" s="1334">
        <f>Score!$Z$24</f>
        <v>3</v>
      </c>
      <c r="AE10" s="1334">
        <f>Score!$AB$24</f>
        <v>0</v>
      </c>
      <c r="AF10" s="1335">
        <f t="shared" ref="AF10:AF21" si="5">IF(AE10=0,AD10,IF(AD10=0,AE10,AD10*$AD$6+AE10*$AE$6))</f>
        <v>3</v>
      </c>
      <c r="AG10" s="1336">
        <f t="shared" ref="AG10:AG39" si="6">IF(AF10=0,"#DIV/0!",IF(AF10&lt;2,1,IF(AF10&lt;4,2,3)))</f>
        <v>2</v>
      </c>
      <c r="AH10" s="1337"/>
      <c r="AI10" s="1336">
        <f t="shared" si="1"/>
        <v>2</v>
      </c>
      <c r="AJ10" s="1298">
        <f>AVERAGEIFS(AI10,AI10,"&lt;&gt;0",AI10,"&lt;&gt;#DIV/0!")</f>
        <v>2</v>
      </c>
      <c r="AK10" s="1338" t="b">
        <v>0</v>
      </c>
      <c r="AL10" s="1339">
        <f t="shared" ref="AL10:AL72" si="7">IF(AK10=FALSE,AJ10,IF(AJ10=1,2,3))</f>
        <v>2</v>
      </c>
      <c r="AM10" s="1341"/>
    </row>
    <row r="11" spans="1:39" ht="30" customHeight="1">
      <c r="A11" s="4346"/>
      <c r="B11" s="4347"/>
      <c r="C11" s="4354"/>
      <c r="D11" s="4348" t="s">
        <v>1089</v>
      </c>
      <c r="E11" s="4355" t="s">
        <v>4661</v>
      </c>
      <c r="F11" s="1281" t="s">
        <v>4662</v>
      </c>
      <c r="G11" s="1291" t="s">
        <v>4917</v>
      </c>
      <c r="H11" s="1287" t="s">
        <v>4544</v>
      </c>
      <c r="I11" s="1288" t="str">
        <f t="shared" si="2"/>
        <v/>
      </c>
      <c r="J11" s="1288" t="str">
        <f t="shared" si="3"/>
        <v>●</v>
      </c>
      <c r="K11" s="1288" t="str">
        <f t="shared" si="4"/>
        <v/>
      </c>
      <c r="L11" s="4394"/>
      <c r="M11" s="4396"/>
      <c r="N11" s="4380">
        <f>IF(AND(Z11="N.A.",Z12="N.A."),"N.A.",AL11)</f>
        <v>2</v>
      </c>
      <c r="O11" s="1313"/>
      <c r="Q11" s="1291" t="s">
        <v>92</v>
      </c>
      <c r="R11" s="1291"/>
      <c r="S11" s="1291" t="s">
        <v>445</v>
      </c>
      <c r="T11" s="1291" t="s">
        <v>496</v>
      </c>
      <c r="U11" s="1291" t="s">
        <v>447</v>
      </c>
      <c r="V11" s="1291" t="s">
        <v>82</v>
      </c>
      <c r="W11" s="1291" t="s">
        <v>448</v>
      </c>
      <c r="X11" s="1291" t="s">
        <v>80</v>
      </c>
      <c r="Y11" s="1291"/>
      <c r="Z11" s="1332" t="str">
        <f t="shared" si="0"/>
        <v>対象</v>
      </c>
      <c r="AB11" s="1333"/>
      <c r="AC11" s="1319"/>
      <c r="AD11" s="1334">
        <f>Score!$Z$25</f>
        <v>3</v>
      </c>
      <c r="AE11" s="1334">
        <f>Score!$AB$25</f>
        <v>0</v>
      </c>
      <c r="AF11" s="1335">
        <f t="shared" si="5"/>
        <v>3</v>
      </c>
      <c r="AG11" s="1336">
        <f t="shared" si="6"/>
        <v>2</v>
      </c>
      <c r="AH11" s="1337"/>
      <c r="AI11" s="1342">
        <f t="shared" si="1"/>
        <v>2</v>
      </c>
      <c r="AJ11" s="1339">
        <f>AVERAGEIFS(AI11:AI12,AI11:AI12,"&lt;&gt;0",AI11:AI12,"&lt;&gt;#DIV/0!")</f>
        <v>2</v>
      </c>
      <c r="AK11" s="1343" t="b">
        <v>0</v>
      </c>
      <c r="AL11" s="1339">
        <f t="shared" si="7"/>
        <v>2</v>
      </c>
      <c r="AM11" s="1341"/>
    </row>
    <row r="12" spans="1:39" ht="30" customHeight="1">
      <c r="A12" s="4346"/>
      <c r="B12" s="4347"/>
      <c r="C12" s="4354"/>
      <c r="D12" s="4349"/>
      <c r="E12" s="4356"/>
      <c r="F12" s="1282" t="s">
        <v>4663</v>
      </c>
      <c r="G12" s="1286" t="s">
        <v>4916</v>
      </c>
      <c r="H12" s="1287" t="s">
        <v>4545</v>
      </c>
      <c r="I12" s="1288" t="str">
        <f t="shared" si="2"/>
        <v/>
      </c>
      <c r="J12" s="1288" t="str">
        <f t="shared" si="3"/>
        <v>●</v>
      </c>
      <c r="K12" s="1288" t="str">
        <f t="shared" si="4"/>
        <v/>
      </c>
      <c r="L12" s="4395"/>
      <c r="M12" s="4397"/>
      <c r="N12" s="4381"/>
      <c r="O12" s="1313"/>
      <c r="Q12" s="1291" t="s">
        <v>92</v>
      </c>
      <c r="R12" s="1291" t="s">
        <v>407</v>
      </c>
      <c r="S12" s="1291" t="s">
        <v>445</v>
      </c>
      <c r="T12" s="1291" t="s">
        <v>496</v>
      </c>
      <c r="U12" s="1291" t="s">
        <v>447</v>
      </c>
      <c r="V12" s="1291" t="s">
        <v>82</v>
      </c>
      <c r="W12" s="1291" t="s">
        <v>448</v>
      </c>
      <c r="X12" s="1291" t="s">
        <v>80</v>
      </c>
      <c r="Y12" s="1291" t="s">
        <v>497</v>
      </c>
      <c r="Z12" s="1332" t="str">
        <f t="shared" si="0"/>
        <v>対象</v>
      </c>
      <c r="AB12" s="1333"/>
      <c r="AC12" s="1319"/>
      <c r="AD12" s="1334">
        <f>Score!$Z$31</f>
        <v>3</v>
      </c>
      <c r="AE12" s="1334">
        <f>Score!$AB$31</f>
        <v>0</v>
      </c>
      <c r="AF12" s="1335">
        <f t="shared" si="5"/>
        <v>3</v>
      </c>
      <c r="AG12" s="1336">
        <f t="shared" si="6"/>
        <v>2</v>
      </c>
      <c r="AH12" s="1337"/>
      <c r="AI12" s="1342">
        <f t="shared" si="1"/>
        <v>2</v>
      </c>
      <c r="AJ12" s="1344"/>
      <c r="AK12" s="1345"/>
      <c r="AL12" s="1344"/>
      <c r="AM12" s="1346"/>
    </row>
    <row r="13" spans="1:39" ht="43.15" customHeight="1">
      <c r="A13" s="4346"/>
      <c r="B13" s="4350" t="s">
        <v>331</v>
      </c>
      <c r="C13" s="4357" t="s">
        <v>4664</v>
      </c>
      <c r="D13" s="1279" t="s">
        <v>1256</v>
      </c>
      <c r="E13" s="1280" t="s">
        <v>4665</v>
      </c>
      <c r="F13" s="1280" t="s">
        <v>4515</v>
      </c>
      <c r="G13" s="1286" t="s">
        <v>4916</v>
      </c>
      <c r="H13" s="1287" t="s">
        <v>4546</v>
      </c>
      <c r="I13" s="1288" t="str">
        <f>IF(AI13=1,"●","")</f>
        <v/>
      </c>
      <c r="J13" s="1288" t="str">
        <f>IF(AI13=2,"●","")</f>
        <v>●</v>
      </c>
      <c r="K13" s="1288" t="str">
        <f>IF(AI13=3,"●","")</f>
        <v/>
      </c>
      <c r="L13" s="1289"/>
      <c r="M13" s="1451"/>
      <c r="N13" s="1290">
        <f t="shared" ref="N13:N24" si="8">IF(Z13="N.A.","N.A.",AL13)</f>
        <v>2</v>
      </c>
      <c r="O13" s="1313"/>
      <c r="Q13" s="1291" t="s">
        <v>92</v>
      </c>
      <c r="R13" s="1291" t="s">
        <v>407</v>
      </c>
      <c r="S13" s="1291" t="s">
        <v>445</v>
      </c>
      <c r="T13" s="1291" t="s">
        <v>496</v>
      </c>
      <c r="U13" s="1291" t="s">
        <v>447</v>
      </c>
      <c r="V13" s="1291" t="s">
        <v>82</v>
      </c>
      <c r="W13" s="1291" t="s">
        <v>448</v>
      </c>
      <c r="X13" s="1291" t="s">
        <v>80</v>
      </c>
      <c r="Y13" s="1291" t="s">
        <v>497</v>
      </c>
      <c r="Z13" s="1332" t="str">
        <f>IF(AG13="#DIV/0!","N.A.",IF(AND($Q$4="〇",Q13&lt;&gt;"")+AND($R$4="〇",R13&lt;&gt;"")+AND($S$4="〇",S13&lt;&gt;"")+AND($T$4="〇",T13&lt;&gt;"")+AND($U$4="〇",U13&lt;&gt;"")+AND($V$4="〇",V13&lt;&gt;"")+AND($W$4="〇",W13&lt;&gt;"")+AND($X$4="〇",X13&lt;&gt;"")+AND($Y$4="〇",Y13&lt;&gt;"")=0,"N.A.","対象"))</f>
        <v>対象</v>
      </c>
      <c r="AB13" s="1333"/>
      <c r="AC13" s="1319"/>
      <c r="AD13" s="1334">
        <f>Score!$Z$54</f>
        <v>3</v>
      </c>
      <c r="AE13" s="1334">
        <f>Score!$AB$54</f>
        <v>0</v>
      </c>
      <c r="AF13" s="1335">
        <f>IF(AE13=0,AD13,IF(AD13=0,AE13,AD13*$AD$6+AE13*$AE$6))</f>
        <v>3</v>
      </c>
      <c r="AG13" s="1336">
        <f>IF(AF13=0,"#DIV/0!",IF(AF13&lt;2,1,IF(AF13&lt;4,2,3)))</f>
        <v>2</v>
      </c>
      <c r="AH13" s="1337"/>
      <c r="AI13" s="1336">
        <f t="shared" si="1"/>
        <v>2</v>
      </c>
      <c r="AJ13" s="1298">
        <f t="shared" ref="AJ13:AJ18" si="9">AVERAGEIFS(AI13,AI13,"&lt;&gt;0",AI13,"&lt;&gt;#DIV/0!")</f>
        <v>2</v>
      </c>
      <c r="AK13" s="1347" t="b">
        <v>0</v>
      </c>
      <c r="AL13" s="1339">
        <f>IF(AK13=FALSE,AJ13,IF(AJ13=1,2,3))</f>
        <v>2</v>
      </c>
      <c r="AM13" s="1340">
        <f>AVERAGEIFS(AL13:AL17,AL13:AL17,"&lt;&gt;0",AL13:AL17,"&lt;&gt;#DIV/0!")</f>
        <v>2</v>
      </c>
    </row>
    <row r="14" spans="1:39" ht="30" customHeight="1">
      <c r="A14" s="4346"/>
      <c r="B14" s="4351"/>
      <c r="C14" s="4358"/>
      <c r="D14" s="1279" t="s">
        <v>1257</v>
      </c>
      <c r="E14" s="1280" t="s">
        <v>4666</v>
      </c>
      <c r="F14" s="1280" t="s">
        <v>4516</v>
      </c>
      <c r="G14" s="1286" t="s">
        <v>4916</v>
      </c>
      <c r="H14" s="1287" t="s">
        <v>4547</v>
      </c>
      <c r="I14" s="1288" t="str">
        <f>IF(AI14=1,"●","")</f>
        <v/>
      </c>
      <c r="J14" s="1288" t="str">
        <f>IF(AI14=2,"●","")</f>
        <v/>
      </c>
      <c r="K14" s="1288" t="str">
        <f>IF(AI14=3,"●","")</f>
        <v/>
      </c>
      <c r="L14" s="1289"/>
      <c r="M14" s="1451"/>
      <c r="N14" s="1290" t="str">
        <f t="shared" si="8"/>
        <v>N.A.</v>
      </c>
      <c r="O14" s="1313"/>
      <c r="Q14" s="1291" t="s">
        <v>92</v>
      </c>
      <c r="R14" s="1291" t="s">
        <v>407</v>
      </c>
      <c r="S14" s="1291" t="s">
        <v>445</v>
      </c>
      <c r="T14" s="1291" t="s">
        <v>496</v>
      </c>
      <c r="U14" s="1291" t="s">
        <v>447</v>
      </c>
      <c r="V14" s="1291" t="s">
        <v>82</v>
      </c>
      <c r="W14" s="1291" t="s">
        <v>448</v>
      </c>
      <c r="X14" s="1291" t="s">
        <v>80</v>
      </c>
      <c r="Y14" s="1291" t="s">
        <v>497</v>
      </c>
      <c r="Z14" s="1332" t="str">
        <f t="shared" si="0"/>
        <v>N.A.</v>
      </c>
      <c r="AB14" s="1333"/>
      <c r="AC14" s="1319"/>
      <c r="AD14" s="1334">
        <f>Score!$Z$30</f>
        <v>0</v>
      </c>
      <c r="AE14" s="1334">
        <f>Score!$AB$30</f>
        <v>0</v>
      </c>
      <c r="AF14" s="1335">
        <f>IF(AE14=0,AD14,IF(AD14=0,AE14,AD14*$AD$6+AE14*$AE$6))</f>
        <v>0</v>
      </c>
      <c r="AG14" s="1336" t="str">
        <f>IF(AF14=0,"#DIV/0!",IF(AF14&lt;2,1,IF(AF14&lt;4,2,3)))</f>
        <v>#DIV/0!</v>
      </c>
      <c r="AH14" s="1337"/>
      <c r="AI14" s="1336" t="str">
        <f>IF(Z14="N.A.","#DIV/0!",IF(AG14="",AB14,IF(AB14="",AG14,0)))</f>
        <v>#DIV/0!</v>
      </c>
      <c r="AJ14" s="1298" t="e">
        <f t="shared" si="9"/>
        <v>#DIV/0!</v>
      </c>
      <c r="AK14" s="1347" t="b">
        <v>0</v>
      </c>
      <c r="AL14" s="1339" t="e">
        <f>IF(AK14=FALSE,AJ14,IF(AJ14=1,2,3))</f>
        <v>#DIV/0!</v>
      </c>
      <c r="AM14" s="1348"/>
    </row>
    <row r="15" spans="1:39" ht="30" customHeight="1">
      <c r="A15" s="4346"/>
      <c r="B15" s="4351"/>
      <c r="C15" s="4358"/>
      <c r="D15" s="1279" t="s">
        <v>591</v>
      </c>
      <c r="E15" s="1280" t="s">
        <v>4667</v>
      </c>
      <c r="F15" s="1280" t="s">
        <v>4517</v>
      </c>
      <c r="G15" s="1286" t="s">
        <v>4916</v>
      </c>
      <c r="H15" s="1287" t="s">
        <v>4548</v>
      </c>
      <c r="I15" s="1288" t="str">
        <f>IF(AI15=1,"●","")</f>
        <v/>
      </c>
      <c r="J15" s="1288" t="str">
        <f>IF(AI15=2,"●","")</f>
        <v>●</v>
      </c>
      <c r="K15" s="1288" t="str">
        <f>IF(AI15=3,"●","")</f>
        <v/>
      </c>
      <c r="L15" s="1289"/>
      <c r="M15" s="1451"/>
      <c r="N15" s="1290">
        <f t="shared" si="8"/>
        <v>2</v>
      </c>
      <c r="O15" s="1313"/>
      <c r="Q15" s="1291" t="s">
        <v>92</v>
      </c>
      <c r="R15" s="1291" t="s">
        <v>407</v>
      </c>
      <c r="S15" s="1291" t="s">
        <v>445</v>
      </c>
      <c r="T15" s="1291" t="s">
        <v>496</v>
      </c>
      <c r="U15" s="1291" t="s">
        <v>447</v>
      </c>
      <c r="V15" s="1291" t="s">
        <v>82</v>
      </c>
      <c r="W15" s="1291" t="s">
        <v>448</v>
      </c>
      <c r="X15" s="1291" t="s">
        <v>80</v>
      </c>
      <c r="Y15" s="1291" t="s">
        <v>497</v>
      </c>
      <c r="Z15" s="1332" t="str">
        <f t="shared" si="0"/>
        <v>対象</v>
      </c>
      <c r="AB15" s="1333"/>
      <c r="AC15" s="1319"/>
      <c r="AD15" s="1334">
        <f>Score!$Z$50</f>
        <v>3</v>
      </c>
      <c r="AE15" s="1334">
        <f>Score!$AB$50</f>
        <v>0</v>
      </c>
      <c r="AF15" s="1335">
        <f>IF(AE15=0,AD15,IF(AD15=0,AE15,AD15*$AD$6+AE15*$AE$6))</f>
        <v>3</v>
      </c>
      <c r="AG15" s="1336">
        <f>IF(AF15=0,"#DIV/0!",IF(AF15&lt;2,1,IF(AF15&lt;4,2,3)))</f>
        <v>2</v>
      </c>
      <c r="AH15" s="1337"/>
      <c r="AI15" s="1336">
        <f t="shared" si="1"/>
        <v>2</v>
      </c>
      <c r="AJ15" s="1298">
        <f t="shared" si="9"/>
        <v>2</v>
      </c>
      <c r="AK15" s="1347" t="b">
        <v>0</v>
      </c>
      <c r="AL15" s="1339">
        <f>IF(AK15=FALSE,AJ15,IF(AJ15=1,2,3))</f>
        <v>2</v>
      </c>
      <c r="AM15" s="1348"/>
    </row>
    <row r="16" spans="1:39" ht="30" customHeight="1">
      <c r="A16" s="4346"/>
      <c r="B16" s="4351"/>
      <c r="C16" s="4358"/>
      <c r="D16" s="1279" t="s">
        <v>1258</v>
      </c>
      <c r="E16" s="1280" t="s">
        <v>4668</v>
      </c>
      <c r="F16" s="1280" t="s">
        <v>4518</v>
      </c>
      <c r="G16" s="1291" t="s">
        <v>3710</v>
      </c>
      <c r="H16" s="1287" t="s">
        <v>4549</v>
      </c>
      <c r="I16" s="1288" t="str">
        <f>IF(AI16=1,"●","")</f>
        <v/>
      </c>
      <c r="J16" s="1288" t="str">
        <f>IF(AI16=2,"●","")</f>
        <v>●</v>
      </c>
      <c r="K16" s="1288" t="str">
        <f>IF(AI16=3,"●","")</f>
        <v/>
      </c>
      <c r="L16" s="1289"/>
      <c r="M16" s="1451"/>
      <c r="N16" s="1290">
        <f t="shared" si="8"/>
        <v>2</v>
      </c>
      <c r="O16" s="1313"/>
      <c r="Q16" s="1291" t="s">
        <v>92</v>
      </c>
      <c r="R16" s="1291" t="s">
        <v>407</v>
      </c>
      <c r="S16" s="1291" t="s">
        <v>445</v>
      </c>
      <c r="T16" s="1291" t="s">
        <v>496</v>
      </c>
      <c r="U16" s="1291" t="s">
        <v>447</v>
      </c>
      <c r="V16" s="1291" t="s">
        <v>82</v>
      </c>
      <c r="W16" s="1291" t="s">
        <v>448</v>
      </c>
      <c r="X16" s="1291" t="s">
        <v>80</v>
      </c>
      <c r="Y16" s="1291"/>
      <c r="Z16" s="1332" t="str">
        <f t="shared" si="0"/>
        <v>対象</v>
      </c>
      <c r="AB16" s="1333"/>
      <c r="AC16" s="1319"/>
      <c r="AD16" s="1334">
        <f>Score!$Z$61</f>
        <v>3</v>
      </c>
      <c r="AE16" s="1334">
        <f>Score!$AB$61</f>
        <v>0</v>
      </c>
      <c r="AF16" s="1335">
        <f>IF(AE16=0,AD16,IF(AD16=0,AE16,AD16*$AD$6+AE16*$AE$6))</f>
        <v>3</v>
      </c>
      <c r="AG16" s="1336">
        <f>IF(AF16=0,"#DIV/0!",IF(AF16&lt;2,1,IF(AF16&lt;4,2,3)))</f>
        <v>2</v>
      </c>
      <c r="AH16" s="1337"/>
      <c r="AI16" s="1336">
        <f t="shared" si="1"/>
        <v>2</v>
      </c>
      <c r="AJ16" s="1298">
        <f t="shared" si="9"/>
        <v>2</v>
      </c>
      <c r="AK16" s="1347" t="b">
        <v>0</v>
      </c>
      <c r="AL16" s="1339">
        <f>IF(AK16=FALSE,AJ16,IF(AJ16=1,2,3))</f>
        <v>2</v>
      </c>
      <c r="AM16" s="1348"/>
    </row>
    <row r="17" spans="1:39" ht="30" customHeight="1">
      <c r="A17" s="4346"/>
      <c r="B17" s="4352"/>
      <c r="C17" s="4359"/>
      <c r="D17" s="1279" t="s">
        <v>1259</v>
      </c>
      <c r="E17" s="1280" t="s">
        <v>4669</v>
      </c>
      <c r="F17" s="1280" t="s">
        <v>4670</v>
      </c>
      <c r="G17" s="1286" t="s">
        <v>4916</v>
      </c>
      <c r="H17" s="1287" t="s">
        <v>4550</v>
      </c>
      <c r="I17" s="1288" t="str">
        <f>IF(AI17=1,"●","")</f>
        <v/>
      </c>
      <c r="J17" s="1288" t="str">
        <f>IF(AI17=2,"●","")</f>
        <v>●</v>
      </c>
      <c r="K17" s="1288" t="str">
        <f>IF(AI17=3,"●","")</f>
        <v/>
      </c>
      <c r="L17" s="1289"/>
      <c r="M17" s="1451"/>
      <c r="N17" s="1290">
        <f t="shared" si="8"/>
        <v>2</v>
      </c>
      <c r="O17" s="1313"/>
      <c r="Q17" s="1291" t="s">
        <v>92</v>
      </c>
      <c r="R17" s="1291" t="s">
        <v>407</v>
      </c>
      <c r="S17" s="1291" t="s">
        <v>445</v>
      </c>
      <c r="T17" s="1291" t="s">
        <v>496</v>
      </c>
      <c r="U17" s="1291" t="s">
        <v>447</v>
      </c>
      <c r="V17" s="1291" t="s">
        <v>82</v>
      </c>
      <c r="W17" s="1291" t="s">
        <v>448</v>
      </c>
      <c r="X17" s="1291" t="s">
        <v>80</v>
      </c>
      <c r="Y17" s="1291" t="s">
        <v>497</v>
      </c>
      <c r="Z17" s="1332" t="str">
        <f t="shared" si="0"/>
        <v>対象</v>
      </c>
      <c r="AB17" s="1349"/>
      <c r="AC17" s="1319"/>
      <c r="AD17" s="1334">
        <f>Score!$Z$76</f>
        <v>3</v>
      </c>
      <c r="AE17" s="1334">
        <f>Score!$AB$76</f>
        <v>0</v>
      </c>
      <c r="AF17" s="1335">
        <f>IF(AE17=0,AD17,IF(AD17=0,AE17,AD17*$AD$6+AE17*$AE$6))</f>
        <v>3</v>
      </c>
      <c r="AG17" s="1336">
        <f>IF(AF17=0,"#DIV/0!",IF(AF17&lt;2,1,IF(AF17&lt;4,2,3)))</f>
        <v>2</v>
      </c>
      <c r="AH17" s="1350"/>
      <c r="AI17" s="1336">
        <f t="shared" si="1"/>
        <v>2</v>
      </c>
      <c r="AJ17" s="1298">
        <f t="shared" si="9"/>
        <v>2</v>
      </c>
      <c r="AK17" s="1338" t="b">
        <v>0</v>
      </c>
      <c r="AL17" s="1339">
        <f>IF(AK17=FALSE,AJ17,IF(AJ17=1,2,3))</f>
        <v>2</v>
      </c>
      <c r="AM17" s="1351"/>
    </row>
    <row r="18" spans="1:39" ht="30" customHeight="1">
      <c r="A18" s="4346"/>
      <c r="B18" s="4347" t="s">
        <v>402</v>
      </c>
      <c r="C18" s="4354" t="s">
        <v>4671</v>
      </c>
      <c r="D18" s="1279" t="s">
        <v>1260</v>
      </c>
      <c r="E18" s="1280" t="s">
        <v>4672</v>
      </c>
      <c r="F18" s="1280" t="s">
        <v>4673</v>
      </c>
      <c r="G18" s="1286" t="s">
        <v>4916</v>
      </c>
      <c r="H18" s="1287" t="s">
        <v>4551</v>
      </c>
      <c r="I18" s="1288" t="str">
        <f t="shared" si="2"/>
        <v/>
      </c>
      <c r="J18" s="1288" t="str">
        <f t="shared" si="3"/>
        <v>●</v>
      </c>
      <c r="K18" s="1288" t="str">
        <f t="shared" si="4"/>
        <v/>
      </c>
      <c r="L18" s="1289"/>
      <c r="M18" s="1280"/>
      <c r="N18" s="1290">
        <f t="shared" si="8"/>
        <v>2</v>
      </c>
      <c r="O18" s="1313"/>
      <c r="Q18" s="1291" t="s">
        <v>92</v>
      </c>
      <c r="R18" s="1291" t="s">
        <v>407</v>
      </c>
      <c r="S18" s="1291" t="s">
        <v>445</v>
      </c>
      <c r="T18" s="1291" t="s">
        <v>496</v>
      </c>
      <c r="U18" s="1291" t="s">
        <v>447</v>
      </c>
      <c r="V18" s="1291" t="s">
        <v>82</v>
      </c>
      <c r="W18" s="1291" t="s">
        <v>448</v>
      </c>
      <c r="X18" s="1291" t="s">
        <v>80</v>
      </c>
      <c r="Y18" s="1291" t="s">
        <v>497</v>
      </c>
      <c r="Z18" s="1332" t="str">
        <f t="shared" si="0"/>
        <v>対象</v>
      </c>
      <c r="AB18" s="1333"/>
      <c r="AC18" s="1319"/>
      <c r="AD18" s="1334">
        <f>Score!$Z$39</f>
        <v>3</v>
      </c>
      <c r="AE18" s="1334">
        <f>Score!$AB$39</f>
        <v>0</v>
      </c>
      <c r="AF18" s="1335">
        <f t="shared" si="5"/>
        <v>3</v>
      </c>
      <c r="AG18" s="1336">
        <f t="shared" si="6"/>
        <v>2</v>
      </c>
      <c r="AH18" s="1337"/>
      <c r="AI18" s="1336">
        <f t="shared" si="1"/>
        <v>2</v>
      </c>
      <c r="AJ18" s="1298">
        <f t="shared" si="9"/>
        <v>2</v>
      </c>
      <c r="AK18" s="1347" t="b">
        <v>0</v>
      </c>
      <c r="AL18" s="1339">
        <f t="shared" si="7"/>
        <v>2</v>
      </c>
      <c r="AM18" s="1348">
        <f>AVERAGEIFS(AL18:AL20,AL18:AL20,"&lt;&gt;0",AL18:AL20,"&lt;&gt;#DIV/0!")</f>
        <v>2</v>
      </c>
    </row>
    <row r="19" spans="1:39" ht="30" customHeight="1">
      <c r="A19" s="4346"/>
      <c r="B19" s="4347"/>
      <c r="C19" s="4354"/>
      <c r="D19" s="1279" t="s">
        <v>1261</v>
      </c>
      <c r="E19" s="1280" t="s">
        <v>4674</v>
      </c>
      <c r="F19" s="1280" t="s">
        <v>4675</v>
      </c>
      <c r="G19" s="1455" t="s">
        <v>4978</v>
      </c>
      <c r="H19" s="1287" t="s">
        <v>4552</v>
      </c>
      <c r="I19" s="1288" t="str">
        <f t="shared" si="2"/>
        <v/>
      </c>
      <c r="J19" s="1288" t="str">
        <f t="shared" si="3"/>
        <v>●</v>
      </c>
      <c r="K19" s="1288" t="str">
        <f t="shared" si="4"/>
        <v/>
      </c>
      <c r="L19" s="1289"/>
      <c r="M19" s="1451"/>
      <c r="N19" s="1290">
        <f t="shared" si="8"/>
        <v>2</v>
      </c>
      <c r="O19" s="1313"/>
      <c r="Q19" s="1291" t="s">
        <v>92</v>
      </c>
      <c r="R19" s="1291" t="s">
        <v>407</v>
      </c>
      <c r="S19" s="1291"/>
      <c r="T19" s="1291"/>
      <c r="U19" s="1291"/>
      <c r="V19" s="1291" t="s">
        <v>82</v>
      </c>
      <c r="W19" s="1291" t="s">
        <v>448</v>
      </c>
      <c r="X19" s="1291" t="s">
        <v>80</v>
      </c>
      <c r="Y19" s="1291" t="s">
        <v>497</v>
      </c>
      <c r="Z19" s="1332" t="str">
        <f>IF(AG19="#DIV/0!","N.A.",IF(AND($Q$4="〇",Q19&lt;&gt;"")+AND($R$4="〇",R19&lt;&gt;"")+AND($S$4="〇",S19&lt;&gt;"")+AND($T$4="〇",T19&lt;&gt;"")+AND($U$4="〇",U19&lt;&gt;"")+AND($V$4="〇",V19&lt;&gt;"")+AND($W$4="〇",W19&lt;&gt;"")+AND($X$4="〇",X19&lt;&gt;"")+AND($Y$4="〇",Y19&lt;&gt;"")=0,"N.A.","対象"))</f>
        <v>対象</v>
      </c>
      <c r="AB19" s="1333"/>
      <c r="AC19" s="1319"/>
      <c r="AD19" s="1334">
        <f>Score!$Z$42</f>
        <v>3</v>
      </c>
      <c r="AE19" s="1334">
        <f>Score!$AB$42</f>
        <v>0</v>
      </c>
      <c r="AF19" s="1335">
        <f t="shared" si="5"/>
        <v>3</v>
      </c>
      <c r="AG19" s="1336">
        <f t="shared" si="6"/>
        <v>2</v>
      </c>
      <c r="AH19" s="1337"/>
      <c r="AI19" s="1336">
        <f t="shared" si="1"/>
        <v>2</v>
      </c>
      <c r="AJ19" s="1298">
        <f t="shared" ref="AJ19:AJ76" si="10">AVERAGEIFS(AI19,AI19,"&lt;&gt;0",AI19,"&lt;&gt;#DIV/0!")</f>
        <v>2</v>
      </c>
      <c r="AK19" s="1347" t="b">
        <v>0</v>
      </c>
      <c r="AL19" s="1339">
        <f t="shared" si="7"/>
        <v>2</v>
      </c>
      <c r="AM19" s="1348"/>
    </row>
    <row r="20" spans="1:39" ht="30" customHeight="1">
      <c r="A20" s="4346"/>
      <c r="B20" s="4347"/>
      <c r="C20" s="4354"/>
      <c r="D20" s="1279" t="s">
        <v>1262</v>
      </c>
      <c r="E20" s="1280" t="s">
        <v>4676</v>
      </c>
      <c r="F20" s="1280" t="s">
        <v>4520</v>
      </c>
      <c r="G20" s="1291" t="s">
        <v>4918</v>
      </c>
      <c r="H20" s="1287" t="s">
        <v>4553</v>
      </c>
      <c r="I20" s="1288" t="str">
        <f t="shared" si="2"/>
        <v/>
      </c>
      <c r="J20" s="1288" t="str">
        <f t="shared" si="3"/>
        <v>●</v>
      </c>
      <c r="K20" s="1288" t="str">
        <f t="shared" si="4"/>
        <v/>
      </c>
      <c r="L20" s="1289"/>
      <c r="M20" s="1451"/>
      <c r="N20" s="1290">
        <f t="shared" si="8"/>
        <v>2</v>
      </c>
      <c r="O20" s="1313"/>
      <c r="Q20" s="1291" t="s">
        <v>92</v>
      </c>
      <c r="R20" s="1291" t="s">
        <v>407</v>
      </c>
      <c r="S20" s="1291" t="s">
        <v>445</v>
      </c>
      <c r="T20" s="1291"/>
      <c r="U20" s="1291" t="s">
        <v>447</v>
      </c>
      <c r="V20" s="1291" t="s">
        <v>82</v>
      </c>
      <c r="W20" s="1291" t="s">
        <v>448</v>
      </c>
      <c r="X20" s="1291" t="s">
        <v>80</v>
      </c>
      <c r="Y20" s="1291" t="s">
        <v>497</v>
      </c>
      <c r="Z20" s="1332" t="str">
        <f t="shared" si="0"/>
        <v>対象</v>
      </c>
      <c r="AB20" s="1333"/>
      <c r="AC20" s="1319"/>
      <c r="AD20" s="1334">
        <f>Score!$Z$47</f>
        <v>3</v>
      </c>
      <c r="AE20" s="1334">
        <f>Score!$AB$47</f>
        <v>0</v>
      </c>
      <c r="AF20" s="1335">
        <f t="shared" si="5"/>
        <v>3</v>
      </c>
      <c r="AG20" s="1336">
        <f t="shared" si="6"/>
        <v>2</v>
      </c>
      <c r="AH20" s="1337"/>
      <c r="AI20" s="1336">
        <f t="shared" si="1"/>
        <v>2</v>
      </c>
      <c r="AJ20" s="1298">
        <f t="shared" si="10"/>
        <v>2</v>
      </c>
      <c r="AK20" s="1347" t="b">
        <v>0</v>
      </c>
      <c r="AL20" s="1339">
        <f t="shared" si="7"/>
        <v>2</v>
      </c>
      <c r="AM20" s="1348"/>
    </row>
    <row r="21" spans="1:39" ht="40.15" customHeight="1">
      <c r="A21" s="4346"/>
      <c r="B21" s="1283">
        <v>3.4</v>
      </c>
      <c r="C21" s="1284" t="s">
        <v>4677</v>
      </c>
      <c r="D21" s="1279" t="s">
        <v>1090</v>
      </c>
      <c r="E21" s="1280" t="s">
        <v>4678</v>
      </c>
      <c r="F21" s="1280" t="s">
        <v>4679</v>
      </c>
      <c r="G21" s="1286" t="s">
        <v>4916</v>
      </c>
      <c r="H21" s="1287" t="s">
        <v>4554</v>
      </c>
      <c r="I21" s="1288" t="str">
        <f t="shared" si="2"/>
        <v/>
      </c>
      <c r="J21" s="1288" t="str">
        <f t="shared" si="3"/>
        <v>●</v>
      </c>
      <c r="K21" s="1288" t="str">
        <f t="shared" si="4"/>
        <v/>
      </c>
      <c r="L21" s="1289"/>
      <c r="M21" s="1451"/>
      <c r="N21" s="1290">
        <f t="shared" si="8"/>
        <v>2</v>
      </c>
      <c r="O21" s="1313"/>
      <c r="Q21" s="1291" t="s">
        <v>92</v>
      </c>
      <c r="R21" s="1291" t="s">
        <v>407</v>
      </c>
      <c r="S21" s="1291" t="s">
        <v>445</v>
      </c>
      <c r="T21" s="1291" t="s">
        <v>496</v>
      </c>
      <c r="U21" s="1291" t="s">
        <v>447</v>
      </c>
      <c r="V21" s="1291" t="s">
        <v>82</v>
      </c>
      <c r="W21" s="1291" t="s">
        <v>448</v>
      </c>
      <c r="X21" s="1291" t="s">
        <v>80</v>
      </c>
      <c r="Y21" s="1291" t="s">
        <v>497</v>
      </c>
      <c r="Z21" s="1332" t="str">
        <f t="shared" si="0"/>
        <v>対象</v>
      </c>
      <c r="AB21" s="1333"/>
      <c r="AC21" s="1319"/>
      <c r="AD21" s="1334">
        <f>Score!$Z$10</f>
        <v>3.0000000000000004</v>
      </c>
      <c r="AE21" s="1334">
        <f>Score!$AB$10</f>
        <v>0</v>
      </c>
      <c r="AF21" s="1335">
        <f t="shared" si="5"/>
        <v>3.0000000000000004</v>
      </c>
      <c r="AG21" s="1336">
        <f t="shared" si="6"/>
        <v>2</v>
      </c>
      <c r="AH21" s="1337"/>
      <c r="AI21" s="1336">
        <f t="shared" si="1"/>
        <v>2</v>
      </c>
      <c r="AJ21" s="1298">
        <f t="shared" si="10"/>
        <v>2</v>
      </c>
      <c r="AK21" s="1352" t="b">
        <v>0</v>
      </c>
      <c r="AL21" s="1339">
        <f t="shared" si="7"/>
        <v>2</v>
      </c>
      <c r="AM21" s="1351">
        <f>AVERAGEIFS(AL21,AL21,"&lt;&gt;0",AL21,"&lt;&gt;#DIV/0!")</f>
        <v>2</v>
      </c>
    </row>
    <row r="22" spans="1:39" ht="92.45" customHeight="1">
      <c r="A22" s="4346"/>
      <c r="B22" s="1283">
        <v>3.5</v>
      </c>
      <c r="C22" s="1285" t="s">
        <v>4680</v>
      </c>
      <c r="D22" s="1279" t="s">
        <v>1091</v>
      </c>
      <c r="E22" s="1280" t="s">
        <v>4681</v>
      </c>
      <c r="F22" s="1280" t="s">
        <v>4942</v>
      </c>
      <c r="G22" s="1286" t="s">
        <v>4916</v>
      </c>
      <c r="H22" s="1292" t="s">
        <v>4555</v>
      </c>
      <c r="I22" s="1282"/>
      <c r="J22" s="1282"/>
      <c r="K22" s="1282"/>
      <c r="L22" s="1293"/>
      <c r="M22" s="1451"/>
      <c r="N22" s="1290">
        <f t="shared" si="8"/>
        <v>3</v>
      </c>
      <c r="O22" s="1313"/>
      <c r="Q22" s="1291" t="s">
        <v>92</v>
      </c>
      <c r="R22" s="1291" t="s">
        <v>407</v>
      </c>
      <c r="S22" s="1291" t="s">
        <v>445</v>
      </c>
      <c r="T22" s="1291" t="s">
        <v>496</v>
      </c>
      <c r="U22" s="1291" t="s">
        <v>447</v>
      </c>
      <c r="V22" s="1291" t="s">
        <v>82</v>
      </c>
      <c r="W22" s="1291" t="s">
        <v>448</v>
      </c>
      <c r="X22" s="1291" t="s">
        <v>80</v>
      </c>
      <c r="Y22" s="1291" t="s">
        <v>497</v>
      </c>
      <c r="Z22" s="1332" t="str">
        <f t="shared" si="0"/>
        <v>対象</v>
      </c>
      <c r="AB22" s="1353">
        <v>3</v>
      </c>
      <c r="AC22" s="1319"/>
      <c r="AD22" s="1354"/>
      <c r="AE22" s="1354"/>
      <c r="AF22" s="1349"/>
      <c r="AG22" s="1349"/>
      <c r="AH22" s="1337"/>
      <c r="AI22" s="1336">
        <f t="shared" si="1"/>
        <v>3</v>
      </c>
      <c r="AJ22" s="1298">
        <f t="shared" si="10"/>
        <v>3</v>
      </c>
      <c r="AK22" s="1352" t="b">
        <v>0</v>
      </c>
      <c r="AL22" s="1339">
        <f t="shared" si="7"/>
        <v>3</v>
      </c>
      <c r="AM22" s="1355">
        <f>AVERAGEIFS(AL22,AL22,"&lt;&gt;0",AL22,"&lt;&gt;#DIV/0!")</f>
        <v>3</v>
      </c>
    </row>
    <row r="23" spans="1:39" ht="32.25" customHeight="1">
      <c r="A23" s="4346"/>
      <c r="B23" s="1283">
        <v>3.6</v>
      </c>
      <c r="C23" s="1284" t="s">
        <v>4682</v>
      </c>
      <c r="D23" s="1279" t="s">
        <v>1092</v>
      </c>
      <c r="E23" s="1280" t="s">
        <v>4683</v>
      </c>
      <c r="F23" s="1280" t="s">
        <v>4521</v>
      </c>
      <c r="G23" s="1286" t="s">
        <v>4916</v>
      </c>
      <c r="H23" s="1287" t="s">
        <v>4556</v>
      </c>
      <c r="I23" s="1288" t="str">
        <f>IF(AI23=1,"●","")</f>
        <v/>
      </c>
      <c r="J23" s="1288" t="str">
        <f>IF(AI23=2,"●","")</f>
        <v>●</v>
      </c>
      <c r="K23" s="1288" t="str">
        <f>IF(AI23=3,"●","")</f>
        <v/>
      </c>
      <c r="L23" s="1289"/>
      <c r="M23" s="1451"/>
      <c r="N23" s="1290">
        <f t="shared" si="8"/>
        <v>2</v>
      </c>
      <c r="O23" s="1313"/>
      <c r="Q23" s="1291" t="s">
        <v>92</v>
      </c>
      <c r="R23" s="1291" t="s">
        <v>407</v>
      </c>
      <c r="S23" s="1291" t="s">
        <v>445</v>
      </c>
      <c r="T23" s="1291" t="s">
        <v>496</v>
      </c>
      <c r="U23" s="1291" t="s">
        <v>447</v>
      </c>
      <c r="V23" s="1291" t="s">
        <v>82</v>
      </c>
      <c r="W23" s="1291" t="s">
        <v>448</v>
      </c>
      <c r="X23" s="1291" t="s">
        <v>80</v>
      </c>
      <c r="Y23" s="1291" t="s">
        <v>497</v>
      </c>
      <c r="Z23" s="1332" t="str">
        <f t="shared" si="0"/>
        <v>対象</v>
      </c>
      <c r="AB23" s="1333"/>
      <c r="AC23" s="1319"/>
      <c r="AD23" s="1334">
        <f>Score!$Z$67</f>
        <v>3</v>
      </c>
      <c r="AE23" s="1334">
        <f>Score!$AB$67</f>
        <v>0</v>
      </c>
      <c r="AF23" s="1335">
        <f>IF(AE23=0,AD23,IF(AD23=0,AE23,AD23*$AD$6+AE23*$AE$6))</f>
        <v>3</v>
      </c>
      <c r="AG23" s="1336">
        <f t="shared" si="6"/>
        <v>2</v>
      </c>
      <c r="AH23" s="1350"/>
      <c r="AI23" s="1336">
        <f t="shared" si="1"/>
        <v>2</v>
      </c>
      <c r="AJ23" s="1298">
        <f t="shared" si="10"/>
        <v>2</v>
      </c>
      <c r="AK23" s="1352" t="b">
        <v>0</v>
      </c>
      <c r="AL23" s="1339">
        <f t="shared" si="7"/>
        <v>2</v>
      </c>
      <c r="AM23" s="1355">
        <f>AVERAGEIFS(AL23,AL23,"&lt;&gt;0",AL23,"&lt;&gt;#DIV/0!")</f>
        <v>2</v>
      </c>
    </row>
    <row r="24" spans="1:39" ht="85.5" customHeight="1">
      <c r="A24" s="4346"/>
      <c r="B24" s="1283">
        <v>3.7</v>
      </c>
      <c r="C24" s="1284" t="s">
        <v>4684</v>
      </c>
      <c r="D24" s="1279" t="s">
        <v>1093</v>
      </c>
      <c r="E24" s="1280" t="s">
        <v>4685</v>
      </c>
      <c r="F24" s="1280" t="s">
        <v>4943</v>
      </c>
      <c r="G24" s="1286" t="s">
        <v>4919</v>
      </c>
      <c r="H24" s="1292" t="s">
        <v>4555</v>
      </c>
      <c r="I24" s="1294"/>
      <c r="J24" s="3780"/>
      <c r="K24" s="1294"/>
      <c r="L24" s="1293"/>
      <c r="M24" s="1451"/>
      <c r="N24" s="1290" t="str">
        <f t="shared" si="8"/>
        <v>N.A.</v>
      </c>
      <c r="O24" s="1313"/>
      <c r="Q24" s="1291"/>
      <c r="R24" s="1291"/>
      <c r="S24" s="1291"/>
      <c r="T24" s="1291"/>
      <c r="U24" s="1291"/>
      <c r="V24" s="1291"/>
      <c r="W24" s="1291" t="s">
        <v>448</v>
      </c>
      <c r="X24" s="1291"/>
      <c r="Y24" s="1291"/>
      <c r="Z24" s="1332" t="str">
        <f t="shared" si="0"/>
        <v>N.A.</v>
      </c>
      <c r="AB24" s="1353">
        <v>1</v>
      </c>
      <c r="AC24" s="1319"/>
      <c r="AD24" s="1354"/>
      <c r="AE24" s="1354"/>
      <c r="AF24" s="1349"/>
      <c r="AG24" s="1349"/>
      <c r="AH24" s="1350"/>
      <c r="AI24" s="1336" t="str">
        <f t="shared" si="1"/>
        <v>#DIV/0!</v>
      </c>
      <c r="AJ24" s="1356" t="e">
        <f>AVERAGEIFS(AI24,AI24,"&lt;&gt;0",AI24,"&lt;&gt;#DIV/0!")</f>
        <v>#DIV/0!</v>
      </c>
      <c r="AK24" s="1343" t="b">
        <v>0</v>
      </c>
      <c r="AL24" s="1339" t="e">
        <f>IF(AK24=FALSE,AJ24,IF(AJ24=1,2,3))</f>
        <v>#DIV/0!</v>
      </c>
      <c r="AM24" s="1357" t="e">
        <f>AVERAGEIFS(AL24,AL24,"&lt;&gt;0",AL24,"&lt;&gt;#DIV/0!")</f>
        <v>#DIV/0!</v>
      </c>
    </row>
    <row r="25" spans="1:39" ht="30" customHeight="1">
      <c r="A25" s="4346"/>
      <c r="B25" s="4347">
        <v>3.8</v>
      </c>
      <c r="C25" s="4354" t="s">
        <v>4686</v>
      </c>
      <c r="D25" s="4353" t="s">
        <v>1094</v>
      </c>
      <c r="E25" s="4360" t="s">
        <v>4687</v>
      </c>
      <c r="F25" s="1280" t="s">
        <v>4522</v>
      </c>
      <c r="G25" s="1286" t="s">
        <v>4916</v>
      </c>
      <c r="H25" s="1287" t="s">
        <v>4557</v>
      </c>
      <c r="I25" s="1288" t="str">
        <f>IF(AI25=1,"●","")</f>
        <v/>
      </c>
      <c r="J25" s="1288" t="str">
        <f>IF(AI25=2,"●","")</f>
        <v>●</v>
      </c>
      <c r="K25" s="1288" t="str">
        <f>IF(AI25=3,"●","")</f>
        <v/>
      </c>
      <c r="L25" s="4382"/>
      <c r="M25" s="1339"/>
      <c r="N25" s="4380">
        <f>IF(AND(Z25="N.A.",Z26="N.A.",Z27="N.A."),"N.A.",AL25)</f>
        <v>2</v>
      </c>
      <c r="O25" s="1313"/>
      <c r="Q25" s="1291" t="s">
        <v>92</v>
      </c>
      <c r="R25" s="1291" t="s">
        <v>407</v>
      </c>
      <c r="S25" s="1291" t="s">
        <v>445</v>
      </c>
      <c r="T25" s="1291" t="s">
        <v>496</v>
      </c>
      <c r="U25" s="1291" t="s">
        <v>447</v>
      </c>
      <c r="V25" s="1291" t="s">
        <v>82</v>
      </c>
      <c r="W25" s="1291" t="s">
        <v>448</v>
      </c>
      <c r="X25" s="1291" t="s">
        <v>80</v>
      </c>
      <c r="Y25" s="1291" t="s">
        <v>497</v>
      </c>
      <c r="Z25" s="1332" t="str">
        <f t="shared" si="0"/>
        <v>対象</v>
      </c>
      <c r="AB25" s="4377"/>
      <c r="AD25" s="1358">
        <f>Score!$Z$187</f>
        <v>3</v>
      </c>
      <c r="AE25" s="1359">
        <f>Score!$AB$187</f>
        <v>0</v>
      </c>
      <c r="AF25" s="1335">
        <f>IF(AE25=0,AD25,IF(AD25=0,AE25,AD25*$AD$6+AE25*$AE$6))</f>
        <v>3</v>
      </c>
      <c r="AG25" s="1336">
        <f t="shared" si="6"/>
        <v>2</v>
      </c>
      <c r="AH25" s="1337"/>
      <c r="AI25" s="1361">
        <f t="shared" si="1"/>
        <v>2</v>
      </c>
      <c r="AJ25" s="1362">
        <f>AVERAGEIFS(AI25:AI27,AI25:AI27,"&lt;&gt;0",AI25:AI27,"&lt;&gt;#DIV/0!")</f>
        <v>2</v>
      </c>
      <c r="AK25" s="1363" t="b">
        <v>0</v>
      </c>
      <c r="AL25" s="1362">
        <f>IF(AK25=FALSE,AJ25,IF(AJ25=1,2,3))</f>
        <v>2</v>
      </c>
      <c r="AM25" s="1364">
        <f>AVERAGEIFS(AL25:AL32,AL25:AL32,"&lt;&gt;0",AL25:AL32,"&lt;&gt;#DIV/0!")</f>
        <v>2</v>
      </c>
    </row>
    <row r="26" spans="1:39" ht="30" customHeight="1">
      <c r="A26" s="4346"/>
      <c r="B26" s="4347"/>
      <c r="C26" s="4354"/>
      <c r="D26" s="4353"/>
      <c r="E26" s="4360"/>
      <c r="F26" s="1280" t="s">
        <v>4523</v>
      </c>
      <c r="G26" s="1286" t="s">
        <v>4916</v>
      </c>
      <c r="H26" s="1287" t="s">
        <v>4558</v>
      </c>
      <c r="I26" s="1288" t="str">
        <f t="shared" ref="I26:I32" si="11">IF(AI26=1,"●","")</f>
        <v/>
      </c>
      <c r="J26" s="1288" t="str">
        <f t="shared" ref="J26:J32" si="12">IF(AI26=2,"●","")</f>
        <v>●</v>
      </c>
      <c r="K26" s="1288" t="str">
        <f t="shared" ref="K26:K32" si="13">IF(AI26=3,"●","")</f>
        <v/>
      </c>
      <c r="L26" s="4383"/>
      <c r="M26" s="1365"/>
      <c r="N26" s="4385"/>
      <c r="O26" s="1313"/>
      <c r="Q26" s="1291" t="s">
        <v>92</v>
      </c>
      <c r="R26" s="1291" t="s">
        <v>407</v>
      </c>
      <c r="S26" s="1291" t="s">
        <v>445</v>
      </c>
      <c r="T26" s="1291" t="s">
        <v>496</v>
      </c>
      <c r="U26" s="1291" t="s">
        <v>447</v>
      </c>
      <c r="V26" s="1291" t="s">
        <v>82</v>
      </c>
      <c r="W26" s="1291" t="s">
        <v>448</v>
      </c>
      <c r="X26" s="1291" t="s">
        <v>80</v>
      </c>
      <c r="Y26" s="1291" t="s">
        <v>497</v>
      </c>
      <c r="Z26" s="1332" t="str">
        <f t="shared" si="0"/>
        <v>対象</v>
      </c>
      <c r="AB26" s="4378"/>
      <c r="AD26" s="1358">
        <f>Score!$Z$188</f>
        <v>3</v>
      </c>
      <c r="AE26" s="1359">
        <f>Score!$AB$188</f>
        <v>0</v>
      </c>
      <c r="AF26" s="1335">
        <f t="shared" ref="AF26:AF32" si="14">IF(AE26=0,AD26,IF(AD26=0,AE26,AD26*$AD$6+AE26*$AE$6))</f>
        <v>3</v>
      </c>
      <c r="AG26" s="1336">
        <f t="shared" si="6"/>
        <v>2</v>
      </c>
      <c r="AH26" s="1337"/>
      <c r="AI26" s="1361">
        <f t="shared" si="1"/>
        <v>2</v>
      </c>
      <c r="AJ26" s="1365"/>
      <c r="AK26" s="1366"/>
      <c r="AL26" s="1365"/>
      <c r="AM26" s="1367"/>
    </row>
    <row r="27" spans="1:39" ht="30" customHeight="1">
      <c r="A27" s="4346"/>
      <c r="B27" s="4347"/>
      <c r="C27" s="4354"/>
      <c r="D27" s="4353"/>
      <c r="E27" s="4360"/>
      <c r="F27" s="1280" t="s">
        <v>4524</v>
      </c>
      <c r="G27" s="1286" t="s">
        <v>4916</v>
      </c>
      <c r="H27" s="1287" t="s">
        <v>4559</v>
      </c>
      <c r="I27" s="1288" t="str">
        <f t="shared" si="11"/>
        <v/>
      </c>
      <c r="J27" s="1288" t="str">
        <f t="shared" si="12"/>
        <v>●</v>
      </c>
      <c r="K27" s="1288" t="str">
        <f t="shared" si="13"/>
        <v/>
      </c>
      <c r="L27" s="4384"/>
      <c r="M27" s="1344"/>
      <c r="N27" s="4381"/>
      <c r="O27" s="1313"/>
      <c r="Q27" s="1291" t="s">
        <v>92</v>
      </c>
      <c r="R27" s="1291" t="s">
        <v>407</v>
      </c>
      <c r="S27" s="1291" t="s">
        <v>445</v>
      </c>
      <c r="T27" s="1291" t="s">
        <v>496</v>
      </c>
      <c r="U27" s="1291" t="s">
        <v>447</v>
      </c>
      <c r="V27" s="1291" t="s">
        <v>82</v>
      </c>
      <c r="W27" s="1291" t="s">
        <v>448</v>
      </c>
      <c r="X27" s="1291" t="s">
        <v>80</v>
      </c>
      <c r="Y27" s="1291" t="s">
        <v>497</v>
      </c>
      <c r="Z27" s="1332" t="str">
        <f t="shared" si="0"/>
        <v>対象</v>
      </c>
      <c r="AB27" s="4379"/>
      <c r="AD27" s="1358">
        <f>Score!$Z$189</f>
        <v>3</v>
      </c>
      <c r="AE27" s="1359">
        <f>Score!$AB$189</f>
        <v>0</v>
      </c>
      <c r="AF27" s="1335">
        <f t="shared" si="14"/>
        <v>3</v>
      </c>
      <c r="AG27" s="1336">
        <f t="shared" si="6"/>
        <v>2</v>
      </c>
      <c r="AH27" s="1337"/>
      <c r="AI27" s="1361">
        <f t="shared" si="1"/>
        <v>2</v>
      </c>
      <c r="AJ27" s="1344"/>
      <c r="AK27" s="1368"/>
      <c r="AL27" s="1344"/>
      <c r="AM27" s="1367"/>
    </row>
    <row r="28" spans="1:39" ht="30" customHeight="1">
      <c r="A28" s="4346"/>
      <c r="B28" s="4347"/>
      <c r="C28" s="4354"/>
      <c r="D28" s="4353" t="s">
        <v>1095</v>
      </c>
      <c r="E28" s="4360" t="s">
        <v>4688</v>
      </c>
      <c r="F28" s="1280" t="s">
        <v>4525</v>
      </c>
      <c r="G28" s="1286" t="s">
        <v>4916</v>
      </c>
      <c r="H28" s="1287" t="s">
        <v>4560</v>
      </c>
      <c r="I28" s="1288" t="str">
        <f t="shared" si="11"/>
        <v/>
      </c>
      <c r="J28" s="1288" t="str">
        <f t="shared" si="12"/>
        <v>●</v>
      </c>
      <c r="K28" s="1288" t="str">
        <f t="shared" si="13"/>
        <v/>
      </c>
      <c r="L28" s="4382"/>
      <c r="M28" s="1339"/>
      <c r="N28" s="4380">
        <f>IF(AND(Z28="N.A.",Z29="N.A."),"N.A.",AL28)</f>
        <v>2</v>
      </c>
      <c r="O28" s="1313"/>
      <c r="Q28" s="1291" t="s">
        <v>92</v>
      </c>
      <c r="R28" s="1291" t="s">
        <v>407</v>
      </c>
      <c r="S28" s="1291" t="s">
        <v>445</v>
      </c>
      <c r="T28" s="1291" t="s">
        <v>496</v>
      </c>
      <c r="U28" s="1291" t="s">
        <v>447</v>
      </c>
      <c r="V28" s="1291" t="s">
        <v>82</v>
      </c>
      <c r="W28" s="1291" t="s">
        <v>448</v>
      </c>
      <c r="X28" s="1291" t="s">
        <v>80</v>
      </c>
      <c r="Y28" s="1291" t="s">
        <v>497</v>
      </c>
      <c r="Z28" s="1332" t="str">
        <f t="shared" si="0"/>
        <v>対象</v>
      </c>
      <c r="AB28" s="4377"/>
      <c r="AD28" s="1358">
        <f>Score!$Z$191</f>
        <v>3</v>
      </c>
      <c r="AE28" s="1359">
        <f>Score!$AB$191</f>
        <v>0</v>
      </c>
      <c r="AF28" s="1335">
        <f t="shared" si="14"/>
        <v>3</v>
      </c>
      <c r="AG28" s="1336">
        <f t="shared" si="6"/>
        <v>2</v>
      </c>
      <c r="AH28" s="1337"/>
      <c r="AI28" s="1361">
        <f t="shared" si="1"/>
        <v>2</v>
      </c>
      <c r="AJ28" s="1362">
        <f>AVERAGEIFS(AI28:AI29,AI28:AI29,"&lt;&gt;0",AI28:AI29,"&lt;&gt;#DIV/0!")</f>
        <v>2</v>
      </c>
      <c r="AK28" s="1363" t="b">
        <v>0</v>
      </c>
      <c r="AL28" s="1339">
        <f>IF(AK28=FALSE,AJ28,IF(AJ28=1,2,3))</f>
        <v>2</v>
      </c>
      <c r="AM28" s="1367"/>
    </row>
    <row r="29" spans="1:39" ht="30" customHeight="1">
      <c r="A29" s="4346"/>
      <c r="B29" s="4347"/>
      <c r="C29" s="4354"/>
      <c r="D29" s="4353"/>
      <c r="E29" s="4360"/>
      <c r="F29" s="1280" t="s">
        <v>4526</v>
      </c>
      <c r="G29" s="1286" t="s">
        <v>4916</v>
      </c>
      <c r="H29" s="1287" t="s">
        <v>4561</v>
      </c>
      <c r="I29" s="1288" t="str">
        <f t="shared" si="11"/>
        <v/>
      </c>
      <c r="J29" s="1288" t="str">
        <f t="shared" si="12"/>
        <v>●</v>
      </c>
      <c r="K29" s="1288" t="str">
        <f t="shared" si="13"/>
        <v/>
      </c>
      <c r="L29" s="4384"/>
      <c r="M29" s="1344"/>
      <c r="N29" s="4381"/>
      <c r="O29" s="1313"/>
      <c r="Q29" s="1291" t="s">
        <v>92</v>
      </c>
      <c r="R29" s="1291" t="s">
        <v>407</v>
      </c>
      <c r="S29" s="1291" t="s">
        <v>445</v>
      </c>
      <c r="T29" s="1291" t="s">
        <v>496</v>
      </c>
      <c r="U29" s="1291" t="s">
        <v>447</v>
      </c>
      <c r="V29" s="1291" t="s">
        <v>82</v>
      </c>
      <c r="W29" s="1291" t="s">
        <v>448</v>
      </c>
      <c r="X29" s="1291" t="s">
        <v>80</v>
      </c>
      <c r="Y29" s="1291" t="s">
        <v>497</v>
      </c>
      <c r="Z29" s="1332" t="str">
        <f t="shared" si="0"/>
        <v>対象</v>
      </c>
      <c r="AB29" s="4379"/>
      <c r="AD29" s="1334">
        <f>Score!$Z$193</f>
        <v>3</v>
      </c>
      <c r="AE29" s="1334">
        <f>Score!$AB$193</f>
        <v>0</v>
      </c>
      <c r="AF29" s="1335">
        <f t="shared" si="14"/>
        <v>3</v>
      </c>
      <c r="AG29" s="1336">
        <f t="shared" si="6"/>
        <v>2</v>
      </c>
      <c r="AH29" s="1337"/>
      <c r="AI29" s="1361">
        <f t="shared" si="1"/>
        <v>2</v>
      </c>
      <c r="AJ29" s="1344"/>
      <c r="AK29" s="1368"/>
      <c r="AL29" s="1344"/>
      <c r="AM29" s="1367"/>
    </row>
    <row r="30" spans="1:39" ht="30" customHeight="1">
      <c r="A30" s="4346"/>
      <c r="B30" s="4347"/>
      <c r="C30" s="4354"/>
      <c r="D30" s="1279" t="s">
        <v>1096</v>
      </c>
      <c r="E30" s="1282" t="s">
        <v>4689</v>
      </c>
      <c r="F30" s="1280" t="s">
        <v>4690</v>
      </c>
      <c r="G30" s="1286" t="s">
        <v>4916</v>
      </c>
      <c r="H30" s="1287" t="s">
        <v>4562</v>
      </c>
      <c r="I30" s="1288" t="str">
        <f t="shared" si="11"/>
        <v/>
      </c>
      <c r="J30" s="1288" t="str">
        <f t="shared" si="12"/>
        <v>●</v>
      </c>
      <c r="K30" s="1288" t="str">
        <f t="shared" si="13"/>
        <v/>
      </c>
      <c r="L30" s="1289"/>
      <c r="M30" s="1451"/>
      <c r="N30" s="1290">
        <f t="shared" ref="N30:N61" si="15">IF(Z30="N.A.","N.A.",AL30)</f>
        <v>2</v>
      </c>
      <c r="O30" s="1313"/>
      <c r="Q30" s="1291" t="s">
        <v>92</v>
      </c>
      <c r="R30" s="1291" t="s">
        <v>407</v>
      </c>
      <c r="S30" s="1291" t="s">
        <v>445</v>
      </c>
      <c r="T30" s="1291" t="s">
        <v>496</v>
      </c>
      <c r="U30" s="1291" t="s">
        <v>447</v>
      </c>
      <c r="V30" s="1291" t="s">
        <v>82</v>
      </c>
      <c r="W30" s="1291" t="s">
        <v>448</v>
      </c>
      <c r="X30" s="1291" t="s">
        <v>80</v>
      </c>
      <c r="Y30" s="1291" t="s">
        <v>497</v>
      </c>
      <c r="Z30" s="1332" t="str">
        <f t="shared" si="0"/>
        <v>対象</v>
      </c>
      <c r="AB30" s="1333"/>
      <c r="AC30" s="1319"/>
      <c r="AD30" s="1369">
        <f>Score!$Z$194</f>
        <v>2.9999999999999996</v>
      </c>
      <c r="AE30" s="1369">
        <f>Score!$AB$194</f>
        <v>0</v>
      </c>
      <c r="AF30" s="1335">
        <f t="shared" si="14"/>
        <v>2.9999999999999996</v>
      </c>
      <c r="AG30" s="1336">
        <f t="shared" si="6"/>
        <v>2</v>
      </c>
      <c r="AH30" s="1337"/>
      <c r="AI30" s="1336">
        <f t="shared" si="1"/>
        <v>2</v>
      </c>
      <c r="AJ30" s="1370">
        <f t="shared" si="10"/>
        <v>2</v>
      </c>
      <c r="AK30" s="1371" t="b">
        <v>0</v>
      </c>
      <c r="AL30" s="1365">
        <f t="shared" si="7"/>
        <v>2</v>
      </c>
      <c r="AM30" s="1348"/>
    </row>
    <row r="31" spans="1:39" ht="30" customHeight="1">
      <c r="A31" s="4346"/>
      <c r="B31" s="4347"/>
      <c r="C31" s="4354"/>
      <c r="D31" s="1279" t="s">
        <v>1097</v>
      </c>
      <c r="E31" s="1280" t="s">
        <v>4691</v>
      </c>
      <c r="F31" s="1280" t="s">
        <v>4527</v>
      </c>
      <c r="G31" s="1286" t="s">
        <v>4916</v>
      </c>
      <c r="H31" s="1287" t="s">
        <v>4563</v>
      </c>
      <c r="I31" s="1288" t="str">
        <f t="shared" si="11"/>
        <v/>
      </c>
      <c r="J31" s="1288" t="str">
        <f t="shared" si="12"/>
        <v>●</v>
      </c>
      <c r="K31" s="1288" t="str">
        <f t="shared" si="13"/>
        <v/>
      </c>
      <c r="L31" s="1289"/>
      <c r="M31" s="1451"/>
      <c r="N31" s="1290">
        <f t="shared" si="15"/>
        <v>2</v>
      </c>
      <c r="O31" s="1313"/>
      <c r="Q31" s="1291" t="s">
        <v>92</v>
      </c>
      <c r="R31" s="1291" t="s">
        <v>407</v>
      </c>
      <c r="S31" s="1291" t="s">
        <v>445</v>
      </c>
      <c r="T31" s="1291" t="s">
        <v>496</v>
      </c>
      <c r="U31" s="1291" t="s">
        <v>447</v>
      </c>
      <c r="V31" s="1291" t="s">
        <v>82</v>
      </c>
      <c r="W31" s="1291" t="s">
        <v>448</v>
      </c>
      <c r="X31" s="1291" t="s">
        <v>80</v>
      </c>
      <c r="Y31" s="1291" t="s">
        <v>497</v>
      </c>
      <c r="Z31" s="1332" t="str">
        <f t="shared" si="0"/>
        <v>対象</v>
      </c>
      <c r="AB31" s="1333"/>
      <c r="AC31" s="1319"/>
      <c r="AD31" s="1334">
        <f>Score!$Z$178</f>
        <v>3</v>
      </c>
      <c r="AE31" s="1334">
        <f>Score!$AB$178</f>
        <v>0</v>
      </c>
      <c r="AF31" s="1335">
        <f t="shared" si="14"/>
        <v>3</v>
      </c>
      <c r="AG31" s="1336">
        <f t="shared" si="6"/>
        <v>2</v>
      </c>
      <c r="AH31" s="1337"/>
      <c r="AI31" s="1336">
        <f t="shared" si="1"/>
        <v>2</v>
      </c>
      <c r="AJ31" s="1298">
        <f t="shared" si="10"/>
        <v>2</v>
      </c>
      <c r="AK31" s="1347" t="b">
        <v>0</v>
      </c>
      <c r="AL31" s="1339">
        <f t="shared" si="7"/>
        <v>2</v>
      </c>
      <c r="AM31" s="1348"/>
    </row>
    <row r="32" spans="1:39" ht="30" customHeight="1">
      <c r="A32" s="4346"/>
      <c r="B32" s="4347"/>
      <c r="C32" s="4354"/>
      <c r="D32" s="1279" t="s">
        <v>1098</v>
      </c>
      <c r="E32" s="1282" t="s">
        <v>4692</v>
      </c>
      <c r="F32" s="1280" t="s">
        <v>4693</v>
      </c>
      <c r="G32" s="1286" t="s">
        <v>4916</v>
      </c>
      <c r="H32" s="1287" t="s">
        <v>4564</v>
      </c>
      <c r="I32" s="1288" t="str">
        <f t="shared" si="11"/>
        <v/>
      </c>
      <c r="J32" s="1288" t="str">
        <f t="shared" si="12"/>
        <v>●</v>
      </c>
      <c r="K32" s="1288" t="str">
        <f t="shared" si="13"/>
        <v/>
      </c>
      <c r="L32" s="1289"/>
      <c r="M32" s="1451"/>
      <c r="N32" s="1290">
        <f t="shared" si="15"/>
        <v>2</v>
      </c>
      <c r="O32" s="1313"/>
      <c r="Q32" s="1291" t="s">
        <v>92</v>
      </c>
      <c r="R32" s="1291" t="s">
        <v>407</v>
      </c>
      <c r="S32" s="1291" t="s">
        <v>445</v>
      </c>
      <c r="T32" s="1291" t="s">
        <v>496</v>
      </c>
      <c r="U32" s="1291" t="s">
        <v>447</v>
      </c>
      <c r="V32" s="1291" t="s">
        <v>82</v>
      </c>
      <c r="W32" s="1291" t="s">
        <v>448</v>
      </c>
      <c r="X32" s="1291" t="s">
        <v>80</v>
      </c>
      <c r="Y32" s="1291" t="s">
        <v>497</v>
      </c>
      <c r="Z32" s="1332" t="str">
        <f t="shared" si="0"/>
        <v>対象</v>
      </c>
      <c r="AB32" s="1333"/>
      <c r="AC32" s="1319"/>
      <c r="AD32" s="1334">
        <f>Score!$Z$169</f>
        <v>3</v>
      </c>
      <c r="AE32" s="1334">
        <f>Score!$AB$169</f>
        <v>0</v>
      </c>
      <c r="AF32" s="1335">
        <f t="shared" si="14"/>
        <v>3</v>
      </c>
      <c r="AG32" s="1336">
        <f t="shared" si="6"/>
        <v>2</v>
      </c>
      <c r="AH32" s="1337"/>
      <c r="AI32" s="1336">
        <f t="shared" si="1"/>
        <v>2</v>
      </c>
      <c r="AJ32" s="1298">
        <f t="shared" si="10"/>
        <v>2</v>
      </c>
      <c r="AK32" s="1347" t="b">
        <v>0</v>
      </c>
      <c r="AL32" s="1339">
        <f t="shared" si="7"/>
        <v>2</v>
      </c>
      <c r="AM32" s="1372"/>
    </row>
    <row r="33" spans="1:39" ht="103.15" customHeight="1">
      <c r="A33" s="4364" t="s">
        <v>4928</v>
      </c>
      <c r="B33" s="1283">
        <v>4.0999999999999996</v>
      </c>
      <c r="C33" s="1284" t="s">
        <v>4694</v>
      </c>
      <c r="D33" s="1279" t="s">
        <v>365</v>
      </c>
      <c r="E33" s="1282" t="s">
        <v>4695</v>
      </c>
      <c r="F33" s="1282" t="s">
        <v>4960</v>
      </c>
      <c r="G33" s="1286" t="s">
        <v>2433</v>
      </c>
      <c r="H33" s="1292" t="s">
        <v>4555</v>
      </c>
      <c r="I33" s="1294"/>
      <c r="J33" s="1294"/>
      <c r="K33" s="1294"/>
      <c r="L33" s="1293"/>
      <c r="M33" s="1451"/>
      <c r="N33" s="1290" t="str">
        <f t="shared" si="15"/>
        <v>N.A.</v>
      </c>
      <c r="O33" s="1313"/>
      <c r="Q33" s="1291"/>
      <c r="R33" s="1291"/>
      <c r="S33" s="1291"/>
      <c r="T33" s="1291"/>
      <c r="U33" s="1291"/>
      <c r="V33" s="1291"/>
      <c r="W33" s="1291"/>
      <c r="X33" s="1291"/>
      <c r="Y33" s="1291" t="s">
        <v>497</v>
      </c>
      <c r="Z33" s="1332" t="str">
        <f t="shared" si="0"/>
        <v>N.A.</v>
      </c>
      <c r="AB33" s="1353">
        <v>1</v>
      </c>
      <c r="AC33" s="1319"/>
      <c r="AD33" s="1349"/>
      <c r="AE33" s="1349"/>
      <c r="AF33" s="1349"/>
      <c r="AG33" s="1349"/>
      <c r="AH33" s="1350"/>
      <c r="AI33" s="1336" t="str">
        <f t="shared" si="1"/>
        <v>#DIV/0!</v>
      </c>
      <c r="AJ33" s="1298" t="e">
        <f t="shared" si="10"/>
        <v>#DIV/0!</v>
      </c>
      <c r="AK33" s="1352" t="b">
        <v>0</v>
      </c>
      <c r="AL33" s="1339" t="e">
        <f t="shared" si="7"/>
        <v>#DIV/0!</v>
      </c>
      <c r="AM33" s="1373" t="e">
        <f>AVERAGEIFS(AL33,AL33,"&lt;&gt;0",AL33,"&lt;&gt;#DIV/0!")</f>
        <v>#DIV/0!</v>
      </c>
    </row>
    <row r="34" spans="1:39" ht="30" customHeight="1">
      <c r="A34" s="4364"/>
      <c r="B34" s="4353">
        <v>4.2</v>
      </c>
      <c r="C34" s="4360" t="s">
        <v>4504</v>
      </c>
      <c r="D34" s="1279" t="s">
        <v>367</v>
      </c>
      <c r="E34" s="1280" t="s">
        <v>4658</v>
      </c>
      <c r="F34" s="1280" t="s">
        <v>4696</v>
      </c>
      <c r="G34" s="1286" t="s">
        <v>4916</v>
      </c>
      <c r="H34" s="1287" t="s">
        <v>4542</v>
      </c>
      <c r="I34" s="1288" t="str">
        <f t="shared" ref="I34:I39" si="16">IF(AI34=1,"●","")</f>
        <v/>
      </c>
      <c r="J34" s="1288" t="str">
        <f t="shared" ref="J34:J39" si="17">IF(AI34=2,"●","")</f>
        <v>●</v>
      </c>
      <c r="K34" s="1288" t="str">
        <f t="shared" ref="K34:K39" si="18">IF(AI34=3,"●","")</f>
        <v/>
      </c>
      <c r="L34" s="1295" t="str">
        <f>IF(L9="","（The result for 3.1.1 is transferred.）",L9)</f>
        <v>（The result for 3.1.1 is transferred.）</v>
      </c>
      <c r="M34" s="1451"/>
      <c r="N34" s="1290">
        <f t="shared" si="15"/>
        <v>2</v>
      </c>
      <c r="O34" s="1313"/>
      <c r="Q34" s="1291" t="s">
        <v>92</v>
      </c>
      <c r="R34" s="1291" t="s">
        <v>407</v>
      </c>
      <c r="S34" s="1291" t="s">
        <v>445</v>
      </c>
      <c r="T34" s="1291" t="s">
        <v>496</v>
      </c>
      <c r="U34" s="1291" t="s">
        <v>447</v>
      </c>
      <c r="V34" s="1291" t="s">
        <v>82</v>
      </c>
      <c r="W34" s="1291" t="s">
        <v>448</v>
      </c>
      <c r="X34" s="1291" t="s">
        <v>80</v>
      </c>
      <c r="Y34" s="1291" t="s">
        <v>497</v>
      </c>
      <c r="Z34" s="1332" t="str">
        <f t="shared" si="0"/>
        <v>対象</v>
      </c>
      <c r="AB34" s="1333"/>
      <c r="AC34" s="1319"/>
      <c r="AD34" s="1334">
        <f>Score!$Z$22</f>
        <v>3</v>
      </c>
      <c r="AE34" s="1334">
        <f>Score!$AB$22</f>
        <v>0</v>
      </c>
      <c r="AF34" s="1335">
        <f t="shared" ref="AF34:AF39" si="19">IF(AE34=0,AD34,IF(AD34=0,AE34,AD34*$AD$6+AE34*$AE$6))</f>
        <v>3</v>
      </c>
      <c r="AG34" s="1336">
        <f t="shared" si="6"/>
        <v>2</v>
      </c>
      <c r="AH34" s="1337"/>
      <c r="AI34" s="1336">
        <f t="shared" si="1"/>
        <v>2</v>
      </c>
      <c r="AJ34" s="1298">
        <f t="shared" si="10"/>
        <v>2</v>
      </c>
      <c r="AK34" s="1347" t="b">
        <v>0</v>
      </c>
      <c r="AL34" s="1339">
        <f t="shared" si="7"/>
        <v>2</v>
      </c>
      <c r="AM34" s="1374">
        <f>AVERAGEIFS(AL34:AL39,AL34:AL39,"&lt;&gt;0",AL34:AL39,"&lt;&gt;#DIV/0!")</f>
        <v>2</v>
      </c>
    </row>
    <row r="35" spans="1:39" ht="30" customHeight="1">
      <c r="A35" s="4364"/>
      <c r="B35" s="4353"/>
      <c r="C35" s="4360"/>
      <c r="D35" s="1279" t="s">
        <v>368</v>
      </c>
      <c r="E35" s="1280" t="s">
        <v>4659</v>
      </c>
      <c r="F35" s="1280" t="s">
        <v>4660</v>
      </c>
      <c r="G35" s="1286" t="s">
        <v>4916</v>
      </c>
      <c r="H35" s="1287" t="s">
        <v>4543</v>
      </c>
      <c r="I35" s="1288" t="str">
        <f t="shared" si="16"/>
        <v/>
      </c>
      <c r="J35" s="1288" t="str">
        <f t="shared" si="17"/>
        <v>●</v>
      </c>
      <c r="K35" s="1288" t="str">
        <f t="shared" si="18"/>
        <v/>
      </c>
      <c r="L35" s="1295" t="str">
        <f>IF(L10="","（The result for 3.1.2 is transferred.）",L10)</f>
        <v>（The result for 3.1.2 is transferred.）</v>
      </c>
      <c r="M35" s="1451"/>
      <c r="N35" s="1290">
        <f t="shared" si="15"/>
        <v>2</v>
      </c>
      <c r="O35" s="1313"/>
      <c r="Q35" s="1291" t="s">
        <v>92</v>
      </c>
      <c r="R35" s="1291" t="s">
        <v>407</v>
      </c>
      <c r="S35" s="1291" t="s">
        <v>445</v>
      </c>
      <c r="T35" s="1291" t="s">
        <v>496</v>
      </c>
      <c r="U35" s="1291" t="s">
        <v>447</v>
      </c>
      <c r="V35" s="1291" t="s">
        <v>82</v>
      </c>
      <c r="W35" s="1291" t="s">
        <v>448</v>
      </c>
      <c r="X35" s="1291" t="s">
        <v>80</v>
      </c>
      <c r="Y35" s="1291" t="s">
        <v>497</v>
      </c>
      <c r="Z35" s="1332" t="str">
        <f t="shared" si="0"/>
        <v>対象</v>
      </c>
      <c r="AB35" s="1333"/>
      <c r="AC35" s="1319"/>
      <c r="AD35" s="1334">
        <f>Score!$Z$24</f>
        <v>3</v>
      </c>
      <c r="AE35" s="1334">
        <f>Score!$AB$24</f>
        <v>0</v>
      </c>
      <c r="AF35" s="1335">
        <f t="shared" si="19"/>
        <v>3</v>
      </c>
      <c r="AG35" s="1336">
        <f t="shared" si="6"/>
        <v>2</v>
      </c>
      <c r="AH35" s="1337"/>
      <c r="AI35" s="1336">
        <f t="shared" si="1"/>
        <v>2</v>
      </c>
      <c r="AJ35" s="1298">
        <f t="shared" si="10"/>
        <v>2</v>
      </c>
      <c r="AK35" s="1347" t="b">
        <v>0</v>
      </c>
      <c r="AL35" s="1339">
        <f t="shared" si="7"/>
        <v>2</v>
      </c>
      <c r="AM35" s="1373"/>
    </row>
    <row r="36" spans="1:39" ht="30" customHeight="1">
      <c r="A36" s="4364"/>
      <c r="B36" s="4353"/>
      <c r="C36" s="4360"/>
      <c r="D36" s="1279" t="s">
        <v>646</v>
      </c>
      <c r="E36" s="1280" t="s">
        <v>4672</v>
      </c>
      <c r="F36" s="1280" t="s">
        <v>4519</v>
      </c>
      <c r="G36" s="1286" t="s">
        <v>4916</v>
      </c>
      <c r="H36" s="1287" t="s">
        <v>4551</v>
      </c>
      <c r="I36" s="1288" t="str">
        <f t="shared" si="16"/>
        <v/>
      </c>
      <c r="J36" s="1288" t="str">
        <f t="shared" si="17"/>
        <v>●</v>
      </c>
      <c r="K36" s="1288" t="str">
        <f t="shared" si="18"/>
        <v/>
      </c>
      <c r="L36" s="1295" t="str">
        <f>IF(L18="","（The result for 3.3.1 is transferred.）",L18)</f>
        <v>（The result for 3.3.1 is transferred.）</v>
      </c>
      <c r="M36" s="1451"/>
      <c r="N36" s="1290">
        <f t="shared" si="15"/>
        <v>2</v>
      </c>
      <c r="O36" s="1313"/>
      <c r="Q36" s="1291" t="s">
        <v>92</v>
      </c>
      <c r="R36" s="1291" t="s">
        <v>407</v>
      </c>
      <c r="S36" s="1291" t="s">
        <v>445</v>
      </c>
      <c r="T36" s="1291" t="s">
        <v>496</v>
      </c>
      <c r="U36" s="1291" t="s">
        <v>447</v>
      </c>
      <c r="V36" s="1291" t="s">
        <v>82</v>
      </c>
      <c r="W36" s="1291" t="s">
        <v>448</v>
      </c>
      <c r="X36" s="1291" t="s">
        <v>80</v>
      </c>
      <c r="Y36" s="1291" t="s">
        <v>497</v>
      </c>
      <c r="Z36" s="1332" t="str">
        <f t="shared" si="0"/>
        <v>対象</v>
      </c>
      <c r="AB36" s="1333"/>
      <c r="AC36" s="1319"/>
      <c r="AD36" s="1334">
        <f>Score!$Z$39</f>
        <v>3</v>
      </c>
      <c r="AE36" s="1334">
        <f>Score!$AB$39</f>
        <v>0</v>
      </c>
      <c r="AF36" s="1335">
        <f t="shared" si="19"/>
        <v>3</v>
      </c>
      <c r="AG36" s="1336">
        <f t="shared" si="6"/>
        <v>2</v>
      </c>
      <c r="AH36" s="1337"/>
      <c r="AI36" s="1336">
        <f t="shared" si="1"/>
        <v>2</v>
      </c>
      <c r="AJ36" s="1298">
        <f t="shared" si="10"/>
        <v>2</v>
      </c>
      <c r="AK36" s="1347" t="b">
        <v>0</v>
      </c>
      <c r="AL36" s="1339">
        <f t="shared" si="7"/>
        <v>2</v>
      </c>
      <c r="AM36" s="1373"/>
    </row>
    <row r="37" spans="1:39" ht="30" customHeight="1">
      <c r="A37" s="4364"/>
      <c r="B37" s="4353"/>
      <c r="C37" s="4360"/>
      <c r="D37" s="1279" t="s">
        <v>647</v>
      </c>
      <c r="E37" s="1280" t="s">
        <v>4665</v>
      </c>
      <c r="F37" s="1280" t="s">
        <v>4528</v>
      </c>
      <c r="G37" s="1286" t="s">
        <v>4916</v>
      </c>
      <c r="H37" s="1287" t="s">
        <v>4546</v>
      </c>
      <c r="I37" s="1288" t="str">
        <f t="shared" si="16"/>
        <v/>
      </c>
      <c r="J37" s="1288" t="str">
        <f t="shared" si="17"/>
        <v>●</v>
      </c>
      <c r="K37" s="1288" t="str">
        <f t="shared" si="18"/>
        <v/>
      </c>
      <c r="L37" s="1295" t="str">
        <f>IF(L13="","（The result for 3.2.1 is transferred.）",L13)</f>
        <v>（The result for 3.2.1 is transferred.）</v>
      </c>
      <c r="M37" s="1451"/>
      <c r="N37" s="1290">
        <f t="shared" si="15"/>
        <v>2</v>
      </c>
      <c r="O37" s="1313"/>
      <c r="Q37" s="1291" t="s">
        <v>92</v>
      </c>
      <c r="R37" s="1291" t="s">
        <v>407</v>
      </c>
      <c r="S37" s="1291" t="s">
        <v>445</v>
      </c>
      <c r="T37" s="1291" t="s">
        <v>496</v>
      </c>
      <c r="U37" s="1291" t="s">
        <v>447</v>
      </c>
      <c r="V37" s="1291" t="s">
        <v>82</v>
      </c>
      <c r="W37" s="1291" t="s">
        <v>448</v>
      </c>
      <c r="X37" s="1291" t="s">
        <v>80</v>
      </c>
      <c r="Y37" s="1291" t="s">
        <v>497</v>
      </c>
      <c r="Z37" s="1332" t="str">
        <f t="shared" si="0"/>
        <v>対象</v>
      </c>
      <c r="AB37" s="1333"/>
      <c r="AC37" s="1319"/>
      <c r="AD37" s="1334">
        <f>Score!$Z$54</f>
        <v>3</v>
      </c>
      <c r="AE37" s="1334">
        <f>Score!$AB$54</f>
        <v>0</v>
      </c>
      <c r="AF37" s="1335">
        <f t="shared" si="19"/>
        <v>3</v>
      </c>
      <c r="AG37" s="1336">
        <f t="shared" si="6"/>
        <v>2</v>
      </c>
      <c r="AH37" s="1337"/>
      <c r="AI37" s="1336">
        <f t="shared" si="1"/>
        <v>2</v>
      </c>
      <c r="AJ37" s="1298">
        <f t="shared" si="10"/>
        <v>2</v>
      </c>
      <c r="AK37" s="1347" t="b">
        <v>0</v>
      </c>
      <c r="AL37" s="1339">
        <f t="shared" si="7"/>
        <v>2</v>
      </c>
      <c r="AM37" s="1373"/>
    </row>
    <row r="38" spans="1:39" ht="30" customHeight="1">
      <c r="A38" s="4364"/>
      <c r="B38" s="4353"/>
      <c r="C38" s="4360"/>
      <c r="D38" s="1279" t="s">
        <v>1099</v>
      </c>
      <c r="E38" s="1280" t="s">
        <v>4667</v>
      </c>
      <c r="F38" s="1280" t="s">
        <v>4697</v>
      </c>
      <c r="G38" s="1286" t="s">
        <v>4916</v>
      </c>
      <c r="H38" s="1287" t="s">
        <v>4565</v>
      </c>
      <c r="I38" s="1288" t="str">
        <f t="shared" si="16"/>
        <v/>
      </c>
      <c r="J38" s="1288" t="str">
        <f t="shared" si="17"/>
        <v>●</v>
      </c>
      <c r="K38" s="1288" t="str">
        <f t="shared" si="18"/>
        <v/>
      </c>
      <c r="L38" s="1295" t="str">
        <f>IF(L15="","（The result for 3.2.3 is transferred.）",L15)</f>
        <v>（The result for 3.2.3 is transferred.）</v>
      </c>
      <c r="M38" s="1451"/>
      <c r="N38" s="1290">
        <f t="shared" si="15"/>
        <v>2</v>
      </c>
      <c r="O38" s="1313"/>
      <c r="Q38" s="1291" t="s">
        <v>92</v>
      </c>
      <c r="R38" s="1291" t="s">
        <v>407</v>
      </c>
      <c r="S38" s="1291" t="s">
        <v>445</v>
      </c>
      <c r="T38" s="1291" t="s">
        <v>496</v>
      </c>
      <c r="U38" s="1291" t="s">
        <v>447</v>
      </c>
      <c r="V38" s="1291" t="s">
        <v>82</v>
      </c>
      <c r="W38" s="1291" t="s">
        <v>448</v>
      </c>
      <c r="X38" s="1291" t="s">
        <v>80</v>
      </c>
      <c r="Y38" s="1291" t="s">
        <v>497</v>
      </c>
      <c r="Z38" s="1332" t="str">
        <f t="shared" si="0"/>
        <v>対象</v>
      </c>
      <c r="AB38" s="1333"/>
      <c r="AC38" s="1319"/>
      <c r="AD38" s="1334">
        <f>Score!$Z$50</f>
        <v>3</v>
      </c>
      <c r="AE38" s="1334">
        <f>Score!$AB$50</f>
        <v>0</v>
      </c>
      <c r="AF38" s="1335">
        <f t="shared" si="19"/>
        <v>3</v>
      </c>
      <c r="AG38" s="1336">
        <f t="shared" si="6"/>
        <v>2</v>
      </c>
      <c r="AH38" s="1337"/>
      <c r="AI38" s="1336">
        <f t="shared" si="1"/>
        <v>2</v>
      </c>
      <c r="AJ38" s="1298">
        <f t="shared" si="10"/>
        <v>2</v>
      </c>
      <c r="AK38" s="1347" t="b">
        <v>0</v>
      </c>
      <c r="AL38" s="1339">
        <f t="shared" si="7"/>
        <v>2</v>
      </c>
      <c r="AM38" s="1373"/>
    </row>
    <row r="39" spans="1:39" ht="30" customHeight="1">
      <c r="A39" s="4364"/>
      <c r="B39" s="4353"/>
      <c r="C39" s="4360"/>
      <c r="D39" s="1279" t="s">
        <v>1100</v>
      </c>
      <c r="E39" s="1280" t="s">
        <v>4678</v>
      </c>
      <c r="F39" s="1280" t="s">
        <v>4679</v>
      </c>
      <c r="G39" s="1286" t="s">
        <v>4916</v>
      </c>
      <c r="H39" s="1287" t="s">
        <v>4554</v>
      </c>
      <c r="I39" s="1288" t="str">
        <f t="shared" si="16"/>
        <v/>
      </c>
      <c r="J39" s="1288" t="str">
        <f t="shared" si="17"/>
        <v>●</v>
      </c>
      <c r="K39" s="1288" t="str">
        <f t="shared" si="18"/>
        <v/>
      </c>
      <c r="L39" s="1295" t="str">
        <f>IF(L21="","（The result for 3.4.1 is transferred.）",L21)</f>
        <v>（The result for 3.4.1 is transferred.）</v>
      </c>
      <c r="M39" s="1451"/>
      <c r="N39" s="1290">
        <f t="shared" si="15"/>
        <v>2</v>
      </c>
      <c r="O39" s="1313"/>
      <c r="Q39" s="1291" t="s">
        <v>92</v>
      </c>
      <c r="R39" s="1291" t="s">
        <v>407</v>
      </c>
      <c r="S39" s="1291" t="s">
        <v>445</v>
      </c>
      <c r="T39" s="1291" t="s">
        <v>496</v>
      </c>
      <c r="U39" s="1291" t="s">
        <v>447</v>
      </c>
      <c r="V39" s="1291" t="s">
        <v>82</v>
      </c>
      <c r="W39" s="1291" t="s">
        <v>448</v>
      </c>
      <c r="X39" s="1291" t="s">
        <v>80</v>
      </c>
      <c r="Y39" s="1291" t="s">
        <v>497</v>
      </c>
      <c r="Z39" s="1332" t="str">
        <f t="shared" si="0"/>
        <v>対象</v>
      </c>
      <c r="AB39" s="1333"/>
      <c r="AC39" s="1319"/>
      <c r="AD39" s="1334">
        <f>Score!$Z$10</f>
        <v>3.0000000000000004</v>
      </c>
      <c r="AE39" s="1334">
        <f>Score!$AB$10</f>
        <v>0</v>
      </c>
      <c r="AF39" s="1335">
        <f t="shared" si="19"/>
        <v>3.0000000000000004</v>
      </c>
      <c r="AG39" s="1336">
        <f t="shared" si="6"/>
        <v>2</v>
      </c>
      <c r="AH39" s="1337"/>
      <c r="AI39" s="1336">
        <f t="shared" si="1"/>
        <v>2</v>
      </c>
      <c r="AJ39" s="1298">
        <f t="shared" si="10"/>
        <v>2</v>
      </c>
      <c r="AK39" s="1347" t="b">
        <v>0</v>
      </c>
      <c r="AL39" s="1339">
        <f t="shared" si="7"/>
        <v>2</v>
      </c>
      <c r="AM39" s="1373"/>
    </row>
    <row r="40" spans="1:39" ht="55.15" customHeight="1">
      <c r="A40" s="4364"/>
      <c r="B40" s="4347">
        <v>4.3</v>
      </c>
      <c r="C40" s="4354" t="s">
        <v>4698</v>
      </c>
      <c r="D40" s="1279" t="s">
        <v>649</v>
      </c>
      <c r="E40" s="1280" t="s">
        <v>4699</v>
      </c>
      <c r="F40" s="1280" t="s">
        <v>4944</v>
      </c>
      <c r="G40" s="1286" t="s">
        <v>2840</v>
      </c>
      <c r="H40" s="1292" t="s">
        <v>4555</v>
      </c>
      <c r="I40" s="1282"/>
      <c r="J40" s="3780"/>
      <c r="K40" s="1282"/>
      <c r="L40" s="1293"/>
      <c r="M40" s="1451"/>
      <c r="N40" s="1290" t="str">
        <f t="shared" si="15"/>
        <v>N.A.</v>
      </c>
      <c r="O40" s="1313"/>
      <c r="Q40" s="1291"/>
      <c r="R40" s="1291" t="s">
        <v>407</v>
      </c>
      <c r="S40" s="1291"/>
      <c r="T40" s="1291"/>
      <c r="U40" s="1291"/>
      <c r="V40" s="1291"/>
      <c r="W40" s="1291"/>
      <c r="X40" s="1291"/>
      <c r="Y40" s="1291"/>
      <c r="Z40" s="1332" t="str">
        <f t="shared" si="0"/>
        <v>N.A.</v>
      </c>
      <c r="AB40" s="1353">
        <v>1</v>
      </c>
      <c r="AC40" s="1319"/>
      <c r="AD40" s="1349"/>
      <c r="AE40" s="1349"/>
      <c r="AF40" s="1349"/>
      <c r="AG40" s="1349"/>
      <c r="AH40" s="1350"/>
      <c r="AI40" s="1336" t="str">
        <f t="shared" si="1"/>
        <v>#DIV/0!</v>
      </c>
      <c r="AJ40" s="1298" t="e">
        <f t="shared" si="10"/>
        <v>#DIV/0!</v>
      </c>
      <c r="AK40" s="1347" t="b">
        <v>0</v>
      </c>
      <c r="AL40" s="1339" t="e">
        <f t="shared" si="7"/>
        <v>#DIV/0!</v>
      </c>
      <c r="AM40" s="1374" t="e">
        <f>AVERAGEIFS(AL40:AL41,AL40:AL41,"&lt;&gt;0",AL40:AL41,"&lt;&gt;#DIV/0!")</f>
        <v>#DIV/0!</v>
      </c>
    </row>
    <row r="41" spans="1:39" ht="145.15" customHeight="1">
      <c r="A41" s="4364"/>
      <c r="B41" s="4347"/>
      <c r="C41" s="4354"/>
      <c r="D41" s="1279" t="s">
        <v>651</v>
      </c>
      <c r="E41" s="1280" t="s">
        <v>4700</v>
      </c>
      <c r="F41" s="1280" t="s">
        <v>4945</v>
      </c>
      <c r="G41" s="1286" t="s">
        <v>2840</v>
      </c>
      <c r="H41" s="1292" t="s">
        <v>4555</v>
      </c>
      <c r="I41" s="1282"/>
      <c r="J41" s="1282"/>
      <c r="K41" s="1282"/>
      <c r="L41" s="1293"/>
      <c r="M41" s="1451"/>
      <c r="N41" s="1290" t="str">
        <f t="shared" si="15"/>
        <v>N.A.</v>
      </c>
      <c r="O41" s="1313"/>
      <c r="Q41" s="1291"/>
      <c r="R41" s="1291" t="s">
        <v>407</v>
      </c>
      <c r="S41" s="1291"/>
      <c r="T41" s="1291"/>
      <c r="U41" s="1291"/>
      <c r="V41" s="1291"/>
      <c r="W41" s="1291"/>
      <c r="X41" s="1291"/>
      <c r="Y41" s="1291"/>
      <c r="Z41" s="1332" t="str">
        <f t="shared" ref="Z41:Z72" si="20">IF(AG41="#DIV/0!","N.A.",IF(AND($Q$4="〇",Q41&lt;&gt;"")+AND($R$4="〇",R41&lt;&gt;"")+AND($S$4="〇",S41&lt;&gt;"")+AND($T$4="〇",T41&lt;&gt;"")+AND($U$4="〇",U41&lt;&gt;"")+AND($V$4="〇",V41&lt;&gt;"")+AND($W$4="〇",W41&lt;&gt;"")+AND($X$4="〇",X41&lt;&gt;"")+AND($Y$4="〇",Y41&lt;&gt;"")=0,"N.A.","対象"))</f>
        <v>N.A.</v>
      </c>
      <c r="AB41" s="1353">
        <v>1</v>
      </c>
      <c r="AC41" s="1319"/>
      <c r="AD41" s="1349"/>
      <c r="AE41" s="1349"/>
      <c r="AF41" s="1349"/>
      <c r="AG41" s="1349"/>
      <c r="AH41" s="1350"/>
      <c r="AI41" s="1336" t="str">
        <f t="shared" ref="AI41:AI72" si="21">IF(Z41="N.A.","#DIV/0!",IF(AG41="",AB41,IF(AB41="",AG41,0)))</f>
        <v>#DIV/0!</v>
      </c>
      <c r="AJ41" s="1298" t="e">
        <f t="shared" si="10"/>
        <v>#DIV/0!</v>
      </c>
      <c r="AK41" s="1347" t="b">
        <v>0</v>
      </c>
      <c r="AL41" s="1339" t="e">
        <f t="shared" si="7"/>
        <v>#DIV/0!</v>
      </c>
      <c r="AM41" s="1373"/>
    </row>
    <row r="42" spans="1:39" ht="75" customHeight="1">
      <c r="A42" s="4364"/>
      <c r="B42" s="1283">
        <v>4.4000000000000004</v>
      </c>
      <c r="C42" s="1284" t="s">
        <v>4701</v>
      </c>
      <c r="D42" s="1279" t="s">
        <v>1101</v>
      </c>
      <c r="E42" s="1280" t="s">
        <v>4702</v>
      </c>
      <c r="F42" s="1280" t="s">
        <v>4946</v>
      </c>
      <c r="G42" s="1286" t="s">
        <v>2840</v>
      </c>
      <c r="H42" s="1292" t="s">
        <v>4555</v>
      </c>
      <c r="I42" s="1282"/>
      <c r="J42" s="3780"/>
      <c r="K42" s="1282"/>
      <c r="L42" s="1293"/>
      <c r="M42" s="1451"/>
      <c r="N42" s="1290" t="str">
        <f t="shared" si="15"/>
        <v>N.A.</v>
      </c>
      <c r="O42" s="1313"/>
      <c r="Q42" s="1291"/>
      <c r="R42" s="1291" t="s">
        <v>407</v>
      </c>
      <c r="S42" s="1291"/>
      <c r="T42" s="1291"/>
      <c r="U42" s="1291"/>
      <c r="V42" s="1291"/>
      <c r="W42" s="1291"/>
      <c r="X42" s="1291"/>
      <c r="Y42" s="1291"/>
      <c r="Z42" s="1332" t="str">
        <f t="shared" si="20"/>
        <v>N.A.</v>
      </c>
      <c r="AB42" s="1353">
        <v>1</v>
      </c>
      <c r="AC42" s="1319"/>
      <c r="AD42" s="1349"/>
      <c r="AE42" s="1349"/>
      <c r="AF42" s="1349"/>
      <c r="AG42" s="1349"/>
      <c r="AH42" s="1350"/>
      <c r="AI42" s="1336" t="str">
        <f t="shared" si="21"/>
        <v>#DIV/0!</v>
      </c>
      <c r="AJ42" s="1298" t="e">
        <f t="shared" si="10"/>
        <v>#DIV/0!</v>
      </c>
      <c r="AK42" s="1352" t="b">
        <v>0</v>
      </c>
      <c r="AL42" s="1339" t="e">
        <f t="shared" si="7"/>
        <v>#DIV/0!</v>
      </c>
      <c r="AM42" s="1375" t="e">
        <f>AVERAGEIFS(AL42,AL42,"&lt;&gt;0",AL42,"&lt;&gt;#DIV/0!")</f>
        <v>#DIV/0!</v>
      </c>
    </row>
    <row r="43" spans="1:39" ht="31.5">
      <c r="A43" s="4365" t="s">
        <v>4929</v>
      </c>
      <c r="B43" s="1283">
        <v>5.0999999999999996</v>
      </c>
      <c r="C43" s="1285" t="s">
        <v>4703</v>
      </c>
      <c r="D43" s="1279" t="s">
        <v>1102</v>
      </c>
      <c r="E43" s="1280" t="s">
        <v>4704</v>
      </c>
      <c r="F43" s="1280" t="s">
        <v>4705</v>
      </c>
      <c r="G43" s="1291" t="s">
        <v>4947</v>
      </c>
      <c r="H43" s="1287" t="s">
        <v>4566</v>
      </c>
      <c r="I43" s="1288" t="str">
        <f>IF(AI43=1,"●","")</f>
        <v/>
      </c>
      <c r="J43" s="1288" t="str">
        <f>IF(AI43=2,"●","")</f>
        <v>●</v>
      </c>
      <c r="K43" s="1288" t="str">
        <f>IF(AI43=3,"●","")</f>
        <v/>
      </c>
      <c r="L43" s="1293"/>
      <c r="M43" s="1451"/>
      <c r="N43" s="1290">
        <f t="shared" si="15"/>
        <v>2</v>
      </c>
      <c r="O43" s="1313"/>
      <c r="Q43" s="1291" t="s">
        <v>92</v>
      </c>
      <c r="R43" s="1291" t="s">
        <v>407</v>
      </c>
      <c r="S43" s="1291" t="s">
        <v>445</v>
      </c>
      <c r="T43" s="1291" t="s">
        <v>496</v>
      </c>
      <c r="U43" s="1291"/>
      <c r="V43" s="1291" t="s">
        <v>82</v>
      </c>
      <c r="W43" s="1291" t="s">
        <v>448</v>
      </c>
      <c r="X43" s="1291" t="s">
        <v>80</v>
      </c>
      <c r="Y43" s="1291" t="s">
        <v>497</v>
      </c>
      <c r="Z43" s="1332" t="str">
        <f t="shared" si="20"/>
        <v>対象</v>
      </c>
      <c r="AB43" s="1349"/>
      <c r="AC43" s="1319"/>
      <c r="AD43" s="1334">
        <f>Score!$Z$101</f>
        <v>3</v>
      </c>
      <c r="AE43" s="1334">
        <f>Score!$AB$101</f>
        <v>0</v>
      </c>
      <c r="AF43" s="1335">
        <f>IF(AE43=0,AD43,IF(AD43=0,AE43,AD43*$AD$6+AE43*$AE$6))</f>
        <v>3</v>
      </c>
      <c r="AG43" s="1336">
        <f>IF(AF43=0,"#DIV/0!",IF(AF43&lt;2,1,IF(AF43&lt;4,2,3)))</f>
        <v>2</v>
      </c>
      <c r="AH43" s="1337"/>
      <c r="AI43" s="1336">
        <f t="shared" si="21"/>
        <v>2</v>
      </c>
      <c r="AJ43" s="1298">
        <f t="shared" si="10"/>
        <v>2</v>
      </c>
      <c r="AK43" s="1347" t="b">
        <v>0</v>
      </c>
      <c r="AL43" s="1339">
        <f t="shared" si="7"/>
        <v>2</v>
      </c>
      <c r="AM43" s="1374">
        <f>AVERAGEIFS(AL43:AL43,AL43:AL43,"&lt;&gt;0",AL43:AL43,"&lt;&gt;#DIV/0!")</f>
        <v>2</v>
      </c>
    </row>
    <row r="44" spans="1:39" ht="81.599999999999994" customHeight="1">
      <c r="A44" s="4365"/>
      <c r="B44" s="4350">
        <v>5.2</v>
      </c>
      <c r="C44" s="4399" t="s">
        <v>4706</v>
      </c>
      <c r="D44" s="1279" t="s">
        <v>1103</v>
      </c>
      <c r="E44" s="1282" t="s">
        <v>4707</v>
      </c>
      <c r="F44" s="1282" t="s">
        <v>4948</v>
      </c>
      <c r="G44" s="1286" t="s">
        <v>4920</v>
      </c>
      <c r="H44" s="1292" t="s">
        <v>4555</v>
      </c>
      <c r="I44" s="1282"/>
      <c r="J44" s="1282"/>
      <c r="K44" s="1282"/>
      <c r="L44" s="1293"/>
      <c r="M44" s="1280"/>
      <c r="N44" s="1290" t="str">
        <f t="shared" si="15"/>
        <v>N.A.</v>
      </c>
      <c r="O44" s="1313"/>
      <c r="Q44" s="1291"/>
      <c r="R44" s="1291"/>
      <c r="S44" s="1291"/>
      <c r="T44" s="1291"/>
      <c r="U44" s="1291"/>
      <c r="V44" s="1291"/>
      <c r="W44" s="1291"/>
      <c r="X44" s="1291"/>
      <c r="Y44" s="1291" t="s">
        <v>497</v>
      </c>
      <c r="Z44" s="1332" t="str">
        <f t="shared" si="20"/>
        <v>N.A.</v>
      </c>
      <c r="AB44" s="1353">
        <v>1</v>
      </c>
      <c r="AC44" s="1319"/>
      <c r="AD44" s="1349"/>
      <c r="AE44" s="1349"/>
      <c r="AF44" s="1349"/>
      <c r="AG44" s="1349"/>
      <c r="AH44" s="1350"/>
      <c r="AI44" s="1336" t="str">
        <f t="shared" si="21"/>
        <v>#DIV/0!</v>
      </c>
      <c r="AJ44" s="1298" t="e">
        <f t="shared" si="10"/>
        <v>#DIV/0!</v>
      </c>
      <c r="AK44" s="1352" t="b">
        <v>0</v>
      </c>
      <c r="AL44" s="1339" t="e">
        <f t="shared" si="7"/>
        <v>#DIV/0!</v>
      </c>
      <c r="AM44" s="1376" t="e">
        <f>AVERAGEIFS(AL44:AL44,AL44:AL44,"&lt;&gt;0",AL44:AL44,"&lt;&gt;#DIV/0!")</f>
        <v>#DIV/0!</v>
      </c>
    </row>
    <row r="45" spans="1:39" ht="28.5" customHeight="1">
      <c r="A45" s="4365"/>
      <c r="B45" s="4352"/>
      <c r="C45" s="4400"/>
      <c r="D45" s="1279" t="s">
        <v>1263</v>
      </c>
      <c r="E45" s="1280" t="s">
        <v>4683</v>
      </c>
      <c r="F45" s="1280" t="s">
        <v>4529</v>
      </c>
      <c r="G45" s="1286" t="s">
        <v>4916</v>
      </c>
      <c r="H45" s="1287" t="s">
        <v>4556</v>
      </c>
      <c r="I45" s="1288" t="str">
        <f>IF(AI45=1,"●","")</f>
        <v/>
      </c>
      <c r="J45" s="1288" t="str">
        <f>IF(AI45=2,"●","")</f>
        <v>●</v>
      </c>
      <c r="K45" s="1288" t="str">
        <f>IF(AI45=3,"●","")</f>
        <v/>
      </c>
      <c r="L45" s="1295" t="str">
        <f>IF(L23="","（The result for 3.6.1 is transferred.）",L23)</f>
        <v>（The result for 3.6.1 is transferred.）</v>
      </c>
      <c r="M45" s="1451"/>
      <c r="N45" s="1290">
        <f t="shared" si="15"/>
        <v>2</v>
      </c>
      <c r="O45" s="1313"/>
      <c r="Q45" s="1291" t="s">
        <v>92</v>
      </c>
      <c r="R45" s="1291" t="s">
        <v>407</v>
      </c>
      <c r="S45" s="1291" t="s">
        <v>445</v>
      </c>
      <c r="T45" s="1291" t="s">
        <v>496</v>
      </c>
      <c r="U45" s="1291" t="s">
        <v>447</v>
      </c>
      <c r="V45" s="1291" t="s">
        <v>82</v>
      </c>
      <c r="W45" s="1291" t="s">
        <v>448</v>
      </c>
      <c r="X45" s="1291" t="s">
        <v>80</v>
      </c>
      <c r="Y45" s="1291" t="s">
        <v>497</v>
      </c>
      <c r="Z45" s="1332" t="str">
        <f t="shared" si="20"/>
        <v>対象</v>
      </c>
      <c r="AB45" s="1349"/>
      <c r="AC45" s="1319"/>
      <c r="AD45" s="1334">
        <f>Score!$Z$67</f>
        <v>3</v>
      </c>
      <c r="AE45" s="1334">
        <f>Score!$AB$67</f>
        <v>0</v>
      </c>
      <c r="AF45" s="1335">
        <f>IF(AE45=0,AD45,IF(AD45=0,AE45,AD45*$AD$6+AE45*$AE$6))</f>
        <v>3</v>
      </c>
      <c r="AG45" s="1336">
        <f>IF(AF45=0,"#DIV/0!",IF(AF45&lt;2,1,IF(AF45&lt;4,2,3)))</f>
        <v>2</v>
      </c>
      <c r="AH45" s="1337"/>
      <c r="AI45" s="1336">
        <f t="shared" si="21"/>
        <v>2</v>
      </c>
      <c r="AJ45" s="1298">
        <f>AVERAGEIFS(AI45,AI45,"&lt;&gt;0",AI45,"&lt;&gt;#DIV/0!")</f>
        <v>2</v>
      </c>
      <c r="AK45" s="1347" t="b">
        <v>0</v>
      </c>
      <c r="AL45" s="1339">
        <f>IF(AK45=FALSE,AJ45,IF(AJ45=1,2,3))</f>
        <v>2</v>
      </c>
      <c r="AM45" s="1375"/>
    </row>
    <row r="46" spans="1:39" ht="60.6" customHeight="1">
      <c r="A46" s="4365"/>
      <c r="B46" s="1283" t="s">
        <v>1264</v>
      </c>
      <c r="C46" s="3782" t="s">
        <v>4505</v>
      </c>
      <c r="D46" s="1279" t="s">
        <v>1104</v>
      </c>
      <c r="E46" s="1280" t="s">
        <v>4708</v>
      </c>
      <c r="F46" s="1280" t="s">
        <v>4949</v>
      </c>
      <c r="G46" s="1286" t="s">
        <v>4921</v>
      </c>
      <c r="H46" s="1292" t="s">
        <v>4555</v>
      </c>
      <c r="I46" s="1282"/>
      <c r="J46" s="1282"/>
      <c r="K46" s="1282"/>
      <c r="L46" s="1293"/>
      <c r="M46" s="1280"/>
      <c r="N46" s="1290">
        <f t="shared" si="15"/>
        <v>3</v>
      </c>
      <c r="O46" s="1313"/>
      <c r="Q46" s="1291" t="s">
        <v>92</v>
      </c>
      <c r="R46" s="1291"/>
      <c r="S46" s="1291"/>
      <c r="T46" s="1291"/>
      <c r="U46" s="1291"/>
      <c r="V46" s="1291"/>
      <c r="W46" s="1291"/>
      <c r="X46" s="1291"/>
      <c r="Y46" s="1291"/>
      <c r="Z46" s="1332" t="str">
        <f t="shared" si="20"/>
        <v>対象</v>
      </c>
      <c r="AB46" s="1353">
        <v>3</v>
      </c>
      <c r="AC46" s="1319"/>
      <c r="AD46" s="1349"/>
      <c r="AE46" s="1349"/>
      <c r="AF46" s="1349"/>
      <c r="AG46" s="1349"/>
      <c r="AH46" s="1350"/>
      <c r="AI46" s="1336">
        <f t="shared" si="21"/>
        <v>3</v>
      </c>
      <c r="AJ46" s="1298">
        <f>AVERAGEIFS(AI46,AI46,"&lt;&gt;0",AI46,"&lt;&gt;#DIV/0!")</f>
        <v>3</v>
      </c>
      <c r="AK46" s="1352" t="b">
        <v>0</v>
      </c>
      <c r="AL46" s="1339">
        <f>IF(AK46=FALSE,AJ46,IF(AJ46=1,2,3))</f>
        <v>3</v>
      </c>
      <c r="AM46" s="1360">
        <f>AVERAGEIFS(AL46,AL46,"&lt;&gt;0",AL46,"&lt;&gt;#DIV/0!")</f>
        <v>3</v>
      </c>
    </row>
    <row r="47" spans="1:39" ht="56.45" customHeight="1">
      <c r="A47" s="4365"/>
      <c r="B47" s="1279" t="s">
        <v>1265</v>
      </c>
      <c r="C47" s="1282" t="s">
        <v>4709</v>
      </c>
      <c r="D47" s="1279" t="s">
        <v>1105</v>
      </c>
      <c r="E47" s="1280" t="s">
        <v>4710</v>
      </c>
      <c r="F47" s="1280" t="s">
        <v>4975</v>
      </c>
      <c r="G47" s="1286" t="s">
        <v>4916</v>
      </c>
      <c r="H47" s="1292" t="s">
        <v>4555</v>
      </c>
      <c r="I47" s="1282"/>
      <c r="J47" s="1282"/>
      <c r="K47" s="1282"/>
      <c r="L47" s="1293"/>
      <c r="M47" s="1280"/>
      <c r="N47" s="1290">
        <f t="shared" si="15"/>
        <v>1</v>
      </c>
      <c r="O47" s="1313"/>
      <c r="Q47" s="1291" t="s">
        <v>92</v>
      </c>
      <c r="R47" s="1291" t="s">
        <v>407</v>
      </c>
      <c r="S47" s="1291" t="s">
        <v>445</v>
      </c>
      <c r="T47" s="1291" t="s">
        <v>496</v>
      </c>
      <c r="U47" s="1291" t="s">
        <v>447</v>
      </c>
      <c r="V47" s="1291" t="s">
        <v>82</v>
      </c>
      <c r="W47" s="1291" t="s">
        <v>448</v>
      </c>
      <c r="X47" s="1291" t="s">
        <v>80</v>
      </c>
      <c r="Y47" s="1291" t="s">
        <v>497</v>
      </c>
      <c r="Z47" s="1332" t="str">
        <f t="shared" si="20"/>
        <v>対象</v>
      </c>
      <c r="AB47" s="1353">
        <v>1</v>
      </c>
      <c r="AC47" s="1319"/>
      <c r="AD47" s="1349"/>
      <c r="AE47" s="1349"/>
      <c r="AF47" s="1349"/>
      <c r="AG47" s="1349"/>
      <c r="AH47" s="1350"/>
      <c r="AI47" s="1336">
        <f t="shared" si="21"/>
        <v>1</v>
      </c>
      <c r="AJ47" s="1298">
        <f t="shared" si="10"/>
        <v>1</v>
      </c>
      <c r="AK47" s="1352" t="b">
        <v>0</v>
      </c>
      <c r="AL47" s="1339">
        <f t="shared" si="7"/>
        <v>1</v>
      </c>
      <c r="AM47" s="1335">
        <f>AVERAGEIFS(AL47,AL47,"&lt;&gt;0",AL47,"&lt;&gt;#DIV/0!")</f>
        <v>1</v>
      </c>
    </row>
    <row r="48" spans="1:39" ht="24.75" customHeight="1">
      <c r="A48" s="4366" t="s">
        <v>4930</v>
      </c>
      <c r="B48" s="1283">
        <v>6.1</v>
      </c>
      <c r="C48" s="1284" t="s">
        <v>4711</v>
      </c>
      <c r="D48" s="1279" t="s">
        <v>1106</v>
      </c>
      <c r="E48" s="1280" t="s">
        <v>4712</v>
      </c>
      <c r="F48" s="1280" t="s">
        <v>4713</v>
      </c>
      <c r="G48" s="1286" t="s">
        <v>4916</v>
      </c>
      <c r="H48" s="1287" t="s">
        <v>4567</v>
      </c>
      <c r="I48" s="1288" t="str">
        <f>IF(AI48=1,"●","")</f>
        <v/>
      </c>
      <c r="J48" s="1288" t="str">
        <f>IF(AI48=2,"●","")</f>
        <v>●</v>
      </c>
      <c r="K48" s="1288" t="str">
        <f>IF(AI48=3,"●","")</f>
        <v/>
      </c>
      <c r="L48" s="1289"/>
      <c r="M48" s="1280"/>
      <c r="N48" s="1290">
        <f t="shared" si="15"/>
        <v>2</v>
      </c>
      <c r="O48" s="1313"/>
      <c r="Q48" s="1291" t="s">
        <v>92</v>
      </c>
      <c r="R48" s="1291" t="s">
        <v>407</v>
      </c>
      <c r="S48" s="1291" t="s">
        <v>445</v>
      </c>
      <c r="T48" s="1291" t="s">
        <v>496</v>
      </c>
      <c r="U48" s="1291" t="s">
        <v>447</v>
      </c>
      <c r="V48" s="1291" t="s">
        <v>82</v>
      </c>
      <c r="W48" s="1291" t="s">
        <v>448</v>
      </c>
      <c r="X48" s="1291" t="s">
        <v>80</v>
      </c>
      <c r="Y48" s="1291" t="s">
        <v>497</v>
      </c>
      <c r="Z48" s="1332" t="str">
        <f t="shared" si="20"/>
        <v>対象</v>
      </c>
      <c r="AB48" s="1349"/>
      <c r="AC48" s="1319"/>
      <c r="AD48" s="1334">
        <f>Score!$Z$149</f>
        <v>3</v>
      </c>
      <c r="AE48" s="1334">
        <f>Score!$AB$149</f>
        <v>0</v>
      </c>
      <c r="AF48" s="1335">
        <f>IF(AE48=0,AD48,IF(AD48=0,AE48,AD48*$AD$6+AE48*$AE$6))</f>
        <v>3</v>
      </c>
      <c r="AG48" s="1336">
        <f>IF(AF48=0,"#DIV/0!",IF(AF48&lt;2,1,IF(AF48&lt;4,2,3)))</f>
        <v>2</v>
      </c>
      <c r="AH48" s="1337"/>
      <c r="AI48" s="1336">
        <f t="shared" si="21"/>
        <v>2</v>
      </c>
      <c r="AJ48" s="1298">
        <f t="shared" si="10"/>
        <v>2</v>
      </c>
      <c r="AK48" s="1347" t="b">
        <v>0</v>
      </c>
      <c r="AL48" s="1339">
        <f t="shared" si="7"/>
        <v>2</v>
      </c>
      <c r="AM48" s="1374">
        <f>AVERAGEIFS(AL48,AL48,"&lt;&gt;0",AL48,"&lt;&gt;#DIV/0!")</f>
        <v>2</v>
      </c>
    </row>
    <row r="49" spans="1:39" ht="24.75" customHeight="1">
      <c r="A49" s="4366"/>
      <c r="B49" s="1283">
        <v>6.2</v>
      </c>
      <c r="C49" s="1284" t="s">
        <v>4714</v>
      </c>
      <c r="D49" s="1279" t="s">
        <v>1107</v>
      </c>
      <c r="E49" s="1280" t="s">
        <v>4715</v>
      </c>
      <c r="F49" s="1280" t="s">
        <v>4531</v>
      </c>
      <c r="G49" s="1286" t="s">
        <v>4916</v>
      </c>
      <c r="H49" s="1287" t="s">
        <v>4568</v>
      </c>
      <c r="I49" s="1288" t="str">
        <f>IF(AI49=1,"●","")</f>
        <v/>
      </c>
      <c r="J49" s="1288" t="str">
        <f>IF(AI49=2,"●","")</f>
        <v>●</v>
      </c>
      <c r="K49" s="1288" t="str">
        <f>IF(AI49=3,"●","")</f>
        <v/>
      </c>
      <c r="L49" s="1289"/>
      <c r="M49" s="1280"/>
      <c r="N49" s="1290">
        <f t="shared" si="15"/>
        <v>2</v>
      </c>
      <c r="O49" s="1313"/>
      <c r="Q49" s="1291" t="s">
        <v>92</v>
      </c>
      <c r="R49" s="1291" t="s">
        <v>407</v>
      </c>
      <c r="S49" s="1291" t="s">
        <v>445</v>
      </c>
      <c r="T49" s="1291" t="s">
        <v>496</v>
      </c>
      <c r="U49" s="1291" t="s">
        <v>447</v>
      </c>
      <c r="V49" s="1291" t="s">
        <v>82</v>
      </c>
      <c r="W49" s="1291" t="s">
        <v>448</v>
      </c>
      <c r="X49" s="1291" t="s">
        <v>80</v>
      </c>
      <c r="Y49" s="1291" t="s">
        <v>497</v>
      </c>
      <c r="Z49" s="1332" t="str">
        <f t="shared" si="20"/>
        <v>対象</v>
      </c>
      <c r="AB49" s="1349"/>
      <c r="AC49" s="1319"/>
      <c r="AD49" s="1334">
        <f>Score!$Z$150</f>
        <v>2.9999999999999996</v>
      </c>
      <c r="AE49" s="1334">
        <f>Score!$AB$150</f>
        <v>0</v>
      </c>
      <c r="AF49" s="1335">
        <f>IF(AE49=0,AD49,IF(AD49=0,AE49,AD49*$AD$6+AE49*$AE$6))</f>
        <v>2.9999999999999996</v>
      </c>
      <c r="AG49" s="1336">
        <f>IF(AF49=0,"#DIV/0!",IF(AF49&lt;2,1,IF(AF49&lt;4,2,3)))</f>
        <v>2</v>
      </c>
      <c r="AH49" s="1337"/>
      <c r="AI49" s="1336">
        <f t="shared" si="21"/>
        <v>2</v>
      </c>
      <c r="AJ49" s="1298">
        <f t="shared" si="10"/>
        <v>2</v>
      </c>
      <c r="AK49" s="1347" t="b">
        <v>0</v>
      </c>
      <c r="AL49" s="1339">
        <f t="shared" si="7"/>
        <v>2</v>
      </c>
      <c r="AM49" s="1377">
        <f>AVERAGEIFS(AL49,AL49,"&lt;&gt;0",AL49,"&lt;&gt;#DIV/0!")</f>
        <v>2</v>
      </c>
    </row>
    <row r="50" spans="1:39" ht="27.75" customHeight="1">
      <c r="A50" s="4366"/>
      <c r="B50" s="4347" t="s">
        <v>1267</v>
      </c>
      <c r="C50" s="4354" t="s">
        <v>4716</v>
      </c>
      <c r="D50" s="1279" t="s">
        <v>1108</v>
      </c>
      <c r="E50" s="1280" t="s">
        <v>4717</v>
      </c>
      <c r="F50" s="1282" t="s">
        <v>4718</v>
      </c>
      <c r="G50" s="1286" t="s">
        <v>4916</v>
      </c>
      <c r="H50" s="1287" t="s">
        <v>4569</v>
      </c>
      <c r="I50" s="1288" t="str">
        <f>IF(AI50=1,"●","")</f>
        <v/>
      </c>
      <c r="J50" s="1288" t="str">
        <f>IF(AI50=2,"●","")</f>
        <v>●</v>
      </c>
      <c r="K50" s="1288" t="str">
        <f>IF(AI50=3,"●","")</f>
        <v/>
      </c>
      <c r="L50" s="1293"/>
      <c r="M50" s="1280"/>
      <c r="N50" s="1290">
        <f t="shared" si="15"/>
        <v>2</v>
      </c>
      <c r="O50" s="1313"/>
      <c r="Q50" s="1291" t="s">
        <v>92</v>
      </c>
      <c r="R50" s="1291" t="s">
        <v>407</v>
      </c>
      <c r="S50" s="1291" t="s">
        <v>445</v>
      </c>
      <c r="T50" s="1291" t="s">
        <v>496</v>
      </c>
      <c r="U50" s="1291" t="s">
        <v>447</v>
      </c>
      <c r="V50" s="1291" t="s">
        <v>82</v>
      </c>
      <c r="W50" s="1291" t="s">
        <v>448</v>
      </c>
      <c r="X50" s="1291" t="s">
        <v>80</v>
      </c>
      <c r="Y50" s="1291" t="s">
        <v>497</v>
      </c>
      <c r="Z50" s="1332" t="str">
        <f t="shared" si="20"/>
        <v>対象</v>
      </c>
      <c r="AB50" s="1349"/>
      <c r="AC50" s="1319"/>
      <c r="AD50" s="1334">
        <f>Score!$Z$180</f>
        <v>3</v>
      </c>
      <c r="AE50" s="1334">
        <f>Score!$AB$180</f>
        <v>0</v>
      </c>
      <c r="AF50" s="1335">
        <f>IF(AE50=0,AD50,IF(AD50=0,AE50,AD50*$AD$6+AE50*$AE$6))</f>
        <v>3</v>
      </c>
      <c r="AG50" s="1336">
        <f>IF(AF50=0,"#DIV/0!",IF(AF50&lt;2,1,IF(AF50&lt;4,2,3)))</f>
        <v>2</v>
      </c>
      <c r="AH50" s="1337"/>
      <c r="AI50" s="1336">
        <f t="shared" si="21"/>
        <v>2</v>
      </c>
      <c r="AJ50" s="1298">
        <f t="shared" si="10"/>
        <v>2</v>
      </c>
      <c r="AK50" s="1347" t="b">
        <v>0</v>
      </c>
      <c r="AL50" s="1339">
        <f t="shared" si="7"/>
        <v>2</v>
      </c>
      <c r="AM50" s="1374">
        <f>AVERAGEIFS(AL50:AL51,AL50:AL51,"&lt;&gt;0",AL50:AL51,"&lt;&gt;#DIV/0!")</f>
        <v>1.5</v>
      </c>
    </row>
    <row r="51" spans="1:39" ht="63">
      <c r="A51" s="4366"/>
      <c r="B51" s="4347"/>
      <c r="C51" s="4354"/>
      <c r="D51" s="1279" t="s">
        <v>1268</v>
      </c>
      <c r="E51" s="1280" t="s">
        <v>4495</v>
      </c>
      <c r="F51" s="1280" t="s">
        <v>4950</v>
      </c>
      <c r="G51" s="1286" t="s">
        <v>4916</v>
      </c>
      <c r="H51" s="1292" t="s">
        <v>4555</v>
      </c>
      <c r="I51" s="1282"/>
      <c r="J51" s="1282"/>
      <c r="K51" s="1282"/>
      <c r="L51" s="1293"/>
      <c r="M51" s="1280"/>
      <c r="N51" s="1290">
        <f t="shared" si="15"/>
        <v>1</v>
      </c>
      <c r="O51" s="1313"/>
      <c r="Q51" s="1291" t="s">
        <v>92</v>
      </c>
      <c r="R51" s="1291" t="s">
        <v>407</v>
      </c>
      <c r="S51" s="1291" t="s">
        <v>445</v>
      </c>
      <c r="T51" s="1291" t="s">
        <v>496</v>
      </c>
      <c r="U51" s="1291" t="s">
        <v>447</v>
      </c>
      <c r="V51" s="1291" t="s">
        <v>82</v>
      </c>
      <c r="W51" s="1291" t="s">
        <v>448</v>
      </c>
      <c r="X51" s="1291" t="s">
        <v>80</v>
      </c>
      <c r="Y51" s="1291" t="s">
        <v>497</v>
      </c>
      <c r="Z51" s="1332" t="str">
        <f t="shared" si="20"/>
        <v>対象</v>
      </c>
      <c r="AB51" s="1353">
        <v>1</v>
      </c>
      <c r="AC51" s="1319"/>
      <c r="AD51" s="1349"/>
      <c r="AE51" s="1349"/>
      <c r="AF51" s="1349"/>
      <c r="AG51" s="1349"/>
      <c r="AH51" s="1350"/>
      <c r="AI51" s="1336">
        <f t="shared" si="21"/>
        <v>1</v>
      </c>
      <c r="AJ51" s="1298">
        <f>AVERAGEIFS(AI51,AI51,"&lt;&gt;0",AI51,"&lt;&gt;#DIV/0!")</f>
        <v>1</v>
      </c>
      <c r="AK51" s="1352" t="b">
        <v>0</v>
      </c>
      <c r="AL51" s="1339">
        <f>IF(AK51=FALSE,AJ51,IF(AJ51=1,2,3))</f>
        <v>1</v>
      </c>
      <c r="AM51" s="1376"/>
    </row>
    <row r="52" spans="1:39" ht="63">
      <c r="A52" s="4366"/>
      <c r="B52" s="1283" t="s">
        <v>1266</v>
      </c>
      <c r="C52" s="1285" t="s">
        <v>4719</v>
      </c>
      <c r="D52" s="1279" t="s">
        <v>1109</v>
      </c>
      <c r="E52" s="1280" t="s">
        <v>4720</v>
      </c>
      <c r="F52" s="1280" t="s">
        <v>4951</v>
      </c>
      <c r="G52" s="1286" t="s">
        <v>4916</v>
      </c>
      <c r="H52" s="1292" t="s">
        <v>4555</v>
      </c>
      <c r="I52" s="1282"/>
      <c r="J52" s="1282"/>
      <c r="K52" s="1282"/>
      <c r="L52" s="1293"/>
      <c r="M52" s="1280"/>
      <c r="N52" s="1290">
        <f t="shared" si="15"/>
        <v>1</v>
      </c>
      <c r="O52" s="1313"/>
      <c r="Q52" s="1291" t="s">
        <v>92</v>
      </c>
      <c r="R52" s="1291" t="s">
        <v>407</v>
      </c>
      <c r="S52" s="1291" t="s">
        <v>445</v>
      </c>
      <c r="T52" s="1291" t="s">
        <v>496</v>
      </c>
      <c r="U52" s="1291" t="s">
        <v>447</v>
      </c>
      <c r="V52" s="1291" t="s">
        <v>82</v>
      </c>
      <c r="W52" s="1291" t="s">
        <v>448</v>
      </c>
      <c r="X52" s="1291" t="s">
        <v>80</v>
      </c>
      <c r="Y52" s="1291" t="s">
        <v>497</v>
      </c>
      <c r="Z52" s="1332" t="str">
        <f t="shared" si="20"/>
        <v>対象</v>
      </c>
      <c r="AB52" s="1353">
        <v>1</v>
      </c>
      <c r="AC52" s="1319"/>
      <c r="AD52" s="1349"/>
      <c r="AE52" s="1349"/>
      <c r="AF52" s="1349"/>
      <c r="AG52" s="1349"/>
      <c r="AH52" s="1350"/>
      <c r="AI52" s="1336">
        <f t="shared" si="21"/>
        <v>1</v>
      </c>
      <c r="AJ52" s="1298">
        <f>AVERAGEIFS(AI52,AI52,"&lt;&gt;0",AI52,"&lt;&gt;#DIV/0!")</f>
        <v>1</v>
      </c>
      <c r="AK52" s="1397" t="b">
        <v>0</v>
      </c>
      <c r="AL52" s="1339">
        <f>IF(AK52=FALSE,AJ52,IF(AJ52=1,2,3))</f>
        <v>1</v>
      </c>
      <c r="AM52" s="1335">
        <f>AVERAGEIFS(AL52,AL52,"&lt;&gt;0",AL52,"&lt;&gt;#DIV/0!")</f>
        <v>1</v>
      </c>
    </row>
    <row r="53" spans="1:39" ht="27.75" customHeight="1">
      <c r="A53" s="4366"/>
      <c r="B53" s="1283">
        <v>6.5</v>
      </c>
      <c r="C53" s="1285" t="s">
        <v>4721</v>
      </c>
      <c r="D53" s="1279" t="s">
        <v>1110</v>
      </c>
      <c r="E53" s="1280" t="s">
        <v>4722</v>
      </c>
      <c r="F53" s="1280" t="s">
        <v>4723</v>
      </c>
      <c r="G53" s="1286" t="s">
        <v>4916</v>
      </c>
      <c r="H53" s="1287" t="s">
        <v>4570</v>
      </c>
      <c r="I53" s="1288" t="str">
        <f t="shared" ref="I53:I58" si="22">IF(AI53=1,"●","")</f>
        <v/>
      </c>
      <c r="J53" s="1288" t="str">
        <f t="shared" ref="J53:J58" si="23">IF(AI53=2,"●","")</f>
        <v>●</v>
      </c>
      <c r="K53" s="1288" t="str">
        <f t="shared" ref="K53:K58" si="24">IF(AI53=3,"●","")</f>
        <v/>
      </c>
      <c r="L53" s="1289"/>
      <c r="M53" s="1280"/>
      <c r="N53" s="1290">
        <f t="shared" si="15"/>
        <v>2</v>
      </c>
      <c r="O53" s="1313"/>
      <c r="Q53" s="1291" t="s">
        <v>92</v>
      </c>
      <c r="R53" s="1291" t="s">
        <v>407</v>
      </c>
      <c r="S53" s="1291" t="s">
        <v>445</v>
      </c>
      <c r="T53" s="1291" t="s">
        <v>496</v>
      </c>
      <c r="U53" s="1291" t="s">
        <v>447</v>
      </c>
      <c r="V53" s="1291" t="s">
        <v>82</v>
      </c>
      <c r="W53" s="1291" t="s">
        <v>448</v>
      </c>
      <c r="X53" s="1291" t="s">
        <v>80</v>
      </c>
      <c r="Y53" s="1291" t="s">
        <v>497</v>
      </c>
      <c r="Z53" s="1332" t="str">
        <f t="shared" si="20"/>
        <v>対象</v>
      </c>
      <c r="AB53" s="1349"/>
      <c r="AC53" s="1319"/>
      <c r="AD53" s="1334">
        <f>Score!$Z$181</f>
        <v>3</v>
      </c>
      <c r="AE53" s="1334">
        <f>Score!$AB$181</f>
        <v>0</v>
      </c>
      <c r="AF53" s="1335">
        <f t="shared" ref="AF53:AF58" si="25">IF(AE53=0,AD53,IF(AD53=0,AE53,AD53*$AD$6+AE53*$AE$6))</f>
        <v>3</v>
      </c>
      <c r="AG53" s="1336">
        <f t="shared" ref="AG53:AG58" si="26">IF(AF53=0,"#DIV/0!",IF(AF53&lt;2,1,IF(AF53&lt;4,2,3)))</f>
        <v>2</v>
      </c>
      <c r="AH53" s="1337"/>
      <c r="AI53" s="1336">
        <f t="shared" si="21"/>
        <v>2</v>
      </c>
      <c r="AJ53" s="1298">
        <f>AVERAGEIFS(AI53,AI53,"&lt;&gt;0",AI53,"&lt;&gt;#DIV/0!")</f>
        <v>2</v>
      </c>
      <c r="AK53" s="1352" t="b">
        <v>0</v>
      </c>
      <c r="AL53" s="1339">
        <f>IF(AK53=FALSE,AJ53,IF(AJ53=1,2,3))</f>
        <v>2</v>
      </c>
      <c r="AM53" s="1375">
        <f>AVERAGEIFS(AL53:AL53,AL53:AL53,"&lt;&gt;0",AL53:AL53,"&lt;&gt;#DIV/0!")</f>
        <v>2</v>
      </c>
    </row>
    <row r="54" spans="1:39" ht="31.5">
      <c r="A54" s="4366"/>
      <c r="B54" s="1283">
        <v>6.6</v>
      </c>
      <c r="C54" s="3782" t="s">
        <v>4724</v>
      </c>
      <c r="D54" s="1279" t="s">
        <v>1111</v>
      </c>
      <c r="E54" s="1280" t="s">
        <v>4669</v>
      </c>
      <c r="F54" s="1280" t="s">
        <v>4670</v>
      </c>
      <c r="G54" s="1286" t="s">
        <v>4916</v>
      </c>
      <c r="H54" s="1287" t="s">
        <v>4550</v>
      </c>
      <c r="I54" s="1288" t="str">
        <f t="shared" si="22"/>
        <v/>
      </c>
      <c r="J54" s="1288" t="str">
        <f t="shared" si="23"/>
        <v>●</v>
      </c>
      <c r="K54" s="1288" t="str">
        <f t="shared" si="24"/>
        <v/>
      </c>
      <c r="L54" s="1295" t="str">
        <f>IF(L17="","（The result for 3.2.5 is transferred.）",L17)</f>
        <v>（The result for 3.2.5 is transferred.）</v>
      </c>
      <c r="M54" s="1280"/>
      <c r="N54" s="1290">
        <f t="shared" si="15"/>
        <v>2</v>
      </c>
      <c r="O54" s="1313"/>
      <c r="Q54" s="1291" t="s">
        <v>92</v>
      </c>
      <c r="R54" s="1291" t="s">
        <v>407</v>
      </c>
      <c r="S54" s="1291" t="s">
        <v>445</v>
      </c>
      <c r="T54" s="1291" t="s">
        <v>496</v>
      </c>
      <c r="U54" s="1291" t="s">
        <v>447</v>
      </c>
      <c r="V54" s="1291" t="s">
        <v>82</v>
      </c>
      <c r="W54" s="1291" t="s">
        <v>448</v>
      </c>
      <c r="X54" s="1291" t="s">
        <v>80</v>
      </c>
      <c r="Y54" s="1291" t="s">
        <v>497</v>
      </c>
      <c r="Z54" s="1332" t="str">
        <f t="shared" si="20"/>
        <v>対象</v>
      </c>
      <c r="AB54" s="1349"/>
      <c r="AC54" s="1319"/>
      <c r="AD54" s="1378">
        <f>Score!$Z$76</f>
        <v>3</v>
      </c>
      <c r="AE54" s="1378">
        <f>Score!$AB$76</f>
        <v>0</v>
      </c>
      <c r="AF54" s="1335">
        <f t="shared" si="25"/>
        <v>3</v>
      </c>
      <c r="AG54" s="1336">
        <f t="shared" si="26"/>
        <v>2</v>
      </c>
      <c r="AH54" s="1350"/>
      <c r="AI54" s="1336">
        <f t="shared" si="21"/>
        <v>2</v>
      </c>
      <c r="AJ54" s="1298">
        <f t="shared" si="10"/>
        <v>2</v>
      </c>
      <c r="AK54" s="1352" t="b">
        <v>0</v>
      </c>
      <c r="AL54" s="1339">
        <f t="shared" si="7"/>
        <v>2</v>
      </c>
      <c r="AM54" s="1375">
        <f>AVERAGEIFS(AL54:AL54,AL54:AL54,"&lt;&gt;0",AL54:AL54,"&lt;&gt;#DIV/0!")</f>
        <v>2</v>
      </c>
    </row>
    <row r="55" spans="1:39" ht="40.15" customHeight="1">
      <c r="A55" s="4366"/>
      <c r="B55" s="1283">
        <v>6.7</v>
      </c>
      <c r="C55" s="1284" t="s">
        <v>4725</v>
      </c>
      <c r="D55" s="1279" t="s">
        <v>1112</v>
      </c>
      <c r="E55" s="1280" t="s">
        <v>4726</v>
      </c>
      <c r="F55" s="1280" t="s">
        <v>4727</v>
      </c>
      <c r="G55" s="1286" t="s">
        <v>4916</v>
      </c>
      <c r="H55" s="1287" t="s">
        <v>4571</v>
      </c>
      <c r="I55" s="1288" t="str">
        <f t="shared" si="22"/>
        <v/>
      </c>
      <c r="J55" s="1288" t="str">
        <f t="shared" si="23"/>
        <v>●</v>
      </c>
      <c r="K55" s="1288" t="str">
        <f t="shared" si="24"/>
        <v/>
      </c>
      <c r="L55" s="1293"/>
      <c r="M55" s="1280"/>
      <c r="N55" s="1290">
        <f t="shared" si="15"/>
        <v>2</v>
      </c>
      <c r="O55" s="1313"/>
      <c r="Q55" s="1291" t="s">
        <v>92</v>
      </c>
      <c r="R55" s="1291" t="s">
        <v>407</v>
      </c>
      <c r="S55" s="1291" t="s">
        <v>445</v>
      </c>
      <c r="T55" s="1291" t="s">
        <v>496</v>
      </c>
      <c r="U55" s="1291" t="s">
        <v>447</v>
      </c>
      <c r="V55" s="1291" t="s">
        <v>82</v>
      </c>
      <c r="W55" s="1291" t="s">
        <v>448</v>
      </c>
      <c r="X55" s="1291" t="s">
        <v>80</v>
      </c>
      <c r="Y55" s="1291" t="s">
        <v>497</v>
      </c>
      <c r="Z55" s="1332" t="str">
        <f t="shared" si="20"/>
        <v>対象</v>
      </c>
      <c r="AB55" s="1349"/>
      <c r="AC55" s="1319"/>
      <c r="AD55" s="1334">
        <f>Score!$Z$95</f>
        <v>3</v>
      </c>
      <c r="AE55" s="1334">
        <f>Score!$AB$95</f>
        <v>0</v>
      </c>
      <c r="AF55" s="1335">
        <f t="shared" si="25"/>
        <v>3</v>
      </c>
      <c r="AG55" s="1336">
        <f t="shared" si="26"/>
        <v>2</v>
      </c>
      <c r="AH55" s="1337"/>
      <c r="AI55" s="1336">
        <f t="shared" si="21"/>
        <v>2</v>
      </c>
      <c r="AJ55" s="1298">
        <f t="shared" si="10"/>
        <v>2</v>
      </c>
      <c r="AK55" s="1352" t="b">
        <v>0</v>
      </c>
      <c r="AL55" s="1339">
        <f t="shared" si="7"/>
        <v>2</v>
      </c>
      <c r="AM55" s="1335">
        <f>AVERAGEIFS(AL55,AL55,"&lt;&gt;0",AL55,"&lt;&gt;#DIV/0!")</f>
        <v>2</v>
      </c>
    </row>
    <row r="56" spans="1:39" ht="29.45" customHeight="1">
      <c r="A56" s="4367" t="s">
        <v>4931</v>
      </c>
      <c r="B56" s="4347">
        <v>7.1</v>
      </c>
      <c r="C56" s="4354" t="s">
        <v>4728</v>
      </c>
      <c r="D56" s="1279" t="s">
        <v>1113</v>
      </c>
      <c r="E56" s="1282" t="s">
        <v>4729</v>
      </c>
      <c r="F56" s="1282" t="s">
        <v>4730</v>
      </c>
      <c r="G56" s="1286" t="s">
        <v>4916</v>
      </c>
      <c r="H56" s="1287" t="s">
        <v>4572</v>
      </c>
      <c r="I56" s="1288" t="str">
        <f t="shared" si="22"/>
        <v/>
      </c>
      <c r="J56" s="1288" t="str">
        <f t="shared" si="23"/>
        <v>●</v>
      </c>
      <c r="K56" s="1288" t="str">
        <f t="shared" si="24"/>
        <v/>
      </c>
      <c r="L56" s="1293"/>
      <c r="M56" s="1280"/>
      <c r="N56" s="1290">
        <f t="shared" si="15"/>
        <v>2</v>
      </c>
      <c r="O56" s="1313"/>
      <c r="Q56" s="1291" t="s">
        <v>92</v>
      </c>
      <c r="R56" s="1291" t="s">
        <v>407</v>
      </c>
      <c r="S56" s="1291" t="s">
        <v>445</v>
      </c>
      <c r="T56" s="1291" t="s">
        <v>496</v>
      </c>
      <c r="U56" s="1291" t="s">
        <v>447</v>
      </c>
      <c r="V56" s="1291" t="s">
        <v>82</v>
      </c>
      <c r="W56" s="1291" t="s">
        <v>448</v>
      </c>
      <c r="X56" s="1291" t="s">
        <v>80</v>
      </c>
      <c r="Y56" s="1291" t="s">
        <v>497</v>
      </c>
      <c r="Z56" s="1332" t="str">
        <f t="shared" si="20"/>
        <v>対象</v>
      </c>
      <c r="AB56" s="1349"/>
      <c r="AC56" s="1319"/>
      <c r="AD56" s="1334">
        <f>Score!$Z$123</f>
        <v>3</v>
      </c>
      <c r="AE56" s="1334">
        <f>Score!$AB$123</f>
        <v>0</v>
      </c>
      <c r="AF56" s="1335">
        <f t="shared" si="25"/>
        <v>3</v>
      </c>
      <c r="AG56" s="1336">
        <f t="shared" si="26"/>
        <v>2</v>
      </c>
      <c r="AH56" s="1337"/>
      <c r="AI56" s="1336">
        <f t="shared" si="21"/>
        <v>2</v>
      </c>
      <c r="AJ56" s="1298">
        <f t="shared" si="10"/>
        <v>2</v>
      </c>
      <c r="AK56" s="1352" t="b">
        <v>0</v>
      </c>
      <c r="AL56" s="1339">
        <f t="shared" si="7"/>
        <v>2</v>
      </c>
      <c r="AM56" s="1374">
        <f>AVERAGEIFS(AL56:AL58,AL56:AL58,"&lt;&gt;0",AL56:AL58,"&lt;&gt;#DIV/0!")</f>
        <v>2.3333333333333335</v>
      </c>
    </row>
    <row r="57" spans="1:39" ht="29.45" customHeight="1">
      <c r="A57" s="4367"/>
      <c r="B57" s="4347"/>
      <c r="C57" s="4354"/>
      <c r="D57" s="1279" t="s">
        <v>1114</v>
      </c>
      <c r="E57" s="1282" t="s">
        <v>4731</v>
      </c>
      <c r="F57" s="1282" t="s">
        <v>4732</v>
      </c>
      <c r="G57" s="1286" t="s">
        <v>4916</v>
      </c>
      <c r="H57" s="1287" t="s">
        <v>4573</v>
      </c>
      <c r="I57" s="1288" t="str">
        <f t="shared" si="22"/>
        <v/>
      </c>
      <c r="J57" s="1288" t="str">
        <f t="shared" si="23"/>
        <v>●</v>
      </c>
      <c r="K57" s="1288" t="str">
        <f t="shared" si="24"/>
        <v/>
      </c>
      <c r="L57" s="1293"/>
      <c r="M57" s="1280"/>
      <c r="N57" s="1290">
        <f t="shared" si="15"/>
        <v>2</v>
      </c>
      <c r="O57" s="1313"/>
      <c r="Q57" s="1291" t="s">
        <v>92</v>
      </c>
      <c r="R57" s="1291" t="s">
        <v>407</v>
      </c>
      <c r="S57" s="1291" t="s">
        <v>445</v>
      </c>
      <c r="T57" s="1291" t="s">
        <v>496</v>
      </c>
      <c r="U57" s="1291" t="s">
        <v>447</v>
      </c>
      <c r="V57" s="1291" t="s">
        <v>82</v>
      </c>
      <c r="W57" s="1291" t="s">
        <v>448</v>
      </c>
      <c r="X57" s="1291" t="s">
        <v>80</v>
      </c>
      <c r="Y57" s="1291" t="s">
        <v>497</v>
      </c>
      <c r="Z57" s="1332" t="str">
        <f t="shared" si="20"/>
        <v>対象</v>
      </c>
      <c r="AB57" s="1349"/>
      <c r="AC57" s="1319"/>
      <c r="AD57" s="1334">
        <f>Score!$Z$124</f>
        <v>3</v>
      </c>
      <c r="AE57" s="1334">
        <f>Score!$AB$124</f>
        <v>0</v>
      </c>
      <c r="AF57" s="1335">
        <f t="shared" si="25"/>
        <v>3</v>
      </c>
      <c r="AG57" s="1336">
        <f t="shared" si="26"/>
        <v>2</v>
      </c>
      <c r="AH57" s="1337"/>
      <c r="AI57" s="1336">
        <f t="shared" si="21"/>
        <v>2</v>
      </c>
      <c r="AJ57" s="1298">
        <f t="shared" si="10"/>
        <v>2</v>
      </c>
      <c r="AK57" s="1352" t="b">
        <v>0</v>
      </c>
      <c r="AL57" s="1339">
        <f t="shared" si="7"/>
        <v>2</v>
      </c>
      <c r="AM57" s="1373"/>
    </row>
    <row r="58" spans="1:39" ht="29.45" customHeight="1">
      <c r="A58" s="4367"/>
      <c r="B58" s="4347"/>
      <c r="C58" s="4354"/>
      <c r="D58" s="1279" t="s">
        <v>1115</v>
      </c>
      <c r="E58" s="1282" t="s">
        <v>4733</v>
      </c>
      <c r="F58" s="1282" t="s">
        <v>4734</v>
      </c>
      <c r="G58" s="1286" t="s">
        <v>4916</v>
      </c>
      <c r="H58" s="1287" t="s">
        <v>4574</v>
      </c>
      <c r="I58" s="1288" t="str">
        <f t="shared" si="22"/>
        <v/>
      </c>
      <c r="J58" s="1288" t="str">
        <f t="shared" si="23"/>
        <v/>
      </c>
      <c r="K58" s="1288" t="str">
        <f t="shared" si="24"/>
        <v>●</v>
      </c>
      <c r="L58" s="1293"/>
      <c r="M58" s="1280"/>
      <c r="N58" s="1290">
        <f t="shared" si="15"/>
        <v>3</v>
      </c>
      <c r="O58" s="1313"/>
      <c r="Q58" s="1291" t="s">
        <v>92</v>
      </c>
      <c r="R58" s="1291" t="s">
        <v>407</v>
      </c>
      <c r="S58" s="1291" t="s">
        <v>445</v>
      </c>
      <c r="T58" s="1291" t="s">
        <v>496</v>
      </c>
      <c r="U58" s="1291" t="s">
        <v>447</v>
      </c>
      <c r="V58" s="1291" t="s">
        <v>82</v>
      </c>
      <c r="W58" s="1291" t="s">
        <v>448</v>
      </c>
      <c r="X58" s="1291" t="s">
        <v>80</v>
      </c>
      <c r="Y58" s="1291" t="s">
        <v>497</v>
      </c>
      <c r="Z58" s="1332" t="str">
        <f t="shared" si="20"/>
        <v>対象</v>
      </c>
      <c r="AB58" s="1349"/>
      <c r="AC58" s="1319"/>
      <c r="AD58" s="1334">
        <f>Score!$Z$129</f>
        <v>5</v>
      </c>
      <c r="AE58" s="1334">
        <f>Score!$AB$129</f>
        <v>0</v>
      </c>
      <c r="AF58" s="1335">
        <f t="shared" si="25"/>
        <v>5</v>
      </c>
      <c r="AG58" s="1336">
        <f t="shared" si="26"/>
        <v>3</v>
      </c>
      <c r="AH58" s="1337"/>
      <c r="AI58" s="1336">
        <f t="shared" si="21"/>
        <v>3</v>
      </c>
      <c r="AJ58" s="1298">
        <f t="shared" si="10"/>
        <v>3</v>
      </c>
      <c r="AK58" s="1352" t="b">
        <v>0</v>
      </c>
      <c r="AL58" s="1339">
        <f t="shared" si="7"/>
        <v>3</v>
      </c>
      <c r="AM58" s="1375"/>
    </row>
    <row r="59" spans="1:39" ht="136.15" customHeight="1">
      <c r="A59" s="4367"/>
      <c r="B59" s="1283">
        <v>7.2</v>
      </c>
      <c r="C59" s="1284" t="s">
        <v>4735</v>
      </c>
      <c r="D59" s="1279" t="s">
        <v>1116</v>
      </c>
      <c r="E59" s="1282" t="s">
        <v>4736</v>
      </c>
      <c r="F59" s="1282" t="s">
        <v>4974</v>
      </c>
      <c r="G59" s="1286" t="s">
        <v>4916</v>
      </c>
      <c r="H59" s="1292" t="s">
        <v>4555</v>
      </c>
      <c r="I59" s="1282"/>
      <c r="J59" s="1282"/>
      <c r="K59" s="1282"/>
      <c r="L59" s="1293"/>
      <c r="M59" s="1280"/>
      <c r="N59" s="1290">
        <f t="shared" si="15"/>
        <v>2</v>
      </c>
      <c r="O59" s="1313"/>
      <c r="Q59" s="1291" t="s">
        <v>92</v>
      </c>
      <c r="R59" s="1291" t="s">
        <v>407</v>
      </c>
      <c r="S59" s="1291" t="s">
        <v>445</v>
      </c>
      <c r="T59" s="1291" t="s">
        <v>496</v>
      </c>
      <c r="U59" s="1291" t="s">
        <v>447</v>
      </c>
      <c r="V59" s="1291" t="s">
        <v>82</v>
      </c>
      <c r="W59" s="1291" t="s">
        <v>448</v>
      </c>
      <c r="X59" s="1291" t="s">
        <v>80</v>
      </c>
      <c r="Y59" s="1291" t="s">
        <v>497</v>
      </c>
      <c r="Z59" s="1332" t="str">
        <f t="shared" si="20"/>
        <v>対象</v>
      </c>
      <c r="AB59" s="1353">
        <v>2</v>
      </c>
      <c r="AC59" s="1319"/>
      <c r="AD59" s="1349"/>
      <c r="AE59" s="1349"/>
      <c r="AF59" s="1349"/>
      <c r="AG59" s="1349"/>
      <c r="AH59" s="1350"/>
      <c r="AI59" s="1336">
        <f t="shared" si="21"/>
        <v>2</v>
      </c>
      <c r="AJ59" s="1298">
        <f t="shared" si="10"/>
        <v>2</v>
      </c>
      <c r="AK59" s="1352" t="b">
        <v>0</v>
      </c>
      <c r="AL59" s="1339">
        <f t="shared" si="7"/>
        <v>2</v>
      </c>
      <c r="AM59" s="1335">
        <f>AVERAGEIFS(AL59,AL59,"&lt;&gt;0",AL59,"&lt;&gt;#DIV/0!")</f>
        <v>2</v>
      </c>
    </row>
    <row r="60" spans="1:39" ht="40.15" customHeight="1">
      <c r="A60" s="4367"/>
      <c r="B60" s="1283">
        <v>7.3</v>
      </c>
      <c r="C60" s="1284" t="s">
        <v>4737</v>
      </c>
      <c r="D60" s="1279" t="s">
        <v>1117</v>
      </c>
      <c r="E60" s="1282" t="s">
        <v>4738</v>
      </c>
      <c r="F60" s="1282" t="s">
        <v>4739</v>
      </c>
      <c r="G60" s="1286" t="s">
        <v>4916</v>
      </c>
      <c r="H60" s="1287" t="s">
        <v>4575</v>
      </c>
      <c r="I60" s="1288" t="str">
        <f t="shared" ref="I60" si="27">IF(AI60=1,"●","")</f>
        <v/>
      </c>
      <c r="J60" s="1288" t="str">
        <f t="shared" ref="J60" si="28">IF(AI60=2,"●","")</f>
        <v>●</v>
      </c>
      <c r="K60" s="1288" t="str">
        <f t="shared" ref="K60" si="29">IF(AI60=3,"●","")</f>
        <v/>
      </c>
      <c r="L60" s="1293"/>
      <c r="M60" s="1280"/>
      <c r="N60" s="1290">
        <f t="shared" si="15"/>
        <v>2</v>
      </c>
      <c r="O60" s="1313"/>
      <c r="Q60" s="1291" t="s">
        <v>92</v>
      </c>
      <c r="R60" s="1291" t="s">
        <v>407</v>
      </c>
      <c r="S60" s="1291" t="s">
        <v>445</v>
      </c>
      <c r="T60" s="1291" t="s">
        <v>496</v>
      </c>
      <c r="U60" s="1291" t="s">
        <v>447</v>
      </c>
      <c r="V60" s="1291" t="s">
        <v>82</v>
      </c>
      <c r="W60" s="1291" t="s">
        <v>448</v>
      </c>
      <c r="X60" s="1291" t="s">
        <v>80</v>
      </c>
      <c r="Y60" s="1291" t="s">
        <v>497</v>
      </c>
      <c r="Z60" s="1332" t="str">
        <f t="shared" si="20"/>
        <v>対象</v>
      </c>
      <c r="AB60" s="1349"/>
      <c r="AC60" s="1319"/>
      <c r="AD60" s="1488">
        <f>Score!$Z$142</f>
        <v>3</v>
      </c>
      <c r="AE60" s="1488">
        <f>Score!$AB$142</f>
        <v>0</v>
      </c>
      <c r="AF60" s="1489">
        <f t="shared" ref="AF60" si="30">IF(AE60=0,AD60,IF(AD60=0,AE60,AD60*$AD$6+AE60*$AE$6))</f>
        <v>3</v>
      </c>
      <c r="AG60" s="1490">
        <f t="shared" ref="AG60" si="31">IF(AF60=0,"#DIV/0!",IF(AF60&lt;2,1,IF(AF60&lt;4,2,3)))</f>
        <v>2</v>
      </c>
      <c r="AH60" s="1491"/>
      <c r="AI60" s="1490">
        <f t="shared" si="21"/>
        <v>2</v>
      </c>
      <c r="AJ60" s="1492">
        <f>AVERAGEIFS(AI60,AI60,"&lt;&gt;0",AI60,"&lt;&gt;#DIV/0!")</f>
        <v>2</v>
      </c>
      <c r="AK60" s="1493" t="b">
        <v>0</v>
      </c>
      <c r="AL60" s="1494">
        <f t="shared" ref="AL60" si="32">IF(AK60=FALSE,AJ60,IF(AJ60=1,2,3))</f>
        <v>2</v>
      </c>
      <c r="AM60" s="1489">
        <f>AVERAGEIFS(AL60,AL60,"&lt;&gt;0",AL60,"&lt;&gt;#DIV/0!")</f>
        <v>2</v>
      </c>
    </row>
    <row r="61" spans="1:39" ht="115.9" customHeight="1">
      <c r="A61" s="4367"/>
      <c r="B61" s="1283">
        <v>7.4</v>
      </c>
      <c r="C61" s="1284" t="s">
        <v>4740</v>
      </c>
      <c r="D61" s="1279" t="s">
        <v>1118</v>
      </c>
      <c r="E61" s="1282" t="s">
        <v>4741</v>
      </c>
      <c r="F61" s="1282" t="s">
        <v>4952</v>
      </c>
      <c r="G61" s="1286" t="s">
        <v>4916</v>
      </c>
      <c r="H61" s="1292" t="s">
        <v>4555</v>
      </c>
      <c r="I61" s="1282"/>
      <c r="J61" s="1282"/>
      <c r="K61" s="1282"/>
      <c r="L61" s="1293"/>
      <c r="M61" s="1280"/>
      <c r="N61" s="1290">
        <f t="shared" si="15"/>
        <v>2</v>
      </c>
      <c r="O61" s="1313"/>
      <c r="Q61" s="1291" t="s">
        <v>92</v>
      </c>
      <c r="R61" s="1291" t="s">
        <v>407</v>
      </c>
      <c r="S61" s="1291" t="s">
        <v>445</v>
      </c>
      <c r="T61" s="1291" t="s">
        <v>496</v>
      </c>
      <c r="U61" s="1291" t="s">
        <v>447</v>
      </c>
      <c r="V61" s="1291" t="s">
        <v>82</v>
      </c>
      <c r="W61" s="1291" t="s">
        <v>448</v>
      </c>
      <c r="X61" s="1291" t="s">
        <v>80</v>
      </c>
      <c r="Y61" s="1291" t="s">
        <v>497</v>
      </c>
      <c r="Z61" s="1332" t="str">
        <f t="shared" si="20"/>
        <v>対象</v>
      </c>
      <c r="AB61" s="1353">
        <v>2</v>
      </c>
      <c r="AC61" s="1319"/>
      <c r="AD61" s="1349"/>
      <c r="AE61" s="1349"/>
      <c r="AF61" s="1349"/>
      <c r="AG61" s="1349"/>
      <c r="AH61" s="1350"/>
      <c r="AI61" s="1336">
        <f t="shared" si="21"/>
        <v>2</v>
      </c>
      <c r="AJ61" s="1298">
        <f t="shared" si="10"/>
        <v>2</v>
      </c>
      <c r="AK61" s="1352" t="b">
        <v>0</v>
      </c>
      <c r="AL61" s="1339">
        <f t="shared" si="7"/>
        <v>2</v>
      </c>
      <c r="AM61" s="1335">
        <f t="shared" ref="AM61:AM63" si="33">AVERAGEIFS(AL61,AL61,"&lt;&gt;0",AL61,"&lt;&gt;#DIV/0!")</f>
        <v>2</v>
      </c>
    </row>
    <row r="62" spans="1:39" ht="30.6" customHeight="1">
      <c r="A62" s="4367"/>
      <c r="B62" s="1283">
        <v>7.5</v>
      </c>
      <c r="C62" s="1297" t="s">
        <v>4742</v>
      </c>
      <c r="D62" s="1279" t="s">
        <v>1119</v>
      </c>
      <c r="E62" s="1282" t="s">
        <v>4743</v>
      </c>
      <c r="F62" s="1282" t="s">
        <v>4744</v>
      </c>
      <c r="G62" s="1286" t="s">
        <v>4916</v>
      </c>
      <c r="H62" s="1287" t="s">
        <v>4576</v>
      </c>
      <c r="I62" s="1288" t="str">
        <f t="shared" ref="I62:I72" si="34">IF(AI62=1,"●","")</f>
        <v/>
      </c>
      <c r="J62" s="1288" t="str">
        <f t="shared" ref="J62:J72" si="35">IF(AI62=2,"●","")</f>
        <v>●</v>
      </c>
      <c r="K62" s="1288" t="str">
        <f t="shared" ref="K62:K72" si="36">IF(AI62=3,"●","")</f>
        <v/>
      </c>
      <c r="L62" s="1289"/>
      <c r="M62" s="1280"/>
      <c r="N62" s="1290">
        <f t="shared" ref="N62:N93" si="37">IF(Z62="N.A.","N.A.",AL62)</f>
        <v>2</v>
      </c>
      <c r="O62" s="1313"/>
      <c r="Q62" s="1291" t="s">
        <v>92</v>
      </c>
      <c r="R62" s="1291" t="s">
        <v>407</v>
      </c>
      <c r="S62" s="1291" t="s">
        <v>445</v>
      </c>
      <c r="T62" s="1291" t="s">
        <v>496</v>
      </c>
      <c r="U62" s="1291" t="s">
        <v>447</v>
      </c>
      <c r="V62" s="1291" t="s">
        <v>82</v>
      </c>
      <c r="W62" s="1291" t="s">
        <v>448</v>
      </c>
      <c r="X62" s="1291" t="s">
        <v>80</v>
      </c>
      <c r="Y62" s="1291" t="s">
        <v>497</v>
      </c>
      <c r="Z62" s="1332" t="str">
        <f t="shared" si="20"/>
        <v>対象</v>
      </c>
      <c r="AB62" s="1349"/>
      <c r="AC62" s="1319"/>
      <c r="AD62" s="1488">
        <f>(Score!$Z$140*Score!$R$140+Score!$Z$141*Score!$R$141)/(Score!$R$140+Score!$R$141)</f>
        <v>3.0000000000000004</v>
      </c>
      <c r="AE62" s="1488">
        <f>(Score!$AB$140*Score!$R$140+Score!AB141*Score!$R$141)/(Score!$R$140+Score!$R$141)</f>
        <v>0</v>
      </c>
      <c r="AF62" s="1335">
        <f>IF(AE62=0,AD62,IF(AD62=0,AE62,AD62*$AD$6+AE62*$AE$6))</f>
        <v>3.0000000000000004</v>
      </c>
      <c r="AG62" s="1336">
        <f t="shared" ref="AG62:AG84" si="38">IF(AF62=0,"#DIV/0!",IF(AF62&lt;2,1,IF(AF62&lt;4,2,3)))</f>
        <v>2</v>
      </c>
      <c r="AH62" s="1350"/>
      <c r="AI62" s="1336">
        <f t="shared" si="21"/>
        <v>2</v>
      </c>
      <c r="AJ62" s="1298">
        <f t="shared" si="10"/>
        <v>2</v>
      </c>
      <c r="AK62" s="1352" t="b">
        <v>0</v>
      </c>
      <c r="AL62" s="1339">
        <f t="shared" si="7"/>
        <v>2</v>
      </c>
      <c r="AM62" s="1335">
        <f t="shared" si="33"/>
        <v>2</v>
      </c>
    </row>
    <row r="63" spans="1:39" ht="41.45" customHeight="1">
      <c r="A63" s="4367"/>
      <c r="B63" s="1283">
        <v>7.6</v>
      </c>
      <c r="C63" s="1284" t="s">
        <v>4745</v>
      </c>
      <c r="D63" s="1279" t="s">
        <v>1120</v>
      </c>
      <c r="E63" s="1282" t="s">
        <v>4746</v>
      </c>
      <c r="F63" s="1282" t="s">
        <v>4747</v>
      </c>
      <c r="G63" s="1286" t="s">
        <v>4916</v>
      </c>
      <c r="H63" s="1287" t="s">
        <v>4577</v>
      </c>
      <c r="I63" s="1288" t="str">
        <f t="shared" si="34"/>
        <v/>
      </c>
      <c r="J63" s="1288" t="str">
        <f t="shared" si="35"/>
        <v>●</v>
      </c>
      <c r="K63" s="1288" t="str">
        <f t="shared" si="36"/>
        <v/>
      </c>
      <c r="L63" s="1293"/>
      <c r="M63" s="1280"/>
      <c r="N63" s="1290">
        <f t="shared" si="37"/>
        <v>2</v>
      </c>
      <c r="O63" s="1313"/>
      <c r="Q63" s="1291" t="s">
        <v>92</v>
      </c>
      <c r="R63" s="1291" t="s">
        <v>407</v>
      </c>
      <c r="S63" s="1291" t="s">
        <v>445</v>
      </c>
      <c r="T63" s="1291" t="s">
        <v>496</v>
      </c>
      <c r="U63" s="1291" t="s">
        <v>447</v>
      </c>
      <c r="V63" s="1291" t="s">
        <v>82</v>
      </c>
      <c r="W63" s="1291" t="s">
        <v>448</v>
      </c>
      <c r="X63" s="1291" t="s">
        <v>80</v>
      </c>
      <c r="Y63" s="1291" t="s">
        <v>497</v>
      </c>
      <c r="Z63" s="1332" t="str">
        <f t="shared" si="20"/>
        <v>対象</v>
      </c>
      <c r="AB63" s="1349"/>
      <c r="AC63" s="1319"/>
      <c r="AD63" s="1334">
        <f>Score!$Z$96</f>
        <v>3</v>
      </c>
      <c r="AE63" s="1334">
        <f>Score!$AB$96</f>
        <v>0</v>
      </c>
      <c r="AF63" s="1335">
        <f t="shared" ref="AF63:AF72" si="39">IF(AE63=0,AD63,IF(AD63=0,AE63,AD63*$AD$6+AE63*$AE$6))</f>
        <v>3</v>
      </c>
      <c r="AG63" s="1336">
        <f t="shared" si="38"/>
        <v>2</v>
      </c>
      <c r="AH63" s="1337"/>
      <c r="AI63" s="1336">
        <f t="shared" si="21"/>
        <v>2</v>
      </c>
      <c r="AJ63" s="1298">
        <f t="shared" si="10"/>
        <v>2</v>
      </c>
      <c r="AK63" s="1352" t="b">
        <v>0</v>
      </c>
      <c r="AL63" s="1339">
        <f t="shared" si="7"/>
        <v>2</v>
      </c>
      <c r="AM63" s="1335">
        <f t="shared" si="33"/>
        <v>2</v>
      </c>
    </row>
    <row r="64" spans="1:39" ht="43.9" customHeight="1">
      <c r="A64" s="4367"/>
      <c r="B64" s="1283" t="s">
        <v>1269</v>
      </c>
      <c r="C64" s="1284" t="s">
        <v>4748</v>
      </c>
      <c r="D64" s="1279" t="s">
        <v>1271</v>
      </c>
      <c r="E64" s="1282" t="s">
        <v>4749</v>
      </c>
      <c r="F64" s="1282" t="s">
        <v>4976</v>
      </c>
      <c r="G64" s="1286" t="s">
        <v>4916</v>
      </c>
      <c r="H64" s="1292" t="s">
        <v>4555</v>
      </c>
      <c r="I64" s="1282"/>
      <c r="J64" s="1282"/>
      <c r="K64" s="1282"/>
      <c r="L64" s="1293"/>
      <c r="M64" s="1280"/>
      <c r="N64" s="1290">
        <f t="shared" si="37"/>
        <v>1</v>
      </c>
      <c r="O64" s="1313"/>
      <c r="Q64" s="1291" t="s">
        <v>92</v>
      </c>
      <c r="R64" s="1291" t="s">
        <v>407</v>
      </c>
      <c r="S64" s="1291" t="s">
        <v>445</v>
      </c>
      <c r="T64" s="1291" t="s">
        <v>496</v>
      </c>
      <c r="U64" s="1291" t="s">
        <v>447</v>
      </c>
      <c r="V64" s="1291" t="s">
        <v>82</v>
      </c>
      <c r="W64" s="1291" t="s">
        <v>448</v>
      </c>
      <c r="X64" s="1291" t="s">
        <v>80</v>
      </c>
      <c r="Y64" s="1291" t="s">
        <v>497</v>
      </c>
      <c r="Z64" s="1332" t="str">
        <f t="shared" si="20"/>
        <v>対象</v>
      </c>
      <c r="AB64" s="1353">
        <v>1</v>
      </c>
      <c r="AC64" s="1319"/>
      <c r="AD64" s="1349"/>
      <c r="AE64" s="1349"/>
      <c r="AF64" s="1349"/>
      <c r="AG64" s="1349"/>
      <c r="AH64" s="1350"/>
      <c r="AI64" s="1336">
        <f t="shared" si="21"/>
        <v>1</v>
      </c>
      <c r="AJ64" s="1298">
        <f t="shared" si="10"/>
        <v>1</v>
      </c>
      <c r="AK64" s="1352" t="b">
        <v>0</v>
      </c>
      <c r="AL64" s="1339">
        <f t="shared" si="7"/>
        <v>1</v>
      </c>
      <c r="AM64" s="1335">
        <f>AVERAGEIFS(AL64,AL64,"&lt;&gt;0",AL64,"&lt;&gt;#DIV/0!")</f>
        <v>1</v>
      </c>
    </row>
    <row r="65" spans="1:39" ht="56.45" customHeight="1">
      <c r="A65" s="4367"/>
      <c r="B65" s="1283" t="s">
        <v>1270</v>
      </c>
      <c r="C65" s="3782" t="s">
        <v>4953</v>
      </c>
      <c r="D65" s="1279" t="s">
        <v>1272</v>
      </c>
      <c r="E65" s="1282" t="s">
        <v>4750</v>
      </c>
      <c r="F65" s="1282" t="s">
        <v>4751</v>
      </c>
      <c r="G65" s="1286" t="s">
        <v>4916</v>
      </c>
      <c r="H65" s="1287" t="s">
        <v>4578</v>
      </c>
      <c r="I65" s="1288" t="e">
        <f t="shared" si="34"/>
        <v>#VALUE!</v>
      </c>
      <c r="J65" s="1288" t="e">
        <f t="shared" si="35"/>
        <v>#VALUE!</v>
      </c>
      <c r="K65" s="1288" t="e">
        <f t="shared" si="36"/>
        <v>#VALUE!</v>
      </c>
      <c r="L65" s="1289"/>
      <c r="M65" s="1280"/>
      <c r="N65" s="1290" t="e">
        <f t="shared" si="37"/>
        <v>#VALUE!</v>
      </c>
      <c r="O65" s="1313"/>
      <c r="Q65" s="1291" t="s">
        <v>92</v>
      </c>
      <c r="R65" s="1291" t="s">
        <v>407</v>
      </c>
      <c r="S65" s="1291" t="s">
        <v>445</v>
      </c>
      <c r="T65" s="1291" t="s">
        <v>496</v>
      </c>
      <c r="U65" s="1291" t="s">
        <v>447</v>
      </c>
      <c r="V65" s="1291" t="s">
        <v>82</v>
      </c>
      <c r="W65" s="1291" t="s">
        <v>448</v>
      </c>
      <c r="X65" s="1291" t="s">
        <v>80</v>
      </c>
      <c r="Y65" s="1291" t="s">
        <v>497</v>
      </c>
      <c r="Z65" s="1332" t="e">
        <f t="shared" si="20"/>
        <v>#VALUE!</v>
      </c>
      <c r="AB65" s="1349"/>
      <c r="AC65" s="1319"/>
      <c r="AD65" s="1334" t="e">
        <f>Score!$Z$175</f>
        <v>#VALUE!</v>
      </c>
      <c r="AE65" s="1334">
        <f>Score!$AB$175</f>
        <v>0</v>
      </c>
      <c r="AF65" s="1335" t="e">
        <f t="shared" si="39"/>
        <v>#VALUE!</v>
      </c>
      <c r="AG65" s="1336" t="e">
        <f t="shared" si="38"/>
        <v>#VALUE!</v>
      </c>
      <c r="AH65" s="1337"/>
      <c r="AI65" s="1336" t="e">
        <f t="shared" si="21"/>
        <v>#VALUE!</v>
      </c>
      <c r="AJ65" s="1298" t="e">
        <f t="shared" si="10"/>
        <v>#VALUE!</v>
      </c>
      <c r="AK65" s="1352" t="b">
        <v>0</v>
      </c>
      <c r="AL65" s="1339" t="e">
        <f>IF(AK65=FALSE,AJ65,IF(AJ65=1,2,3))</f>
        <v>#VALUE!</v>
      </c>
      <c r="AM65" s="1335" t="e">
        <f>AVERAGEIFS(AL65,AL65,"&lt;&gt;0",AL65,"&lt;&gt;#DIV/0!")</f>
        <v>#VALUE!</v>
      </c>
    </row>
    <row r="66" spans="1:39" ht="118.15" customHeight="1">
      <c r="A66" s="4361" t="s">
        <v>4932</v>
      </c>
      <c r="B66" s="1283" t="s">
        <v>1273</v>
      </c>
      <c r="C66" s="1297" t="s">
        <v>4752</v>
      </c>
      <c r="D66" s="1279" t="s">
        <v>1121</v>
      </c>
      <c r="E66" s="1280" t="s">
        <v>4753</v>
      </c>
      <c r="F66" s="1282" t="s">
        <v>4954</v>
      </c>
      <c r="G66" s="1286" t="s">
        <v>4922</v>
      </c>
      <c r="H66" s="1292" t="s">
        <v>4555</v>
      </c>
      <c r="I66" s="1282"/>
      <c r="J66" s="1282"/>
      <c r="K66" s="1282"/>
      <c r="L66" s="1293"/>
      <c r="M66" s="1280"/>
      <c r="N66" s="1290">
        <f t="shared" si="37"/>
        <v>3</v>
      </c>
      <c r="O66" s="1313"/>
      <c r="Q66" s="1291" t="s">
        <v>92</v>
      </c>
      <c r="R66" s="1291"/>
      <c r="S66" s="1291"/>
      <c r="T66" s="1291"/>
      <c r="U66" s="1291"/>
      <c r="V66" s="1291"/>
      <c r="W66" s="1291"/>
      <c r="X66" s="1291"/>
      <c r="Y66" s="1291"/>
      <c r="Z66" s="1332" t="str">
        <f t="shared" si="20"/>
        <v>対象</v>
      </c>
      <c r="AB66" s="1353">
        <v>3</v>
      </c>
      <c r="AC66" s="1319"/>
      <c r="AD66" s="1349"/>
      <c r="AE66" s="1349"/>
      <c r="AF66" s="1349"/>
      <c r="AG66" s="1349"/>
      <c r="AH66" s="1350"/>
      <c r="AI66" s="1336">
        <f t="shared" si="21"/>
        <v>3</v>
      </c>
      <c r="AJ66" s="1298">
        <f>AVERAGEIFS(AI66,AI66,"&lt;&gt;0",AI66,"&lt;&gt;#DIV/0!")</f>
        <v>3</v>
      </c>
      <c r="AK66" s="1352" t="b">
        <v>0</v>
      </c>
      <c r="AL66" s="1339">
        <f>IF(AK66=FALSE,AJ66,IF(AJ66=1,2,3))</f>
        <v>3</v>
      </c>
      <c r="AM66" s="1373">
        <f>AVERAGEIFS(AL66,AL66,"&lt;&gt;0",AL66,"&lt;&gt;#DIV/0!")</f>
        <v>3</v>
      </c>
    </row>
    <row r="67" spans="1:39" ht="30" customHeight="1">
      <c r="A67" s="4362"/>
      <c r="B67" s="4347" t="s">
        <v>1274</v>
      </c>
      <c r="C67" s="4354" t="s">
        <v>4754</v>
      </c>
      <c r="D67" s="1279" t="s">
        <v>1275</v>
      </c>
      <c r="E67" s="1280" t="s">
        <v>4658</v>
      </c>
      <c r="F67" s="1280" t="s">
        <v>4513</v>
      </c>
      <c r="G67" s="1286" t="s">
        <v>4916</v>
      </c>
      <c r="H67" s="1287" t="s">
        <v>4542</v>
      </c>
      <c r="I67" s="1288" t="str">
        <f t="shared" si="34"/>
        <v/>
      </c>
      <c r="J67" s="1288" t="str">
        <f t="shared" si="35"/>
        <v>●</v>
      </c>
      <c r="K67" s="1288" t="str">
        <f t="shared" si="36"/>
        <v/>
      </c>
      <c r="L67" s="1295" t="str">
        <f>IF(L9="","（The result for 3.1.1 is transferred.）",L9)</f>
        <v>（The result for 3.1.1 is transferred.）</v>
      </c>
      <c r="M67" s="1280"/>
      <c r="N67" s="1290">
        <f t="shared" si="37"/>
        <v>2</v>
      </c>
      <c r="O67" s="1313"/>
      <c r="Q67" s="1291" t="s">
        <v>92</v>
      </c>
      <c r="R67" s="1291" t="s">
        <v>407</v>
      </c>
      <c r="S67" s="1291" t="s">
        <v>445</v>
      </c>
      <c r="T67" s="1291" t="s">
        <v>496</v>
      </c>
      <c r="U67" s="1291" t="s">
        <v>447</v>
      </c>
      <c r="V67" s="1291" t="s">
        <v>82</v>
      </c>
      <c r="W67" s="1291" t="s">
        <v>448</v>
      </c>
      <c r="X67" s="1291" t="s">
        <v>80</v>
      </c>
      <c r="Y67" s="1291" t="s">
        <v>497</v>
      </c>
      <c r="Z67" s="1332" t="str">
        <f t="shared" si="20"/>
        <v>対象</v>
      </c>
      <c r="AB67" s="1349"/>
      <c r="AC67" s="1319"/>
      <c r="AD67" s="1334">
        <f>Score!$Z$22</f>
        <v>3</v>
      </c>
      <c r="AE67" s="1334">
        <f>Score!$AB$22</f>
        <v>0</v>
      </c>
      <c r="AF67" s="1335">
        <f t="shared" si="39"/>
        <v>3</v>
      </c>
      <c r="AG67" s="1336">
        <f t="shared" si="38"/>
        <v>2</v>
      </c>
      <c r="AH67" s="1337"/>
      <c r="AI67" s="1336">
        <f t="shared" si="21"/>
        <v>2</v>
      </c>
      <c r="AJ67" s="1298">
        <f t="shared" si="10"/>
        <v>2</v>
      </c>
      <c r="AK67" s="1347" t="b">
        <v>0</v>
      </c>
      <c r="AL67" s="1339">
        <f t="shared" si="7"/>
        <v>2</v>
      </c>
      <c r="AM67" s="1374">
        <f>AVERAGEIFS(AL67:AL72,AL67:AL72,"&lt;&gt;0",AL67:AL72,"&lt;&gt;#DIV/0!")</f>
        <v>2</v>
      </c>
    </row>
    <row r="68" spans="1:39" ht="30" customHeight="1">
      <c r="A68" s="4362"/>
      <c r="B68" s="4347"/>
      <c r="C68" s="4354"/>
      <c r="D68" s="1279" t="s">
        <v>1276</v>
      </c>
      <c r="E68" s="1280" t="s">
        <v>4659</v>
      </c>
      <c r="F68" s="1280" t="s">
        <v>4660</v>
      </c>
      <c r="G68" s="1286" t="s">
        <v>4916</v>
      </c>
      <c r="H68" s="1287" t="s">
        <v>4579</v>
      </c>
      <c r="I68" s="1288" t="str">
        <f t="shared" si="34"/>
        <v/>
      </c>
      <c r="J68" s="1288" t="str">
        <f t="shared" si="35"/>
        <v>●</v>
      </c>
      <c r="K68" s="1288" t="str">
        <f t="shared" si="36"/>
        <v/>
      </c>
      <c r="L68" s="1295" t="str">
        <f>IF(L10="","（The result for 3.1.2 is transferred.）",L10)</f>
        <v>（The result for 3.1.2 is transferred.）</v>
      </c>
      <c r="M68" s="1280"/>
      <c r="N68" s="1290">
        <f t="shared" si="37"/>
        <v>2</v>
      </c>
      <c r="O68" s="1313"/>
      <c r="Q68" s="1291" t="s">
        <v>92</v>
      </c>
      <c r="R68" s="1291" t="s">
        <v>407</v>
      </c>
      <c r="S68" s="1291" t="s">
        <v>445</v>
      </c>
      <c r="T68" s="1291" t="s">
        <v>496</v>
      </c>
      <c r="U68" s="1291" t="s">
        <v>447</v>
      </c>
      <c r="V68" s="1291" t="s">
        <v>82</v>
      </c>
      <c r="W68" s="1291" t="s">
        <v>448</v>
      </c>
      <c r="X68" s="1291" t="s">
        <v>80</v>
      </c>
      <c r="Y68" s="1291" t="s">
        <v>497</v>
      </c>
      <c r="Z68" s="1332" t="str">
        <f t="shared" si="20"/>
        <v>対象</v>
      </c>
      <c r="AB68" s="1349"/>
      <c r="AC68" s="1319"/>
      <c r="AD68" s="1334">
        <f>Score!$Z$24</f>
        <v>3</v>
      </c>
      <c r="AE68" s="1334">
        <f>Score!$AB$24</f>
        <v>0</v>
      </c>
      <c r="AF68" s="1335">
        <f t="shared" si="39"/>
        <v>3</v>
      </c>
      <c r="AG68" s="1336">
        <f t="shared" si="38"/>
        <v>2</v>
      </c>
      <c r="AH68" s="1337"/>
      <c r="AI68" s="1336">
        <f t="shared" si="21"/>
        <v>2</v>
      </c>
      <c r="AJ68" s="1298">
        <f t="shared" si="10"/>
        <v>2</v>
      </c>
      <c r="AK68" s="1347" t="b">
        <v>0</v>
      </c>
      <c r="AL68" s="1339">
        <f t="shared" si="7"/>
        <v>2</v>
      </c>
      <c r="AM68" s="1379"/>
    </row>
    <row r="69" spans="1:39" ht="30" customHeight="1">
      <c r="A69" s="4362"/>
      <c r="B69" s="4347"/>
      <c r="C69" s="4354"/>
      <c r="D69" s="1279" t="s">
        <v>1277</v>
      </c>
      <c r="E69" s="1280" t="s">
        <v>4672</v>
      </c>
      <c r="F69" s="1280" t="s">
        <v>4755</v>
      </c>
      <c r="G69" s="1286" t="s">
        <v>4916</v>
      </c>
      <c r="H69" s="1287" t="s">
        <v>4551</v>
      </c>
      <c r="I69" s="1288" t="str">
        <f t="shared" si="34"/>
        <v/>
      </c>
      <c r="J69" s="1288" t="str">
        <f t="shared" si="35"/>
        <v>●</v>
      </c>
      <c r="K69" s="1288" t="str">
        <f t="shared" si="36"/>
        <v/>
      </c>
      <c r="L69" s="1295" t="str">
        <f>IF(L18="","（The result for 3.3.1 is transferred.）",L18)</f>
        <v>（The result for 3.3.1 is transferred.）</v>
      </c>
      <c r="M69" s="1280"/>
      <c r="N69" s="1290">
        <f t="shared" si="37"/>
        <v>2</v>
      </c>
      <c r="O69" s="1313"/>
      <c r="Q69" s="1291" t="s">
        <v>92</v>
      </c>
      <c r="R69" s="1291" t="s">
        <v>407</v>
      </c>
      <c r="S69" s="1291" t="s">
        <v>445</v>
      </c>
      <c r="T69" s="1291" t="s">
        <v>496</v>
      </c>
      <c r="U69" s="1291" t="s">
        <v>447</v>
      </c>
      <c r="V69" s="1291" t="s">
        <v>82</v>
      </c>
      <c r="W69" s="1291" t="s">
        <v>448</v>
      </c>
      <c r="X69" s="1291" t="s">
        <v>80</v>
      </c>
      <c r="Y69" s="1291" t="s">
        <v>497</v>
      </c>
      <c r="Z69" s="1332" t="str">
        <f t="shared" si="20"/>
        <v>対象</v>
      </c>
      <c r="AB69" s="1349"/>
      <c r="AC69" s="1319"/>
      <c r="AD69" s="1334">
        <f>Score!$Z$39</f>
        <v>3</v>
      </c>
      <c r="AE69" s="1334">
        <f>Score!$AB$39</f>
        <v>0</v>
      </c>
      <c r="AF69" s="1335">
        <f t="shared" si="39"/>
        <v>3</v>
      </c>
      <c r="AG69" s="1336">
        <f t="shared" si="38"/>
        <v>2</v>
      </c>
      <c r="AH69" s="1337"/>
      <c r="AI69" s="1336">
        <f t="shared" si="21"/>
        <v>2</v>
      </c>
      <c r="AJ69" s="1298">
        <f t="shared" si="10"/>
        <v>2</v>
      </c>
      <c r="AK69" s="1347" t="b">
        <v>0</v>
      </c>
      <c r="AL69" s="1339">
        <f t="shared" si="7"/>
        <v>2</v>
      </c>
      <c r="AM69" s="1379"/>
    </row>
    <row r="70" spans="1:39" ht="43.15" customHeight="1">
      <c r="A70" s="4362"/>
      <c r="B70" s="4347"/>
      <c r="C70" s="4354"/>
      <c r="D70" s="1279" t="s">
        <v>1278</v>
      </c>
      <c r="E70" s="1280" t="s">
        <v>4665</v>
      </c>
      <c r="F70" s="1280" t="s">
        <v>4756</v>
      </c>
      <c r="G70" s="1286" t="s">
        <v>4916</v>
      </c>
      <c r="H70" s="1287" t="s">
        <v>4546</v>
      </c>
      <c r="I70" s="1288" t="str">
        <f t="shared" si="34"/>
        <v/>
      </c>
      <c r="J70" s="1288" t="str">
        <f t="shared" si="35"/>
        <v>●</v>
      </c>
      <c r="K70" s="1288" t="str">
        <f t="shared" si="36"/>
        <v/>
      </c>
      <c r="L70" s="1295" t="str">
        <f>IF(L13="","（The result for 3.2.1 is transferred.）",L13)</f>
        <v>（The result for 3.2.1 is transferred.）</v>
      </c>
      <c r="M70" s="1280"/>
      <c r="N70" s="1290">
        <f t="shared" si="37"/>
        <v>2</v>
      </c>
      <c r="O70" s="1313"/>
      <c r="Q70" s="1291" t="s">
        <v>92</v>
      </c>
      <c r="R70" s="1291" t="s">
        <v>407</v>
      </c>
      <c r="S70" s="1291" t="s">
        <v>445</v>
      </c>
      <c r="T70" s="1291" t="s">
        <v>496</v>
      </c>
      <c r="U70" s="1291" t="s">
        <v>447</v>
      </c>
      <c r="V70" s="1291" t="s">
        <v>82</v>
      </c>
      <c r="W70" s="1291" t="s">
        <v>448</v>
      </c>
      <c r="X70" s="1291" t="s">
        <v>80</v>
      </c>
      <c r="Y70" s="1291" t="s">
        <v>497</v>
      </c>
      <c r="Z70" s="1332" t="str">
        <f t="shared" si="20"/>
        <v>対象</v>
      </c>
      <c r="AB70" s="1349"/>
      <c r="AC70" s="1319"/>
      <c r="AD70" s="1334">
        <f>Score!$Z$54</f>
        <v>3</v>
      </c>
      <c r="AE70" s="1334">
        <f>Score!$AB$54</f>
        <v>0</v>
      </c>
      <c r="AF70" s="1335">
        <f t="shared" si="39"/>
        <v>3</v>
      </c>
      <c r="AG70" s="1336">
        <f t="shared" si="38"/>
        <v>2</v>
      </c>
      <c r="AH70" s="1337"/>
      <c r="AI70" s="1336">
        <f t="shared" si="21"/>
        <v>2</v>
      </c>
      <c r="AJ70" s="1298">
        <f t="shared" si="10"/>
        <v>2</v>
      </c>
      <c r="AK70" s="1347" t="b">
        <v>0</v>
      </c>
      <c r="AL70" s="1339">
        <f t="shared" si="7"/>
        <v>2</v>
      </c>
      <c r="AM70" s="1379"/>
    </row>
    <row r="71" spans="1:39" ht="30" customHeight="1">
      <c r="A71" s="4362"/>
      <c r="B71" s="4347"/>
      <c r="C71" s="4354"/>
      <c r="D71" s="1279" t="s">
        <v>1279</v>
      </c>
      <c r="E71" s="1280" t="s">
        <v>4667</v>
      </c>
      <c r="F71" s="1280" t="s">
        <v>4697</v>
      </c>
      <c r="G71" s="1286" t="s">
        <v>4916</v>
      </c>
      <c r="H71" s="1287" t="s">
        <v>4565</v>
      </c>
      <c r="I71" s="1288" t="str">
        <f t="shared" si="34"/>
        <v/>
      </c>
      <c r="J71" s="1288" t="str">
        <f t="shared" si="35"/>
        <v>●</v>
      </c>
      <c r="K71" s="1288" t="str">
        <f t="shared" si="36"/>
        <v/>
      </c>
      <c r="L71" s="1295" t="str">
        <f>IF(L15="","（The result for 3.2.3 is transferred.）",L15)</f>
        <v>（The result for 3.2.3 is transferred.）</v>
      </c>
      <c r="M71" s="1280"/>
      <c r="N71" s="1290">
        <f t="shared" si="37"/>
        <v>2</v>
      </c>
      <c r="O71" s="1313"/>
      <c r="Q71" s="1291" t="s">
        <v>92</v>
      </c>
      <c r="R71" s="1291" t="s">
        <v>407</v>
      </c>
      <c r="S71" s="1291" t="s">
        <v>445</v>
      </c>
      <c r="T71" s="1291" t="s">
        <v>496</v>
      </c>
      <c r="U71" s="1291" t="s">
        <v>447</v>
      </c>
      <c r="V71" s="1291" t="s">
        <v>82</v>
      </c>
      <c r="W71" s="1291" t="s">
        <v>448</v>
      </c>
      <c r="X71" s="1291" t="s">
        <v>80</v>
      </c>
      <c r="Y71" s="1291" t="s">
        <v>497</v>
      </c>
      <c r="Z71" s="1332" t="str">
        <f t="shared" si="20"/>
        <v>対象</v>
      </c>
      <c r="AB71" s="1349"/>
      <c r="AC71" s="1319"/>
      <c r="AD71" s="1334">
        <f>Score!$Z$50</f>
        <v>3</v>
      </c>
      <c r="AE71" s="1334">
        <f>Score!$AB$50</f>
        <v>0</v>
      </c>
      <c r="AF71" s="1335">
        <f t="shared" si="39"/>
        <v>3</v>
      </c>
      <c r="AG71" s="1336">
        <f t="shared" si="38"/>
        <v>2</v>
      </c>
      <c r="AH71" s="1337"/>
      <c r="AI71" s="1336">
        <f t="shared" si="21"/>
        <v>2</v>
      </c>
      <c r="AJ71" s="1298">
        <f t="shared" si="10"/>
        <v>2</v>
      </c>
      <c r="AK71" s="1347" t="b">
        <v>0</v>
      </c>
      <c r="AL71" s="1339">
        <f t="shared" si="7"/>
        <v>2</v>
      </c>
      <c r="AM71" s="1379"/>
    </row>
    <row r="72" spans="1:39" ht="42.6" customHeight="1">
      <c r="A72" s="4362"/>
      <c r="B72" s="4347"/>
      <c r="C72" s="4354"/>
      <c r="D72" s="1279" t="s">
        <v>1280</v>
      </c>
      <c r="E72" s="1280" t="s">
        <v>4678</v>
      </c>
      <c r="F72" s="1280" t="s">
        <v>4679</v>
      </c>
      <c r="G72" s="1286" t="s">
        <v>4916</v>
      </c>
      <c r="H72" s="1287" t="s">
        <v>4554</v>
      </c>
      <c r="I72" s="1288" t="str">
        <f t="shared" si="34"/>
        <v/>
      </c>
      <c r="J72" s="1288" t="str">
        <f t="shared" si="35"/>
        <v>●</v>
      </c>
      <c r="K72" s="1288" t="str">
        <f t="shared" si="36"/>
        <v/>
      </c>
      <c r="L72" s="1295" t="str">
        <f>IF(L21="","（The result for 3.4.1 is transferred.）",L21)</f>
        <v>（The result for 3.4.1 is transferred.）</v>
      </c>
      <c r="M72" s="1280"/>
      <c r="N72" s="1290">
        <f t="shared" si="37"/>
        <v>2</v>
      </c>
      <c r="O72" s="1313"/>
      <c r="Q72" s="1291" t="s">
        <v>92</v>
      </c>
      <c r="R72" s="1291" t="s">
        <v>407</v>
      </c>
      <c r="S72" s="1291" t="s">
        <v>445</v>
      </c>
      <c r="T72" s="1291" t="s">
        <v>496</v>
      </c>
      <c r="U72" s="1291" t="s">
        <v>447</v>
      </c>
      <c r="V72" s="1291" t="s">
        <v>82</v>
      </c>
      <c r="W72" s="1291" t="s">
        <v>448</v>
      </c>
      <c r="X72" s="1291" t="s">
        <v>80</v>
      </c>
      <c r="Y72" s="1291" t="s">
        <v>497</v>
      </c>
      <c r="Z72" s="1332" t="str">
        <f t="shared" si="20"/>
        <v>対象</v>
      </c>
      <c r="AB72" s="1349"/>
      <c r="AC72" s="1319"/>
      <c r="AD72" s="1334">
        <f>Score!$Z$10</f>
        <v>3.0000000000000004</v>
      </c>
      <c r="AE72" s="1334">
        <f>Score!$AB$10</f>
        <v>0</v>
      </c>
      <c r="AF72" s="1335">
        <f t="shared" si="39"/>
        <v>3.0000000000000004</v>
      </c>
      <c r="AG72" s="1336">
        <f t="shared" si="38"/>
        <v>2</v>
      </c>
      <c r="AH72" s="1337"/>
      <c r="AI72" s="1336">
        <f t="shared" si="21"/>
        <v>2</v>
      </c>
      <c r="AJ72" s="1298">
        <f t="shared" si="10"/>
        <v>2</v>
      </c>
      <c r="AK72" s="1347" t="b">
        <v>0</v>
      </c>
      <c r="AL72" s="1339">
        <f t="shared" si="7"/>
        <v>2</v>
      </c>
      <c r="AM72" s="1380"/>
    </row>
    <row r="73" spans="1:39" ht="30" customHeight="1">
      <c r="A73" s="4362"/>
      <c r="B73" s="4347">
        <v>8.3000000000000007</v>
      </c>
      <c r="C73" s="4354" t="s">
        <v>4506</v>
      </c>
      <c r="D73" s="1279" t="s">
        <v>1122</v>
      </c>
      <c r="E73" s="1282" t="s">
        <v>4757</v>
      </c>
      <c r="F73" s="1282" t="s">
        <v>4758</v>
      </c>
      <c r="G73" s="1286" t="s">
        <v>4916</v>
      </c>
      <c r="H73" s="1287" t="s">
        <v>4580</v>
      </c>
      <c r="I73" s="1288" t="str">
        <f t="shared" ref="I73:I84" si="40">IF(AI73=1,"●","")</f>
        <v/>
      </c>
      <c r="J73" s="1288" t="str">
        <f t="shared" ref="J73:J84" si="41">IF(AI73=2,"●","")</f>
        <v>●</v>
      </c>
      <c r="K73" s="1288" t="str">
        <f t="shared" ref="K73:K84" si="42">IF(AI73=3,"●","")</f>
        <v/>
      </c>
      <c r="L73" s="1289"/>
      <c r="M73" s="1280"/>
      <c r="N73" s="1290">
        <f t="shared" si="37"/>
        <v>2</v>
      </c>
      <c r="O73" s="1313"/>
      <c r="Q73" s="1291" t="s">
        <v>92</v>
      </c>
      <c r="R73" s="1291" t="s">
        <v>407</v>
      </c>
      <c r="S73" s="1291" t="s">
        <v>445</v>
      </c>
      <c r="T73" s="1291" t="s">
        <v>496</v>
      </c>
      <c r="U73" s="1291" t="s">
        <v>447</v>
      </c>
      <c r="V73" s="1291" t="s">
        <v>82</v>
      </c>
      <c r="W73" s="1291" t="s">
        <v>448</v>
      </c>
      <c r="X73" s="1291" t="s">
        <v>80</v>
      </c>
      <c r="Y73" s="1291" t="s">
        <v>497</v>
      </c>
      <c r="Z73" s="1332" t="str">
        <f t="shared" ref="Z73:Z100" si="43">IF(AG73="#DIV/0!","N.A.",IF(AND($Q$4="〇",Q73&lt;&gt;"")+AND($R$4="〇",R73&lt;&gt;"")+AND($S$4="〇",S73&lt;&gt;"")+AND($T$4="〇",T73&lt;&gt;"")+AND($U$4="〇",U73&lt;&gt;"")+AND($V$4="〇",V73&lt;&gt;"")+AND($W$4="〇",W73&lt;&gt;"")+AND($X$4="〇",X73&lt;&gt;"")+AND($Y$4="〇",Y73&lt;&gt;"")=0,"N.A.","対象"))</f>
        <v>対象</v>
      </c>
      <c r="AB73" s="1349"/>
      <c r="AC73" s="1319"/>
      <c r="AD73" s="1334">
        <f>Score!$Z$154</f>
        <v>3</v>
      </c>
      <c r="AE73" s="1334">
        <f>Score!$AB$154</f>
        <v>0</v>
      </c>
      <c r="AF73" s="1335">
        <f>IF(AE73=0,AD73,IF(AD73=0,AE73,AD73*$AD$6+AE73*$AE$6))</f>
        <v>3</v>
      </c>
      <c r="AG73" s="1336">
        <f t="shared" si="38"/>
        <v>2</v>
      </c>
      <c r="AH73" s="1337"/>
      <c r="AI73" s="1336">
        <f t="shared" ref="AI73:AI100" si="44">IF(Z73="N.A.","#DIV/0!",IF(AG73="",AB73,IF(AB73="",AG73,0)))</f>
        <v>2</v>
      </c>
      <c r="AJ73" s="1298">
        <f t="shared" si="10"/>
        <v>2</v>
      </c>
      <c r="AK73" s="1347" t="b">
        <v>0</v>
      </c>
      <c r="AL73" s="1339">
        <f t="shared" ref="AL73:AL100" si="45">IF(AK73=FALSE,AJ73,IF(AJ73=1,2,3))</f>
        <v>2</v>
      </c>
      <c r="AM73" s="1374">
        <f>AVERAGEIFS(AL73:AL78,AL73:AL78,"&lt;&gt;0",AL73:AL78,"&lt;&gt;#DIV/0!")</f>
        <v>2</v>
      </c>
    </row>
    <row r="74" spans="1:39" ht="30" customHeight="1">
      <c r="A74" s="4362"/>
      <c r="B74" s="4347"/>
      <c r="C74" s="4354"/>
      <c r="D74" s="1279" t="s">
        <v>1123</v>
      </c>
      <c r="E74" s="1282" t="s">
        <v>4759</v>
      </c>
      <c r="F74" s="1282" t="s">
        <v>4532</v>
      </c>
      <c r="G74" s="1286" t="s">
        <v>4916</v>
      </c>
      <c r="H74" s="1287" t="s">
        <v>4581</v>
      </c>
      <c r="I74" s="1288" t="str">
        <f t="shared" si="40"/>
        <v/>
      </c>
      <c r="J74" s="1288" t="str">
        <f t="shared" si="41"/>
        <v>●</v>
      </c>
      <c r="K74" s="1288" t="str">
        <f t="shared" si="42"/>
        <v/>
      </c>
      <c r="L74" s="1289"/>
      <c r="M74" s="1280"/>
      <c r="N74" s="1290">
        <f t="shared" si="37"/>
        <v>2</v>
      </c>
      <c r="O74" s="1313"/>
      <c r="Q74" s="1291" t="s">
        <v>92</v>
      </c>
      <c r="R74" s="1291" t="s">
        <v>407</v>
      </c>
      <c r="S74" s="1291" t="s">
        <v>445</v>
      </c>
      <c r="T74" s="1291" t="s">
        <v>496</v>
      </c>
      <c r="U74" s="1291" t="s">
        <v>447</v>
      </c>
      <c r="V74" s="1291" t="s">
        <v>82</v>
      </c>
      <c r="W74" s="1291" t="s">
        <v>448</v>
      </c>
      <c r="X74" s="1291" t="s">
        <v>80</v>
      </c>
      <c r="Y74" s="1291" t="s">
        <v>497</v>
      </c>
      <c r="Z74" s="1332" t="str">
        <f t="shared" si="43"/>
        <v>対象</v>
      </c>
      <c r="AB74" s="1349"/>
      <c r="AC74" s="1319"/>
      <c r="AD74" s="1334">
        <f>Score!$Z$155</f>
        <v>3</v>
      </c>
      <c r="AE74" s="1334">
        <f>Score!$AB$155</f>
        <v>0</v>
      </c>
      <c r="AF74" s="1335">
        <f t="shared" ref="AF74:AF84" si="46">IF(AE74=0,AD74,IF(AD74=0,AE74,AD74*$AD$6+AE74*$AE$6))</f>
        <v>3</v>
      </c>
      <c r="AG74" s="1336">
        <f t="shared" si="38"/>
        <v>2</v>
      </c>
      <c r="AH74" s="1337"/>
      <c r="AI74" s="1336">
        <f t="shared" si="44"/>
        <v>2</v>
      </c>
      <c r="AJ74" s="1298">
        <f t="shared" si="10"/>
        <v>2</v>
      </c>
      <c r="AK74" s="1347" t="b">
        <v>0</v>
      </c>
      <c r="AL74" s="1339">
        <f t="shared" si="45"/>
        <v>2</v>
      </c>
      <c r="AM74" s="1373"/>
    </row>
    <row r="75" spans="1:39" ht="30" customHeight="1">
      <c r="A75" s="4362"/>
      <c r="B75" s="4347"/>
      <c r="C75" s="4354"/>
      <c r="D75" s="1279" t="s">
        <v>1124</v>
      </c>
      <c r="E75" s="1282" t="s">
        <v>4760</v>
      </c>
      <c r="F75" s="1282" t="s">
        <v>4761</v>
      </c>
      <c r="G75" s="1286" t="s">
        <v>4916</v>
      </c>
      <c r="H75" s="1287" t="s">
        <v>4582</v>
      </c>
      <c r="I75" s="1288" t="str">
        <f t="shared" si="40"/>
        <v/>
      </c>
      <c r="J75" s="1288" t="str">
        <f t="shared" si="41"/>
        <v>●</v>
      </c>
      <c r="K75" s="1288" t="str">
        <f t="shared" si="42"/>
        <v/>
      </c>
      <c r="L75" s="1289"/>
      <c r="M75" s="1280"/>
      <c r="N75" s="1290">
        <f t="shared" si="37"/>
        <v>2</v>
      </c>
      <c r="O75" s="1313"/>
      <c r="Q75" s="1291" t="s">
        <v>92</v>
      </c>
      <c r="R75" s="1291" t="s">
        <v>407</v>
      </c>
      <c r="S75" s="1291" t="s">
        <v>445</v>
      </c>
      <c r="T75" s="1291" t="s">
        <v>496</v>
      </c>
      <c r="U75" s="1291" t="s">
        <v>447</v>
      </c>
      <c r="V75" s="1291" t="s">
        <v>82</v>
      </c>
      <c r="W75" s="1291" t="s">
        <v>448</v>
      </c>
      <c r="X75" s="1291" t="s">
        <v>80</v>
      </c>
      <c r="Y75" s="1291" t="s">
        <v>497</v>
      </c>
      <c r="Z75" s="1332" t="str">
        <f t="shared" si="43"/>
        <v>対象</v>
      </c>
      <c r="AB75" s="1349"/>
      <c r="AC75" s="1319"/>
      <c r="AD75" s="1334">
        <f>Score!$Z$156</f>
        <v>3</v>
      </c>
      <c r="AE75" s="1334">
        <f>Score!$AB$156</f>
        <v>0</v>
      </c>
      <c r="AF75" s="1335">
        <f t="shared" si="46"/>
        <v>3</v>
      </c>
      <c r="AG75" s="1336">
        <f t="shared" si="38"/>
        <v>2</v>
      </c>
      <c r="AH75" s="1337"/>
      <c r="AI75" s="1336">
        <f t="shared" si="44"/>
        <v>2</v>
      </c>
      <c r="AJ75" s="1298">
        <f t="shared" si="10"/>
        <v>2</v>
      </c>
      <c r="AK75" s="1347" t="b">
        <v>0</v>
      </c>
      <c r="AL75" s="1339">
        <f t="shared" si="45"/>
        <v>2</v>
      </c>
      <c r="AM75" s="1373"/>
    </row>
    <row r="76" spans="1:39" ht="45.6" customHeight="1">
      <c r="A76" s="4362"/>
      <c r="B76" s="4347"/>
      <c r="C76" s="4354"/>
      <c r="D76" s="1279" t="s">
        <v>1125</v>
      </c>
      <c r="E76" s="1282" t="s">
        <v>4762</v>
      </c>
      <c r="F76" s="1282" t="s">
        <v>4533</v>
      </c>
      <c r="G76" s="1286" t="s">
        <v>4916</v>
      </c>
      <c r="H76" s="1287" t="s">
        <v>4583</v>
      </c>
      <c r="I76" s="1288" t="str">
        <f t="shared" si="40"/>
        <v/>
      </c>
      <c r="J76" s="1288" t="str">
        <f t="shared" si="41"/>
        <v>●</v>
      </c>
      <c r="K76" s="1288" t="str">
        <f t="shared" si="42"/>
        <v/>
      </c>
      <c r="L76" s="1289"/>
      <c r="M76" s="1280"/>
      <c r="N76" s="1290">
        <f t="shared" si="37"/>
        <v>2</v>
      </c>
      <c r="O76" s="1313"/>
      <c r="Q76" s="1291" t="s">
        <v>92</v>
      </c>
      <c r="R76" s="1291" t="s">
        <v>407</v>
      </c>
      <c r="S76" s="1291" t="s">
        <v>445</v>
      </c>
      <c r="T76" s="1291" t="s">
        <v>496</v>
      </c>
      <c r="U76" s="1291" t="s">
        <v>447</v>
      </c>
      <c r="V76" s="1291" t="s">
        <v>82</v>
      </c>
      <c r="W76" s="1291" t="s">
        <v>448</v>
      </c>
      <c r="X76" s="1291" t="s">
        <v>80</v>
      </c>
      <c r="Y76" s="1291" t="s">
        <v>497</v>
      </c>
      <c r="Z76" s="1332" t="str">
        <f t="shared" si="43"/>
        <v>対象</v>
      </c>
      <c r="AB76" s="1349"/>
      <c r="AC76" s="1319"/>
      <c r="AD76" s="1334">
        <f>Score!$Z$157</f>
        <v>3</v>
      </c>
      <c r="AE76" s="1334">
        <f>Score!$AB$157</f>
        <v>0</v>
      </c>
      <c r="AF76" s="1335">
        <f t="shared" si="46"/>
        <v>3</v>
      </c>
      <c r="AG76" s="1336">
        <f t="shared" si="38"/>
        <v>2</v>
      </c>
      <c r="AH76" s="1337"/>
      <c r="AI76" s="1336">
        <f t="shared" si="44"/>
        <v>2</v>
      </c>
      <c r="AJ76" s="1298">
        <f t="shared" si="10"/>
        <v>2</v>
      </c>
      <c r="AK76" s="1347" t="b">
        <v>0</v>
      </c>
      <c r="AL76" s="1339">
        <f t="shared" si="45"/>
        <v>2</v>
      </c>
      <c r="AM76" s="1373"/>
    </row>
    <row r="77" spans="1:39" ht="30" customHeight="1">
      <c r="A77" s="4362"/>
      <c r="B77" s="4347"/>
      <c r="C77" s="4354"/>
      <c r="D77" s="1279" t="s">
        <v>1126</v>
      </c>
      <c r="E77" s="1282" t="s">
        <v>4763</v>
      </c>
      <c r="F77" s="1282" t="s">
        <v>4764</v>
      </c>
      <c r="G77" s="1286" t="s">
        <v>4916</v>
      </c>
      <c r="H77" s="1287" t="s">
        <v>4584</v>
      </c>
      <c r="I77" s="1288" t="str">
        <f t="shared" si="40"/>
        <v/>
      </c>
      <c r="J77" s="1288" t="str">
        <f t="shared" si="41"/>
        <v>●</v>
      </c>
      <c r="K77" s="1288" t="str">
        <f t="shared" si="42"/>
        <v/>
      </c>
      <c r="L77" s="1293"/>
      <c r="M77" s="1280"/>
      <c r="N77" s="1290">
        <f t="shared" si="37"/>
        <v>2</v>
      </c>
      <c r="O77" s="1313"/>
      <c r="Q77" s="1291" t="s">
        <v>92</v>
      </c>
      <c r="R77" s="1291" t="s">
        <v>407</v>
      </c>
      <c r="S77" s="1291" t="s">
        <v>445</v>
      </c>
      <c r="T77" s="1291" t="s">
        <v>496</v>
      </c>
      <c r="U77" s="1291" t="s">
        <v>447</v>
      </c>
      <c r="V77" s="1291" t="s">
        <v>82</v>
      </c>
      <c r="W77" s="1291" t="s">
        <v>448</v>
      </c>
      <c r="X77" s="1291" t="s">
        <v>80</v>
      </c>
      <c r="Y77" s="1291" t="s">
        <v>497</v>
      </c>
      <c r="Z77" s="1332" t="str">
        <f t="shared" si="43"/>
        <v>対象</v>
      </c>
      <c r="AB77" s="1349"/>
      <c r="AC77" s="1319"/>
      <c r="AD77" s="1334">
        <f>Score!$Z$158</f>
        <v>3</v>
      </c>
      <c r="AE77" s="1334">
        <f>Score!$AB$158</f>
        <v>0</v>
      </c>
      <c r="AF77" s="1335">
        <f t="shared" si="46"/>
        <v>3</v>
      </c>
      <c r="AG77" s="1336">
        <f t="shared" si="38"/>
        <v>2</v>
      </c>
      <c r="AH77" s="1337"/>
      <c r="AI77" s="1336">
        <f t="shared" si="44"/>
        <v>2</v>
      </c>
      <c r="AJ77" s="1298">
        <f t="shared" ref="AJ77:AJ100" si="47">AVERAGEIFS(AI77,AI77,"&lt;&gt;0",AI77,"&lt;&gt;#DIV/0!")</f>
        <v>2</v>
      </c>
      <c r="AK77" s="1347" t="b">
        <v>0</v>
      </c>
      <c r="AL77" s="1339">
        <f t="shared" si="45"/>
        <v>2</v>
      </c>
      <c r="AM77" s="1373"/>
    </row>
    <row r="78" spans="1:39" ht="30" customHeight="1">
      <c r="A78" s="4362"/>
      <c r="B78" s="4347"/>
      <c r="C78" s="4354"/>
      <c r="D78" s="1279" t="s">
        <v>1127</v>
      </c>
      <c r="E78" s="1282" t="s">
        <v>4765</v>
      </c>
      <c r="F78" s="1282" t="s">
        <v>4534</v>
      </c>
      <c r="G78" s="1286" t="s">
        <v>4916</v>
      </c>
      <c r="H78" s="1287" t="s">
        <v>4585</v>
      </c>
      <c r="I78" s="1288" t="str">
        <f t="shared" si="40"/>
        <v/>
      </c>
      <c r="J78" s="1288" t="str">
        <f t="shared" si="41"/>
        <v>●</v>
      </c>
      <c r="K78" s="1288" t="str">
        <f t="shared" si="42"/>
        <v/>
      </c>
      <c r="L78" s="1289"/>
      <c r="M78" s="1280"/>
      <c r="N78" s="1290">
        <f t="shared" si="37"/>
        <v>2</v>
      </c>
      <c r="O78" s="1313"/>
      <c r="Q78" s="1291" t="s">
        <v>92</v>
      </c>
      <c r="R78" s="1291" t="s">
        <v>407</v>
      </c>
      <c r="S78" s="1291" t="s">
        <v>445</v>
      </c>
      <c r="T78" s="1291" t="s">
        <v>496</v>
      </c>
      <c r="U78" s="1291" t="s">
        <v>447</v>
      </c>
      <c r="V78" s="1291" t="s">
        <v>82</v>
      </c>
      <c r="W78" s="1291" t="s">
        <v>448</v>
      </c>
      <c r="X78" s="1291" t="s">
        <v>80</v>
      </c>
      <c r="Y78" s="1291" t="s">
        <v>497</v>
      </c>
      <c r="Z78" s="1332" t="str">
        <f t="shared" si="43"/>
        <v>対象</v>
      </c>
      <c r="AB78" s="1349"/>
      <c r="AC78" s="1319"/>
      <c r="AD78" s="1334">
        <f>Score!$Z$159</f>
        <v>3</v>
      </c>
      <c r="AE78" s="1334">
        <f>Score!$AB$159</f>
        <v>0</v>
      </c>
      <c r="AF78" s="1335">
        <f t="shared" si="46"/>
        <v>3</v>
      </c>
      <c r="AG78" s="1336">
        <f t="shared" si="38"/>
        <v>2</v>
      </c>
      <c r="AH78" s="1337"/>
      <c r="AI78" s="1336">
        <f t="shared" si="44"/>
        <v>2</v>
      </c>
      <c r="AJ78" s="1298">
        <f t="shared" si="47"/>
        <v>2</v>
      </c>
      <c r="AK78" s="1347" t="b">
        <v>0</v>
      </c>
      <c r="AL78" s="1339">
        <f t="shared" si="45"/>
        <v>2</v>
      </c>
      <c r="AM78" s="1373"/>
    </row>
    <row r="79" spans="1:39" ht="30" customHeight="1">
      <c r="A79" s="4362"/>
      <c r="B79" s="4347">
        <v>8.4</v>
      </c>
      <c r="C79" s="4354" t="s">
        <v>4507</v>
      </c>
      <c r="D79" s="1279" t="s">
        <v>1128</v>
      </c>
      <c r="E79" s="1280" t="s">
        <v>4497</v>
      </c>
      <c r="F79" s="1282" t="s">
        <v>4766</v>
      </c>
      <c r="G79" s="1286" t="s">
        <v>4916</v>
      </c>
      <c r="H79" s="1287" t="s">
        <v>4586</v>
      </c>
      <c r="I79" s="1288" t="str">
        <f t="shared" si="40"/>
        <v/>
      </c>
      <c r="J79" s="1288" t="str">
        <f t="shared" si="41"/>
        <v>●</v>
      </c>
      <c r="K79" s="1288" t="str">
        <f t="shared" si="42"/>
        <v/>
      </c>
      <c r="L79" s="1289"/>
      <c r="M79" s="1280"/>
      <c r="N79" s="1290">
        <f t="shared" si="37"/>
        <v>2</v>
      </c>
      <c r="O79" s="1313"/>
      <c r="Q79" s="1291" t="s">
        <v>92</v>
      </c>
      <c r="R79" s="1291" t="s">
        <v>407</v>
      </c>
      <c r="S79" s="1291" t="s">
        <v>445</v>
      </c>
      <c r="T79" s="1291" t="s">
        <v>496</v>
      </c>
      <c r="U79" s="1291" t="s">
        <v>447</v>
      </c>
      <c r="V79" s="1291" t="s">
        <v>82</v>
      </c>
      <c r="W79" s="1291" t="s">
        <v>448</v>
      </c>
      <c r="X79" s="1291" t="s">
        <v>80</v>
      </c>
      <c r="Y79" s="1291" t="s">
        <v>497</v>
      </c>
      <c r="Z79" s="1332" t="str">
        <f t="shared" si="43"/>
        <v>対象</v>
      </c>
      <c r="AB79" s="1349"/>
      <c r="AC79" s="1319"/>
      <c r="AD79" s="1334">
        <f>Score!$Z$83</f>
        <v>3</v>
      </c>
      <c r="AE79" s="1334">
        <f>Score!$AB$83</f>
        <v>0</v>
      </c>
      <c r="AF79" s="1335">
        <f t="shared" si="46"/>
        <v>3</v>
      </c>
      <c r="AG79" s="1336">
        <f t="shared" si="38"/>
        <v>2</v>
      </c>
      <c r="AH79" s="1337"/>
      <c r="AI79" s="1336">
        <f t="shared" si="44"/>
        <v>2</v>
      </c>
      <c r="AJ79" s="1298">
        <f t="shared" si="47"/>
        <v>2</v>
      </c>
      <c r="AK79" s="1347" t="b">
        <v>0</v>
      </c>
      <c r="AL79" s="1339">
        <f t="shared" si="45"/>
        <v>2</v>
      </c>
      <c r="AM79" s="1374">
        <f>AVERAGEIFS(AL79:AL86,AL79:AL86,"&lt;&gt;0",AL79:AL86,"&lt;&gt;#DIV/0!")</f>
        <v>2</v>
      </c>
    </row>
    <row r="80" spans="1:39" ht="30" customHeight="1">
      <c r="A80" s="4362"/>
      <c r="B80" s="4347"/>
      <c r="C80" s="4354"/>
      <c r="D80" s="1279" t="s">
        <v>1129</v>
      </c>
      <c r="E80" s="1280" t="s">
        <v>4767</v>
      </c>
      <c r="F80" s="1282" t="s">
        <v>4535</v>
      </c>
      <c r="G80" s="1286" t="s">
        <v>4916</v>
      </c>
      <c r="H80" s="1287" t="s">
        <v>4587</v>
      </c>
      <c r="I80" s="1288" t="str">
        <f t="shared" si="40"/>
        <v/>
      </c>
      <c r="J80" s="1288" t="str">
        <f t="shared" si="41"/>
        <v>●</v>
      </c>
      <c r="K80" s="1288" t="str">
        <f t="shared" si="42"/>
        <v/>
      </c>
      <c r="L80" s="1289"/>
      <c r="M80" s="1280"/>
      <c r="N80" s="1290">
        <f t="shared" si="37"/>
        <v>2</v>
      </c>
      <c r="O80" s="1313"/>
      <c r="Q80" s="1291" t="s">
        <v>92</v>
      </c>
      <c r="R80" s="1291" t="s">
        <v>407</v>
      </c>
      <c r="S80" s="1291" t="s">
        <v>445</v>
      </c>
      <c r="T80" s="1291" t="s">
        <v>496</v>
      </c>
      <c r="U80" s="1291" t="s">
        <v>447</v>
      </c>
      <c r="V80" s="1291" t="s">
        <v>82</v>
      </c>
      <c r="W80" s="1291" t="s">
        <v>448</v>
      </c>
      <c r="X80" s="1291" t="s">
        <v>80</v>
      </c>
      <c r="Y80" s="1291" t="s">
        <v>497</v>
      </c>
      <c r="Z80" s="1332" t="str">
        <f t="shared" si="43"/>
        <v>対象</v>
      </c>
      <c r="AB80" s="1349"/>
      <c r="AC80" s="1319"/>
      <c r="AD80" s="1334">
        <f>Score!$Z$84</f>
        <v>3</v>
      </c>
      <c r="AE80" s="1334">
        <f>Score!$AB$84</f>
        <v>0</v>
      </c>
      <c r="AF80" s="1335">
        <f t="shared" si="46"/>
        <v>3</v>
      </c>
      <c r="AG80" s="1336">
        <f t="shared" si="38"/>
        <v>2</v>
      </c>
      <c r="AH80" s="1337"/>
      <c r="AI80" s="1336">
        <f t="shared" si="44"/>
        <v>2</v>
      </c>
      <c r="AJ80" s="1298">
        <f t="shared" si="47"/>
        <v>2</v>
      </c>
      <c r="AK80" s="1347" t="b">
        <v>0</v>
      </c>
      <c r="AL80" s="1339">
        <f t="shared" si="45"/>
        <v>2</v>
      </c>
      <c r="AM80" s="1373"/>
    </row>
    <row r="81" spans="1:39" ht="30" customHeight="1">
      <c r="A81" s="4362"/>
      <c r="B81" s="4347"/>
      <c r="C81" s="4354"/>
      <c r="D81" s="1279" t="s">
        <v>1130</v>
      </c>
      <c r="E81" s="1280" t="s">
        <v>4768</v>
      </c>
      <c r="F81" s="1282" t="s">
        <v>4769</v>
      </c>
      <c r="G81" s="1286" t="s">
        <v>4916</v>
      </c>
      <c r="H81" s="1287" t="s">
        <v>4588</v>
      </c>
      <c r="I81" s="1288" t="str">
        <f t="shared" si="40"/>
        <v/>
      </c>
      <c r="J81" s="1288" t="str">
        <f t="shared" si="41"/>
        <v>●</v>
      </c>
      <c r="K81" s="1288" t="str">
        <f t="shared" si="42"/>
        <v/>
      </c>
      <c r="L81" s="1289"/>
      <c r="M81" s="1280"/>
      <c r="N81" s="1290">
        <f t="shared" si="37"/>
        <v>2</v>
      </c>
      <c r="O81" s="1313"/>
      <c r="Q81" s="1291" t="s">
        <v>92</v>
      </c>
      <c r="R81" s="1291" t="s">
        <v>407</v>
      </c>
      <c r="S81" s="1291" t="s">
        <v>445</v>
      </c>
      <c r="T81" s="1291" t="s">
        <v>496</v>
      </c>
      <c r="U81" s="1291" t="s">
        <v>447</v>
      </c>
      <c r="V81" s="1291" t="s">
        <v>82</v>
      </c>
      <c r="W81" s="1291" t="s">
        <v>448</v>
      </c>
      <c r="X81" s="1291" t="s">
        <v>80</v>
      </c>
      <c r="Y81" s="1291" t="s">
        <v>497</v>
      </c>
      <c r="Z81" s="1332" t="str">
        <f t="shared" si="43"/>
        <v>対象</v>
      </c>
      <c r="AB81" s="1349"/>
      <c r="AC81" s="1319"/>
      <c r="AD81" s="1334">
        <f>Score!$Z$85</f>
        <v>3</v>
      </c>
      <c r="AE81" s="1334">
        <f>Score!$AB$85</f>
        <v>0</v>
      </c>
      <c r="AF81" s="1335">
        <f t="shared" si="46"/>
        <v>3</v>
      </c>
      <c r="AG81" s="1336">
        <f t="shared" si="38"/>
        <v>2</v>
      </c>
      <c r="AH81" s="1337"/>
      <c r="AI81" s="1336">
        <f t="shared" si="44"/>
        <v>2</v>
      </c>
      <c r="AJ81" s="1298">
        <f t="shared" si="47"/>
        <v>2</v>
      </c>
      <c r="AK81" s="1347" t="b">
        <v>0</v>
      </c>
      <c r="AL81" s="1339">
        <f t="shared" si="45"/>
        <v>2</v>
      </c>
      <c r="AM81" s="1373"/>
    </row>
    <row r="82" spans="1:39" ht="30" customHeight="1">
      <c r="A82" s="4362"/>
      <c r="B82" s="4347"/>
      <c r="C82" s="4354"/>
      <c r="D82" s="1279" t="s">
        <v>1281</v>
      </c>
      <c r="E82" s="1280" t="s">
        <v>4770</v>
      </c>
      <c r="F82" s="1282" t="s">
        <v>4771</v>
      </c>
      <c r="G82" s="1286" t="s">
        <v>4916</v>
      </c>
      <c r="H82" s="1287" t="s">
        <v>4589</v>
      </c>
      <c r="I82" s="1288" t="str">
        <f t="shared" si="40"/>
        <v/>
      </c>
      <c r="J82" s="1288" t="str">
        <f t="shared" si="41"/>
        <v>●</v>
      </c>
      <c r="K82" s="1288" t="str">
        <f t="shared" si="42"/>
        <v/>
      </c>
      <c r="L82" s="1289"/>
      <c r="M82" s="1280"/>
      <c r="N82" s="1290">
        <f t="shared" si="37"/>
        <v>2</v>
      </c>
      <c r="O82" s="1313"/>
      <c r="Q82" s="1291" t="s">
        <v>92</v>
      </c>
      <c r="R82" s="1291" t="s">
        <v>407</v>
      </c>
      <c r="S82" s="1291" t="s">
        <v>445</v>
      </c>
      <c r="T82" s="1291" t="s">
        <v>496</v>
      </c>
      <c r="U82" s="1291" t="s">
        <v>447</v>
      </c>
      <c r="V82" s="1291" t="s">
        <v>82</v>
      </c>
      <c r="W82" s="1291" t="s">
        <v>448</v>
      </c>
      <c r="X82" s="1291" t="s">
        <v>80</v>
      </c>
      <c r="Y82" s="1291" t="s">
        <v>497</v>
      </c>
      <c r="Z82" s="1332" t="str">
        <f t="shared" si="43"/>
        <v>対象</v>
      </c>
      <c r="AB82" s="1349"/>
      <c r="AD82" s="1334">
        <f>Score!$Z$86</f>
        <v>3</v>
      </c>
      <c r="AE82" s="1334">
        <f>Score!$AB$86</f>
        <v>0</v>
      </c>
      <c r="AF82" s="1335">
        <f t="shared" si="46"/>
        <v>3</v>
      </c>
      <c r="AG82" s="1336">
        <f t="shared" si="38"/>
        <v>2</v>
      </c>
      <c r="AH82" s="1337"/>
      <c r="AI82" s="1342">
        <f t="shared" si="44"/>
        <v>2</v>
      </c>
      <c r="AJ82" s="1356">
        <f>AVERAGEIFS(AI82,AI82,"&lt;&gt;0",AI82,"&lt;&gt;#DIV/0!")</f>
        <v>2</v>
      </c>
      <c r="AK82" s="1399" t="b">
        <v>0</v>
      </c>
      <c r="AL82" s="1339">
        <f t="shared" si="45"/>
        <v>2</v>
      </c>
      <c r="AM82" s="1373"/>
    </row>
    <row r="83" spans="1:39" ht="30" customHeight="1">
      <c r="A83" s="4362"/>
      <c r="B83" s="4347"/>
      <c r="C83" s="4354"/>
      <c r="D83" s="1279" t="s">
        <v>1282</v>
      </c>
      <c r="E83" s="1282" t="s">
        <v>4772</v>
      </c>
      <c r="F83" s="1282" t="s">
        <v>4773</v>
      </c>
      <c r="G83" s="1286" t="s">
        <v>4916</v>
      </c>
      <c r="H83" s="1287" t="s">
        <v>4590</v>
      </c>
      <c r="I83" s="1288" t="str">
        <f t="shared" si="40"/>
        <v/>
      </c>
      <c r="J83" s="1288" t="str">
        <f t="shared" si="41"/>
        <v>●</v>
      </c>
      <c r="K83" s="1288" t="str">
        <f t="shared" si="42"/>
        <v/>
      </c>
      <c r="L83" s="1289"/>
      <c r="M83" s="1280"/>
      <c r="N83" s="1290">
        <f t="shared" si="37"/>
        <v>2</v>
      </c>
      <c r="O83" s="1313"/>
      <c r="Q83" s="1291" t="s">
        <v>92</v>
      </c>
      <c r="R83" s="1291" t="s">
        <v>407</v>
      </c>
      <c r="S83" s="1291" t="s">
        <v>445</v>
      </c>
      <c r="T83" s="1291" t="s">
        <v>496</v>
      </c>
      <c r="U83" s="1291" t="s">
        <v>447</v>
      </c>
      <c r="V83" s="1291" t="s">
        <v>82</v>
      </c>
      <c r="W83" s="1291" t="s">
        <v>448</v>
      </c>
      <c r="X83" s="1291" t="s">
        <v>80</v>
      </c>
      <c r="Y83" s="1291" t="s">
        <v>497</v>
      </c>
      <c r="Z83" s="1332" t="str">
        <f t="shared" si="43"/>
        <v>対象</v>
      </c>
      <c r="AB83" s="1349"/>
      <c r="AD83" s="1334">
        <f>Score!$Z$87</f>
        <v>3</v>
      </c>
      <c r="AE83" s="1334">
        <f>Score!$AB$87</f>
        <v>0</v>
      </c>
      <c r="AF83" s="1335">
        <f t="shared" si="46"/>
        <v>3</v>
      </c>
      <c r="AG83" s="1336">
        <f t="shared" si="38"/>
        <v>2</v>
      </c>
      <c r="AI83" s="1342">
        <f t="shared" si="44"/>
        <v>2</v>
      </c>
      <c r="AJ83" s="1356">
        <f>AVERAGEIFS(AI83,AI83,"&lt;&gt;0",AI83,"&lt;&gt;#DIV/0!")</f>
        <v>2</v>
      </c>
      <c r="AK83" s="1400" t="b">
        <v>0</v>
      </c>
      <c r="AL83" s="1339">
        <f t="shared" si="45"/>
        <v>2</v>
      </c>
      <c r="AM83" s="1373"/>
    </row>
    <row r="84" spans="1:39" ht="30" customHeight="1">
      <c r="A84" s="4362"/>
      <c r="B84" s="4347"/>
      <c r="C84" s="4354"/>
      <c r="D84" s="1279" t="s">
        <v>1283</v>
      </c>
      <c r="E84" s="1282" t="s">
        <v>4774</v>
      </c>
      <c r="F84" s="1282" t="s">
        <v>4775</v>
      </c>
      <c r="G84" s="1286" t="s">
        <v>4916</v>
      </c>
      <c r="H84" s="1287" t="s">
        <v>4591</v>
      </c>
      <c r="I84" s="1288" t="str">
        <f t="shared" si="40"/>
        <v/>
      </c>
      <c r="J84" s="1288" t="str">
        <f t="shared" si="41"/>
        <v>●</v>
      </c>
      <c r="K84" s="1288" t="str">
        <f t="shared" si="42"/>
        <v/>
      </c>
      <c r="L84" s="1289"/>
      <c r="M84" s="1280"/>
      <c r="N84" s="1290">
        <f t="shared" si="37"/>
        <v>2</v>
      </c>
      <c r="O84" s="1313"/>
      <c r="Q84" s="1291" t="s">
        <v>92</v>
      </c>
      <c r="R84" s="1291" t="s">
        <v>407</v>
      </c>
      <c r="S84" s="1291" t="s">
        <v>445</v>
      </c>
      <c r="T84" s="1291" t="s">
        <v>496</v>
      </c>
      <c r="U84" s="1291" t="s">
        <v>447</v>
      </c>
      <c r="V84" s="1291" t="s">
        <v>82</v>
      </c>
      <c r="W84" s="1291" t="s">
        <v>448</v>
      </c>
      <c r="X84" s="1291" t="s">
        <v>80</v>
      </c>
      <c r="Y84" s="1291" t="s">
        <v>497</v>
      </c>
      <c r="Z84" s="1332" t="str">
        <f t="shared" si="43"/>
        <v>対象</v>
      </c>
      <c r="AB84" s="1349"/>
      <c r="AD84" s="1334">
        <f>Score!$Z$88</f>
        <v>3</v>
      </c>
      <c r="AE84" s="1334">
        <f>Score!$AB$88</f>
        <v>0</v>
      </c>
      <c r="AF84" s="1335">
        <f t="shared" si="46"/>
        <v>3</v>
      </c>
      <c r="AG84" s="1336">
        <f t="shared" si="38"/>
        <v>2</v>
      </c>
      <c r="AI84" s="1336">
        <f t="shared" si="44"/>
        <v>2</v>
      </c>
      <c r="AJ84" s="1298">
        <f>AVERAGEIFS(AI84,AI84,"&lt;&gt;0",AI84,"&lt;&gt;#DIV/0!")</f>
        <v>2</v>
      </c>
      <c r="AK84" s="1400" t="b">
        <v>0</v>
      </c>
      <c r="AL84" s="1339">
        <f t="shared" si="45"/>
        <v>2</v>
      </c>
      <c r="AM84" s="1373"/>
    </row>
    <row r="85" spans="1:39" ht="69" customHeight="1">
      <c r="A85" s="4362"/>
      <c r="B85" s="4347"/>
      <c r="C85" s="4354"/>
      <c r="D85" s="1279" t="s">
        <v>1284</v>
      </c>
      <c r="E85" s="1280" t="s">
        <v>4498</v>
      </c>
      <c r="F85" s="1280" t="s">
        <v>4955</v>
      </c>
      <c r="G85" s="1286" t="s">
        <v>4916</v>
      </c>
      <c r="H85" s="1292" t="s">
        <v>4555</v>
      </c>
      <c r="I85" s="1282"/>
      <c r="J85" s="1282"/>
      <c r="K85" s="1282"/>
      <c r="L85" s="1293"/>
      <c r="M85" s="1280"/>
      <c r="N85" s="1290">
        <f t="shared" si="37"/>
        <v>1</v>
      </c>
      <c r="O85" s="1313"/>
      <c r="Q85" s="1291" t="s">
        <v>92</v>
      </c>
      <c r="R85" s="1291" t="s">
        <v>407</v>
      </c>
      <c r="S85" s="1291" t="s">
        <v>445</v>
      </c>
      <c r="T85" s="1291" t="s">
        <v>496</v>
      </c>
      <c r="U85" s="1291" t="s">
        <v>447</v>
      </c>
      <c r="V85" s="1291" t="s">
        <v>82</v>
      </c>
      <c r="W85" s="1291" t="s">
        <v>448</v>
      </c>
      <c r="X85" s="1291" t="s">
        <v>80</v>
      </c>
      <c r="Y85" s="1291" t="s">
        <v>497</v>
      </c>
      <c r="Z85" s="1332" t="str">
        <f t="shared" si="43"/>
        <v>対象</v>
      </c>
      <c r="AB85" s="1353">
        <v>1</v>
      </c>
      <c r="AC85" s="1319"/>
      <c r="AD85" s="1349"/>
      <c r="AE85" s="1349"/>
      <c r="AF85" s="1349"/>
      <c r="AG85" s="1349"/>
      <c r="AH85" s="1350"/>
      <c r="AI85" s="1336">
        <f t="shared" si="44"/>
        <v>1</v>
      </c>
      <c r="AJ85" s="1298">
        <f t="shared" si="47"/>
        <v>1</v>
      </c>
      <c r="AK85" s="1347" t="b">
        <v>0</v>
      </c>
      <c r="AL85" s="1339">
        <f t="shared" si="45"/>
        <v>1</v>
      </c>
      <c r="AM85" s="1373"/>
    </row>
    <row r="86" spans="1:39" ht="46.15" customHeight="1">
      <c r="A86" s="4362"/>
      <c r="B86" s="4347"/>
      <c r="C86" s="4354"/>
      <c r="D86" s="1279" t="s">
        <v>1285</v>
      </c>
      <c r="E86" s="1280" t="s">
        <v>4776</v>
      </c>
      <c r="F86" s="1280" t="s">
        <v>4956</v>
      </c>
      <c r="G86" s="1286" t="s">
        <v>4916</v>
      </c>
      <c r="H86" s="1292" t="s">
        <v>4555</v>
      </c>
      <c r="I86" s="1299"/>
      <c r="J86" s="1282"/>
      <c r="K86" s="1299"/>
      <c r="L86" s="1293"/>
      <c r="M86" s="1280"/>
      <c r="N86" s="1290">
        <f t="shared" si="37"/>
        <v>3</v>
      </c>
      <c r="O86" s="1313"/>
      <c r="Q86" s="1291" t="s">
        <v>92</v>
      </c>
      <c r="R86" s="1291" t="s">
        <v>407</v>
      </c>
      <c r="S86" s="1291" t="s">
        <v>445</v>
      </c>
      <c r="T86" s="1291" t="s">
        <v>496</v>
      </c>
      <c r="U86" s="1291" t="s">
        <v>447</v>
      </c>
      <c r="V86" s="1291" t="s">
        <v>82</v>
      </c>
      <c r="W86" s="1291" t="s">
        <v>448</v>
      </c>
      <c r="X86" s="1291" t="s">
        <v>80</v>
      </c>
      <c r="Y86" s="1291" t="s">
        <v>497</v>
      </c>
      <c r="Z86" s="1332" t="str">
        <f t="shared" si="43"/>
        <v>対象</v>
      </c>
      <c r="AB86" s="1353">
        <v>3</v>
      </c>
      <c r="AC86" s="1319"/>
      <c r="AD86" s="1349"/>
      <c r="AE86" s="1349"/>
      <c r="AF86" s="1349"/>
      <c r="AG86" s="1349"/>
      <c r="AH86" s="1350"/>
      <c r="AI86" s="1336">
        <f t="shared" si="44"/>
        <v>3</v>
      </c>
      <c r="AJ86" s="1298">
        <f t="shared" si="47"/>
        <v>3</v>
      </c>
      <c r="AK86" s="1347" t="b">
        <v>0</v>
      </c>
      <c r="AL86" s="1339">
        <f t="shared" si="45"/>
        <v>3</v>
      </c>
      <c r="AM86" s="1375"/>
    </row>
    <row r="87" spans="1:39" ht="30" customHeight="1">
      <c r="A87" s="4363"/>
      <c r="B87" s="1279">
        <v>8.5</v>
      </c>
      <c r="C87" s="1300" t="s">
        <v>4777</v>
      </c>
      <c r="D87" s="1279" t="s">
        <v>1131</v>
      </c>
      <c r="E87" s="1280" t="s">
        <v>4778</v>
      </c>
      <c r="F87" s="1280" t="s">
        <v>4779</v>
      </c>
      <c r="G87" s="1286" t="s">
        <v>4916</v>
      </c>
      <c r="H87" s="1287" t="s">
        <v>4592</v>
      </c>
      <c r="I87" s="1288" t="str">
        <f>IF(AI87=1,"●","")</f>
        <v>●</v>
      </c>
      <c r="J87" s="1288" t="str">
        <f>IF(AI87=2,"●","")</f>
        <v/>
      </c>
      <c r="K87" s="1288" t="str">
        <f>IF(AI87=3,"●","")</f>
        <v/>
      </c>
      <c r="L87" s="1293"/>
      <c r="M87" s="1280"/>
      <c r="N87" s="1290">
        <f t="shared" si="37"/>
        <v>1</v>
      </c>
      <c r="O87" s="1313"/>
      <c r="Q87" s="1291" t="s">
        <v>92</v>
      </c>
      <c r="R87" s="1291" t="s">
        <v>407</v>
      </c>
      <c r="S87" s="1291" t="s">
        <v>445</v>
      </c>
      <c r="T87" s="1291" t="s">
        <v>496</v>
      </c>
      <c r="U87" s="1291" t="s">
        <v>447</v>
      </c>
      <c r="V87" s="1291" t="s">
        <v>82</v>
      </c>
      <c r="W87" s="1291" t="s">
        <v>448</v>
      </c>
      <c r="X87" s="1291" t="s">
        <v>80</v>
      </c>
      <c r="Y87" s="1291" t="s">
        <v>497</v>
      </c>
      <c r="Z87" s="1332" t="str">
        <f t="shared" si="43"/>
        <v>対象</v>
      </c>
      <c r="AB87" s="1349"/>
      <c r="AC87" s="1319"/>
      <c r="AD87" s="1334">
        <f>IF(SUM(VALUE('Q3'!G58)+VALUE('Q3'!G77))=0,1,3)</f>
        <v>1</v>
      </c>
      <c r="AE87" s="1349"/>
      <c r="AF87" s="1335">
        <f>IF(AE87=0,AD87,IF(AD87=0,AE87,AD87*$AD$6+AE87*$AE$6))</f>
        <v>1</v>
      </c>
      <c r="AG87" s="1336">
        <f>IF(AF87=0,"#DIV/0!",IF(AF87&lt;2,1,IF(AF87&lt;3,2,3)))</f>
        <v>1</v>
      </c>
      <c r="AH87" s="1337"/>
      <c r="AI87" s="1336">
        <f t="shared" si="44"/>
        <v>1</v>
      </c>
      <c r="AJ87" s="1298">
        <f t="shared" si="47"/>
        <v>1</v>
      </c>
      <c r="AK87" s="1352" t="b">
        <v>0</v>
      </c>
      <c r="AL87" s="1339">
        <f t="shared" si="45"/>
        <v>1</v>
      </c>
      <c r="AM87" s="1373">
        <f>AVERAGEIFS(AL87,AL87,"&lt;&gt;0",AL87,"&lt;&gt;#DIV/0!")</f>
        <v>1</v>
      </c>
    </row>
    <row r="88" spans="1:39" ht="99" customHeight="1">
      <c r="A88" s="4370" t="s">
        <v>4933</v>
      </c>
      <c r="B88" s="4347">
        <v>9.1</v>
      </c>
      <c r="C88" s="4354" t="s">
        <v>4780</v>
      </c>
      <c r="D88" s="1279" t="s">
        <v>1132</v>
      </c>
      <c r="E88" s="1280" t="s">
        <v>4781</v>
      </c>
      <c r="F88" s="1280" t="s">
        <v>4957</v>
      </c>
      <c r="G88" s="1286" t="s">
        <v>4916</v>
      </c>
      <c r="H88" s="1292" t="s">
        <v>4555</v>
      </c>
      <c r="I88" s="1282"/>
      <c r="J88" s="1282"/>
      <c r="K88" s="1282"/>
      <c r="L88" s="1293"/>
      <c r="M88" s="1280"/>
      <c r="N88" s="1290">
        <f t="shared" si="37"/>
        <v>1</v>
      </c>
      <c r="O88" s="1313"/>
      <c r="Q88" s="1291" t="s">
        <v>92</v>
      </c>
      <c r="R88" s="1291" t="s">
        <v>407</v>
      </c>
      <c r="S88" s="1291" t="s">
        <v>445</v>
      </c>
      <c r="T88" s="1291" t="s">
        <v>496</v>
      </c>
      <c r="U88" s="1291" t="s">
        <v>447</v>
      </c>
      <c r="V88" s="1291" t="s">
        <v>82</v>
      </c>
      <c r="W88" s="1291" t="s">
        <v>448</v>
      </c>
      <c r="X88" s="1291" t="s">
        <v>80</v>
      </c>
      <c r="Y88" s="1291" t="s">
        <v>497</v>
      </c>
      <c r="Z88" s="1332" t="str">
        <f t="shared" si="43"/>
        <v>対象</v>
      </c>
      <c r="AB88" s="1353">
        <v>1</v>
      </c>
      <c r="AC88" s="1319"/>
      <c r="AD88" s="1349"/>
      <c r="AE88" s="1349"/>
      <c r="AF88" s="1349"/>
      <c r="AG88" s="1349"/>
      <c r="AH88" s="1350"/>
      <c r="AI88" s="1336">
        <f t="shared" si="44"/>
        <v>1</v>
      </c>
      <c r="AJ88" s="1298">
        <f t="shared" si="47"/>
        <v>1</v>
      </c>
      <c r="AK88" s="1347" t="b">
        <v>0</v>
      </c>
      <c r="AL88" s="1339">
        <f t="shared" si="45"/>
        <v>1</v>
      </c>
      <c r="AM88" s="1374">
        <f>AVERAGEIFS(AL88:AL89,AL88:AL89,"&lt;&gt;0",AL88:AL89,"&lt;&gt;#DIV/0!")</f>
        <v>1</v>
      </c>
    </row>
    <row r="89" spans="1:39" ht="84.6" customHeight="1">
      <c r="A89" s="4370"/>
      <c r="B89" s="4347"/>
      <c r="C89" s="4354"/>
      <c r="D89" s="1279" t="s">
        <v>1133</v>
      </c>
      <c r="E89" s="1280" t="s">
        <v>4782</v>
      </c>
      <c r="F89" s="1280" t="s">
        <v>4958</v>
      </c>
      <c r="G89" s="1286" t="s">
        <v>4916</v>
      </c>
      <c r="H89" s="1292" t="s">
        <v>4555</v>
      </c>
      <c r="I89" s="1282"/>
      <c r="J89" s="1282"/>
      <c r="K89" s="1282"/>
      <c r="L89" s="1293"/>
      <c r="M89" s="1280"/>
      <c r="N89" s="1290">
        <f t="shared" si="37"/>
        <v>1</v>
      </c>
      <c r="O89" s="1313"/>
      <c r="Q89" s="1291" t="s">
        <v>92</v>
      </c>
      <c r="R89" s="1291" t="s">
        <v>407</v>
      </c>
      <c r="S89" s="1291" t="s">
        <v>445</v>
      </c>
      <c r="T89" s="1291" t="s">
        <v>496</v>
      </c>
      <c r="U89" s="1291" t="s">
        <v>447</v>
      </c>
      <c r="V89" s="1291" t="s">
        <v>82</v>
      </c>
      <c r="W89" s="1291" t="s">
        <v>448</v>
      </c>
      <c r="X89" s="1291" t="s">
        <v>80</v>
      </c>
      <c r="Y89" s="1291" t="s">
        <v>497</v>
      </c>
      <c r="Z89" s="1332" t="str">
        <f t="shared" si="43"/>
        <v>対象</v>
      </c>
      <c r="AB89" s="1353">
        <v>1</v>
      </c>
      <c r="AC89" s="1319"/>
      <c r="AD89" s="1349"/>
      <c r="AE89" s="1349"/>
      <c r="AF89" s="1349"/>
      <c r="AG89" s="1349"/>
      <c r="AH89" s="1350"/>
      <c r="AI89" s="1336">
        <f t="shared" si="44"/>
        <v>1</v>
      </c>
      <c r="AJ89" s="1298">
        <f t="shared" si="47"/>
        <v>1</v>
      </c>
      <c r="AK89" s="1347" t="b">
        <v>0</v>
      </c>
      <c r="AL89" s="1339">
        <f t="shared" si="45"/>
        <v>1</v>
      </c>
      <c r="AM89" s="1373"/>
    </row>
    <row r="90" spans="1:39" ht="30" customHeight="1">
      <c r="A90" s="4370"/>
      <c r="B90" s="4347">
        <v>9.1999999999999993</v>
      </c>
      <c r="C90" s="4354" t="s">
        <v>4783</v>
      </c>
      <c r="D90" s="1279" t="s">
        <v>1134</v>
      </c>
      <c r="E90" s="1280" t="s">
        <v>4784</v>
      </c>
      <c r="F90" s="1280" t="s">
        <v>4536</v>
      </c>
      <c r="G90" s="1291" t="s">
        <v>4923</v>
      </c>
      <c r="H90" s="1287" t="s">
        <v>4593</v>
      </c>
      <c r="I90" s="1288" t="str">
        <f>IF(AI90=1,"●","")</f>
        <v/>
      </c>
      <c r="J90" s="1288" t="str">
        <f>IF(AI90=2,"●","")</f>
        <v>●</v>
      </c>
      <c r="K90" s="1288" t="str">
        <f>IF(AI90=3,"●","")</f>
        <v/>
      </c>
      <c r="L90" s="1293"/>
      <c r="M90" s="1280"/>
      <c r="N90" s="1290">
        <f t="shared" si="37"/>
        <v>2</v>
      </c>
      <c r="O90" s="1313"/>
      <c r="Q90" s="1291" t="s">
        <v>92</v>
      </c>
      <c r="R90" s="1291"/>
      <c r="S90" s="1291" t="s">
        <v>445</v>
      </c>
      <c r="T90" s="1291"/>
      <c r="U90" s="1291"/>
      <c r="V90" s="1291" t="s">
        <v>82</v>
      </c>
      <c r="W90" s="1291"/>
      <c r="X90" s="1291"/>
      <c r="Y90" s="1291"/>
      <c r="Z90" s="1332" t="str">
        <f t="shared" si="43"/>
        <v>対象</v>
      </c>
      <c r="AB90" s="1349"/>
      <c r="AC90" s="1319"/>
      <c r="AD90" s="1334">
        <f>Score!$Z$71</f>
        <v>3</v>
      </c>
      <c r="AE90" s="1334">
        <f>Score!$AB$71</f>
        <v>0</v>
      </c>
      <c r="AF90" s="1335">
        <f>IF(AE90=0,AD90,IF(AD90=0,AE90,AD90*$AD$6+AE90*$AE$6))</f>
        <v>3</v>
      </c>
      <c r="AG90" s="1336">
        <f t="shared" ref="AG90:AG98" si="48">IF(AF90=0,"#DIV/0!",IF(AF90&lt;2,1,IF(AF90&lt;4,2,3)))</f>
        <v>2</v>
      </c>
      <c r="AH90" s="1337"/>
      <c r="AI90" s="1336">
        <f t="shared" si="44"/>
        <v>2</v>
      </c>
      <c r="AJ90" s="1298">
        <f t="shared" si="47"/>
        <v>2</v>
      </c>
      <c r="AK90" s="1347" t="b">
        <v>0</v>
      </c>
      <c r="AL90" s="1339">
        <f t="shared" si="45"/>
        <v>2</v>
      </c>
      <c r="AM90" s="1374">
        <f>AVERAGEIFS(AL90:AL91,AL90:AL91,"&lt;&gt;0",AL90:AL91,"&lt;&gt;#DIV/0!")</f>
        <v>2.5</v>
      </c>
    </row>
    <row r="91" spans="1:39" ht="94.5">
      <c r="A91" s="4370"/>
      <c r="B91" s="4347"/>
      <c r="C91" s="4354"/>
      <c r="D91" s="1279" t="s">
        <v>1135</v>
      </c>
      <c r="E91" s="1280" t="s">
        <v>4785</v>
      </c>
      <c r="F91" s="1280" t="s">
        <v>4959</v>
      </c>
      <c r="G91" s="1291" t="s">
        <v>4922</v>
      </c>
      <c r="H91" s="1292" t="s">
        <v>4555</v>
      </c>
      <c r="I91" s="1282"/>
      <c r="J91" s="1282"/>
      <c r="K91" s="1282"/>
      <c r="L91" s="1293"/>
      <c r="M91" s="1280"/>
      <c r="N91" s="1290">
        <f t="shared" si="37"/>
        <v>3</v>
      </c>
      <c r="O91" s="1313"/>
      <c r="Q91" s="1291" t="s">
        <v>92</v>
      </c>
      <c r="R91" s="1291"/>
      <c r="S91" s="1291"/>
      <c r="T91" s="1291"/>
      <c r="U91" s="1291"/>
      <c r="V91" s="1291"/>
      <c r="W91" s="1291"/>
      <c r="X91" s="1291"/>
      <c r="Y91" s="1291"/>
      <c r="Z91" s="1332" t="str">
        <f t="shared" si="43"/>
        <v>対象</v>
      </c>
      <c r="AB91" s="1353">
        <v>3</v>
      </c>
      <c r="AC91" s="1319"/>
      <c r="AD91" s="1349"/>
      <c r="AE91" s="1349"/>
      <c r="AF91" s="1349"/>
      <c r="AG91" s="1349"/>
      <c r="AH91" s="1350"/>
      <c r="AI91" s="1336">
        <f t="shared" si="44"/>
        <v>3</v>
      </c>
      <c r="AJ91" s="1298">
        <f>AVERAGEIFS(AI91,AI91,"&lt;&gt;0",AI91,"&lt;&gt;#DIV/0!")</f>
        <v>3</v>
      </c>
      <c r="AK91" s="1347" t="b">
        <v>0</v>
      </c>
      <c r="AL91" s="1339">
        <f>IF(AK91=FALSE,AJ91,IF(AJ91=1,2,3))</f>
        <v>3</v>
      </c>
      <c r="AM91" s="1373"/>
    </row>
    <row r="92" spans="1:39" ht="30" customHeight="1">
      <c r="A92" s="4370"/>
      <c r="B92" s="1283" t="s">
        <v>1286</v>
      </c>
      <c r="C92" s="3781" t="s">
        <v>4786</v>
      </c>
      <c r="D92" s="1279" t="s">
        <v>1136</v>
      </c>
      <c r="E92" s="1280" t="s">
        <v>4787</v>
      </c>
      <c r="F92" s="1280" t="s">
        <v>4537</v>
      </c>
      <c r="G92" s="1291" t="s">
        <v>4924</v>
      </c>
      <c r="H92" s="1287" t="s">
        <v>4594</v>
      </c>
      <c r="I92" s="1288" t="str">
        <f>IF(AI92=1,"●","")</f>
        <v/>
      </c>
      <c r="J92" s="1288" t="str">
        <f>IF(AI92=2,"●","")</f>
        <v>●</v>
      </c>
      <c r="K92" s="1288" t="str">
        <f>IF(AI92=3,"●","")</f>
        <v/>
      </c>
      <c r="L92" s="1293"/>
      <c r="M92" s="1280"/>
      <c r="N92" s="1290">
        <f t="shared" si="37"/>
        <v>2</v>
      </c>
      <c r="O92" s="1313"/>
      <c r="Q92" s="1291" t="s">
        <v>92</v>
      </c>
      <c r="R92" s="1291"/>
      <c r="S92" s="1291"/>
      <c r="T92" s="1291"/>
      <c r="U92" s="1291"/>
      <c r="V92" s="1291" t="s">
        <v>82</v>
      </c>
      <c r="W92" s="1291"/>
      <c r="X92" s="1291" t="s">
        <v>80</v>
      </c>
      <c r="Y92" s="1291" t="s">
        <v>497</v>
      </c>
      <c r="Z92" s="1332" t="str">
        <f t="shared" si="43"/>
        <v>対象</v>
      </c>
      <c r="AB92" s="1349"/>
      <c r="AC92" s="1319"/>
      <c r="AD92" s="1334">
        <f>Score!$Z$66</f>
        <v>3</v>
      </c>
      <c r="AE92" s="1334">
        <f>Score!$AB$66</f>
        <v>0</v>
      </c>
      <c r="AF92" s="1335">
        <f>IF(AE92=0,AD92,IF(AD92=0,AE92,AD92*$AD$6+AE92*$AE$6))</f>
        <v>3</v>
      </c>
      <c r="AG92" s="1336">
        <f>IF(AF92=0,"#DIV/0!",IF(AF92&lt;2,1,IF(AF92&lt;4,2,3)))</f>
        <v>2</v>
      </c>
      <c r="AH92" s="1337"/>
      <c r="AI92" s="1336">
        <f t="shared" si="44"/>
        <v>2</v>
      </c>
      <c r="AJ92" s="1298">
        <f>AVERAGEIFS(AI92,AI92,"&lt;&gt;0",AI92,"&lt;&gt;#DIV/0!")</f>
        <v>2</v>
      </c>
      <c r="AK92" s="1347" t="b">
        <v>0</v>
      </c>
      <c r="AL92" s="1339">
        <f>IF(AK92=FALSE,AJ92,IF(AJ92=1,2,3))</f>
        <v>2</v>
      </c>
      <c r="AM92" s="1377">
        <f>AVERAGEIFS(AL92,AL92,"&lt;&gt;0",AL92,"&lt;&gt;#DIV/0!")</f>
        <v>2</v>
      </c>
    </row>
    <row r="93" spans="1:39" ht="30" customHeight="1">
      <c r="A93" s="4370"/>
      <c r="B93" s="4347" t="s">
        <v>1287</v>
      </c>
      <c r="C93" s="4354" t="s">
        <v>4788</v>
      </c>
      <c r="D93" s="1279" t="s">
        <v>1290</v>
      </c>
      <c r="E93" s="1280" t="s">
        <v>4789</v>
      </c>
      <c r="F93" s="1280" t="s">
        <v>4790</v>
      </c>
      <c r="G93" s="1286" t="s">
        <v>4916</v>
      </c>
      <c r="H93" s="1287" t="s">
        <v>4595</v>
      </c>
      <c r="I93" s="1288" t="str">
        <f t="shared" ref="I93:I98" si="49">IF(AI93=1,"●","")</f>
        <v/>
      </c>
      <c r="J93" s="1288" t="str">
        <f t="shared" ref="J93:J98" si="50">IF(AI93=2,"●","")</f>
        <v>●</v>
      </c>
      <c r="K93" s="1288" t="str">
        <f t="shared" ref="K93:K98" si="51">IF(AI93=3,"●","")</f>
        <v/>
      </c>
      <c r="L93" s="1289"/>
      <c r="M93" s="1280"/>
      <c r="N93" s="1290">
        <f t="shared" si="37"/>
        <v>2</v>
      </c>
      <c r="O93" s="1313"/>
      <c r="Q93" s="1291" t="s">
        <v>92</v>
      </c>
      <c r="R93" s="1291" t="s">
        <v>407</v>
      </c>
      <c r="S93" s="1291" t="s">
        <v>445</v>
      </c>
      <c r="T93" s="1291" t="s">
        <v>496</v>
      </c>
      <c r="U93" s="1291" t="s">
        <v>447</v>
      </c>
      <c r="V93" s="1291" t="s">
        <v>82</v>
      </c>
      <c r="W93" s="1291" t="s">
        <v>448</v>
      </c>
      <c r="X93" s="1291" t="s">
        <v>80</v>
      </c>
      <c r="Y93" s="1291" t="s">
        <v>497</v>
      </c>
      <c r="Z93" s="1332" t="str">
        <f t="shared" si="43"/>
        <v>対象</v>
      </c>
      <c r="AB93" s="1349"/>
      <c r="AC93" s="1319"/>
      <c r="AD93" s="1334">
        <f>Score!$Z$79</f>
        <v>3.0000000000000004</v>
      </c>
      <c r="AE93" s="1334">
        <f>Score!$AB$79</f>
        <v>0</v>
      </c>
      <c r="AF93" s="1335">
        <f t="shared" ref="AF93:AF98" si="52">IF(AE93=0,AD93,IF(AD93=0,AE93,AD93*$AD$6+AE93*$AE$6))</f>
        <v>3.0000000000000004</v>
      </c>
      <c r="AG93" s="1336">
        <f t="shared" si="48"/>
        <v>2</v>
      </c>
      <c r="AH93" s="1337"/>
      <c r="AI93" s="1336">
        <f t="shared" si="44"/>
        <v>2</v>
      </c>
      <c r="AJ93" s="1298">
        <f t="shared" si="47"/>
        <v>2</v>
      </c>
      <c r="AK93" s="1347" t="b">
        <v>0</v>
      </c>
      <c r="AL93" s="1339">
        <f t="shared" si="45"/>
        <v>2</v>
      </c>
      <c r="AM93" s="1374">
        <f>AVERAGEIFS(AL93:AL98,AL93:AL98,"&lt;&gt;0",AL93:AL98,"&lt;&gt;#DIV/0!")</f>
        <v>2</v>
      </c>
    </row>
    <row r="94" spans="1:39" ht="30" customHeight="1">
      <c r="A94" s="4370"/>
      <c r="B94" s="4347"/>
      <c r="C94" s="4354"/>
      <c r="D94" s="1279" t="s">
        <v>1291</v>
      </c>
      <c r="E94" s="1280" t="s">
        <v>4499</v>
      </c>
      <c r="F94" s="1282" t="s">
        <v>4791</v>
      </c>
      <c r="G94" s="1286" t="s">
        <v>4916</v>
      </c>
      <c r="H94" s="1287" t="s">
        <v>4596</v>
      </c>
      <c r="I94" s="1288" t="str">
        <f t="shared" si="49"/>
        <v/>
      </c>
      <c r="J94" s="1288" t="str">
        <f t="shared" si="50"/>
        <v>●</v>
      </c>
      <c r="K94" s="1288" t="str">
        <f t="shared" si="51"/>
        <v/>
      </c>
      <c r="L94" s="1289"/>
      <c r="M94" s="1280"/>
      <c r="N94" s="1290">
        <f t="shared" ref="N94:N100" si="53">IF(Z94="N.A.","N.A.",AL94)</f>
        <v>2</v>
      </c>
      <c r="O94" s="1313"/>
      <c r="Q94" s="1291" t="s">
        <v>92</v>
      </c>
      <c r="R94" s="1291" t="s">
        <v>407</v>
      </c>
      <c r="S94" s="1291" t="s">
        <v>445</v>
      </c>
      <c r="T94" s="1291" t="s">
        <v>496</v>
      </c>
      <c r="U94" s="1291" t="s">
        <v>447</v>
      </c>
      <c r="V94" s="1291" t="s">
        <v>82</v>
      </c>
      <c r="W94" s="1291" t="s">
        <v>448</v>
      </c>
      <c r="X94" s="1291" t="s">
        <v>80</v>
      </c>
      <c r="Y94" s="1291" t="s">
        <v>497</v>
      </c>
      <c r="Z94" s="1332" t="str">
        <f t="shared" si="43"/>
        <v>対象</v>
      </c>
      <c r="AB94" s="1349"/>
      <c r="AC94" s="1319"/>
      <c r="AD94" s="1334">
        <f>Score!$Z$94</f>
        <v>3</v>
      </c>
      <c r="AE94" s="1334">
        <f>Score!$AB$94</f>
        <v>0</v>
      </c>
      <c r="AF94" s="1335">
        <f t="shared" si="52"/>
        <v>3</v>
      </c>
      <c r="AG94" s="1336">
        <f t="shared" si="48"/>
        <v>2</v>
      </c>
      <c r="AH94" s="1337"/>
      <c r="AI94" s="1336">
        <f t="shared" si="44"/>
        <v>2</v>
      </c>
      <c r="AJ94" s="1298">
        <f t="shared" si="47"/>
        <v>2</v>
      </c>
      <c r="AK94" s="1347" t="b">
        <v>0</v>
      </c>
      <c r="AL94" s="1339">
        <f t="shared" si="45"/>
        <v>2</v>
      </c>
      <c r="AM94" s="1379"/>
    </row>
    <row r="95" spans="1:39" ht="30" customHeight="1">
      <c r="A95" s="4370"/>
      <c r="B95" s="4347"/>
      <c r="C95" s="4354"/>
      <c r="D95" s="1279" t="s">
        <v>1292</v>
      </c>
      <c r="E95" s="1280" t="s">
        <v>4500</v>
      </c>
      <c r="F95" s="1282" t="s">
        <v>4727</v>
      </c>
      <c r="G95" s="1286" t="s">
        <v>4916</v>
      </c>
      <c r="H95" s="1287" t="s">
        <v>4597</v>
      </c>
      <c r="I95" s="1288" t="str">
        <f t="shared" si="49"/>
        <v/>
      </c>
      <c r="J95" s="1288" t="str">
        <f t="shared" si="50"/>
        <v>●</v>
      </c>
      <c r="K95" s="1288" t="str">
        <f t="shared" si="51"/>
        <v/>
      </c>
      <c r="L95" s="1295" t="str">
        <f>IF(L55="","（The result for 6.7.1 is transferred.）",L55)</f>
        <v>（The result for 6.7.1 is transferred.）</v>
      </c>
      <c r="M95" s="1280"/>
      <c r="N95" s="1290">
        <f t="shared" si="53"/>
        <v>2</v>
      </c>
      <c r="O95" s="1313"/>
      <c r="Q95" s="1291" t="s">
        <v>92</v>
      </c>
      <c r="R95" s="1291" t="s">
        <v>407</v>
      </c>
      <c r="S95" s="1291" t="s">
        <v>445</v>
      </c>
      <c r="T95" s="1291" t="s">
        <v>496</v>
      </c>
      <c r="U95" s="1291" t="s">
        <v>447</v>
      </c>
      <c r="V95" s="1291" t="s">
        <v>82</v>
      </c>
      <c r="W95" s="1291" t="s">
        <v>448</v>
      </c>
      <c r="X95" s="1291" t="s">
        <v>80</v>
      </c>
      <c r="Y95" s="1291" t="s">
        <v>497</v>
      </c>
      <c r="Z95" s="1332" t="str">
        <f t="shared" si="43"/>
        <v>対象</v>
      </c>
      <c r="AB95" s="1349"/>
      <c r="AC95" s="1319"/>
      <c r="AD95" s="1334">
        <f>Score!$Z$95</f>
        <v>3</v>
      </c>
      <c r="AE95" s="1334">
        <f>Score!$AB$95</f>
        <v>0</v>
      </c>
      <c r="AF95" s="1335">
        <f t="shared" si="52"/>
        <v>3</v>
      </c>
      <c r="AG95" s="1336">
        <f t="shared" si="48"/>
        <v>2</v>
      </c>
      <c r="AH95" s="1337"/>
      <c r="AI95" s="1336">
        <f t="shared" si="44"/>
        <v>2</v>
      </c>
      <c r="AJ95" s="1298">
        <f t="shared" si="47"/>
        <v>2</v>
      </c>
      <c r="AK95" s="1347" t="b">
        <v>0</v>
      </c>
      <c r="AL95" s="1339">
        <f t="shared" si="45"/>
        <v>2</v>
      </c>
      <c r="AM95" s="1379"/>
    </row>
    <row r="96" spans="1:39" ht="43.9" customHeight="1">
      <c r="A96" s="4370"/>
      <c r="B96" s="4347"/>
      <c r="C96" s="4354"/>
      <c r="D96" s="1279" t="s">
        <v>1293</v>
      </c>
      <c r="E96" s="1280" t="s">
        <v>4501</v>
      </c>
      <c r="F96" s="1282" t="s">
        <v>4792</v>
      </c>
      <c r="G96" s="1286" t="s">
        <v>4916</v>
      </c>
      <c r="H96" s="1287" t="s">
        <v>4577</v>
      </c>
      <c r="I96" s="1288" t="str">
        <f t="shared" si="49"/>
        <v/>
      </c>
      <c r="J96" s="1288" t="str">
        <f t="shared" si="50"/>
        <v>●</v>
      </c>
      <c r="K96" s="1288" t="str">
        <f t="shared" si="51"/>
        <v/>
      </c>
      <c r="L96" s="1295" t="str">
        <f>IF(L63="","（The result for 7.6.1 is transferred.）",L63)</f>
        <v>（The result for 7.6.1 is transferred.）</v>
      </c>
      <c r="M96" s="1280"/>
      <c r="N96" s="1290">
        <f t="shared" si="53"/>
        <v>2</v>
      </c>
      <c r="O96" s="1313"/>
      <c r="Q96" s="1291" t="s">
        <v>92</v>
      </c>
      <c r="R96" s="1291" t="s">
        <v>407</v>
      </c>
      <c r="S96" s="1291" t="s">
        <v>445</v>
      </c>
      <c r="T96" s="1291" t="s">
        <v>496</v>
      </c>
      <c r="U96" s="1291" t="s">
        <v>447</v>
      </c>
      <c r="V96" s="1291" t="s">
        <v>82</v>
      </c>
      <c r="W96" s="1291" t="s">
        <v>448</v>
      </c>
      <c r="X96" s="1291" t="s">
        <v>80</v>
      </c>
      <c r="Y96" s="1291" t="s">
        <v>497</v>
      </c>
      <c r="Z96" s="1332" t="str">
        <f t="shared" si="43"/>
        <v>対象</v>
      </c>
      <c r="AB96" s="1349"/>
      <c r="AC96" s="1319"/>
      <c r="AD96" s="1334">
        <f>Score!$Z$96</f>
        <v>3</v>
      </c>
      <c r="AE96" s="1334">
        <f>Score!$AB$96</f>
        <v>0</v>
      </c>
      <c r="AF96" s="1335">
        <f t="shared" si="52"/>
        <v>3</v>
      </c>
      <c r="AG96" s="1336">
        <f t="shared" si="48"/>
        <v>2</v>
      </c>
      <c r="AH96" s="1337"/>
      <c r="AI96" s="1336">
        <f t="shared" si="44"/>
        <v>2</v>
      </c>
      <c r="AJ96" s="1298">
        <f t="shared" si="47"/>
        <v>2</v>
      </c>
      <c r="AK96" s="1347" t="b">
        <v>0</v>
      </c>
      <c r="AL96" s="1339">
        <f t="shared" si="45"/>
        <v>2</v>
      </c>
      <c r="AM96" s="1379"/>
    </row>
    <row r="97" spans="1:39" ht="30" customHeight="1">
      <c r="A97" s="4370"/>
      <c r="B97" s="4347"/>
      <c r="C97" s="4354"/>
      <c r="D97" s="1279" t="s">
        <v>1294</v>
      </c>
      <c r="E97" s="1280" t="s">
        <v>4502</v>
      </c>
      <c r="F97" s="1280" t="s">
        <v>4793</v>
      </c>
      <c r="G97" s="1286" t="s">
        <v>4916</v>
      </c>
      <c r="H97" s="1287" t="s">
        <v>4598</v>
      </c>
      <c r="I97" s="1288" t="str">
        <f t="shared" si="49"/>
        <v/>
      </c>
      <c r="J97" s="1288" t="str">
        <f t="shared" si="50"/>
        <v>●</v>
      </c>
      <c r="K97" s="1288" t="str">
        <f t="shared" si="51"/>
        <v/>
      </c>
      <c r="L97" s="1289"/>
      <c r="M97" s="1280"/>
      <c r="N97" s="1290">
        <f t="shared" si="53"/>
        <v>2</v>
      </c>
      <c r="O97" s="1313"/>
      <c r="Q97" s="1291" t="s">
        <v>92</v>
      </c>
      <c r="R97" s="1291" t="s">
        <v>407</v>
      </c>
      <c r="S97" s="1291" t="s">
        <v>445</v>
      </c>
      <c r="T97" s="1291" t="s">
        <v>496</v>
      </c>
      <c r="U97" s="1291" t="s">
        <v>447</v>
      </c>
      <c r="V97" s="1291" t="s">
        <v>82</v>
      </c>
      <c r="W97" s="1291" t="s">
        <v>448</v>
      </c>
      <c r="X97" s="1291" t="s">
        <v>80</v>
      </c>
      <c r="Y97" s="1291" t="s">
        <v>497</v>
      </c>
      <c r="Z97" s="1332" t="str">
        <f t="shared" si="43"/>
        <v>対象</v>
      </c>
      <c r="AB97" s="1349"/>
      <c r="AC97" s="1319"/>
      <c r="AD97" s="1334">
        <f>Score!$Z$97</f>
        <v>3</v>
      </c>
      <c r="AE97" s="1334">
        <f>Score!$AB$97</f>
        <v>0</v>
      </c>
      <c r="AF97" s="1335">
        <f t="shared" si="52"/>
        <v>3</v>
      </c>
      <c r="AG97" s="1336">
        <f t="shared" si="48"/>
        <v>2</v>
      </c>
      <c r="AH97" s="1337"/>
      <c r="AI97" s="1336">
        <f t="shared" si="44"/>
        <v>2</v>
      </c>
      <c r="AJ97" s="1298">
        <f t="shared" si="47"/>
        <v>2</v>
      </c>
      <c r="AK97" s="1347" t="b">
        <v>0</v>
      </c>
      <c r="AL97" s="1339">
        <f t="shared" si="45"/>
        <v>2</v>
      </c>
      <c r="AM97" s="1379"/>
    </row>
    <row r="98" spans="1:39" ht="30" customHeight="1">
      <c r="A98" s="4370"/>
      <c r="B98" s="4347"/>
      <c r="C98" s="4354"/>
      <c r="D98" s="1279" t="s">
        <v>1295</v>
      </c>
      <c r="E98" s="1280" t="s">
        <v>4503</v>
      </c>
      <c r="F98" s="1280" t="s">
        <v>4794</v>
      </c>
      <c r="G98" s="1286" t="s">
        <v>4916</v>
      </c>
      <c r="H98" s="1287" t="s">
        <v>4599</v>
      </c>
      <c r="I98" s="1288" t="str">
        <f t="shared" si="49"/>
        <v/>
      </c>
      <c r="J98" s="1288" t="str">
        <f t="shared" si="50"/>
        <v>●</v>
      </c>
      <c r="K98" s="1288" t="str">
        <f t="shared" si="51"/>
        <v/>
      </c>
      <c r="L98" s="1289"/>
      <c r="M98" s="1280"/>
      <c r="N98" s="1290">
        <f t="shared" si="53"/>
        <v>2</v>
      </c>
      <c r="O98" s="1313"/>
      <c r="Q98" s="1291" t="s">
        <v>92</v>
      </c>
      <c r="R98" s="1291" t="s">
        <v>407</v>
      </c>
      <c r="S98" s="1291" t="s">
        <v>445</v>
      </c>
      <c r="T98" s="1291" t="s">
        <v>496</v>
      </c>
      <c r="U98" s="1291" t="s">
        <v>447</v>
      </c>
      <c r="V98" s="1291" t="s">
        <v>82</v>
      </c>
      <c r="W98" s="1291" t="s">
        <v>448</v>
      </c>
      <c r="X98" s="1291" t="s">
        <v>80</v>
      </c>
      <c r="Y98" s="1291" t="s">
        <v>497</v>
      </c>
      <c r="Z98" s="1332" t="str">
        <f t="shared" si="43"/>
        <v>対象</v>
      </c>
      <c r="AB98" s="1349"/>
      <c r="AC98" s="1319"/>
      <c r="AD98" s="1334">
        <f>Score!$Z$98</f>
        <v>3</v>
      </c>
      <c r="AE98" s="1334">
        <f>Score!$AB$98</f>
        <v>0</v>
      </c>
      <c r="AF98" s="1335">
        <f t="shared" si="52"/>
        <v>3</v>
      </c>
      <c r="AG98" s="1336">
        <f t="shared" si="48"/>
        <v>2</v>
      </c>
      <c r="AH98" s="1337"/>
      <c r="AI98" s="1336">
        <f t="shared" si="44"/>
        <v>2</v>
      </c>
      <c r="AJ98" s="1298">
        <f t="shared" si="47"/>
        <v>2</v>
      </c>
      <c r="AK98" s="1347" t="b">
        <v>0</v>
      </c>
      <c r="AL98" s="1339">
        <f t="shared" si="45"/>
        <v>2</v>
      </c>
      <c r="AM98" s="1379"/>
    </row>
    <row r="99" spans="1:39" ht="48.6" customHeight="1">
      <c r="A99" s="4370"/>
      <c r="B99" s="1283" t="s">
        <v>1288</v>
      </c>
      <c r="C99" s="1284" t="s">
        <v>4795</v>
      </c>
      <c r="D99" s="1279" t="s">
        <v>1137</v>
      </c>
      <c r="E99" s="1280" t="s">
        <v>4796</v>
      </c>
      <c r="F99" s="1280" t="s">
        <v>4797</v>
      </c>
      <c r="G99" s="1286" t="s">
        <v>4916</v>
      </c>
      <c r="H99" s="1292" t="s">
        <v>4555</v>
      </c>
      <c r="I99" s="1282"/>
      <c r="J99" s="1282"/>
      <c r="K99" s="1282"/>
      <c r="L99" s="1289"/>
      <c r="M99" s="1280"/>
      <c r="N99" s="1290">
        <f t="shared" si="53"/>
        <v>1</v>
      </c>
      <c r="O99" s="1313"/>
      <c r="Q99" s="1291" t="s">
        <v>92</v>
      </c>
      <c r="R99" s="1291" t="s">
        <v>407</v>
      </c>
      <c r="S99" s="1291" t="s">
        <v>445</v>
      </c>
      <c r="T99" s="1291" t="s">
        <v>496</v>
      </c>
      <c r="U99" s="1291" t="s">
        <v>447</v>
      </c>
      <c r="V99" s="1291" t="s">
        <v>82</v>
      </c>
      <c r="W99" s="1291" t="s">
        <v>448</v>
      </c>
      <c r="X99" s="1291" t="s">
        <v>80</v>
      </c>
      <c r="Y99" s="1291" t="s">
        <v>497</v>
      </c>
      <c r="Z99" s="1332" t="str">
        <f t="shared" si="43"/>
        <v>対象</v>
      </c>
      <c r="AB99" s="1353">
        <v>1</v>
      </c>
      <c r="AC99" s="1319"/>
      <c r="AD99" s="1349"/>
      <c r="AE99" s="1349"/>
      <c r="AF99" s="1349"/>
      <c r="AG99" s="1349"/>
      <c r="AH99" s="1350"/>
      <c r="AI99" s="1336">
        <f t="shared" si="44"/>
        <v>1</v>
      </c>
      <c r="AJ99" s="1298">
        <f t="shared" si="47"/>
        <v>1</v>
      </c>
      <c r="AK99" s="1352" t="b">
        <v>0</v>
      </c>
      <c r="AL99" s="1339">
        <f t="shared" si="45"/>
        <v>1</v>
      </c>
      <c r="AM99" s="1377">
        <f>AVERAGEIFS(AL99,AL99,"&lt;&gt;0",AL99,"&lt;&gt;#DIV/0!")</f>
        <v>1</v>
      </c>
    </row>
    <row r="100" spans="1:39" ht="103.15" customHeight="1">
      <c r="A100" s="4370"/>
      <c r="B100" s="1283" t="s">
        <v>1289</v>
      </c>
      <c r="C100" s="1284" t="s">
        <v>4798</v>
      </c>
      <c r="D100" s="1279" t="s">
        <v>1296</v>
      </c>
      <c r="E100" s="1280" t="s">
        <v>4799</v>
      </c>
      <c r="F100" s="1280" t="s">
        <v>4961</v>
      </c>
      <c r="G100" s="1286" t="s">
        <v>4916</v>
      </c>
      <c r="H100" s="1292" t="s">
        <v>4555</v>
      </c>
      <c r="I100" s="1282"/>
      <c r="J100" s="1282"/>
      <c r="K100" s="1282"/>
      <c r="L100" s="1293"/>
      <c r="M100" s="1280"/>
      <c r="N100" s="1290">
        <f t="shared" si="53"/>
        <v>2</v>
      </c>
      <c r="O100" s="1313"/>
      <c r="Q100" s="1291" t="s">
        <v>92</v>
      </c>
      <c r="R100" s="1291" t="s">
        <v>407</v>
      </c>
      <c r="S100" s="1291" t="s">
        <v>445</v>
      </c>
      <c r="T100" s="1291" t="s">
        <v>496</v>
      </c>
      <c r="U100" s="1291" t="s">
        <v>447</v>
      </c>
      <c r="V100" s="1291" t="s">
        <v>82</v>
      </c>
      <c r="W100" s="1291" t="s">
        <v>448</v>
      </c>
      <c r="X100" s="1291" t="s">
        <v>80</v>
      </c>
      <c r="Y100" s="1291" t="s">
        <v>497</v>
      </c>
      <c r="Z100" s="1332" t="str">
        <f t="shared" si="43"/>
        <v>対象</v>
      </c>
      <c r="AB100" s="1353">
        <v>2</v>
      </c>
      <c r="AC100" s="1319"/>
      <c r="AD100" s="1349"/>
      <c r="AE100" s="1349"/>
      <c r="AF100" s="1349"/>
      <c r="AG100" s="1349"/>
      <c r="AH100" s="1350"/>
      <c r="AI100" s="1336">
        <f t="shared" si="44"/>
        <v>2</v>
      </c>
      <c r="AJ100" s="1298">
        <f t="shared" si="47"/>
        <v>2</v>
      </c>
      <c r="AK100" s="1352" t="b">
        <v>0</v>
      </c>
      <c r="AL100" s="1339">
        <f t="shared" si="45"/>
        <v>2</v>
      </c>
      <c r="AM100" s="1377">
        <f>AVERAGEIFS(AL100,AL100,"&lt;&gt;0",AL100,"&lt;&gt;#DIV/0!")</f>
        <v>2</v>
      </c>
    </row>
    <row r="101" spans="1:39" ht="102.75" customHeight="1">
      <c r="A101" s="1301" t="s">
        <v>4934</v>
      </c>
      <c r="B101" s="1275" t="s">
        <v>4962</v>
      </c>
      <c r="C101" s="1276"/>
      <c r="D101" s="1276"/>
      <c r="E101" s="1276"/>
      <c r="F101" s="1276"/>
      <c r="G101" s="1276"/>
      <c r="H101" s="1276"/>
      <c r="I101" s="1276"/>
      <c r="J101" s="1276"/>
      <c r="K101" s="1276"/>
      <c r="L101" s="1276"/>
      <c r="M101" s="1276"/>
      <c r="N101" s="1277"/>
      <c r="O101" s="1313"/>
      <c r="Q101" s="1477"/>
      <c r="R101" s="1476"/>
      <c r="S101" s="1476"/>
      <c r="T101" s="1476"/>
      <c r="U101" s="1476"/>
      <c r="V101" s="1476"/>
      <c r="W101" s="1476"/>
      <c r="X101" s="1476"/>
      <c r="Y101" s="1476"/>
      <c r="Z101" s="1277"/>
      <c r="AB101" s="1382"/>
      <c r="AD101" s="1383"/>
      <c r="AE101" s="1384"/>
      <c r="AF101" s="1384"/>
      <c r="AG101" s="1381"/>
      <c r="AH101" s="1385"/>
      <c r="AI101" s="1386"/>
      <c r="AJ101" s="1384"/>
      <c r="AK101" s="1384"/>
      <c r="AL101" s="1384"/>
      <c r="AM101" s="1387"/>
    </row>
    <row r="102" spans="1:39" ht="30" customHeight="1">
      <c r="A102" s="4372" t="s">
        <v>4935</v>
      </c>
      <c r="B102" s="4353">
        <v>11.1</v>
      </c>
      <c r="C102" s="4360" t="s">
        <v>4800</v>
      </c>
      <c r="D102" s="4348" t="s">
        <v>1138</v>
      </c>
      <c r="E102" s="4422" t="s">
        <v>4801</v>
      </c>
      <c r="F102" s="1280" t="s">
        <v>4802</v>
      </c>
      <c r="G102" s="1286" t="s">
        <v>4916</v>
      </c>
      <c r="H102" s="1287" t="s">
        <v>4554</v>
      </c>
      <c r="I102" s="1288" t="str">
        <f t="shared" ref="I102:I107" si="54">IF(AI102=1,"●","")</f>
        <v/>
      </c>
      <c r="J102" s="1288" t="str">
        <f t="shared" ref="J102:J107" si="55">IF(AI102=2,"●","")</f>
        <v>●</v>
      </c>
      <c r="K102" s="1288" t="str">
        <f t="shared" ref="K102:K107" si="56">IF(AI102=3,"●","")</f>
        <v/>
      </c>
      <c r="L102" s="4386"/>
      <c r="M102" s="4389"/>
      <c r="N102" s="4380">
        <f>IF(AND(Z102="N.A.",Z103="N.A.",Z104="N.A.",Z105="N.A.",Z106="N.A.",Z107="N.A.",Z108="N.A."),"N.A.",AL102)</f>
        <v>2</v>
      </c>
      <c r="O102" s="1313"/>
      <c r="Q102" s="1291" t="s">
        <v>92</v>
      </c>
      <c r="R102" s="1291" t="s">
        <v>407</v>
      </c>
      <c r="S102" s="1291" t="s">
        <v>445</v>
      </c>
      <c r="T102" s="1291" t="s">
        <v>496</v>
      </c>
      <c r="U102" s="1291" t="s">
        <v>447</v>
      </c>
      <c r="V102" s="1291" t="s">
        <v>82</v>
      </c>
      <c r="W102" s="1291" t="s">
        <v>448</v>
      </c>
      <c r="X102" s="1291" t="s">
        <v>80</v>
      </c>
      <c r="Y102" s="1291" t="s">
        <v>497</v>
      </c>
      <c r="Z102" s="1332" t="str">
        <f t="shared" ref="Z102:Z133" si="57">IF(AG102="#DIV/0!","N.A.",IF(AND($Q$4="〇",Q102&lt;&gt;"")+AND($R$4="〇",R102&lt;&gt;"")+AND($S$4="〇",S102&lt;&gt;"")+AND($T$4="〇",T102&lt;&gt;"")+AND($U$4="〇",U102&lt;&gt;"")+AND($V$4="〇",V102&lt;&gt;"")+AND($W$4="〇",W102&lt;&gt;"")+AND($X$4="〇",X102&lt;&gt;"")+AND($Y$4="〇",Y102&lt;&gt;"")=0,"N.A.","対象"))</f>
        <v>対象</v>
      </c>
      <c r="AB102" s="1349"/>
      <c r="AC102" s="1319"/>
      <c r="AD102" s="1334">
        <f>Score!$Z$10</f>
        <v>3.0000000000000004</v>
      </c>
      <c r="AE102" s="1334">
        <f>Score!$AB$22</f>
        <v>0</v>
      </c>
      <c r="AF102" s="1335">
        <f t="shared" ref="AF102:AF107" si="58">IF(AE102=0,AD102,IF(AD102=0,AE102,AD102*$AD$6+AE102*$AE$6))</f>
        <v>3.0000000000000004</v>
      </c>
      <c r="AG102" s="1336">
        <f t="shared" ref="AG102:AG143" si="59">IF(AF102=0,"#DIV/0!",IF(AF102&lt;2,1,IF(AF102&lt;4,2,3)))</f>
        <v>2</v>
      </c>
      <c r="AH102" s="1337"/>
      <c r="AI102" s="1361">
        <f t="shared" ref="AI102:AI133" si="60">IF(Z102="N.A.","#DIV/0!",IF(AG102="",AB102,IF(AB102="",AG102,0)))</f>
        <v>2</v>
      </c>
      <c r="AJ102" s="1388">
        <f>AVERAGEIFS(AI102:AI107,AI102:AI107,"&lt;&gt;0",AI102:AI107,"&lt;&gt;#DIV/0!")</f>
        <v>2</v>
      </c>
      <c r="AK102" s="1363" t="b">
        <v>0</v>
      </c>
      <c r="AL102" s="1362">
        <f t="shared" ref="AL102:AL168" si="61">IF(AK102=FALSE,AJ102,IF(AJ102=1,2,3))</f>
        <v>2</v>
      </c>
      <c r="AM102" s="1389">
        <f>AVERAGEIFS(AL102:AL108,AL102:AL108,"&lt;&gt;0",AL102:AL108,"&lt;&gt;#DIV/0!")</f>
        <v>2.5</v>
      </c>
    </row>
    <row r="103" spans="1:39" ht="30" customHeight="1">
      <c r="A103" s="4373"/>
      <c r="B103" s="4353"/>
      <c r="C103" s="4360"/>
      <c r="D103" s="4425"/>
      <c r="E103" s="4423"/>
      <c r="F103" s="1280" t="s">
        <v>4803</v>
      </c>
      <c r="G103" s="1286" t="s">
        <v>4916</v>
      </c>
      <c r="H103" s="1287" t="s">
        <v>4542</v>
      </c>
      <c r="I103" s="1288" t="str">
        <f t="shared" si="54"/>
        <v/>
      </c>
      <c r="J103" s="1288" t="str">
        <f t="shared" si="55"/>
        <v>●</v>
      </c>
      <c r="K103" s="1288" t="str">
        <f t="shared" si="56"/>
        <v/>
      </c>
      <c r="L103" s="4387"/>
      <c r="M103" s="4390"/>
      <c r="N103" s="4385"/>
      <c r="O103" s="1313"/>
      <c r="Q103" s="1291" t="s">
        <v>92</v>
      </c>
      <c r="R103" s="1291" t="s">
        <v>407</v>
      </c>
      <c r="S103" s="1291" t="s">
        <v>445</v>
      </c>
      <c r="T103" s="1291" t="s">
        <v>496</v>
      </c>
      <c r="U103" s="1291" t="s">
        <v>447</v>
      </c>
      <c r="V103" s="1291" t="s">
        <v>82</v>
      </c>
      <c r="W103" s="1291" t="s">
        <v>448</v>
      </c>
      <c r="X103" s="1291" t="s">
        <v>80</v>
      </c>
      <c r="Y103" s="1291" t="s">
        <v>497</v>
      </c>
      <c r="Z103" s="1332" t="str">
        <f t="shared" si="57"/>
        <v>対象</v>
      </c>
      <c r="AB103" s="1349"/>
      <c r="AC103" s="1319"/>
      <c r="AD103" s="1334">
        <f>Score!$Z$22</f>
        <v>3</v>
      </c>
      <c r="AE103" s="1334">
        <f>Score!$AB$24</f>
        <v>0</v>
      </c>
      <c r="AF103" s="1335">
        <f t="shared" si="58"/>
        <v>3</v>
      </c>
      <c r="AG103" s="1336">
        <f t="shared" si="59"/>
        <v>2</v>
      </c>
      <c r="AH103" s="1337"/>
      <c r="AI103" s="1361">
        <f t="shared" si="60"/>
        <v>2</v>
      </c>
      <c r="AJ103" s="1390"/>
      <c r="AK103" s="1366"/>
      <c r="AL103" s="1365"/>
      <c r="AM103" s="1391"/>
    </row>
    <row r="104" spans="1:39" ht="30" customHeight="1">
      <c r="A104" s="4373"/>
      <c r="B104" s="4353"/>
      <c r="C104" s="4360"/>
      <c r="D104" s="4425"/>
      <c r="E104" s="4423"/>
      <c r="F104" s="1280" t="s">
        <v>4804</v>
      </c>
      <c r="G104" s="1286" t="s">
        <v>4916</v>
      </c>
      <c r="H104" s="1287" t="s">
        <v>4543</v>
      </c>
      <c r="I104" s="1288" t="str">
        <f t="shared" si="54"/>
        <v/>
      </c>
      <c r="J104" s="1288" t="str">
        <f t="shared" si="55"/>
        <v>●</v>
      </c>
      <c r="K104" s="1288" t="str">
        <f t="shared" si="56"/>
        <v/>
      </c>
      <c r="L104" s="4387"/>
      <c r="M104" s="4390"/>
      <c r="N104" s="4385"/>
      <c r="O104" s="1313"/>
      <c r="Q104" s="1291" t="s">
        <v>92</v>
      </c>
      <c r="R104" s="1291" t="s">
        <v>407</v>
      </c>
      <c r="S104" s="1291" t="s">
        <v>445</v>
      </c>
      <c r="T104" s="1291" t="s">
        <v>496</v>
      </c>
      <c r="U104" s="1291" t="s">
        <v>447</v>
      </c>
      <c r="V104" s="1291" t="s">
        <v>82</v>
      </c>
      <c r="W104" s="1291" t="s">
        <v>448</v>
      </c>
      <c r="X104" s="1291" t="s">
        <v>80</v>
      </c>
      <c r="Y104" s="1291" t="s">
        <v>497</v>
      </c>
      <c r="Z104" s="1332" t="str">
        <f t="shared" si="57"/>
        <v>対象</v>
      </c>
      <c r="AB104" s="1349"/>
      <c r="AC104" s="1319"/>
      <c r="AD104" s="1334">
        <f>Score!$Z$24</f>
        <v>3</v>
      </c>
      <c r="AE104" s="1334">
        <f>Score!$AB$39</f>
        <v>0</v>
      </c>
      <c r="AF104" s="1335">
        <f t="shared" si="58"/>
        <v>3</v>
      </c>
      <c r="AG104" s="1336">
        <f t="shared" si="59"/>
        <v>2</v>
      </c>
      <c r="AH104" s="1337"/>
      <c r="AI104" s="1361">
        <f t="shared" si="60"/>
        <v>2</v>
      </c>
      <c r="AJ104" s="1390"/>
      <c r="AK104" s="1366"/>
      <c r="AL104" s="1365"/>
      <c r="AM104" s="1391"/>
    </row>
    <row r="105" spans="1:39" ht="30" customHeight="1">
      <c r="A105" s="4373"/>
      <c r="B105" s="4353"/>
      <c r="C105" s="4360"/>
      <c r="D105" s="4425"/>
      <c r="E105" s="4423"/>
      <c r="F105" s="1280" t="s">
        <v>4805</v>
      </c>
      <c r="G105" s="1286" t="s">
        <v>4916</v>
      </c>
      <c r="H105" s="1287" t="s">
        <v>4551</v>
      </c>
      <c r="I105" s="1288" t="str">
        <f t="shared" si="54"/>
        <v/>
      </c>
      <c r="J105" s="1288" t="str">
        <f t="shared" si="55"/>
        <v>●</v>
      </c>
      <c r="K105" s="1288" t="str">
        <f t="shared" si="56"/>
        <v/>
      </c>
      <c r="L105" s="4387"/>
      <c r="M105" s="4390"/>
      <c r="N105" s="4385"/>
      <c r="O105" s="1313"/>
      <c r="Q105" s="1291" t="s">
        <v>92</v>
      </c>
      <c r="R105" s="1291" t="s">
        <v>407</v>
      </c>
      <c r="S105" s="1291" t="s">
        <v>445</v>
      </c>
      <c r="T105" s="1291" t="s">
        <v>496</v>
      </c>
      <c r="U105" s="1291" t="s">
        <v>447</v>
      </c>
      <c r="V105" s="1291" t="s">
        <v>82</v>
      </c>
      <c r="W105" s="1291" t="s">
        <v>448</v>
      </c>
      <c r="X105" s="1291" t="s">
        <v>80</v>
      </c>
      <c r="Y105" s="1291" t="s">
        <v>497</v>
      </c>
      <c r="Z105" s="1332" t="str">
        <f t="shared" si="57"/>
        <v>対象</v>
      </c>
      <c r="AB105" s="1349"/>
      <c r="AC105" s="1319"/>
      <c r="AD105" s="1334">
        <f>Score!$Z$39</f>
        <v>3</v>
      </c>
      <c r="AE105" s="1334">
        <f>Score!$AB$54</f>
        <v>0</v>
      </c>
      <c r="AF105" s="1335">
        <f t="shared" si="58"/>
        <v>3</v>
      </c>
      <c r="AG105" s="1336">
        <f t="shared" si="59"/>
        <v>2</v>
      </c>
      <c r="AH105" s="1337"/>
      <c r="AI105" s="1361">
        <f t="shared" si="60"/>
        <v>2</v>
      </c>
      <c r="AJ105" s="1390"/>
      <c r="AK105" s="1366"/>
      <c r="AL105" s="1365"/>
      <c r="AM105" s="1391"/>
    </row>
    <row r="106" spans="1:39" ht="30" customHeight="1">
      <c r="A106" s="4373"/>
      <c r="B106" s="4353"/>
      <c r="C106" s="4360"/>
      <c r="D106" s="4425"/>
      <c r="E106" s="4423"/>
      <c r="F106" s="1280" t="s">
        <v>4806</v>
      </c>
      <c r="G106" s="1286" t="s">
        <v>4916</v>
      </c>
      <c r="H106" s="1287" t="s">
        <v>4548</v>
      </c>
      <c r="I106" s="1288" t="str">
        <f t="shared" si="54"/>
        <v/>
      </c>
      <c r="J106" s="1288" t="str">
        <f t="shared" si="55"/>
        <v>●</v>
      </c>
      <c r="K106" s="1288" t="str">
        <f t="shared" si="56"/>
        <v/>
      </c>
      <c r="L106" s="4387"/>
      <c r="M106" s="4390"/>
      <c r="N106" s="4385"/>
      <c r="O106" s="1313"/>
      <c r="Q106" s="1291" t="s">
        <v>92</v>
      </c>
      <c r="R106" s="1291" t="s">
        <v>407</v>
      </c>
      <c r="S106" s="1291" t="s">
        <v>445</v>
      </c>
      <c r="T106" s="1291" t="s">
        <v>496</v>
      </c>
      <c r="U106" s="1291" t="s">
        <v>447</v>
      </c>
      <c r="V106" s="1291" t="s">
        <v>82</v>
      </c>
      <c r="W106" s="1291" t="s">
        <v>448</v>
      </c>
      <c r="X106" s="1291" t="s">
        <v>80</v>
      </c>
      <c r="Y106" s="1291" t="s">
        <v>497</v>
      </c>
      <c r="Z106" s="1332" t="str">
        <f t="shared" si="57"/>
        <v>対象</v>
      </c>
      <c r="AB106" s="1349"/>
      <c r="AC106" s="1319"/>
      <c r="AD106" s="1334">
        <f>Score!$Z$50</f>
        <v>3</v>
      </c>
      <c r="AE106" s="1334">
        <f>Score!$AB$50</f>
        <v>0</v>
      </c>
      <c r="AF106" s="1335">
        <f t="shared" si="58"/>
        <v>3</v>
      </c>
      <c r="AG106" s="1336">
        <f t="shared" si="59"/>
        <v>2</v>
      </c>
      <c r="AH106" s="1337"/>
      <c r="AI106" s="1361">
        <f t="shared" si="60"/>
        <v>2</v>
      </c>
      <c r="AJ106" s="1390"/>
      <c r="AK106" s="1366"/>
      <c r="AL106" s="1365"/>
      <c r="AM106" s="1391"/>
    </row>
    <row r="107" spans="1:39" ht="30" customHeight="1">
      <c r="A107" s="4373"/>
      <c r="B107" s="4353"/>
      <c r="C107" s="4360"/>
      <c r="D107" s="4349"/>
      <c r="E107" s="4424"/>
      <c r="F107" s="1280" t="s">
        <v>4807</v>
      </c>
      <c r="G107" s="1286" t="s">
        <v>4916</v>
      </c>
      <c r="H107" s="1287" t="s">
        <v>4546</v>
      </c>
      <c r="I107" s="1288" t="str">
        <f t="shared" si="54"/>
        <v/>
      </c>
      <c r="J107" s="1288" t="str">
        <f t="shared" si="55"/>
        <v>●</v>
      </c>
      <c r="K107" s="1288" t="str">
        <f t="shared" si="56"/>
        <v/>
      </c>
      <c r="L107" s="4388"/>
      <c r="M107" s="4391"/>
      <c r="N107" s="4381"/>
      <c r="O107" s="1313"/>
      <c r="Q107" s="1291" t="s">
        <v>92</v>
      </c>
      <c r="R107" s="1291" t="s">
        <v>407</v>
      </c>
      <c r="S107" s="1291" t="s">
        <v>445</v>
      </c>
      <c r="T107" s="1291" t="s">
        <v>496</v>
      </c>
      <c r="U107" s="1291" t="s">
        <v>447</v>
      </c>
      <c r="V107" s="1291" t="s">
        <v>82</v>
      </c>
      <c r="W107" s="1291" t="s">
        <v>448</v>
      </c>
      <c r="X107" s="1291" t="s">
        <v>80</v>
      </c>
      <c r="Y107" s="1291" t="s">
        <v>497</v>
      </c>
      <c r="Z107" s="1332" t="str">
        <f t="shared" si="57"/>
        <v>対象</v>
      </c>
      <c r="AB107" s="1349"/>
      <c r="AC107" s="1319"/>
      <c r="AD107" s="1334">
        <f>Score!$Z$54</f>
        <v>3</v>
      </c>
      <c r="AE107" s="1334">
        <f>Score!$AB$10</f>
        <v>0</v>
      </c>
      <c r="AF107" s="1335">
        <f t="shared" si="58"/>
        <v>3</v>
      </c>
      <c r="AG107" s="1336">
        <f t="shared" si="59"/>
        <v>2</v>
      </c>
      <c r="AH107" s="1337"/>
      <c r="AI107" s="1361">
        <f t="shared" si="60"/>
        <v>2</v>
      </c>
      <c r="AJ107" s="1390"/>
      <c r="AK107" s="1366"/>
      <c r="AL107" s="1365"/>
      <c r="AM107" s="1391"/>
    </row>
    <row r="108" spans="1:39" ht="77.45" customHeight="1">
      <c r="A108" s="4373"/>
      <c r="B108" s="4353"/>
      <c r="C108" s="4360"/>
      <c r="D108" s="1279" t="s">
        <v>1297</v>
      </c>
      <c r="E108" s="1282" t="s">
        <v>4808</v>
      </c>
      <c r="F108" s="1280" t="s">
        <v>4963</v>
      </c>
      <c r="G108" s="1286" t="s">
        <v>4916</v>
      </c>
      <c r="H108" s="1292" t="s">
        <v>4555</v>
      </c>
      <c r="I108" s="1282"/>
      <c r="J108" s="1282"/>
      <c r="K108" s="1282"/>
      <c r="L108" s="1293"/>
      <c r="M108" s="1451"/>
      <c r="N108" s="1290">
        <f t="shared" ref="N108:N124" si="62">IF(Z108="N.A.","N.A.",AL108)</f>
        <v>3</v>
      </c>
      <c r="O108" s="1313"/>
      <c r="Q108" s="1291" t="s">
        <v>92</v>
      </c>
      <c r="R108" s="1291" t="s">
        <v>407</v>
      </c>
      <c r="S108" s="1291" t="s">
        <v>445</v>
      </c>
      <c r="T108" s="1291" t="s">
        <v>496</v>
      </c>
      <c r="U108" s="1291" t="s">
        <v>447</v>
      </c>
      <c r="V108" s="1291" t="s">
        <v>82</v>
      </c>
      <c r="W108" s="1291" t="s">
        <v>448</v>
      </c>
      <c r="X108" s="1291" t="s">
        <v>80</v>
      </c>
      <c r="Y108" s="1291" t="s">
        <v>497</v>
      </c>
      <c r="Z108" s="1332" t="str">
        <f t="shared" si="57"/>
        <v>対象</v>
      </c>
      <c r="AB108" s="1353">
        <v>3</v>
      </c>
      <c r="AC108" s="1319"/>
      <c r="AD108" s="1354"/>
      <c r="AE108" s="1354"/>
      <c r="AF108" s="1349"/>
      <c r="AG108" s="1349"/>
      <c r="AH108" s="1337"/>
      <c r="AI108" s="1336">
        <f t="shared" si="60"/>
        <v>3</v>
      </c>
      <c r="AJ108" s="1298">
        <f t="shared" ref="AJ108" si="63">AVERAGEIFS(AI108,AI108,"&lt;&gt;0",AI108,"&lt;&gt;#DIV/0!")</f>
        <v>3</v>
      </c>
      <c r="AK108" s="1352" t="b">
        <v>0</v>
      </c>
      <c r="AL108" s="1339">
        <f t="shared" ref="AL108" si="64">IF(AK108=FALSE,AJ108,IF(AJ108=1,2,3))</f>
        <v>3</v>
      </c>
      <c r="AM108" s="1335"/>
    </row>
    <row r="109" spans="1:39" ht="49.9" customHeight="1">
      <c r="A109" s="4373"/>
      <c r="B109" s="1283">
        <v>11.2</v>
      </c>
      <c r="C109" s="1296" t="s">
        <v>4508</v>
      </c>
      <c r="D109" s="1279" t="s">
        <v>1139</v>
      </c>
      <c r="E109" s="1280" t="s">
        <v>4809</v>
      </c>
      <c r="F109" s="1280" t="s">
        <v>4810</v>
      </c>
      <c r="G109" s="1286" t="s">
        <v>4916</v>
      </c>
      <c r="H109" s="1287" t="s">
        <v>4600</v>
      </c>
      <c r="I109" s="1288" t="str">
        <f>IF(AI109=1,"●","")</f>
        <v/>
      </c>
      <c r="J109" s="1288" t="str">
        <f>IF(AI109=2,"●","")</f>
        <v>●</v>
      </c>
      <c r="K109" s="1288" t="str">
        <f>IF(AI109=3,"●","")</f>
        <v/>
      </c>
      <c r="L109" s="1293"/>
      <c r="M109" s="1280"/>
      <c r="N109" s="1290">
        <f t="shared" si="62"/>
        <v>2</v>
      </c>
      <c r="O109" s="1313"/>
      <c r="Q109" s="1291" t="s">
        <v>92</v>
      </c>
      <c r="R109" s="1291" t="s">
        <v>407</v>
      </c>
      <c r="S109" s="1291" t="s">
        <v>445</v>
      </c>
      <c r="T109" s="1291" t="s">
        <v>496</v>
      </c>
      <c r="U109" s="1291" t="s">
        <v>447</v>
      </c>
      <c r="V109" s="1291" t="s">
        <v>82</v>
      </c>
      <c r="W109" s="1291" t="s">
        <v>448</v>
      </c>
      <c r="X109" s="1291" t="s">
        <v>80</v>
      </c>
      <c r="Y109" s="1291" t="s">
        <v>497</v>
      </c>
      <c r="Z109" s="1332" t="str">
        <f t="shared" si="57"/>
        <v>対象</v>
      </c>
      <c r="AB109" s="1349"/>
      <c r="AC109" s="1319"/>
      <c r="AD109" s="1334">
        <f>Score!$Z$182</f>
        <v>3</v>
      </c>
      <c r="AE109" s="1334">
        <f>Score!$AB$182</f>
        <v>0</v>
      </c>
      <c r="AF109" s="1335">
        <f>IF(AE109=0,AD109,IF(AD109=0,AE109,AD109*$AD$6+AE109*$AE$6))</f>
        <v>3</v>
      </c>
      <c r="AG109" s="1336">
        <f t="shared" si="59"/>
        <v>2</v>
      </c>
      <c r="AH109" s="1337"/>
      <c r="AI109" s="1336">
        <f t="shared" si="60"/>
        <v>2</v>
      </c>
      <c r="AJ109" s="1370">
        <f t="shared" ref="AJ109:AJ140" si="65">AVERAGEIFS(AI109,AI109,"&lt;&gt;0",AI109,"&lt;&gt;#DIV/0!")</f>
        <v>2</v>
      </c>
      <c r="AK109" s="1392" t="b">
        <v>0</v>
      </c>
      <c r="AL109" s="1365">
        <f t="shared" si="61"/>
        <v>2</v>
      </c>
      <c r="AM109" s="1376">
        <f>AVERAGEIFS(AL109,AL109,"&lt;&gt;0",AL109,"&lt;&gt;#DIV/0!")</f>
        <v>2</v>
      </c>
    </row>
    <row r="110" spans="1:39" ht="30" customHeight="1">
      <c r="A110" s="4373"/>
      <c r="B110" s="1279">
        <v>11.3</v>
      </c>
      <c r="C110" s="1282" t="s">
        <v>4811</v>
      </c>
      <c r="D110" s="1279" t="s">
        <v>1140</v>
      </c>
      <c r="E110" s="1280" t="s">
        <v>4812</v>
      </c>
      <c r="F110" s="1280" t="s">
        <v>4813</v>
      </c>
      <c r="G110" s="1286" t="s">
        <v>4916</v>
      </c>
      <c r="H110" s="1287" t="s">
        <v>4601</v>
      </c>
      <c r="I110" s="1288" t="str">
        <f t="shared" ref="I110:I135" si="66">IF(AI110=1,"●","")</f>
        <v>●</v>
      </c>
      <c r="J110" s="1288" t="str">
        <f t="shared" ref="J110:J135" si="67">IF(AI110=2,"●","")</f>
        <v/>
      </c>
      <c r="K110" s="1288" t="str">
        <f t="shared" ref="K110:K135" si="68">IF(AI110=3,"●","")</f>
        <v/>
      </c>
      <c r="L110" s="1293"/>
      <c r="M110" s="1280"/>
      <c r="N110" s="1290">
        <f t="shared" si="62"/>
        <v>1</v>
      </c>
      <c r="O110" s="1313"/>
      <c r="Q110" s="1291" t="s">
        <v>92</v>
      </c>
      <c r="R110" s="1291" t="s">
        <v>407</v>
      </c>
      <c r="S110" s="1291" t="s">
        <v>445</v>
      </c>
      <c r="T110" s="1291" t="s">
        <v>496</v>
      </c>
      <c r="U110" s="1291" t="s">
        <v>447</v>
      </c>
      <c r="V110" s="1291" t="s">
        <v>82</v>
      </c>
      <c r="W110" s="1291" t="s">
        <v>448</v>
      </c>
      <c r="X110" s="1291" t="s">
        <v>80</v>
      </c>
      <c r="Y110" s="1291" t="s">
        <v>497</v>
      </c>
      <c r="Z110" s="1332" t="str">
        <f t="shared" si="57"/>
        <v>対象</v>
      </c>
      <c r="AB110" s="1349"/>
      <c r="AC110" s="1319"/>
      <c r="AD110" s="1334">
        <f>IF('Q3'!G92=1,5,1)</f>
        <v>1</v>
      </c>
      <c r="AE110" s="1349"/>
      <c r="AF110" s="1335">
        <f>IF(AE110=0,AD110,IF(AD110=0,AE110,AD110*$AD$6+AE110*$AE$6))</f>
        <v>1</v>
      </c>
      <c r="AG110" s="1336">
        <f t="shared" si="59"/>
        <v>1</v>
      </c>
      <c r="AH110" s="1337"/>
      <c r="AI110" s="1336">
        <f t="shared" si="60"/>
        <v>1</v>
      </c>
      <c r="AJ110" s="1298">
        <f t="shared" si="65"/>
        <v>1</v>
      </c>
      <c r="AK110" s="1352" t="b">
        <v>0</v>
      </c>
      <c r="AL110" s="1339">
        <f t="shared" si="61"/>
        <v>1</v>
      </c>
      <c r="AM110" s="1360">
        <f>AVERAGEIFS(AL110,AL110,"&lt;&gt;0",AL110,"&lt;&gt;#DIV/0!")</f>
        <v>1</v>
      </c>
    </row>
    <row r="111" spans="1:39" ht="40.9" customHeight="1">
      <c r="A111" s="4373"/>
      <c r="B111" s="4347">
        <v>11.4</v>
      </c>
      <c r="C111" s="4354" t="s">
        <v>4814</v>
      </c>
      <c r="D111" s="1279" t="s">
        <v>1141</v>
      </c>
      <c r="E111" s="1280" t="s">
        <v>4815</v>
      </c>
      <c r="F111" s="1280" t="s">
        <v>4816</v>
      </c>
      <c r="G111" s="1286" t="s">
        <v>4916</v>
      </c>
      <c r="H111" s="1287" t="s">
        <v>4602</v>
      </c>
      <c r="I111" s="1288" t="str">
        <f t="shared" si="66"/>
        <v/>
      </c>
      <c r="J111" s="1288" t="str">
        <f t="shared" si="67"/>
        <v>●</v>
      </c>
      <c r="K111" s="1288" t="str">
        <f t="shared" si="68"/>
        <v/>
      </c>
      <c r="L111" s="1289"/>
      <c r="M111" s="1280"/>
      <c r="N111" s="1290">
        <f t="shared" si="62"/>
        <v>2</v>
      </c>
      <c r="O111" s="1313"/>
      <c r="Q111" s="1291" t="s">
        <v>92</v>
      </c>
      <c r="R111" s="1291" t="s">
        <v>407</v>
      </c>
      <c r="S111" s="1291" t="s">
        <v>445</v>
      </c>
      <c r="T111" s="1291" t="s">
        <v>496</v>
      </c>
      <c r="U111" s="1291" t="s">
        <v>447</v>
      </c>
      <c r="V111" s="1291" t="s">
        <v>82</v>
      </c>
      <c r="W111" s="1291" t="s">
        <v>448</v>
      </c>
      <c r="X111" s="1291" t="s">
        <v>80</v>
      </c>
      <c r="Y111" s="1291" t="s">
        <v>497</v>
      </c>
      <c r="Z111" s="1332" t="str">
        <f t="shared" si="57"/>
        <v>対象</v>
      </c>
      <c r="AB111" s="1349"/>
      <c r="AC111" s="1319"/>
      <c r="AD111" s="1334">
        <f>Score!$Z$177</f>
        <v>3</v>
      </c>
      <c r="AE111" s="1334">
        <f>Score!$AB$177</f>
        <v>0</v>
      </c>
      <c r="AF111" s="1335">
        <f>IF(AE111=0,AD111,IF(AD111=0,AE111,AD111*$AD$6+AE111*$AE$6))</f>
        <v>3</v>
      </c>
      <c r="AG111" s="1336">
        <f t="shared" si="59"/>
        <v>2</v>
      </c>
      <c r="AH111" s="1337"/>
      <c r="AI111" s="1336">
        <f t="shared" si="60"/>
        <v>2</v>
      </c>
      <c r="AJ111" s="1298">
        <f t="shared" si="65"/>
        <v>2</v>
      </c>
      <c r="AK111" s="1347" t="b">
        <v>0</v>
      </c>
      <c r="AL111" s="1339">
        <f t="shared" si="61"/>
        <v>2</v>
      </c>
      <c r="AM111" s="1374">
        <f>AVERAGEIFS(AL111:AL114,AL111:AL114,"&lt;&gt;0",AL111:AL114,"&lt;&gt;#DIV/0!")</f>
        <v>1.75</v>
      </c>
    </row>
    <row r="112" spans="1:39" ht="41.45" customHeight="1">
      <c r="A112" s="4373"/>
      <c r="B112" s="4347"/>
      <c r="C112" s="4354"/>
      <c r="D112" s="1279" t="s">
        <v>1142</v>
      </c>
      <c r="E112" s="1280" t="s">
        <v>4817</v>
      </c>
      <c r="F112" s="1280" t="s">
        <v>4818</v>
      </c>
      <c r="G112" s="1286" t="s">
        <v>4916</v>
      </c>
      <c r="H112" s="1287" t="s">
        <v>4570</v>
      </c>
      <c r="I112" s="1288" t="str">
        <f t="shared" si="66"/>
        <v/>
      </c>
      <c r="J112" s="1288" t="str">
        <f t="shared" si="67"/>
        <v>●</v>
      </c>
      <c r="K112" s="1288" t="str">
        <f t="shared" si="68"/>
        <v/>
      </c>
      <c r="L112" s="1295" t="str">
        <f>IF(L53="","（The result for 6.5.1 is transferred.）",L53)</f>
        <v>（The result for 6.5.1 is transferred.）</v>
      </c>
      <c r="M112" s="1280"/>
      <c r="N112" s="1290">
        <f t="shared" si="62"/>
        <v>2</v>
      </c>
      <c r="O112" s="1313"/>
      <c r="Q112" s="1291" t="s">
        <v>92</v>
      </c>
      <c r="R112" s="1291" t="s">
        <v>407</v>
      </c>
      <c r="S112" s="1291" t="s">
        <v>445</v>
      </c>
      <c r="T112" s="1291" t="s">
        <v>496</v>
      </c>
      <c r="U112" s="1291" t="s">
        <v>447</v>
      </c>
      <c r="V112" s="1291" t="s">
        <v>82</v>
      </c>
      <c r="W112" s="1291" t="s">
        <v>448</v>
      </c>
      <c r="X112" s="1291" t="s">
        <v>80</v>
      </c>
      <c r="Y112" s="1291" t="s">
        <v>497</v>
      </c>
      <c r="Z112" s="1332" t="str">
        <f t="shared" si="57"/>
        <v>対象</v>
      </c>
      <c r="AB112" s="1349"/>
      <c r="AC112" s="1319"/>
      <c r="AD112" s="1334">
        <f>Score!$Z$181</f>
        <v>3</v>
      </c>
      <c r="AE112" s="1334">
        <f>Score!$AB$181</f>
        <v>0</v>
      </c>
      <c r="AF112" s="1335">
        <f>IF(AE112=0,AD112,IF(AD112=0,AE112,AD112*$AD$6+AE112*$AE$6))</f>
        <v>3</v>
      </c>
      <c r="AG112" s="1336">
        <f t="shared" si="59"/>
        <v>2</v>
      </c>
      <c r="AH112" s="1337"/>
      <c r="AI112" s="1336">
        <f t="shared" si="60"/>
        <v>2</v>
      </c>
      <c r="AJ112" s="1298">
        <f t="shared" si="65"/>
        <v>2</v>
      </c>
      <c r="AK112" s="1347" t="b">
        <v>0</v>
      </c>
      <c r="AL112" s="1339">
        <f t="shared" si="61"/>
        <v>2</v>
      </c>
      <c r="AM112" s="1373"/>
    </row>
    <row r="113" spans="1:39" ht="30" customHeight="1">
      <c r="A113" s="4373"/>
      <c r="B113" s="4347"/>
      <c r="C113" s="4354"/>
      <c r="D113" s="1279" t="s">
        <v>1143</v>
      </c>
      <c r="E113" s="1280" t="s">
        <v>4819</v>
      </c>
      <c r="F113" s="1280" t="s">
        <v>4820</v>
      </c>
      <c r="G113" s="1286" t="s">
        <v>4916</v>
      </c>
      <c r="H113" s="1287" t="s">
        <v>4603</v>
      </c>
      <c r="I113" s="1288" t="str">
        <f t="shared" si="66"/>
        <v/>
      </c>
      <c r="J113" s="1288" t="str">
        <f t="shared" si="67"/>
        <v>●</v>
      </c>
      <c r="K113" s="1288" t="str">
        <f t="shared" si="68"/>
        <v/>
      </c>
      <c r="L113" s="1295"/>
      <c r="M113" s="1280"/>
      <c r="N113" s="1290">
        <f t="shared" si="62"/>
        <v>2</v>
      </c>
      <c r="O113" s="1313"/>
      <c r="Q113" s="1291" t="s">
        <v>92</v>
      </c>
      <c r="R113" s="1291" t="s">
        <v>407</v>
      </c>
      <c r="S113" s="1291" t="s">
        <v>445</v>
      </c>
      <c r="T113" s="1291" t="s">
        <v>496</v>
      </c>
      <c r="U113" s="1291" t="s">
        <v>447</v>
      </c>
      <c r="V113" s="1291" t="s">
        <v>82</v>
      </c>
      <c r="W113" s="1291" t="s">
        <v>448</v>
      </c>
      <c r="X113" s="1291" t="s">
        <v>80</v>
      </c>
      <c r="Y113" s="1291" t="s">
        <v>497</v>
      </c>
      <c r="Z113" s="1332" t="str">
        <f t="shared" si="57"/>
        <v>対象</v>
      </c>
      <c r="AB113" s="1349"/>
      <c r="AC113" s="1319"/>
      <c r="AD113" s="1334">
        <f>Score!$Z$180</f>
        <v>3</v>
      </c>
      <c r="AE113" s="1334">
        <f>Score!$AB$180</f>
        <v>0</v>
      </c>
      <c r="AF113" s="1335">
        <f>IF(AE113=0,AD113,IF(AD113=0,AE113,AD113*$AD$6+AE113*$AE$6))</f>
        <v>3</v>
      </c>
      <c r="AG113" s="1336">
        <f t="shared" si="59"/>
        <v>2</v>
      </c>
      <c r="AH113" s="1337"/>
      <c r="AI113" s="1336">
        <f t="shared" si="60"/>
        <v>2</v>
      </c>
      <c r="AJ113" s="1298">
        <f t="shared" si="65"/>
        <v>2</v>
      </c>
      <c r="AK113" s="1347" t="b">
        <v>0</v>
      </c>
      <c r="AL113" s="1339">
        <f t="shared" si="61"/>
        <v>2</v>
      </c>
      <c r="AM113" s="1373"/>
    </row>
    <row r="114" spans="1:39" ht="61.5" customHeight="1">
      <c r="A114" s="4373"/>
      <c r="B114" s="4347"/>
      <c r="C114" s="4354"/>
      <c r="D114" s="1279" t="s">
        <v>1144</v>
      </c>
      <c r="E114" s="1280" t="s">
        <v>4720</v>
      </c>
      <c r="F114" s="1280" t="s">
        <v>4951</v>
      </c>
      <c r="G114" s="1286" t="s">
        <v>4916</v>
      </c>
      <c r="H114" s="1469" t="s">
        <v>4555</v>
      </c>
      <c r="I114" s="1288" t="str">
        <f t="shared" si="66"/>
        <v>●</v>
      </c>
      <c r="J114" s="1288" t="str">
        <f t="shared" si="67"/>
        <v/>
      </c>
      <c r="K114" s="1288" t="str">
        <f t="shared" si="68"/>
        <v/>
      </c>
      <c r="L114" s="1295" t="str">
        <f>IF(L52="","（The result for 6.4.1 is transferred.）",L52)</f>
        <v>（The result for 6.4.1 is transferred.）</v>
      </c>
      <c r="M114" s="1280"/>
      <c r="N114" s="1290">
        <f t="shared" si="62"/>
        <v>1</v>
      </c>
      <c r="O114" s="1313"/>
      <c r="Q114" s="1291" t="s">
        <v>92</v>
      </c>
      <c r="R114" s="1291" t="s">
        <v>407</v>
      </c>
      <c r="S114" s="1291" t="s">
        <v>445</v>
      </c>
      <c r="T114" s="1291" t="s">
        <v>496</v>
      </c>
      <c r="U114" s="1291" t="s">
        <v>447</v>
      </c>
      <c r="V114" s="1291" t="s">
        <v>82</v>
      </c>
      <c r="W114" s="1291" t="s">
        <v>448</v>
      </c>
      <c r="X114" s="1291" t="s">
        <v>80</v>
      </c>
      <c r="Y114" s="1291" t="s">
        <v>497</v>
      </c>
      <c r="Z114" s="1332" t="str">
        <f t="shared" si="57"/>
        <v>対象</v>
      </c>
      <c r="AB114" s="1353">
        <f>AB52</f>
        <v>1</v>
      </c>
      <c r="AC114" s="1319"/>
      <c r="AD114" s="1349"/>
      <c r="AE114" s="1349"/>
      <c r="AF114" s="1349"/>
      <c r="AG114" s="1349"/>
      <c r="AH114" s="1350"/>
      <c r="AI114" s="1336">
        <f t="shared" si="60"/>
        <v>1</v>
      </c>
      <c r="AJ114" s="1298">
        <f t="shared" si="65"/>
        <v>1</v>
      </c>
      <c r="AK114" s="1347" t="b">
        <v>0</v>
      </c>
      <c r="AL114" s="1339">
        <f t="shared" si="61"/>
        <v>1</v>
      </c>
      <c r="AM114" s="1373"/>
    </row>
    <row r="115" spans="1:39" ht="30" customHeight="1">
      <c r="A115" s="4373"/>
      <c r="B115" s="4350">
        <v>11.5</v>
      </c>
      <c r="C115" s="4419" t="s">
        <v>4821</v>
      </c>
      <c r="D115" s="1279" t="s">
        <v>1145</v>
      </c>
      <c r="E115" s="1280" t="s">
        <v>4789</v>
      </c>
      <c r="F115" s="1280" t="s">
        <v>4822</v>
      </c>
      <c r="G115" s="1286" t="s">
        <v>4916</v>
      </c>
      <c r="H115" s="1287" t="s">
        <v>4604</v>
      </c>
      <c r="I115" s="1288" t="str">
        <f t="shared" si="66"/>
        <v/>
      </c>
      <c r="J115" s="1288" t="str">
        <f t="shared" si="67"/>
        <v>●</v>
      </c>
      <c r="K115" s="1288" t="str">
        <f t="shared" si="68"/>
        <v/>
      </c>
      <c r="L115" s="1295" t="str">
        <f>IF(L93="","（The result for 9.4.1 is transferred.）",L93)</f>
        <v>（The result for 9.4.1 is transferred.）</v>
      </c>
      <c r="M115" s="1280"/>
      <c r="N115" s="1290">
        <f t="shared" si="62"/>
        <v>2</v>
      </c>
      <c r="O115" s="1313"/>
      <c r="Q115" s="1291" t="s">
        <v>92</v>
      </c>
      <c r="R115" s="1291" t="s">
        <v>407</v>
      </c>
      <c r="S115" s="1291" t="s">
        <v>445</v>
      </c>
      <c r="T115" s="1291" t="s">
        <v>496</v>
      </c>
      <c r="U115" s="1291" t="s">
        <v>447</v>
      </c>
      <c r="V115" s="1291" t="s">
        <v>82</v>
      </c>
      <c r="W115" s="1291" t="s">
        <v>448</v>
      </c>
      <c r="X115" s="1291" t="s">
        <v>80</v>
      </c>
      <c r="Y115" s="1291" t="s">
        <v>497</v>
      </c>
      <c r="Z115" s="1332" t="str">
        <f t="shared" si="57"/>
        <v>対象</v>
      </c>
      <c r="AB115" s="1349"/>
      <c r="AC115" s="1319"/>
      <c r="AD115" s="1334">
        <f>Score!$Z$79</f>
        <v>3.0000000000000004</v>
      </c>
      <c r="AE115" s="1334">
        <f>Score!$AB$79</f>
        <v>0</v>
      </c>
      <c r="AF115" s="1335">
        <f t="shared" ref="AF115:AF120" si="69">IF(AE115=0,AD115,IF(AD115=0,AE115,AD115*$AD$6+AE115*$AE$6))</f>
        <v>3.0000000000000004</v>
      </c>
      <c r="AG115" s="1336">
        <f t="shared" si="59"/>
        <v>2</v>
      </c>
      <c r="AH115" s="1337"/>
      <c r="AI115" s="1336">
        <f t="shared" si="60"/>
        <v>2</v>
      </c>
      <c r="AJ115" s="1298">
        <f t="shared" si="65"/>
        <v>2</v>
      </c>
      <c r="AK115" s="1347" t="b">
        <v>0</v>
      </c>
      <c r="AL115" s="1339">
        <f t="shared" si="61"/>
        <v>2</v>
      </c>
      <c r="AM115" s="1374">
        <f>AVERAGEIFS(AL115:AL120,AL115:AL120,"&lt;&gt;0",AL115:AL120,"&lt;&gt;#DIV/0!")</f>
        <v>2</v>
      </c>
    </row>
    <row r="116" spans="1:39" ht="30" customHeight="1">
      <c r="A116" s="4373"/>
      <c r="B116" s="4351"/>
      <c r="C116" s="4420"/>
      <c r="D116" s="1279" t="s">
        <v>1146</v>
      </c>
      <c r="E116" s="1280" t="s">
        <v>4499</v>
      </c>
      <c r="F116" s="1282" t="s">
        <v>4791</v>
      </c>
      <c r="G116" s="1286" t="s">
        <v>4916</v>
      </c>
      <c r="H116" s="1287" t="s">
        <v>4596</v>
      </c>
      <c r="I116" s="1288" t="str">
        <f t="shared" si="66"/>
        <v/>
      </c>
      <c r="J116" s="1288" t="str">
        <f t="shared" si="67"/>
        <v>●</v>
      </c>
      <c r="K116" s="1288" t="str">
        <f t="shared" si="68"/>
        <v/>
      </c>
      <c r="L116" s="1295" t="str">
        <f>IF(L94="","（The result for 9.4.2 is transferred.）",L94)</f>
        <v>（The result for 9.4.2 is transferred.）</v>
      </c>
      <c r="M116" s="1280"/>
      <c r="N116" s="1290">
        <f t="shared" si="62"/>
        <v>2</v>
      </c>
      <c r="O116" s="1313"/>
      <c r="Q116" s="1291" t="s">
        <v>92</v>
      </c>
      <c r="R116" s="1291" t="s">
        <v>407</v>
      </c>
      <c r="S116" s="1291" t="s">
        <v>445</v>
      </c>
      <c r="T116" s="1291" t="s">
        <v>496</v>
      </c>
      <c r="U116" s="1291" t="s">
        <v>447</v>
      </c>
      <c r="V116" s="1291" t="s">
        <v>82</v>
      </c>
      <c r="W116" s="1291" t="s">
        <v>448</v>
      </c>
      <c r="X116" s="1291" t="s">
        <v>80</v>
      </c>
      <c r="Y116" s="1291" t="s">
        <v>497</v>
      </c>
      <c r="Z116" s="1332" t="str">
        <f t="shared" si="57"/>
        <v>対象</v>
      </c>
      <c r="AB116" s="1349"/>
      <c r="AC116" s="1319"/>
      <c r="AD116" s="1334">
        <f>Score!$Z$94</f>
        <v>3</v>
      </c>
      <c r="AE116" s="1334">
        <f>Score!$AB$94</f>
        <v>0</v>
      </c>
      <c r="AF116" s="1335">
        <f t="shared" si="69"/>
        <v>3</v>
      </c>
      <c r="AG116" s="1336">
        <f t="shared" si="59"/>
        <v>2</v>
      </c>
      <c r="AH116" s="1337"/>
      <c r="AI116" s="1336">
        <f t="shared" si="60"/>
        <v>2</v>
      </c>
      <c r="AJ116" s="1298">
        <f t="shared" si="65"/>
        <v>2</v>
      </c>
      <c r="AK116" s="1347" t="b">
        <v>0</v>
      </c>
      <c r="AL116" s="1339">
        <f t="shared" si="61"/>
        <v>2</v>
      </c>
      <c r="AM116" s="1373"/>
    </row>
    <row r="117" spans="1:39" ht="30" customHeight="1">
      <c r="A117" s="4373"/>
      <c r="B117" s="4351"/>
      <c r="C117" s="4420"/>
      <c r="D117" s="1279" t="s">
        <v>1147</v>
      </c>
      <c r="E117" s="1280" t="s">
        <v>4500</v>
      </c>
      <c r="F117" s="1282" t="s">
        <v>4727</v>
      </c>
      <c r="G117" s="1286" t="s">
        <v>4916</v>
      </c>
      <c r="H117" s="1287" t="s">
        <v>4605</v>
      </c>
      <c r="I117" s="1288" t="str">
        <f t="shared" si="66"/>
        <v/>
      </c>
      <c r="J117" s="1288" t="str">
        <f t="shared" si="67"/>
        <v>●</v>
      </c>
      <c r="K117" s="1288" t="str">
        <f t="shared" si="68"/>
        <v/>
      </c>
      <c r="L117" s="1295" t="str">
        <f>IF(L55="","（The result for 6.7.1 is transferred.）",L55)</f>
        <v>（The result for 6.7.1 is transferred.）</v>
      </c>
      <c r="M117" s="1280"/>
      <c r="N117" s="1290">
        <f t="shared" si="62"/>
        <v>2</v>
      </c>
      <c r="O117" s="1313"/>
      <c r="Q117" s="1291" t="s">
        <v>92</v>
      </c>
      <c r="R117" s="1291" t="s">
        <v>407</v>
      </c>
      <c r="S117" s="1291" t="s">
        <v>445</v>
      </c>
      <c r="T117" s="1291" t="s">
        <v>496</v>
      </c>
      <c r="U117" s="1291" t="s">
        <v>447</v>
      </c>
      <c r="V117" s="1291" t="s">
        <v>82</v>
      </c>
      <c r="W117" s="1291" t="s">
        <v>448</v>
      </c>
      <c r="X117" s="1291" t="s">
        <v>80</v>
      </c>
      <c r="Y117" s="1291" t="s">
        <v>497</v>
      </c>
      <c r="Z117" s="1332" t="str">
        <f t="shared" si="57"/>
        <v>対象</v>
      </c>
      <c r="AB117" s="1349"/>
      <c r="AC117" s="1319"/>
      <c r="AD117" s="1334">
        <f>Score!$Z$95</f>
        <v>3</v>
      </c>
      <c r="AE117" s="1334">
        <f>Score!$AB$95</f>
        <v>0</v>
      </c>
      <c r="AF117" s="1335">
        <f t="shared" si="69"/>
        <v>3</v>
      </c>
      <c r="AG117" s="1336">
        <f t="shared" si="59"/>
        <v>2</v>
      </c>
      <c r="AH117" s="1337"/>
      <c r="AI117" s="1336">
        <f t="shared" si="60"/>
        <v>2</v>
      </c>
      <c r="AJ117" s="1298">
        <f t="shared" si="65"/>
        <v>2</v>
      </c>
      <c r="AK117" s="1347" t="b">
        <v>0</v>
      </c>
      <c r="AL117" s="1339">
        <f t="shared" si="61"/>
        <v>2</v>
      </c>
      <c r="AM117" s="1373"/>
    </row>
    <row r="118" spans="1:39" ht="39.6" customHeight="1">
      <c r="A118" s="4373"/>
      <c r="B118" s="4351"/>
      <c r="C118" s="4420"/>
      <c r="D118" s="1279" t="s">
        <v>1148</v>
      </c>
      <c r="E118" s="1280" t="s">
        <v>4823</v>
      </c>
      <c r="F118" s="1282" t="s">
        <v>4792</v>
      </c>
      <c r="G118" s="1286" t="s">
        <v>4916</v>
      </c>
      <c r="H118" s="1287" t="s">
        <v>4606</v>
      </c>
      <c r="I118" s="1288" t="str">
        <f t="shared" si="66"/>
        <v/>
      </c>
      <c r="J118" s="1288" t="str">
        <f t="shared" si="67"/>
        <v>●</v>
      </c>
      <c r="K118" s="1288" t="str">
        <f t="shared" si="68"/>
        <v/>
      </c>
      <c r="L118" s="1295" t="str">
        <f>IF(L63="","（The result for 7.6.1 is transferred.）",L63)</f>
        <v>（The result for 7.6.1 is transferred.）</v>
      </c>
      <c r="M118" s="1280"/>
      <c r="N118" s="1290">
        <f t="shared" si="62"/>
        <v>2</v>
      </c>
      <c r="O118" s="1313"/>
      <c r="Q118" s="1291" t="s">
        <v>92</v>
      </c>
      <c r="R118" s="1291" t="s">
        <v>407</v>
      </c>
      <c r="S118" s="1291" t="s">
        <v>445</v>
      </c>
      <c r="T118" s="1291" t="s">
        <v>496</v>
      </c>
      <c r="U118" s="1291" t="s">
        <v>447</v>
      </c>
      <c r="V118" s="1291" t="s">
        <v>82</v>
      </c>
      <c r="W118" s="1291" t="s">
        <v>448</v>
      </c>
      <c r="X118" s="1291" t="s">
        <v>80</v>
      </c>
      <c r="Y118" s="1291" t="s">
        <v>497</v>
      </c>
      <c r="Z118" s="1332" t="str">
        <f t="shared" si="57"/>
        <v>対象</v>
      </c>
      <c r="AB118" s="1349"/>
      <c r="AC118" s="1319"/>
      <c r="AD118" s="1334">
        <f>Score!$Z$96</f>
        <v>3</v>
      </c>
      <c r="AE118" s="1334">
        <f>Score!$AB$96</f>
        <v>0</v>
      </c>
      <c r="AF118" s="1335">
        <f t="shared" si="69"/>
        <v>3</v>
      </c>
      <c r="AG118" s="1336">
        <f t="shared" si="59"/>
        <v>2</v>
      </c>
      <c r="AH118" s="1337"/>
      <c r="AI118" s="1336">
        <f t="shared" si="60"/>
        <v>2</v>
      </c>
      <c r="AJ118" s="1298">
        <f t="shared" si="65"/>
        <v>2</v>
      </c>
      <c r="AK118" s="1347" t="b">
        <v>0</v>
      </c>
      <c r="AL118" s="1339">
        <f t="shared" si="61"/>
        <v>2</v>
      </c>
      <c r="AM118" s="1373"/>
    </row>
    <row r="119" spans="1:39" ht="30" customHeight="1">
      <c r="A119" s="4373"/>
      <c r="B119" s="4351"/>
      <c r="C119" s="4420"/>
      <c r="D119" s="1279" t="s">
        <v>1149</v>
      </c>
      <c r="E119" s="1280" t="s">
        <v>4502</v>
      </c>
      <c r="F119" s="1280" t="s">
        <v>4793</v>
      </c>
      <c r="G119" s="1286" t="s">
        <v>4916</v>
      </c>
      <c r="H119" s="1287" t="s">
        <v>4607</v>
      </c>
      <c r="I119" s="1288" t="str">
        <f t="shared" si="66"/>
        <v/>
      </c>
      <c r="J119" s="1288" t="str">
        <f t="shared" si="67"/>
        <v>●</v>
      </c>
      <c r="K119" s="1288" t="str">
        <f t="shared" si="68"/>
        <v/>
      </c>
      <c r="L119" s="1295" t="str">
        <f>IF(L97="","（The result for 9.4.5 is transferred.）",L97)</f>
        <v>（The result for 9.4.5 is transferred.）</v>
      </c>
      <c r="M119" s="1280"/>
      <c r="N119" s="1290">
        <f t="shared" si="62"/>
        <v>2</v>
      </c>
      <c r="O119" s="1313"/>
      <c r="Q119" s="1291" t="s">
        <v>92</v>
      </c>
      <c r="R119" s="1291" t="s">
        <v>407</v>
      </c>
      <c r="S119" s="1291" t="s">
        <v>445</v>
      </c>
      <c r="T119" s="1291" t="s">
        <v>496</v>
      </c>
      <c r="U119" s="1291" t="s">
        <v>447</v>
      </c>
      <c r="V119" s="1291" t="s">
        <v>82</v>
      </c>
      <c r="W119" s="1291" t="s">
        <v>448</v>
      </c>
      <c r="X119" s="1291" t="s">
        <v>80</v>
      </c>
      <c r="Y119" s="1291" t="s">
        <v>497</v>
      </c>
      <c r="Z119" s="1332" t="str">
        <f t="shared" si="57"/>
        <v>対象</v>
      </c>
      <c r="AB119" s="1349"/>
      <c r="AC119" s="1319"/>
      <c r="AD119" s="1334">
        <f>Score!$Z$97</f>
        <v>3</v>
      </c>
      <c r="AE119" s="1334">
        <f>Score!$AB$97</f>
        <v>0</v>
      </c>
      <c r="AF119" s="1335">
        <f t="shared" si="69"/>
        <v>3</v>
      </c>
      <c r="AG119" s="1336">
        <f t="shared" si="59"/>
        <v>2</v>
      </c>
      <c r="AH119" s="1337"/>
      <c r="AI119" s="1336">
        <f t="shared" si="60"/>
        <v>2</v>
      </c>
      <c r="AJ119" s="1298">
        <f t="shared" si="65"/>
        <v>2</v>
      </c>
      <c r="AK119" s="1347" t="b">
        <v>0</v>
      </c>
      <c r="AL119" s="1339">
        <f t="shared" si="61"/>
        <v>2</v>
      </c>
      <c r="AM119" s="1373"/>
    </row>
    <row r="120" spans="1:39" ht="30" customHeight="1">
      <c r="A120" s="4373"/>
      <c r="B120" s="4352"/>
      <c r="C120" s="4421"/>
      <c r="D120" s="1279" t="s">
        <v>1150</v>
      </c>
      <c r="E120" s="1280" t="s">
        <v>4503</v>
      </c>
      <c r="F120" s="1280" t="s">
        <v>4794</v>
      </c>
      <c r="G120" s="1286" t="s">
        <v>4916</v>
      </c>
      <c r="H120" s="1287" t="s">
        <v>4608</v>
      </c>
      <c r="I120" s="1288" t="str">
        <f t="shared" si="66"/>
        <v/>
      </c>
      <c r="J120" s="1288" t="str">
        <f t="shared" si="67"/>
        <v>●</v>
      </c>
      <c r="K120" s="1288" t="str">
        <f t="shared" si="68"/>
        <v/>
      </c>
      <c r="L120" s="1295" t="str">
        <f>IF(L98="","（The result for 9.4.6 is transferred.）",L98)</f>
        <v>（The result for 9.4.6 is transferred.）</v>
      </c>
      <c r="M120" s="1280"/>
      <c r="N120" s="1290">
        <f t="shared" si="62"/>
        <v>2</v>
      </c>
      <c r="O120" s="1313"/>
      <c r="Q120" s="1291" t="s">
        <v>92</v>
      </c>
      <c r="R120" s="1291" t="s">
        <v>407</v>
      </c>
      <c r="S120" s="1291" t="s">
        <v>445</v>
      </c>
      <c r="T120" s="1291" t="s">
        <v>496</v>
      </c>
      <c r="U120" s="1291" t="s">
        <v>447</v>
      </c>
      <c r="V120" s="1291" t="s">
        <v>82</v>
      </c>
      <c r="W120" s="1291" t="s">
        <v>448</v>
      </c>
      <c r="X120" s="1291" t="s">
        <v>80</v>
      </c>
      <c r="Y120" s="1291" t="s">
        <v>497</v>
      </c>
      <c r="Z120" s="1332" t="str">
        <f t="shared" si="57"/>
        <v>対象</v>
      </c>
      <c r="AB120" s="1349"/>
      <c r="AC120" s="1319"/>
      <c r="AD120" s="1334">
        <f>Score!$Z$98</f>
        <v>3</v>
      </c>
      <c r="AE120" s="1334">
        <f>Score!$AB$98</f>
        <v>0</v>
      </c>
      <c r="AF120" s="1335">
        <f t="shared" si="69"/>
        <v>3</v>
      </c>
      <c r="AG120" s="1336">
        <f t="shared" si="59"/>
        <v>2</v>
      </c>
      <c r="AH120" s="1337"/>
      <c r="AI120" s="1336">
        <f t="shared" si="60"/>
        <v>2</v>
      </c>
      <c r="AJ120" s="1298">
        <f t="shared" si="65"/>
        <v>2</v>
      </c>
      <c r="AK120" s="1347" t="b">
        <v>0</v>
      </c>
      <c r="AL120" s="1339">
        <f t="shared" si="61"/>
        <v>2</v>
      </c>
      <c r="AM120" s="1373"/>
    </row>
    <row r="121" spans="1:39" ht="63">
      <c r="A121" s="4373"/>
      <c r="B121" s="1283" t="s">
        <v>1298</v>
      </c>
      <c r="C121" s="1285" t="s">
        <v>4824</v>
      </c>
      <c r="D121" s="1279" t="s">
        <v>1151</v>
      </c>
      <c r="E121" s="1280" t="s">
        <v>4825</v>
      </c>
      <c r="F121" s="1280" t="s">
        <v>4968</v>
      </c>
      <c r="G121" s="1286" t="s">
        <v>4916</v>
      </c>
      <c r="H121" s="1469" t="s">
        <v>4555</v>
      </c>
      <c r="I121" s="1288" t="str">
        <f t="shared" si="66"/>
        <v>●</v>
      </c>
      <c r="J121" s="1288" t="str">
        <f t="shared" si="67"/>
        <v/>
      </c>
      <c r="K121" s="1288" t="str">
        <f t="shared" si="68"/>
        <v/>
      </c>
      <c r="L121" s="1295" t="str">
        <f>IF(L99="","（The result for 9.5.1 is transferred.）",L99)</f>
        <v>（The result for 9.5.1 is transferred.）</v>
      </c>
      <c r="M121" s="1280"/>
      <c r="N121" s="1290">
        <f t="shared" si="62"/>
        <v>1</v>
      </c>
      <c r="O121" s="1313"/>
      <c r="Q121" s="1291" t="s">
        <v>92</v>
      </c>
      <c r="R121" s="1291" t="s">
        <v>407</v>
      </c>
      <c r="S121" s="1291" t="s">
        <v>445</v>
      </c>
      <c r="T121" s="1291" t="s">
        <v>496</v>
      </c>
      <c r="U121" s="1291" t="s">
        <v>447</v>
      </c>
      <c r="V121" s="1291" t="s">
        <v>82</v>
      </c>
      <c r="W121" s="1291" t="s">
        <v>448</v>
      </c>
      <c r="X121" s="1291" t="s">
        <v>80</v>
      </c>
      <c r="Y121" s="1291" t="s">
        <v>497</v>
      </c>
      <c r="Z121" s="1332" t="str">
        <f t="shared" si="57"/>
        <v>対象</v>
      </c>
      <c r="AB121" s="1353">
        <f>AB99</f>
        <v>1</v>
      </c>
      <c r="AC121" s="1319"/>
      <c r="AD121" s="1349"/>
      <c r="AE121" s="1349"/>
      <c r="AF121" s="1349"/>
      <c r="AG121" s="1349"/>
      <c r="AH121" s="1350"/>
      <c r="AI121" s="1336">
        <f t="shared" si="60"/>
        <v>1</v>
      </c>
      <c r="AJ121" s="1298">
        <f t="shared" si="65"/>
        <v>1</v>
      </c>
      <c r="AK121" s="1347" t="b">
        <v>0</v>
      </c>
      <c r="AL121" s="1339">
        <f t="shared" si="61"/>
        <v>1</v>
      </c>
      <c r="AM121" s="1335">
        <f>AVERAGEIFS(AL121,AL121,"&lt;&gt;0",AL121,"&lt;&gt;#DIV/0!")</f>
        <v>1</v>
      </c>
    </row>
    <row r="122" spans="1:39" ht="30" customHeight="1">
      <c r="A122" s="4373"/>
      <c r="B122" s="1283" t="s">
        <v>1299</v>
      </c>
      <c r="C122" s="1285" t="s">
        <v>4826</v>
      </c>
      <c r="D122" s="1279" t="s">
        <v>1152</v>
      </c>
      <c r="E122" s="1280" t="s">
        <v>4827</v>
      </c>
      <c r="F122" s="1280" t="s">
        <v>4828</v>
      </c>
      <c r="G122" s="1286" t="s">
        <v>4916</v>
      </c>
      <c r="H122" s="1287" t="s">
        <v>4609</v>
      </c>
      <c r="I122" s="1288" t="str">
        <f t="shared" si="66"/>
        <v>●</v>
      </c>
      <c r="J122" s="1288" t="str">
        <f t="shared" si="67"/>
        <v/>
      </c>
      <c r="K122" s="1288" t="str">
        <f t="shared" si="68"/>
        <v/>
      </c>
      <c r="L122" s="1293"/>
      <c r="M122" s="1280"/>
      <c r="N122" s="1290">
        <f t="shared" si="62"/>
        <v>1</v>
      </c>
      <c r="O122" s="1313"/>
      <c r="Q122" s="1291" t="s">
        <v>92</v>
      </c>
      <c r="R122" s="1291" t="s">
        <v>407</v>
      </c>
      <c r="S122" s="1291" t="s">
        <v>445</v>
      </c>
      <c r="T122" s="1291" t="s">
        <v>496</v>
      </c>
      <c r="U122" s="1291" t="s">
        <v>447</v>
      </c>
      <c r="V122" s="1291" t="s">
        <v>82</v>
      </c>
      <c r="W122" s="1291" t="s">
        <v>448</v>
      </c>
      <c r="X122" s="1291" t="s">
        <v>80</v>
      </c>
      <c r="Y122" s="1291" t="s">
        <v>497</v>
      </c>
      <c r="Z122" s="1332" t="str">
        <f t="shared" si="57"/>
        <v>対象</v>
      </c>
      <c r="AB122" s="1349"/>
      <c r="AC122" s="1319"/>
      <c r="AD122" s="1334">
        <f>IF('Q3'!G87=1,5,1)</f>
        <v>1</v>
      </c>
      <c r="AE122" s="1349"/>
      <c r="AF122" s="1335">
        <f>IF(AE122=0,AD122,IF(AD122=0,AE122,AD122*$AD$6+AE122*$AE$6))</f>
        <v>1</v>
      </c>
      <c r="AG122" s="1336">
        <f t="shared" si="59"/>
        <v>1</v>
      </c>
      <c r="AH122" s="1350"/>
      <c r="AI122" s="1336">
        <f t="shared" si="60"/>
        <v>1</v>
      </c>
      <c r="AJ122" s="1298">
        <f t="shared" si="65"/>
        <v>1</v>
      </c>
      <c r="AK122" s="1347" t="b">
        <v>0</v>
      </c>
      <c r="AL122" s="1339">
        <f t="shared" si="61"/>
        <v>1</v>
      </c>
      <c r="AM122" s="1376">
        <f>AVERAGEIFS(AL122,AL122,"&lt;&gt;0",AL122,"&lt;&gt;#DIV/0!")</f>
        <v>1</v>
      </c>
    </row>
    <row r="123" spans="1:39" ht="39.6" customHeight="1">
      <c r="A123" s="4373"/>
      <c r="B123" s="1283" t="s">
        <v>1300</v>
      </c>
      <c r="C123" s="1284" t="s">
        <v>4509</v>
      </c>
      <c r="D123" s="1279" t="s">
        <v>1304</v>
      </c>
      <c r="E123" s="1280" t="s">
        <v>4829</v>
      </c>
      <c r="F123" s="1280" t="s">
        <v>4830</v>
      </c>
      <c r="G123" s="1286" t="s">
        <v>4916</v>
      </c>
      <c r="H123" s="1287" t="s">
        <v>4610</v>
      </c>
      <c r="I123" s="1288" t="str">
        <f t="shared" si="66"/>
        <v/>
      </c>
      <c r="J123" s="1288" t="str">
        <f t="shared" si="67"/>
        <v>●</v>
      </c>
      <c r="K123" s="1288" t="str">
        <f t="shared" si="68"/>
        <v/>
      </c>
      <c r="L123" s="1293"/>
      <c r="M123" s="1280"/>
      <c r="N123" s="1290">
        <f t="shared" si="62"/>
        <v>2</v>
      </c>
      <c r="O123" s="1313"/>
      <c r="Q123" s="1291" t="s">
        <v>92</v>
      </c>
      <c r="R123" s="1291" t="s">
        <v>407</v>
      </c>
      <c r="S123" s="1291" t="s">
        <v>445</v>
      </c>
      <c r="T123" s="1291" t="s">
        <v>496</v>
      </c>
      <c r="U123" s="1291" t="s">
        <v>447</v>
      </c>
      <c r="V123" s="1291" t="s">
        <v>82</v>
      </c>
      <c r="W123" s="1291" t="s">
        <v>448</v>
      </c>
      <c r="X123" s="1291" t="s">
        <v>80</v>
      </c>
      <c r="Y123" s="1291" t="s">
        <v>497</v>
      </c>
      <c r="Z123" s="1332" t="str">
        <f t="shared" si="57"/>
        <v>対象</v>
      </c>
      <c r="AB123" s="1349"/>
      <c r="AC123" s="1319"/>
      <c r="AD123" s="1334">
        <f>Score!$Z$116</f>
        <v>3</v>
      </c>
      <c r="AE123" s="1334">
        <f>Score!$AB$116</f>
        <v>0</v>
      </c>
      <c r="AF123" s="1335">
        <f>IF(AE123=0,AD123,IF(AD123=0,AE123,AD123*$AD$6+AE123*$AE$6))</f>
        <v>3</v>
      </c>
      <c r="AG123" s="1336">
        <f t="shared" si="59"/>
        <v>2</v>
      </c>
      <c r="AH123" s="1337"/>
      <c r="AI123" s="1336">
        <f t="shared" si="60"/>
        <v>2</v>
      </c>
      <c r="AJ123" s="1298">
        <f t="shared" si="65"/>
        <v>2</v>
      </c>
      <c r="AK123" s="1352" t="b">
        <v>0</v>
      </c>
      <c r="AL123" s="1339">
        <f t="shared" si="61"/>
        <v>2</v>
      </c>
      <c r="AM123" s="1376">
        <f>AVERAGEIFS(AL123,AL123,"&lt;&gt;0",AL123,"&lt;&gt;#DIV/0!")</f>
        <v>2</v>
      </c>
    </row>
    <row r="124" spans="1:39" ht="45">
      <c r="A124" s="4373"/>
      <c r="B124" s="1283" t="s">
        <v>1301</v>
      </c>
      <c r="C124" s="3782" t="s">
        <v>4831</v>
      </c>
      <c r="D124" s="1279" t="s">
        <v>1153</v>
      </c>
      <c r="E124" s="1280" t="s">
        <v>4832</v>
      </c>
      <c r="F124" s="1280" t="s">
        <v>4538</v>
      </c>
      <c r="G124" s="1286" t="s">
        <v>4916</v>
      </c>
      <c r="H124" s="1287" t="s">
        <v>4611</v>
      </c>
      <c r="I124" s="1288" t="str">
        <f t="shared" si="66"/>
        <v/>
      </c>
      <c r="J124" s="1288" t="str">
        <f t="shared" si="67"/>
        <v>●</v>
      </c>
      <c r="K124" s="1288" t="str">
        <f t="shared" si="68"/>
        <v/>
      </c>
      <c r="L124" s="1293"/>
      <c r="M124" s="1280"/>
      <c r="N124" s="1290">
        <f t="shared" si="62"/>
        <v>2</v>
      </c>
      <c r="O124" s="1313"/>
      <c r="Q124" s="1291" t="s">
        <v>92</v>
      </c>
      <c r="R124" s="1291" t="s">
        <v>407</v>
      </c>
      <c r="S124" s="1291" t="s">
        <v>445</v>
      </c>
      <c r="T124" s="1291" t="s">
        <v>496</v>
      </c>
      <c r="U124" s="1291" t="s">
        <v>447</v>
      </c>
      <c r="V124" s="1291" t="s">
        <v>82</v>
      </c>
      <c r="W124" s="1291" t="s">
        <v>448</v>
      </c>
      <c r="X124" s="1291" t="s">
        <v>80</v>
      </c>
      <c r="Y124" s="1291" t="s">
        <v>497</v>
      </c>
      <c r="Z124" s="1332" t="str">
        <f t="shared" si="57"/>
        <v>対象</v>
      </c>
      <c r="AB124" s="1349"/>
      <c r="AC124" s="1319"/>
      <c r="AD124" s="1359">
        <f>Score!$Z$113</f>
        <v>3</v>
      </c>
      <c r="AE124" s="1359">
        <f>Score!$AB$113</f>
        <v>0</v>
      </c>
      <c r="AF124" s="1335">
        <f t="shared" ref="AF124:AF133" si="70">IF(AE124=0,AD124,IF(AD124=0,AE124,AD124*$AD$6+AE124*$AE$6))</f>
        <v>3</v>
      </c>
      <c r="AG124" s="1336">
        <f t="shared" si="59"/>
        <v>2</v>
      </c>
      <c r="AH124" s="1337"/>
      <c r="AI124" s="1336">
        <f t="shared" si="60"/>
        <v>2</v>
      </c>
      <c r="AJ124" s="1356">
        <f t="shared" si="65"/>
        <v>2</v>
      </c>
      <c r="AK124" s="1343" t="b">
        <v>0</v>
      </c>
      <c r="AL124" s="1339">
        <f t="shared" si="61"/>
        <v>2</v>
      </c>
      <c r="AM124" s="1360">
        <f>AVERAGEIFS(AL124,AL124,"&lt;&gt;0",AL124,"&lt;&gt;#DIV/0!")</f>
        <v>2</v>
      </c>
    </row>
    <row r="125" spans="1:39" ht="30" customHeight="1">
      <c r="A125" s="4373"/>
      <c r="B125" s="4350" t="s">
        <v>1302</v>
      </c>
      <c r="C125" s="4419" t="s">
        <v>4833</v>
      </c>
      <c r="D125" s="4353" t="s">
        <v>1305</v>
      </c>
      <c r="E125" s="4360" t="s">
        <v>4687</v>
      </c>
      <c r="F125" s="1280" t="s">
        <v>4539</v>
      </c>
      <c r="G125" s="1286" t="s">
        <v>4916</v>
      </c>
      <c r="H125" s="1287" t="s">
        <v>4557</v>
      </c>
      <c r="I125" s="1288" t="str">
        <f t="shared" si="66"/>
        <v/>
      </c>
      <c r="J125" s="1288" t="str">
        <f t="shared" si="67"/>
        <v>●</v>
      </c>
      <c r="K125" s="1288" t="str">
        <f t="shared" si="68"/>
        <v/>
      </c>
      <c r="L125" s="4410" t="str">
        <f>IF(L25="","（The result for 3.8.1 is transferred.）",L25)</f>
        <v>（The result for 3.8.1 is transferred.）</v>
      </c>
      <c r="M125" s="1452"/>
      <c r="N125" s="4380">
        <f>IF(AND(Z125="N.A.",Z126="N.A.",Z127="N.A."),"N.A.",AL125)</f>
        <v>2</v>
      </c>
      <c r="O125" s="1313"/>
      <c r="Q125" s="1291" t="s">
        <v>92</v>
      </c>
      <c r="R125" s="1291" t="s">
        <v>407</v>
      </c>
      <c r="S125" s="1291" t="s">
        <v>445</v>
      </c>
      <c r="T125" s="1291" t="s">
        <v>496</v>
      </c>
      <c r="U125" s="1291" t="s">
        <v>447</v>
      </c>
      <c r="V125" s="1291" t="s">
        <v>82</v>
      </c>
      <c r="W125" s="1291" t="s">
        <v>448</v>
      </c>
      <c r="X125" s="1291" t="s">
        <v>80</v>
      </c>
      <c r="Y125" s="1291" t="s">
        <v>497</v>
      </c>
      <c r="Z125" s="1332" t="str">
        <f t="shared" si="57"/>
        <v>対象</v>
      </c>
      <c r="AB125" s="1349"/>
      <c r="AC125" s="1319"/>
      <c r="AD125" s="1359">
        <f>Score!$Z$187</f>
        <v>3</v>
      </c>
      <c r="AE125" s="1358">
        <f>Score!$AB$187</f>
        <v>0</v>
      </c>
      <c r="AF125" s="1335">
        <f t="shared" si="70"/>
        <v>3</v>
      </c>
      <c r="AG125" s="1336">
        <f t="shared" si="59"/>
        <v>2</v>
      </c>
      <c r="AH125" s="1337"/>
      <c r="AI125" s="1361">
        <f t="shared" si="60"/>
        <v>2</v>
      </c>
      <c r="AJ125" s="1388">
        <f>AVERAGEIFS(AI125:AI127,AI125:AI127,"&lt;&gt;0",AI125:AI127,"&lt;&gt;#DIV/0!")</f>
        <v>2</v>
      </c>
      <c r="AK125" s="1393" t="b">
        <v>0</v>
      </c>
      <c r="AL125" s="1339">
        <f t="shared" si="61"/>
        <v>2</v>
      </c>
      <c r="AM125" s="1389">
        <f>AVERAGEIFS(AL125:AL132,AL125:AL132,"&lt;&gt;0",AL125:AL132,"&lt;&gt;#DIV/0!")</f>
        <v>2</v>
      </c>
    </row>
    <row r="126" spans="1:39" ht="30" customHeight="1">
      <c r="A126" s="4373"/>
      <c r="B126" s="4351"/>
      <c r="C126" s="4420"/>
      <c r="D126" s="4353"/>
      <c r="E126" s="4360"/>
      <c r="F126" s="1280" t="s">
        <v>4834</v>
      </c>
      <c r="G126" s="1286" t="s">
        <v>4916</v>
      </c>
      <c r="H126" s="1287" t="s">
        <v>4558</v>
      </c>
      <c r="I126" s="1288" t="str">
        <f t="shared" si="66"/>
        <v/>
      </c>
      <c r="J126" s="1288" t="str">
        <f t="shared" si="67"/>
        <v>●</v>
      </c>
      <c r="K126" s="1288" t="str">
        <f t="shared" si="68"/>
        <v/>
      </c>
      <c r="L126" s="4410"/>
      <c r="M126" s="1453"/>
      <c r="N126" s="4385"/>
      <c r="O126" s="1313"/>
      <c r="Q126" s="1291" t="s">
        <v>92</v>
      </c>
      <c r="R126" s="1291" t="s">
        <v>407</v>
      </c>
      <c r="S126" s="1291" t="s">
        <v>445</v>
      </c>
      <c r="T126" s="1291" t="s">
        <v>496</v>
      </c>
      <c r="U126" s="1291" t="s">
        <v>447</v>
      </c>
      <c r="V126" s="1291" t="s">
        <v>82</v>
      </c>
      <c r="W126" s="1291" t="s">
        <v>448</v>
      </c>
      <c r="X126" s="1291" t="s">
        <v>80</v>
      </c>
      <c r="Y126" s="1291" t="s">
        <v>497</v>
      </c>
      <c r="Z126" s="1332" t="str">
        <f t="shared" si="57"/>
        <v>対象</v>
      </c>
      <c r="AB126" s="1349"/>
      <c r="AC126" s="1319"/>
      <c r="AD126" s="1359">
        <f>Score!$Z$188</f>
        <v>3</v>
      </c>
      <c r="AE126" s="1358">
        <f>Score!$AB$188</f>
        <v>0</v>
      </c>
      <c r="AF126" s="1335">
        <f t="shared" si="70"/>
        <v>3</v>
      </c>
      <c r="AG126" s="1336">
        <f t="shared" si="59"/>
        <v>2</v>
      </c>
      <c r="AH126" s="1337"/>
      <c r="AI126" s="1361">
        <f t="shared" si="60"/>
        <v>2</v>
      </c>
      <c r="AJ126" s="1390"/>
      <c r="AK126" s="1394"/>
      <c r="AL126" s="1365"/>
      <c r="AM126" s="1391"/>
    </row>
    <row r="127" spans="1:39" ht="30" customHeight="1">
      <c r="A127" s="4373"/>
      <c r="B127" s="4351"/>
      <c r="C127" s="4420"/>
      <c r="D127" s="4353"/>
      <c r="E127" s="4360"/>
      <c r="F127" s="1280" t="s">
        <v>4835</v>
      </c>
      <c r="G127" s="1286" t="s">
        <v>4916</v>
      </c>
      <c r="H127" s="1287" t="s">
        <v>4559</v>
      </c>
      <c r="I127" s="1288" t="str">
        <f t="shared" si="66"/>
        <v/>
      </c>
      <c r="J127" s="1288" t="str">
        <f t="shared" si="67"/>
        <v>●</v>
      </c>
      <c r="K127" s="1288" t="str">
        <f t="shared" si="68"/>
        <v/>
      </c>
      <c r="L127" s="4410"/>
      <c r="M127" s="1454"/>
      <c r="N127" s="4381"/>
      <c r="O127" s="1313"/>
      <c r="Q127" s="1291" t="s">
        <v>92</v>
      </c>
      <c r="R127" s="1291" t="s">
        <v>407</v>
      </c>
      <c r="S127" s="1291" t="s">
        <v>445</v>
      </c>
      <c r="T127" s="1291" t="s">
        <v>496</v>
      </c>
      <c r="U127" s="1291" t="s">
        <v>447</v>
      </c>
      <c r="V127" s="1291" t="s">
        <v>82</v>
      </c>
      <c r="W127" s="1291" t="s">
        <v>448</v>
      </c>
      <c r="X127" s="1291" t="s">
        <v>80</v>
      </c>
      <c r="Y127" s="1291" t="s">
        <v>497</v>
      </c>
      <c r="Z127" s="1332" t="str">
        <f t="shared" si="57"/>
        <v>対象</v>
      </c>
      <c r="AB127" s="1349"/>
      <c r="AC127" s="1319"/>
      <c r="AD127" s="1359">
        <f>Score!$Z$189</f>
        <v>3</v>
      </c>
      <c r="AE127" s="1358">
        <f>Score!$AB$189</f>
        <v>0</v>
      </c>
      <c r="AF127" s="1335">
        <f t="shared" si="70"/>
        <v>3</v>
      </c>
      <c r="AG127" s="1336">
        <f t="shared" si="59"/>
        <v>2</v>
      </c>
      <c r="AH127" s="1337"/>
      <c r="AI127" s="1361">
        <f t="shared" si="60"/>
        <v>2</v>
      </c>
      <c r="AJ127" s="1370"/>
      <c r="AK127" s="1395"/>
      <c r="AL127" s="1344"/>
      <c r="AM127" s="1391"/>
    </row>
    <row r="128" spans="1:39" ht="30" customHeight="1">
      <c r="A128" s="4373"/>
      <c r="B128" s="4351"/>
      <c r="C128" s="4420"/>
      <c r="D128" s="4353" t="s">
        <v>1306</v>
      </c>
      <c r="E128" s="4360" t="s">
        <v>4688</v>
      </c>
      <c r="F128" s="1280" t="s">
        <v>4836</v>
      </c>
      <c r="G128" s="1286" t="s">
        <v>4916</v>
      </c>
      <c r="H128" s="1287" t="s">
        <v>4560</v>
      </c>
      <c r="I128" s="1288" t="str">
        <f t="shared" si="66"/>
        <v/>
      </c>
      <c r="J128" s="1288" t="str">
        <f t="shared" si="67"/>
        <v>●</v>
      </c>
      <c r="K128" s="1288" t="str">
        <f t="shared" si="68"/>
        <v/>
      </c>
      <c r="L128" s="4410" t="str">
        <f>IF(L28="","（The result for 3.8.2 is transferred.）",L28)</f>
        <v>（The result for 3.8.2 is transferred.）</v>
      </c>
      <c r="M128" s="1452"/>
      <c r="N128" s="4380">
        <f>IF(AND(Z128="N.A.",Z129="N.A."),"N.A.",AL128)</f>
        <v>2</v>
      </c>
      <c r="O128" s="1313"/>
      <c r="Q128" s="1291" t="s">
        <v>92</v>
      </c>
      <c r="R128" s="1291" t="s">
        <v>407</v>
      </c>
      <c r="S128" s="1291" t="s">
        <v>445</v>
      </c>
      <c r="T128" s="1291" t="s">
        <v>496</v>
      </c>
      <c r="U128" s="1291" t="s">
        <v>447</v>
      </c>
      <c r="V128" s="1291" t="s">
        <v>82</v>
      </c>
      <c r="W128" s="1291" t="s">
        <v>448</v>
      </c>
      <c r="X128" s="1291" t="s">
        <v>80</v>
      </c>
      <c r="Y128" s="1291" t="s">
        <v>497</v>
      </c>
      <c r="Z128" s="1332" t="str">
        <f t="shared" si="57"/>
        <v>対象</v>
      </c>
      <c r="AB128" s="1349"/>
      <c r="AD128" s="1358">
        <f>Score!$Z$191</f>
        <v>3</v>
      </c>
      <c r="AE128" s="1358">
        <f>Score!$AB$191</f>
        <v>0</v>
      </c>
      <c r="AF128" s="1335">
        <f t="shared" si="70"/>
        <v>3</v>
      </c>
      <c r="AG128" s="1336">
        <f t="shared" si="59"/>
        <v>2</v>
      </c>
      <c r="AH128" s="1337"/>
      <c r="AI128" s="1361">
        <f t="shared" si="60"/>
        <v>2</v>
      </c>
      <c r="AJ128" s="1388">
        <f>AVERAGEIFS(AI128:AI129,AI128:AI129,"&lt;&gt;0",AI128:AI129,"&lt;&gt;#DIV/0!")</f>
        <v>2</v>
      </c>
      <c r="AK128" s="1393" t="b">
        <v>0</v>
      </c>
      <c r="AL128" s="1339">
        <f t="shared" si="61"/>
        <v>2</v>
      </c>
      <c r="AM128" s="1391"/>
    </row>
    <row r="129" spans="1:39" ht="30" customHeight="1">
      <c r="A129" s="4373"/>
      <c r="B129" s="4351"/>
      <c r="C129" s="4420"/>
      <c r="D129" s="4353"/>
      <c r="E129" s="4360"/>
      <c r="F129" s="1280" t="s">
        <v>4837</v>
      </c>
      <c r="G129" s="1286" t="s">
        <v>4916</v>
      </c>
      <c r="H129" s="1287" t="s">
        <v>4561</v>
      </c>
      <c r="I129" s="1288" t="str">
        <f t="shared" si="66"/>
        <v/>
      </c>
      <c r="J129" s="1288" t="str">
        <f t="shared" si="67"/>
        <v>●</v>
      </c>
      <c r="K129" s="1288" t="str">
        <f t="shared" si="68"/>
        <v/>
      </c>
      <c r="L129" s="4410"/>
      <c r="M129" s="1454"/>
      <c r="N129" s="4381"/>
      <c r="O129" s="1313"/>
      <c r="Q129" s="1291" t="s">
        <v>92</v>
      </c>
      <c r="R129" s="1291" t="s">
        <v>407</v>
      </c>
      <c r="S129" s="1291" t="s">
        <v>445</v>
      </c>
      <c r="T129" s="1291" t="s">
        <v>496</v>
      </c>
      <c r="U129" s="1291" t="s">
        <v>447</v>
      </c>
      <c r="V129" s="1291" t="s">
        <v>82</v>
      </c>
      <c r="W129" s="1291" t="s">
        <v>448</v>
      </c>
      <c r="X129" s="1291" t="s">
        <v>80</v>
      </c>
      <c r="Y129" s="1291" t="s">
        <v>497</v>
      </c>
      <c r="Z129" s="1332" t="str">
        <f t="shared" si="57"/>
        <v>対象</v>
      </c>
      <c r="AB129" s="1349"/>
      <c r="AD129" s="1334">
        <f>Score!$Z$193</f>
        <v>3</v>
      </c>
      <c r="AE129" s="1334">
        <f>Score!$AB$193</f>
        <v>0</v>
      </c>
      <c r="AF129" s="1335">
        <f t="shared" si="70"/>
        <v>3</v>
      </c>
      <c r="AG129" s="1336">
        <f t="shared" si="59"/>
        <v>2</v>
      </c>
      <c r="AH129" s="1337"/>
      <c r="AI129" s="1361">
        <f t="shared" si="60"/>
        <v>2</v>
      </c>
      <c r="AJ129" s="1370"/>
      <c r="AK129" s="1395"/>
      <c r="AL129" s="1344"/>
      <c r="AM129" s="1391"/>
    </row>
    <row r="130" spans="1:39" ht="30" customHeight="1">
      <c r="A130" s="4373"/>
      <c r="B130" s="4351"/>
      <c r="C130" s="4420"/>
      <c r="D130" s="1279" t="s">
        <v>1307</v>
      </c>
      <c r="E130" s="1282" t="s">
        <v>4838</v>
      </c>
      <c r="F130" s="1280" t="s">
        <v>4839</v>
      </c>
      <c r="G130" s="1286" t="s">
        <v>4916</v>
      </c>
      <c r="H130" s="1287" t="s">
        <v>4562</v>
      </c>
      <c r="I130" s="1288" t="str">
        <f t="shared" si="66"/>
        <v/>
      </c>
      <c r="J130" s="1288" t="str">
        <f t="shared" si="67"/>
        <v>●</v>
      </c>
      <c r="K130" s="1288" t="str">
        <f t="shared" si="68"/>
        <v/>
      </c>
      <c r="L130" s="1295" t="str">
        <f>IF(L30="","（The result for 3.8.3 is transferred.）",L30)</f>
        <v>（The result for 3.8.3 is transferred.）</v>
      </c>
      <c r="M130" s="1280"/>
      <c r="N130" s="1290">
        <f t="shared" ref="N130:N175" si="71">IF(Z130="N.A.","N.A.",AL130)</f>
        <v>2</v>
      </c>
      <c r="O130" s="1313"/>
      <c r="Q130" s="1291" t="s">
        <v>92</v>
      </c>
      <c r="R130" s="1291" t="s">
        <v>407</v>
      </c>
      <c r="S130" s="1291" t="s">
        <v>445</v>
      </c>
      <c r="T130" s="1291" t="s">
        <v>496</v>
      </c>
      <c r="U130" s="1291" t="s">
        <v>447</v>
      </c>
      <c r="V130" s="1291" t="s">
        <v>82</v>
      </c>
      <c r="W130" s="1291" t="s">
        <v>448</v>
      </c>
      <c r="X130" s="1291" t="s">
        <v>80</v>
      </c>
      <c r="Y130" s="1291" t="s">
        <v>497</v>
      </c>
      <c r="Z130" s="1332" t="str">
        <f t="shared" si="57"/>
        <v>対象</v>
      </c>
      <c r="AB130" s="1349"/>
      <c r="AC130" s="1319"/>
      <c r="AD130" s="1369">
        <f>Score!$Z$194</f>
        <v>2.9999999999999996</v>
      </c>
      <c r="AE130" s="1369">
        <f>Score!$AB$194</f>
        <v>0</v>
      </c>
      <c r="AF130" s="1335">
        <f t="shared" si="70"/>
        <v>2.9999999999999996</v>
      </c>
      <c r="AG130" s="1336">
        <f t="shared" si="59"/>
        <v>2</v>
      </c>
      <c r="AH130" s="1337"/>
      <c r="AI130" s="1336">
        <f t="shared" si="60"/>
        <v>2</v>
      </c>
      <c r="AJ130" s="1370">
        <f t="shared" si="65"/>
        <v>2</v>
      </c>
      <c r="AK130" s="1396" t="b">
        <v>0</v>
      </c>
      <c r="AL130" s="1365">
        <f t="shared" si="61"/>
        <v>2</v>
      </c>
      <c r="AM130" s="1373"/>
    </row>
    <row r="131" spans="1:39" ht="30" customHeight="1">
      <c r="A131" s="4373"/>
      <c r="B131" s="4351"/>
      <c r="C131" s="4420"/>
      <c r="D131" s="1279" t="s">
        <v>1308</v>
      </c>
      <c r="E131" s="1280" t="s">
        <v>4691</v>
      </c>
      <c r="F131" s="1280" t="s">
        <v>4527</v>
      </c>
      <c r="G131" s="1286" t="s">
        <v>4916</v>
      </c>
      <c r="H131" s="1287" t="s">
        <v>4563</v>
      </c>
      <c r="I131" s="1288" t="str">
        <f t="shared" si="66"/>
        <v/>
      </c>
      <c r="J131" s="1288" t="str">
        <f t="shared" si="67"/>
        <v>●</v>
      </c>
      <c r="K131" s="1288" t="str">
        <f t="shared" si="68"/>
        <v/>
      </c>
      <c r="L131" s="1295" t="str">
        <f>IF(L31="","（The result for 3.8.4 is transferred.）",L31)</f>
        <v>（The result for 3.8.4 is transferred.）</v>
      </c>
      <c r="M131" s="1280"/>
      <c r="N131" s="1290">
        <f t="shared" si="71"/>
        <v>2</v>
      </c>
      <c r="O131" s="1313"/>
      <c r="Q131" s="1291" t="s">
        <v>92</v>
      </c>
      <c r="R131" s="1291" t="s">
        <v>407</v>
      </c>
      <c r="S131" s="1291" t="s">
        <v>445</v>
      </c>
      <c r="T131" s="1291" t="s">
        <v>496</v>
      </c>
      <c r="U131" s="1291" t="s">
        <v>447</v>
      </c>
      <c r="V131" s="1291" t="s">
        <v>82</v>
      </c>
      <c r="W131" s="1291" t="s">
        <v>448</v>
      </c>
      <c r="X131" s="1291" t="s">
        <v>80</v>
      </c>
      <c r="Y131" s="1291" t="s">
        <v>497</v>
      </c>
      <c r="Z131" s="1332" t="str">
        <f t="shared" si="57"/>
        <v>対象</v>
      </c>
      <c r="AB131" s="1349"/>
      <c r="AC131" s="1319"/>
      <c r="AD131" s="1334">
        <f>Score!$Z$178</f>
        <v>3</v>
      </c>
      <c r="AE131" s="1334">
        <f>Score!$AB$178</f>
        <v>0</v>
      </c>
      <c r="AF131" s="1335">
        <f t="shared" si="70"/>
        <v>3</v>
      </c>
      <c r="AG131" s="1336">
        <f t="shared" si="59"/>
        <v>2</v>
      </c>
      <c r="AH131" s="1337"/>
      <c r="AI131" s="1336">
        <f t="shared" si="60"/>
        <v>2</v>
      </c>
      <c r="AJ131" s="1298">
        <f t="shared" si="65"/>
        <v>2</v>
      </c>
      <c r="AK131" s="1338" t="b">
        <v>0</v>
      </c>
      <c r="AL131" s="1339">
        <f t="shared" si="61"/>
        <v>2</v>
      </c>
      <c r="AM131" s="1373"/>
    </row>
    <row r="132" spans="1:39" ht="32.25" customHeight="1">
      <c r="A132" s="4373"/>
      <c r="B132" s="4352"/>
      <c r="C132" s="4421"/>
      <c r="D132" s="1279" t="s">
        <v>1309</v>
      </c>
      <c r="E132" s="1282" t="s">
        <v>4692</v>
      </c>
      <c r="F132" s="1280" t="s">
        <v>4693</v>
      </c>
      <c r="G132" s="1286" t="s">
        <v>4916</v>
      </c>
      <c r="H132" s="1287" t="s">
        <v>4564</v>
      </c>
      <c r="I132" s="1288" t="str">
        <f t="shared" si="66"/>
        <v/>
      </c>
      <c r="J132" s="1288" t="str">
        <f t="shared" si="67"/>
        <v>●</v>
      </c>
      <c r="K132" s="1288" t="str">
        <f t="shared" si="68"/>
        <v/>
      </c>
      <c r="L132" s="1295" t="str">
        <f>IF(L32="","（The result for 3.8.5 is transferred.）",L32)</f>
        <v>（The result for 3.8.5 is transferred.）</v>
      </c>
      <c r="M132" s="1451"/>
      <c r="N132" s="1290">
        <f t="shared" si="71"/>
        <v>2</v>
      </c>
      <c r="O132" s="1313"/>
      <c r="Q132" s="1291" t="s">
        <v>92</v>
      </c>
      <c r="R132" s="1291" t="s">
        <v>407</v>
      </c>
      <c r="S132" s="1291" t="s">
        <v>445</v>
      </c>
      <c r="T132" s="1291" t="s">
        <v>496</v>
      </c>
      <c r="U132" s="1291" t="s">
        <v>447</v>
      </c>
      <c r="V132" s="1291" t="s">
        <v>82</v>
      </c>
      <c r="W132" s="1291" t="s">
        <v>448</v>
      </c>
      <c r="X132" s="1291" t="s">
        <v>80</v>
      </c>
      <c r="Y132" s="1291" t="s">
        <v>497</v>
      </c>
      <c r="Z132" s="1332" t="str">
        <f t="shared" si="57"/>
        <v>対象</v>
      </c>
      <c r="AB132" s="1333"/>
      <c r="AC132" s="1319"/>
      <c r="AD132" s="1334">
        <f>Score!$Z$169</f>
        <v>3</v>
      </c>
      <c r="AE132" s="1334">
        <f>Score!$AB$169</f>
        <v>0</v>
      </c>
      <c r="AF132" s="1335">
        <f t="shared" si="70"/>
        <v>3</v>
      </c>
      <c r="AG132" s="1336">
        <f t="shared" si="59"/>
        <v>2</v>
      </c>
      <c r="AH132" s="1337"/>
      <c r="AI132" s="1336">
        <f t="shared" si="60"/>
        <v>2</v>
      </c>
      <c r="AJ132" s="1298">
        <f t="shared" si="65"/>
        <v>2</v>
      </c>
      <c r="AK132" s="1347" t="b">
        <v>0</v>
      </c>
      <c r="AL132" s="1460">
        <f t="shared" si="61"/>
        <v>2</v>
      </c>
      <c r="AM132" s="1372"/>
    </row>
    <row r="133" spans="1:39" ht="30" customHeight="1">
      <c r="A133" s="4373"/>
      <c r="B133" s="1283" t="s">
        <v>1303</v>
      </c>
      <c r="C133" s="1284" t="s">
        <v>4840</v>
      </c>
      <c r="D133" s="1279" t="s">
        <v>1154</v>
      </c>
      <c r="E133" s="1280" t="s">
        <v>4841</v>
      </c>
      <c r="F133" s="1280" t="s">
        <v>4842</v>
      </c>
      <c r="G133" s="1286" t="s">
        <v>4916</v>
      </c>
      <c r="H133" s="1287" t="s">
        <v>4612</v>
      </c>
      <c r="I133" s="1288" t="str">
        <f t="shared" si="66"/>
        <v/>
      </c>
      <c r="J133" s="1288" t="str">
        <f t="shared" si="67"/>
        <v/>
      </c>
      <c r="K133" s="1288" t="str">
        <f t="shared" si="68"/>
        <v>●</v>
      </c>
      <c r="L133" s="1293"/>
      <c r="M133" s="1280"/>
      <c r="N133" s="1290">
        <f t="shared" si="71"/>
        <v>3</v>
      </c>
      <c r="O133" s="1313"/>
      <c r="Q133" s="1291" t="s">
        <v>92</v>
      </c>
      <c r="R133" s="1291" t="s">
        <v>407</v>
      </c>
      <c r="S133" s="1291" t="s">
        <v>445</v>
      </c>
      <c r="T133" s="1291" t="s">
        <v>496</v>
      </c>
      <c r="U133" s="1291" t="s">
        <v>447</v>
      </c>
      <c r="V133" s="1291" t="s">
        <v>82</v>
      </c>
      <c r="W133" s="1291" t="s">
        <v>448</v>
      </c>
      <c r="X133" s="1291" t="s">
        <v>80</v>
      </c>
      <c r="Y133" s="1291" t="s">
        <v>497</v>
      </c>
      <c r="Z133" s="1332" t="str">
        <f t="shared" si="57"/>
        <v>対象</v>
      </c>
      <c r="AB133" s="1349"/>
      <c r="AC133" s="1319"/>
      <c r="AD133" s="1334">
        <f>IF(SUM(VALUE('Q3'!G79)+VALUE('Q3'!G82))=0,1,IF(SUM(VALUE('Q3'!G79)+VALUE('Q3'!G82))=1,4,5))</f>
        <v>4</v>
      </c>
      <c r="AE133" s="1349"/>
      <c r="AF133" s="1335">
        <f t="shared" si="70"/>
        <v>4</v>
      </c>
      <c r="AG133" s="1336">
        <f t="shared" si="59"/>
        <v>3</v>
      </c>
      <c r="AH133" s="1337"/>
      <c r="AI133" s="1336">
        <f t="shared" si="60"/>
        <v>3</v>
      </c>
      <c r="AJ133" s="1298">
        <f t="shared" si="65"/>
        <v>3</v>
      </c>
      <c r="AK133" s="1397" t="b">
        <v>0</v>
      </c>
      <c r="AL133" s="1339">
        <f t="shared" si="61"/>
        <v>3</v>
      </c>
      <c r="AM133" s="1376">
        <f>AVERAGEIFS(AL133,AL133,"&lt;&gt;0",AL133,"&lt;&gt;#DIV/0!")</f>
        <v>3</v>
      </c>
    </row>
    <row r="134" spans="1:39" ht="85.15" customHeight="1">
      <c r="A134" s="4373"/>
      <c r="B134" s="1283" t="s">
        <v>1155</v>
      </c>
      <c r="C134" s="1284" t="s">
        <v>4843</v>
      </c>
      <c r="D134" s="1279" t="s">
        <v>1156</v>
      </c>
      <c r="E134" s="1282" t="s">
        <v>4844</v>
      </c>
      <c r="F134" s="1282" t="s">
        <v>4958</v>
      </c>
      <c r="G134" s="1286" t="s">
        <v>4916</v>
      </c>
      <c r="H134" s="1469" t="s">
        <v>4555</v>
      </c>
      <c r="I134" s="1288" t="str">
        <f t="shared" si="66"/>
        <v>●</v>
      </c>
      <c r="J134" s="1288" t="str">
        <f t="shared" si="67"/>
        <v/>
      </c>
      <c r="K134" s="1288" t="str">
        <f t="shared" si="68"/>
        <v/>
      </c>
      <c r="L134" s="1304" t="str">
        <f>IF(L89="","（The result for 9.1.2 is transferred.）",L89)</f>
        <v>（The result for 9.1.2 is transferred.）</v>
      </c>
      <c r="M134" s="1280"/>
      <c r="N134" s="1290">
        <f t="shared" si="71"/>
        <v>1</v>
      </c>
      <c r="O134" s="1313"/>
      <c r="Q134" s="1291" t="s">
        <v>92</v>
      </c>
      <c r="R134" s="1291" t="s">
        <v>407</v>
      </c>
      <c r="S134" s="1291" t="s">
        <v>445</v>
      </c>
      <c r="T134" s="1291" t="s">
        <v>496</v>
      </c>
      <c r="U134" s="1291" t="s">
        <v>447</v>
      </c>
      <c r="V134" s="1291" t="s">
        <v>82</v>
      </c>
      <c r="W134" s="1291" t="s">
        <v>448</v>
      </c>
      <c r="X134" s="1291" t="s">
        <v>80</v>
      </c>
      <c r="Y134" s="1291" t="s">
        <v>497</v>
      </c>
      <c r="Z134" s="1332" t="str">
        <f t="shared" ref="Z134:Z165" si="72">IF(AG134="#DIV/0!","N.A.",IF(AND($Q$4="〇",Q134&lt;&gt;"")+AND($R$4="〇",R134&lt;&gt;"")+AND($S$4="〇",S134&lt;&gt;"")+AND($T$4="〇",T134&lt;&gt;"")+AND($U$4="〇",U134&lt;&gt;"")+AND($V$4="〇",V134&lt;&gt;"")+AND($W$4="〇",W134&lt;&gt;"")+AND($X$4="〇",X134&lt;&gt;"")+AND($Y$4="〇",Y134&lt;&gt;"")=0,"N.A.","対象"))</f>
        <v>対象</v>
      </c>
      <c r="AB134" s="1353">
        <f>AB89</f>
        <v>1</v>
      </c>
      <c r="AC134" s="1319"/>
      <c r="AD134" s="1349"/>
      <c r="AE134" s="1349"/>
      <c r="AF134" s="1349"/>
      <c r="AG134" s="1349"/>
      <c r="AH134" s="1350"/>
      <c r="AI134" s="1336">
        <f t="shared" ref="AI134:AI165" si="73">IF(Z134="N.A.","#DIV/0!",IF(AG134="",AB134,IF(AB134="",AG134,0)))</f>
        <v>1</v>
      </c>
      <c r="AJ134" s="1298">
        <f t="shared" si="65"/>
        <v>1</v>
      </c>
      <c r="AK134" s="1397" t="b">
        <v>0</v>
      </c>
      <c r="AL134" s="1339">
        <f t="shared" si="61"/>
        <v>1</v>
      </c>
      <c r="AM134" s="1335">
        <f>AVERAGEIFS(AL134,AL134,"&lt;&gt;0",AL134,"&lt;&gt;#DIV/0!")</f>
        <v>1</v>
      </c>
    </row>
    <row r="135" spans="1:39" ht="57.6" customHeight="1">
      <c r="A135" s="4373"/>
      <c r="B135" s="1283" t="s">
        <v>1310</v>
      </c>
      <c r="C135" s="1284" t="s">
        <v>4777</v>
      </c>
      <c r="D135" s="1279" t="s">
        <v>1315</v>
      </c>
      <c r="E135" s="1280" t="s">
        <v>4845</v>
      </c>
      <c r="F135" s="1280" t="s">
        <v>4779</v>
      </c>
      <c r="G135" s="1286" t="s">
        <v>4916</v>
      </c>
      <c r="H135" s="1287" t="s">
        <v>4592</v>
      </c>
      <c r="I135" s="1288" t="str">
        <f t="shared" si="66"/>
        <v>●</v>
      </c>
      <c r="J135" s="1288" t="str">
        <f t="shared" si="67"/>
        <v/>
      </c>
      <c r="K135" s="1288" t="str">
        <f t="shared" si="68"/>
        <v/>
      </c>
      <c r="L135" s="1304" t="str">
        <f>IF(L87="","（The result for 8.5.1 is transferred.）",L87)</f>
        <v>（The result for 8.5.1 is transferred.）</v>
      </c>
      <c r="M135" s="1280"/>
      <c r="N135" s="1290">
        <f t="shared" si="71"/>
        <v>1</v>
      </c>
      <c r="O135" s="1313"/>
      <c r="Q135" s="1291" t="s">
        <v>92</v>
      </c>
      <c r="R135" s="1291" t="s">
        <v>407</v>
      </c>
      <c r="S135" s="1291" t="s">
        <v>445</v>
      </c>
      <c r="T135" s="1291" t="s">
        <v>496</v>
      </c>
      <c r="U135" s="1291" t="s">
        <v>447</v>
      </c>
      <c r="V135" s="1291" t="s">
        <v>82</v>
      </c>
      <c r="W135" s="1291" t="s">
        <v>448</v>
      </c>
      <c r="X135" s="1291" t="s">
        <v>80</v>
      </c>
      <c r="Y135" s="1291" t="s">
        <v>497</v>
      </c>
      <c r="Z135" s="1332" t="str">
        <f t="shared" si="72"/>
        <v>対象</v>
      </c>
      <c r="AB135" s="1349"/>
      <c r="AC135" s="1319"/>
      <c r="AD135" s="1334">
        <f>IF(SUM(VALUE('Q3'!G58)+VALUE('Q3'!G77))=0,1,3)</f>
        <v>1</v>
      </c>
      <c r="AE135" s="1349"/>
      <c r="AF135" s="1335">
        <f>IF(AE135=0,AD135,IF(AD135=0,AE135,AD135*$AD$6+AE135*$AE$6))</f>
        <v>1</v>
      </c>
      <c r="AG135" s="1336">
        <f>IF(AF135=0,"#DIV/0!",IF(AF135&lt;2,1,IF(AF135&lt;3,2,3)))</f>
        <v>1</v>
      </c>
      <c r="AH135" s="1337"/>
      <c r="AI135" s="1336">
        <f t="shared" si="73"/>
        <v>1</v>
      </c>
      <c r="AJ135" s="1298">
        <f t="shared" si="65"/>
        <v>1</v>
      </c>
      <c r="AK135" s="1397" t="b">
        <v>0</v>
      </c>
      <c r="AL135" s="1339">
        <f t="shared" si="61"/>
        <v>1</v>
      </c>
      <c r="AM135" s="1335">
        <f>AVERAGEIFS(AL135,AL135,"&lt;&gt;0",AL135,"&lt;&gt;#DIV/0!")</f>
        <v>1</v>
      </c>
    </row>
    <row r="136" spans="1:39" ht="69" customHeight="1">
      <c r="A136" s="4373"/>
      <c r="B136" s="1283" t="s">
        <v>1311</v>
      </c>
      <c r="C136" s="1297" t="s">
        <v>4510</v>
      </c>
      <c r="D136" s="1279" t="s">
        <v>1314</v>
      </c>
      <c r="E136" s="1280" t="s">
        <v>4846</v>
      </c>
      <c r="F136" s="1280" t="s">
        <v>4964</v>
      </c>
      <c r="G136" s="1286" t="s">
        <v>4916</v>
      </c>
      <c r="H136" s="1469" t="s">
        <v>4555</v>
      </c>
      <c r="I136" s="1282"/>
      <c r="J136" s="1282"/>
      <c r="K136" s="1282"/>
      <c r="L136" s="1293"/>
      <c r="M136" s="1280"/>
      <c r="N136" s="1290">
        <f t="shared" si="71"/>
        <v>3</v>
      </c>
      <c r="O136" s="1313"/>
      <c r="Q136" s="1291" t="s">
        <v>92</v>
      </c>
      <c r="R136" s="1291" t="s">
        <v>407</v>
      </c>
      <c r="S136" s="1291" t="s">
        <v>445</v>
      </c>
      <c r="T136" s="1291" t="s">
        <v>496</v>
      </c>
      <c r="U136" s="1291" t="s">
        <v>447</v>
      </c>
      <c r="V136" s="1291" t="s">
        <v>82</v>
      </c>
      <c r="W136" s="1291" t="s">
        <v>448</v>
      </c>
      <c r="X136" s="1291" t="s">
        <v>80</v>
      </c>
      <c r="Y136" s="1291" t="s">
        <v>497</v>
      </c>
      <c r="Z136" s="1332" t="str">
        <f t="shared" si="72"/>
        <v>対象</v>
      </c>
      <c r="AB136" s="1353">
        <v>3</v>
      </c>
      <c r="AC136" s="1319"/>
      <c r="AD136" s="1349"/>
      <c r="AE136" s="1349"/>
      <c r="AF136" s="1349"/>
      <c r="AG136" s="1349"/>
      <c r="AH136" s="1350"/>
      <c r="AI136" s="1336">
        <f t="shared" si="73"/>
        <v>3</v>
      </c>
      <c r="AJ136" s="1298">
        <f t="shared" si="65"/>
        <v>3</v>
      </c>
      <c r="AK136" s="1397" t="b">
        <v>0</v>
      </c>
      <c r="AL136" s="1339">
        <f t="shared" si="61"/>
        <v>3</v>
      </c>
      <c r="AM136" s="1360">
        <f>AVERAGEIFS(AL136,AL136,"&lt;&gt;0",AL136,"&lt;&gt;#DIV/0!")</f>
        <v>3</v>
      </c>
    </row>
    <row r="137" spans="1:39" ht="55.15" customHeight="1">
      <c r="A137" s="4374"/>
      <c r="B137" s="1458" t="s">
        <v>1312</v>
      </c>
      <c r="C137" s="1466" t="s">
        <v>4847</v>
      </c>
      <c r="D137" s="1279" t="s">
        <v>1313</v>
      </c>
      <c r="E137" s="1280" t="s">
        <v>4848</v>
      </c>
      <c r="F137" s="1280" t="s">
        <v>4849</v>
      </c>
      <c r="G137" s="1286" t="s">
        <v>4916</v>
      </c>
      <c r="H137" s="1287" t="s">
        <v>4613</v>
      </c>
      <c r="I137" s="1288" t="str">
        <f t="shared" ref="I137" si="74">IF(AI137=1,"●","")</f>
        <v/>
      </c>
      <c r="J137" s="1288" t="str">
        <f t="shared" ref="J137" si="75">IF(AI137=2,"●","")</f>
        <v/>
      </c>
      <c r="K137" s="1288" t="str">
        <f t="shared" ref="K137" si="76">IF(AI137=3,"●","")</f>
        <v>●</v>
      </c>
      <c r="L137" s="1293"/>
      <c r="M137" s="1280"/>
      <c r="N137" s="1290">
        <f t="shared" si="71"/>
        <v>3</v>
      </c>
      <c r="O137" s="1313"/>
      <c r="Q137" s="1291" t="s">
        <v>92</v>
      </c>
      <c r="R137" s="1291" t="s">
        <v>407</v>
      </c>
      <c r="S137" s="1291" t="s">
        <v>445</v>
      </c>
      <c r="T137" s="1291" t="s">
        <v>496</v>
      </c>
      <c r="U137" s="1291" t="s">
        <v>447</v>
      </c>
      <c r="V137" s="1291" t="s">
        <v>82</v>
      </c>
      <c r="W137" s="1291" t="s">
        <v>448</v>
      </c>
      <c r="X137" s="1291" t="s">
        <v>80</v>
      </c>
      <c r="Y137" s="1291" t="s">
        <v>497</v>
      </c>
      <c r="Z137" s="1332" t="str">
        <f t="shared" si="72"/>
        <v>対象</v>
      </c>
      <c r="AB137" s="1470"/>
      <c r="AC137" s="1319"/>
      <c r="AD137" s="1334">
        <f>IF(SUM(VALUE('Q3'!G57)+VALUE('Q3'!G75))=0,1,3)</f>
        <v>3</v>
      </c>
      <c r="AE137" s="1349"/>
      <c r="AF137" s="1335">
        <f>IF(AE137=0,AD137,IF(AD137=0,AE137,AD137*$AD$6+AE137*$AE$6))</f>
        <v>3</v>
      </c>
      <c r="AG137" s="1336">
        <f>IF(AF137=0,"#DIV/0!",IF(AF137&lt;2,1,IF(AF137&lt;3,2,3)))</f>
        <v>3</v>
      </c>
      <c r="AH137" s="1350"/>
      <c r="AI137" s="1336">
        <f t="shared" si="73"/>
        <v>3</v>
      </c>
      <c r="AJ137" s="1298">
        <f t="shared" ref="AJ137" si="77">AVERAGEIFS(AI137,AI137,"&lt;&gt;0",AI137,"&lt;&gt;#DIV/0!")</f>
        <v>3</v>
      </c>
      <c r="AK137" s="1397" t="b">
        <v>0</v>
      </c>
      <c r="AL137" s="1339">
        <f t="shared" ref="AL137" si="78">IF(AK137=FALSE,AJ137,IF(AJ137=1,2,3))</f>
        <v>3</v>
      </c>
      <c r="AM137" s="1360">
        <f>AVERAGEIFS(AL137,AL137,"&lt;&gt;0",AL137,"&lt;&gt;#DIV/0!")</f>
        <v>3</v>
      </c>
    </row>
    <row r="138" spans="1:39" ht="30" customHeight="1">
      <c r="A138" s="4368" t="s">
        <v>4965</v>
      </c>
      <c r="B138" s="4350" t="s">
        <v>1157</v>
      </c>
      <c r="C138" s="4357" t="s">
        <v>4850</v>
      </c>
      <c r="D138" s="1279" t="s">
        <v>1158</v>
      </c>
      <c r="E138" s="1280" t="s">
        <v>4851</v>
      </c>
      <c r="F138" s="1282" t="s">
        <v>4766</v>
      </c>
      <c r="G138" s="1286" t="s">
        <v>4916</v>
      </c>
      <c r="H138" s="1287" t="s">
        <v>4614</v>
      </c>
      <c r="I138" s="1288" t="str">
        <f>IF(AI138=1,"●","")</f>
        <v/>
      </c>
      <c r="J138" s="1288" t="str">
        <f>IF(AI138=2,"●","")</f>
        <v>●</v>
      </c>
      <c r="K138" s="1288" t="str">
        <f>IF(AI138=3,"●","")</f>
        <v/>
      </c>
      <c r="L138" s="1295" t="str">
        <f>IF(L79="","（The result for 8.4.1 is transferred.）",L79)</f>
        <v>（The result for 8.4.1 is transferred.）</v>
      </c>
      <c r="M138" s="1280"/>
      <c r="N138" s="1290">
        <f t="shared" si="71"/>
        <v>2</v>
      </c>
      <c r="O138" s="1313"/>
      <c r="Q138" s="1291" t="s">
        <v>92</v>
      </c>
      <c r="R138" s="1291" t="s">
        <v>407</v>
      </c>
      <c r="S138" s="1291" t="s">
        <v>445</v>
      </c>
      <c r="T138" s="1291" t="s">
        <v>496</v>
      </c>
      <c r="U138" s="1291" t="s">
        <v>447</v>
      </c>
      <c r="V138" s="1291" t="s">
        <v>82</v>
      </c>
      <c r="W138" s="1291" t="s">
        <v>448</v>
      </c>
      <c r="X138" s="1291" t="s">
        <v>80</v>
      </c>
      <c r="Y138" s="1291" t="s">
        <v>497</v>
      </c>
      <c r="Z138" s="1332" t="str">
        <f t="shared" si="72"/>
        <v>対象</v>
      </c>
      <c r="AB138" s="1349"/>
      <c r="AC138" s="1319"/>
      <c r="AD138" s="1334">
        <f>Score!$Z$83</f>
        <v>3</v>
      </c>
      <c r="AE138" s="1334">
        <f>Score!$AB$83</f>
        <v>0</v>
      </c>
      <c r="AF138" s="1335">
        <f t="shared" ref="AF138:AF143" si="79">IF(AE138=0,AD138,IF(AD138=0,AE138,AD138*$AD$6+AE138*$AE$6))</f>
        <v>3</v>
      </c>
      <c r="AG138" s="1336">
        <f t="shared" si="59"/>
        <v>2</v>
      </c>
      <c r="AH138" s="1337"/>
      <c r="AI138" s="1336">
        <f t="shared" si="73"/>
        <v>2</v>
      </c>
      <c r="AJ138" s="1298">
        <f t="shared" si="65"/>
        <v>2</v>
      </c>
      <c r="AK138" s="1338" t="b">
        <v>0</v>
      </c>
      <c r="AL138" s="1339">
        <f t="shared" si="61"/>
        <v>2</v>
      </c>
      <c r="AM138" s="1374">
        <f>AVERAGEIFS(AL138:AL145,AL138:AL145,"&lt;&gt;0",AL138:AL145,"&lt;&gt;#DIV/0!")</f>
        <v>2</v>
      </c>
    </row>
    <row r="139" spans="1:39" ht="30" customHeight="1">
      <c r="A139" s="4368"/>
      <c r="B139" s="4351"/>
      <c r="C139" s="4358"/>
      <c r="D139" s="1279" t="s">
        <v>1159</v>
      </c>
      <c r="E139" s="1280" t="s">
        <v>4852</v>
      </c>
      <c r="F139" s="1282" t="s">
        <v>4535</v>
      </c>
      <c r="G139" s="1286" t="s">
        <v>4916</v>
      </c>
      <c r="H139" s="1287" t="s">
        <v>4615</v>
      </c>
      <c r="I139" s="1288" t="str">
        <f t="shared" ref="I139:I145" si="80">IF(AI139=1,"●","")</f>
        <v/>
      </c>
      <c r="J139" s="1288" t="str">
        <f t="shared" ref="J139:J145" si="81">IF(AI139=2,"●","")</f>
        <v>●</v>
      </c>
      <c r="K139" s="1288" t="str">
        <f t="shared" ref="K139:K145" si="82">IF(AI139=3,"●","")</f>
        <v/>
      </c>
      <c r="L139" s="1295" t="str">
        <f>IF(L80="","（The result for 8.4.2 is transferred.）",L80)</f>
        <v>（The result for 8.4.2 is transferred.）</v>
      </c>
      <c r="M139" s="1280"/>
      <c r="N139" s="1290">
        <f t="shared" si="71"/>
        <v>2</v>
      </c>
      <c r="O139" s="1313"/>
      <c r="Q139" s="1291" t="s">
        <v>92</v>
      </c>
      <c r="R139" s="1291" t="s">
        <v>407</v>
      </c>
      <c r="S139" s="1291" t="s">
        <v>445</v>
      </c>
      <c r="T139" s="1291" t="s">
        <v>496</v>
      </c>
      <c r="U139" s="1291" t="s">
        <v>447</v>
      </c>
      <c r="V139" s="1291" t="s">
        <v>82</v>
      </c>
      <c r="W139" s="1291" t="s">
        <v>448</v>
      </c>
      <c r="X139" s="1291" t="s">
        <v>80</v>
      </c>
      <c r="Y139" s="1291" t="s">
        <v>497</v>
      </c>
      <c r="Z139" s="1332" t="str">
        <f t="shared" si="72"/>
        <v>対象</v>
      </c>
      <c r="AB139" s="1349"/>
      <c r="AC139" s="1319"/>
      <c r="AD139" s="1334">
        <f>Score!$Z$84</f>
        <v>3</v>
      </c>
      <c r="AE139" s="1334">
        <f>Score!$AB$84</f>
        <v>0</v>
      </c>
      <c r="AF139" s="1335">
        <f t="shared" si="79"/>
        <v>3</v>
      </c>
      <c r="AG139" s="1336">
        <f t="shared" si="59"/>
        <v>2</v>
      </c>
      <c r="AH139" s="1337"/>
      <c r="AI139" s="1336">
        <f t="shared" si="73"/>
        <v>2</v>
      </c>
      <c r="AJ139" s="1298">
        <f t="shared" si="65"/>
        <v>2</v>
      </c>
      <c r="AK139" s="1338" t="b">
        <v>0</v>
      </c>
      <c r="AL139" s="1339">
        <f t="shared" si="61"/>
        <v>2</v>
      </c>
      <c r="AM139" s="1373"/>
    </row>
    <row r="140" spans="1:39" ht="30" customHeight="1">
      <c r="A140" s="4368"/>
      <c r="B140" s="4351"/>
      <c r="C140" s="4358"/>
      <c r="D140" s="1279" t="s">
        <v>1160</v>
      </c>
      <c r="E140" s="1280" t="s">
        <v>4853</v>
      </c>
      <c r="F140" s="1282" t="s">
        <v>4769</v>
      </c>
      <c r="G140" s="1286" t="s">
        <v>4916</v>
      </c>
      <c r="H140" s="1287" t="s">
        <v>4616</v>
      </c>
      <c r="I140" s="1288" t="str">
        <f t="shared" si="80"/>
        <v/>
      </c>
      <c r="J140" s="1288" t="str">
        <f t="shared" si="81"/>
        <v>●</v>
      </c>
      <c r="K140" s="1288" t="str">
        <f t="shared" si="82"/>
        <v/>
      </c>
      <c r="L140" s="1295" t="str">
        <f>IF(L81="","（The result for 8.4.3 is transferred.）",L81)</f>
        <v>（The result for 8.4.3 is transferred.）</v>
      </c>
      <c r="M140" s="1280"/>
      <c r="N140" s="1290">
        <f t="shared" si="71"/>
        <v>2</v>
      </c>
      <c r="O140" s="1313"/>
      <c r="Q140" s="1291" t="s">
        <v>92</v>
      </c>
      <c r="R140" s="1291" t="s">
        <v>407</v>
      </c>
      <c r="S140" s="1291" t="s">
        <v>445</v>
      </c>
      <c r="T140" s="1291" t="s">
        <v>496</v>
      </c>
      <c r="U140" s="1291" t="s">
        <v>447</v>
      </c>
      <c r="V140" s="1291" t="s">
        <v>82</v>
      </c>
      <c r="W140" s="1291" t="s">
        <v>448</v>
      </c>
      <c r="X140" s="1291" t="s">
        <v>80</v>
      </c>
      <c r="Y140" s="1291" t="s">
        <v>497</v>
      </c>
      <c r="Z140" s="1332" t="str">
        <f t="shared" si="72"/>
        <v>対象</v>
      </c>
      <c r="AB140" s="1349"/>
      <c r="AC140" s="1319"/>
      <c r="AD140" s="1334">
        <f>Score!$Z$85</f>
        <v>3</v>
      </c>
      <c r="AE140" s="1334">
        <f>Score!$AB$85</f>
        <v>0</v>
      </c>
      <c r="AF140" s="1335">
        <f t="shared" si="79"/>
        <v>3</v>
      </c>
      <c r="AG140" s="1336">
        <f t="shared" si="59"/>
        <v>2</v>
      </c>
      <c r="AH140" s="1337"/>
      <c r="AI140" s="1342">
        <f t="shared" si="73"/>
        <v>2</v>
      </c>
      <c r="AJ140" s="1356">
        <f t="shared" si="65"/>
        <v>2</v>
      </c>
      <c r="AK140" s="1398" t="b">
        <v>0</v>
      </c>
      <c r="AL140" s="1339">
        <f t="shared" si="61"/>
        <v>2</v>
      </c>
      <c r="AM140" s="1373"/>
    </row>
    <row r="141" spans="1:39" ht="30" customHeight="1">
      <c r="A141" s="4368"/>
      <c r="B141" s="4351"/>
      <c r="C141" s="4358"/>
      <c r="D141" s="1279" t="s">
        <v>1161</v>
      </c>
      <c r="E141" s="1280" t="s">
        <v>4770</v>
      </c>
      <c r="F141" s="1282" t="s">
        <v>4854</v>
      </c>
      <c r="G141" s="1286" t="s">
        <v>4916</v>
      </c>
      <c r="H141" s="1287" t="s">
        <v>4589</v>
      </c>
      <c r="I141" s="1288" t="str">
        <f t="shared" si="80"/>
        <v/>
      </c>
      <c r="J141" s="1288" t="str">
        <f t="shared" si="81"/>
        <v>●</v>
      </c>
      <c r="K141" s="1288" t="str">
        <f t="shared" si="82"/>
        <v/>
      </c>
      <c r="L141" s="1295" t="str">
        <f>IF(L82="","（The result for 8.4.4 is transferred.）",L82)</f>
        <v>（The result for 8.4.4 is transferred.）</v>
      </c>
      <c r="M141" s="1280"/>
      <c r="N141" s="1290">
        <f t="shared" si="71"/>
        <v>2</v>
      </c>
      <c r="O141" s="1313"/>
      <c r="Q141" s="1291" t="s">
        <v>92</v>
      </c>
      <c r="R141" s="1291" t="s">
        <v>407</v>
      </c>
      <c r="S141" s="1291" t="s">
        <v>445</v>
      </c>
      <c r="T141" s="1291" t="s">
        <v>496</v>
      </c>
      <c r="U141" s="1291" t="s">
        <v>447</v>
      </c>
      <c r="V141" s="1291" t="s">
        <v>82</v>
      </c>
      <c r="W141" s="1291" t="s">
        <v>448</v>
      </c>
      <c r="X141" s="1291" t="s">
        <v>80</v>
      </c>
      <c r="Y141" s="1291" t="s">
        <v>497</v>
      </c>
      <c r="Z141" s="1332" t="str">
        <f t="shared" si="72"/>
        <v>対象</v>
      </c>
      <c r="AB141" s="1349"/>
      <c r="AD141" s="1334">
        <f>Score!$Z$86</f>
        <v>3</v>
      </c>
      <c r="AE141" s="1334">
        <f>Score!$AB$86</f>
        <v>0</v>
      </c>
      <c r="AF141" s="1335">
        <f t="shared" si="79"/>
        <v>3</v>
      </c>
      <c r="AG141" s="1336">
        <f t="shared" si="59"/>
        <v>2</v>
      </c>
      <c r="AH141" s="1337"/>
      <c r="AI141" s="1342">
        <f t="shared" si="73"/>
        <v>2</v>
      </c>
      <c r="AJ141" s="1356">
        <f>AVERAGEIFS(AI141,AI141,"&lt;&gt;0",AI141,"&lt;&gt;#DIV/0!")</f>
        <v>2</v>
      </c>
      <c r="AK141" s="1399" t="b">
        <v>0</v>
      </c>
      <c r="AL141" s="1339">
        <f t="shared" si="61"/>
        <v>2</v>
      </c>
      <c r="AM141" s="1373"/>
    </row>
    <row r="142" spans="1:39" ht="30" customHeight="1">
      <c r="A142" s="4368"/>
      <c r="B142" s="4351"/>
      <c r="C142" s="4358"/>
      <c r="D142" s="1279" t="s">
        <v>1162</v>
      </c>
      <c r="E142" s="1282" t="s">
        <v>4772</v>
      </c>
      <c r="F142" s="1282" t="s">
        <v>4855</v>
      </c>
      <c r="G142" s="1286" t="s">
        <v>4916</v>
      </c>
      <c r="H142" s="1287" t="s">
        <v>4590</v>
      </c>
      <c r="I142" s="1288" t="str">
        <f t="shared" si="80"/>
        <v/>
      </c>
      <c r="J142" s="1288" t="str">
        <f t="shared" si="81"/>
        <v>●</v>
      </c>
      <c r="K142" s="1288" t="str">
        <f t="shared" si="82"/>
        <v/>
      </c>
      <c r="L142" s="1295" t="str">
        <f>IF(L83="","（The result for 8.4.5 is transferred.）",L83)</f>
        <v>（The result for 8.4.5 is transferred.）</v>
      </c>
      <c r="M142" s="1280"/>
      <c r="N142" s="1290">
        <f t="shared" si="71"/>
        <v>2</v>
      </c>
      <c r="O142" s="1313"/>
      <c r="Q142" s="1291" t="s">
        <v>92</v>
      </c>
      <c r="R142" s="1291" t="s">
        <v>407</v>
      </c>
      <c r="S142" s="1291" t="s">
        <v>445</v>
      </c>
      <c r="T142" s="1291" t="s">
        <v>496</v>
      </c>
      <c r="U142" s="1291" t="s">
        <v>447</v>
      </c>
      <c r="V142" s="1291" t="s">
        <v>82</v>
      </c>
      <c r="W142" s="1291" t="s">
        <v>448</v>
      </c>
      <c r="X142" s="1291" t="s">
        <v>80</v>
      </c>
      <c r="Y142" s="1291" t="s">
        <v>497</v>
      </c>
      <c r="Z142" s="1332" t="str">
        <f t="shared" si="72"/>
        <v>対象</v>
      </c>
      <c r="AB142" s="1349"/>
      <c r="AD142" s="1334">
        <f>Score!$Z$87</f>
        <v>3</v>
      </c>
      <c r="AE142" s="1334">
        <f>Score!$AB$87</f>
        <v>0</v>
      </c>
      <c r="AF142" s="1335">
        <f t="shared" si="79"/>
        <v>3</v>
      </c>
      <c r="AG142" s="1336">
        <f t="shared" si="59"/>
        <v>2</v>
      </c>
      <c r="AI142" s="1342">
        <f t="shared" si="73"/>
        <v>2</v>
      </c>
      <c r="AJ142" s="1356">
        <f>AVERAGEIFS(AI142,AI142,"&lt;&gt;0",AI142,"&lt;&gt;#DIV/0!")</f>
        <v>2</v>
      </c>
      <c r="AK142" s="1400" t="b">
        <v>0</v>
      </c>
      <c r="AL142" s="1339">
        <f t="shared" si="61"/>
        <v>2</v>
      </c>
      <c r="AM142" s="1373"/>
    </row>
    <row r="143" spans="1:39" ht="30" customHeight="1">
      <c r="A143" s="4368"/>
      <c r="B143" s="4351"/>
      <c r="C143" s="4358"/>
      <c r="D143" s="1279" t="s">
        <v>1163</v>
      </c>
      <c r="E143" s="1282" t="s">
        <v>4774</v>
      </c>
      <c r="F143" s="1282" t="s">
        <v>4775</v>
      </c>
      <c r="G143" s="1286" t="s">
        <v>4916</v>
      </c>
      <c r="H143" s="1287" t="s">
        <v>4591</v>
      </c>
      <c r="I143" s="1288" t="str">
        <f t="shared" si="80"/>
        <v/>
      </c>
      <c r="J143" s="1288" t="str">
        <f t="shared" si="81"/>
        <v>●</v>
      </c>
      <c r="K143" s="1288" t="str">
        <f t="shared" si="82"/>
        <v/>
      </c>
      <c r="L143" s="1295" t="str">
        <f>IF(L84="","（The result for 8.4.6 is transferred.）",L84)</f>
        <v>（The result for 8.4.6 is transferred.）</v>
      </c>
      <c r="M143" s="1280"/>
      <c r="N143" s="1290">
        <f t="shared" si="71"/>
        <v>2</v>
      </c>
      <c r="O143" s="1313"/>
      <c r="Q143" s="1291" t="s">
        <v>92</v>
      </c>
      <c r="R143" s="1291" t="s">
        <v>407</v>
      </c>
      <c r="S143" s="1291" t="s">
        <v>445</v>
      </c>
      <c r="T143" s="1291" t="s">
        <v>496</v>
      </c>
      <c r="U143" s="1291" t="s">
        <v>447</v>
      </c>
      <c r="V143" s="1291" t="s">
        <v>82</v>
      </c>
      <c r="W143" s="1291" t="s">
        <v>448</v>
      </c>
      <c r="X143" s="1291" t="s">
        <v>80</v>
      </c>
      <c r="Y143" s="1291" t="s">
        <v>497</v>
      </c>
      <c r="Z143" s="1332" t="str">
        <f t="shared" si="72"/>
        <v>対象</v>
      </c>
      <c r="AB143" s="1349"/>
      <c r="AD143" s="1334">
        <f>Score!$Z$88</f>
        <v>3</v>
      </c>
      <c r="AE143" s="1334">
        <f>Score!$AB$88</f>
        <v>0</v>
      </c>
      <c r="AF143" s="1335">
        <f t="shared" si="79"/>
        <v>3</v>
      </c>
      <c r="AG143" s="1336">
        <f t="shared" si="59"/>
        <v>2</v>
      </c>
      <c r="AI143" s="1336">
        <f t="shared" si="73"/>
        <v>2</v>
      </c>
      <c r="AJ143" s="1298">
        <f>AVERAGEIFS(AI143,AI143,"&lt;&gt;0",AI143,"&lt;&gt;#DIV/0!")</f>
        <v>2</v>
      </c>
      <c r="AK143" s="1400" t="b">
        <v>0</v>
      </c>
      <c r="AL143" s="1339">
        <f t="shared" si="61"/>
        <v>2</v>
      </c>
      <c r="AM143" s="1373"/>
    </row>
    <row r="144" spans="1:39" ht="62.25" customHeight="1">
      <c r="A144" s="4368"/>
      <c r="B144" s="4351"/>
      <c r="C144" s="4358"/>
      <c r="D144" s="1279" t="s">
        <v>1164</v>
      </c>
      <c r="E144" s="1280" t="s">
        <v>4498</v>
      </c>
      <c r="F144" s="1280" t="s">
        <v>4955</v>
      </c>
      <c r="G144" s="1286" t="s">
        <v>4916</v>
      </c>
      <c r="H144" s="1292" t="s">
        <v>4555</v>
      </c>
      <c r="I144" s="1288" t="str">
        <f t="shared" si="80"/>
        <v>●</v>
      </c>
      <c r="J144" s="1288" t="str">
        <f t="shared" si="81"/>
        <v/>
      </c>
      <c r="K144" s="1288" t="str">
        <f t="shared" si="82"/>
        <v/>
      </c>
      <c r="L144" s="1295" t="str">
        <f>IF(L85="","（The result for 8.4.7 is transferred.）",L85)</f>
        <v>（The result for 8.4.7 is transferred.）</v>
      </c>
      <c r="M144" s="1280"/>
      <c r="N144" s="1290">
        <f t="shared" si="71"/>
        <v>1</v>
      </c>
      <c r="O144" s="1313"/>
      <c r="Q144" s="1291" t="s">
        <v>92</v>
      </c>
      <c r="R144" s="1291" t="s">
        <v>407</v>
      </c>
      <c r="S144" s="1291" t="s">
        <v>445</v>
      </c>
      <c r="T144" s="1291" t="s">
        <v>496</v>
      </c>
      <c r="U144" s="1291" t="s">
        <v>447</v>
      </c>
      <c r="V144" s="1291" t="s">
        <v>82</v>
      </c>
      <c r="W144" s="1291" t="s">
        <v>448</v>
      </c>
      <c r="X144" s="1291" t="s">
        <v>80</v>
      </c>
      <c r="Y144" s="1291" t="s">
        <v>497</v>
      </c>
      <c r="Z144" s="1332" t="str">
        <f t="shared" si="72"/>
        <v>対象</v>
      </c>
      <c r="AB144" s="1353">
        <f>AB85</f>
        <v>1</v>
      </c>
      <c r="AC144" s="1319"/>
      <c r="AD144" s="1349"/>
      <c r="AE144" s="1349"/>
      <c r="AF144" s="1349"/>
      <c r="AG144" s="1349"/>
      <c r="AH144" s="1350"/>
      <c r="AI144" s="1401">
        <f t="shared" si="73"/>
        <v>1</v>
      </c>
      <c r="AJ144" s="1370">
        <f t="shared" ref="AJ144:AJ183" si="83">AVERAGEIFS(AI144,AI144,"&lt;&gt;0",AI144,"&lt;&gt;#DIV/0!")</f>
        <v>1</v>
      </c>
      <c r="AK144" s="1396" t="b">
        <v>0</v>
      </c>
      <c r="AL144" s="1402">
        <f t="shared" si="61"/>
        <v>1</v>
      </c>
      <c r="AM144" s="1373"/>
    </row>
    <row r="145" spans="1:39" ht="47.25">
      <c r="A145" s="4368"/>
      <c r="B145" s="4352"/>
      <c r="C145" s="4359"/>
      <c r="D145" s="1279" t="s">
        <v>1165</v>
      </c>
      <c r="E145" s="1280" t="s">
        <v>4776</v>
      </c>
      <c r="F145" s="1280" t="s">
        <v>4956</v>
      </c>
      <c r="G145" s="1286" t="s">
        <v>4916</v>
      </c>
      <c r="H145" s="1292" t="s">
        <v>4555</v>
      </c>
      <c r="I145" s="1288" t="str">
        <f t="shared" si="80"/>
        <v/>
      </c>
      <c r="J145" s="1288" t="str">
        <f t="shared" si="81"/>
        <v/>
      </c>
      <c r="K145" s="1288" t="str">
        <f t="shared" si="82"/>
        <v>●</v>
      </c>
      <c r="L145" s="1295" t="str">
        <f>IF(L86="","（The result for 8.4.8 is transferred.）",L86)</f>
        <v>（The result for 8.4.8 is transferred.）</v>
      </c>
      <c r="M145" s="1280"/>
      <c r="N145" s="1290">
        <f t="shared" si="71"/>
        <v>3</v>
      </c>
      <c r="O145" s="1313"/>
      <c r="Q145" s="1291" t="s">
        <v>92</v>
      </c>
      <c r="R145" s="1291" t="s">
        <v>407</v>
      </c>
      <c r="S145" s="1291" t="s">
        <v>445</v>
      </c>
      <c r="T145" s="1291" t="s">
        <v>496</v>
      </c>
      <c r="U145" s="1291" t="s">
        <v>447</v>
      </c>
      <c r="V145" s="1291" t="s">
        <v>82</v>
      </c>
      <c r="W145" s="1291" t="s">
        <v>448</v>
      </c>
      <c r="X145" s="1291" t="s">
        <v>80</v>
      </c>
      <c r="Y145" s="1291" t="s">
        <v>497</v>
      </c>
      <c r="Z145" s="1332" t="str">
        <f t="shared" si="72"/>
        <v>対象</v>
      </c>
      <c r="AB145" s="1353">
        <f>AB86</f>
        <v>3</v>
      </c>
      <c r="AC145" s="1319"/>
      <c r="AD145" s="1349"/>
      <c r="AE145" s="1349"/>
      <c r="AF145" s="1349"/>
      <c r="AG145" s="1349"/>
      <c r="AH145" s="1350"/>
      <c r="AI145" s="1336">
        <f t="shared" si="73"/>
        <v>3</v>
      </c>
      <c r="AJ145" s="1298">
        <f t="shared" si="83"/>
        <v>3</v>
      </c>
      <c r="AK145" s="1338" t="b">
        <v>0</v>
      </c>
      <c r="AL145" s="1339">
        <f t="shared" si="61"/>
        <v>3</v>
      </c>
      <c r="AM145" s="1375"/>
    </row>
    <row r="146" spans="1:39" ht="31.5">
      <c r="A146" s="4368"/>
      <c r="B146" s="4350" t="s">
        <v>1166</v>
      </c>
      <c r="C146" s="4419" t="s">
        <v>4856</v>
      </c>
      <c r="D146" s="1279" t="s">
        <v>1167</v>
      </c>
      <c r="E146" s="1280" t="s">
        <v>4857</v>
      </c>
      <c r="F146" s="1282" t="s">
        <v>4858</v>
      </c>
      <c r="G146" s="1286" t="s">
        <v>4916</v>
      </c>
      <c r="H146" s="1287" t="s">
        <v>4617</v>
      </c>
      <c r="I146" s="1288" t="str">
        <f t="shared" ref="I146:I153" si="84">IF(AI146=1,"●","")</f>
        <v/>
      </c>
      <c r="J146" s="1288" t="str">
        <f t="shared" ref="J146:J153" si="85">IF(AI146=2,"●","")</f>
        <v>●</v>
      </c>
      <c r="K146" s="1288" t="str">
        <f t="shared" ref="K146:K153" si="86">IF(AI146=3,"●","")</f>
        <v/>
      </c>
      <c r="L146" s="1307" t="str">
        <f>IF(L77="","（The result for 8.3.5 is transferred.）",L77)</f>
        <v>（The result for 8.3.5 is transferred.）</v>
      </c>
      <c r="M146" s="1280"/>
      <c r="N146" s="1290">
        <f t="shared" si="71"/>
        <v>2</v>
      </c>
      <c r="O146" s="1313"/>
      <c r="Q146" s="1291" t="s">
        <v>92</v>
      </c>
      <c r="R146" s="1291" t="s">
        <v>407</v>
      </c>
      <c r="S146" s="1291" t="s">
        <v>445</v>
      </c>
      <c r="T146" s="1291" t="s">
        <v>496</v>
      </c>
      <c r="U146" s="1291" t="s">
        <v>447</v>
      </c>
      <c r="V146" s="1291" t="s">
        <v>82</v>
      </c>
      <c r="W146" s="1291" t="s">
        <v>448</v>
      </c>
      <c r="X146" s="1291" t="s">
        <v>80</v>
      </c>
      <c r="Y146" s="1291" t="s">
        <v>497</v>
      </c>
      <c r="Z146" s="1332" t="str">
        <f t="shared" si="72"/>
        <v>対象</v>
      </c>
      <c r="AB146" s="1349"/>
      <c r="AC146" s="1319"/>
      <c r="AD146" s="1334">
        <f>Score!$Z$158</f>
        <v>3</v>
      </c>
      <c r="AE146" s="1334">
        <f>Score!$AB$158</f>
        <v>0</v>
      </c>
      <c r="AF146" s="1335">
        <f t="shared" ref="AF146:AF153" si="87">IF(AE146=0,AD146,IF(AD146=0,AE146,AD146*$AD$6+AE146*$AE$6))</f>
        <v>3</v>
      </c>
      <c r="AG146" s="1336">
        <f>IF(AF146=0,"#DIV/0!",IF(AF146&lt;2,1,IF(AF146&lt;4,2,3)))</f>
        <v>2</v>
      </c>
      <c r="AH146" s="1337"/>
      <c r="AI146" s="1336">
        <f t="shared" si="73"/>
        <v>2</v>
      </c>
      <c r="AJ146" s="1298">
        <f>AVERAGEIFS(AI146,AI146,"&lt;&gt;0",AI146,"&lt;&gt;#DIV/0!")</f>
        <v>2</v>
      </c>
      <c r="AK146" s="1397" t="b">
        <v>0</v>
      </c>
      <c r="AL146" s="1339">
        <f>IF(AK146=FALSE,AJ146,IF(AJ146=1,2,3))</f>
        <v>2</v>
      </c>
      <c r="AM146" s="1335">
        <f>AVERAGEIFS(AL146:AL147,AL146:AL147,"&lt;&gt;0",AL146:AL147,"&lt;&gt;#DIV/0!")</f>
        <v>2.5</v>
      </c>
    </row>
    <row r="147" spans="1:39" ht="60.6" customHeight="1">
      <c r="A147" s="4368"/>
      <c r="B147" s="4352"/>
      <c r="C147" s="4421"/>
      <c r="D147" s="1279" t="s">
        <v>1316</v>
      </c>
      <c r="E147" s="1280" t="s">
        <v>4859</v>
      </c>
      <c r="F147" s="1280" t="s">
        <v>4779</v>
      </c>
      <c r="G147" s="1286" t="s">
        <v>4916</v>
      </c>
      <c r="H147" s="1287" t="s">
        <v>4592</v>
      </c>
      <c r="I147" s="1288" t="str">
        <f t="shared" si="84"/>
        <v/>
      </c>
      <c r="J147" s="1288" t="str">
        <f t="shared" si="85"/>
        <v/>
      </c>
      <c r="K147" s="1288" t="str">
        <f t="shared" si="86"/>
        <v>●</v>
      </c>
      <c r="L147" s="1465" t="str">
        <f>IF(L87="","（The result for 8.5.1 is transferred.）",L87)</f>
        <v>（The result for 8.5.1 is transferred.）</v>
      </c>
      <c r="M147" s="1280"/>
      <c r="N147" s="1290">
        <f t="shared" si="71"/>
        <v>3</v>
      </c>
      <c r="O147" s="1313"/>
      <c r="Q147" s="1291" t="s">
        <v>92</v>
      </c>
      <c r="R147" s="1291" t="s">
        <v>407</v>
      </c>
      <c r="S147" s="1291" t="s">
        <v>445</v>
      </c>
      <c r="T147" s="1291" t="s">
        <v>496</v>
      </c>
      <c r="U147" s="1291" t="s">
        <v>447</v>
      </c>
      <c r="V147" s="1291" t="s">
        <v>82</v>
      </c>
      <c r="W147" s="1291" t="s">
        <v>448</v>
      </c>
      <c r="X147" s="1291" t="s">
        <v>80</v>
      </c>
      <c r="Y147" s="1291" t="s">
        <v>497</v>
      </c>
      <c r="Z147" s="1332" t="str">
        <f t="shared" si="72"/>
        <v>対象</v>
      </c>
      <c r="AB147" s="1349"/>
      <c r="AC147" s="1319"/>
      <c r="AD147" s="1334">
        <f>IF(SUM(VALUE('Q3'!G58)+VALUE('Q3'!G75))=0,1,5)</f>
        <v>5</v>
      </c>
      <c r="AE147" s="1349"/>
      <c r="AF147" s="1335">
        <f>IF(AE147=0,AD147,IF(AD147=0,AE147,AD147*$AD$6+AE147*$AE$6))</f>
        <v>5</v>
      </c>
      <c r="AG147" s="1336">
        <f>IF(AF147=0,"#DIV/0!",IF(AF147&lt;2,1,IF(AF147&lt;4,2,3)))</f>
        <v>3</v>
      </c>
      <c r="AH147" s="1337"/>
      <c r="AI147" s="1336">
        <f t="shared" si="73"/>
        <v>3</v>
      </c>
      <c r="AJ147" s="1298">
        <f>AVERAGEIFS(AI147,AI147,"&lt;&gt;0",AI147,"&lt;&gt;#DIV/0!")</f>
        <v>3</v>
      </c>
      <c r="AK147" s="1352" t="b">
        <v>0</v>
      </c>
      <c r="AL147" s="1339">
        <f>IF(AK147=FALSE,AJ147,IF(AJ147=1,2,3))</f>
        <v>3</v>
      </c>
      <c r="AM147" s="1373"/>
    </row>
    <row r="148" spans="1:39" ht="30" customHeight="1">
      <c r="A148" s="4368"/>
      <c r="B148" s="4350" t="s">
        <v>1168</v>
      </c>
      <c r="C148" s="4357" t="s">
        <v>4860</v>
      </c>
      <c r="D148" s="1279" t="s">
        <v>1169</v>
      </c>
      <c r="E148" s="1280" t="s">
        <v>4861</v>
      </c>
      <c r="F148" s="1282" t="s">
        <v>4862</v>
      </c>
      <c r="G148" s="1286" t="s">
        <v>4916</v>
      </c>
      <c r="H148" s="1287" t="s">
        <v>4618</v>
      </c>
      <c r="I148" s="1288" t="str">
        <f t="shared" si="84"/>
        <v/>
      </c>
      <c r="J148" s="1288" t="str">
        <f t="shared" si="85"/>
        <v>●</v>
      </c>
      <c r="K148" s="1288" t="str">
        <f t="shared" si="86"/>
        <v/>
      </c>
      <c r="L148" s="1293"/>
      <c r="M148" s="1280"/>
      <c r="N148" s="1290">
        <f t="shared" si="71"/>
        <v>2</v>
      </c>
      <c r="O148" s="1313"/>
      <c r="Q148" s="1291" t="s">
        <v>92</v>
      </c>
      <c r="R148" s="1291" t="s">
        <v>407</v>
      </c>
      <c r="S148" s="1291" t="s">
        <v>445</v>
      </c>
      <c r="T148" s="1291" t="s">
        <v>496</v>
      </c>
      <c r="U148" s="1291" t="s">
        <v>447</v>
      </c>
      <c r="V148" s="1291" t="s">
        <v>82</v>
      </c>
      <c r="W148" s="1291" t="s">
        <v>448</v>
      </c>
      <c r="X148" s="1291" t="s">
        <v>80</v>
      </c>
      <c r="Y148" s="1291" t="s">
        <v>497</v>
      </c>
      <c r="Z148" s="1332" t="str">
        <f t="shared" si="72"/>
        <v>対象</v>
      </c>
      <c r="AB148" s="1349"/>
      <c r="AC148" s="1319"/>
      <c r="AD148" s="1334">
        <f>Score!$Z$106</f>
        <v>3</v>
      </c>
      <c r="AE148" s="1334">
        <f>Score!$AB$106</f>
        <v>0</v>
      </c>
      <c r="AF148" s="1335">
        <f t="shared" si="87"/>
        <v>3</v>
      </c>
      <c r="AG148" s="1336">
        <f t="shared" ref="AG148:AG153" si="88">IF(AF148=0,"#DIV/0!",IF(AF148&lt;2,1,IF(AF148&lt;4,2,3)))</f>
        <v>2</v>
      </c>
      <c r="AH148" s="1337"/>
      <c r="AI148" s="1336">
        <f t="shared" si="73"/>
        <v>2</v>
      </c>
      <c r="AJ148" s="1298">
        <f t="shared" si="83"/>
        <v>2</v>
      </c>
      <c r="AK148" s="1338" t="b">
        <v>0</v>
      </c>
      <c r="AL148" s="1339">
        <f t="shared" si="61"/>
        <v>2</v>
      </c>
      <c r="AM148" s="1374">
        <f>AVERAGEIFS(AL148:AL153,AL148:AL153,"&lt;&gt;0",AL148:AL153,"&lt;&gt;#DIV/0!")</f>
        <v>2</v>
      </c>
    </row>
    <row r="149" spans="1:39" ht="30" customHeight="1">
      <c r="A149" s="4368"/>
      <c r="B149" s="4351"/>
      <c r="C149" s="4358"/>
      <c r="D149" s="1279" t="s">
        <v>1170</v>
      </c>
      <c r="E149" s="1280" t="s">
        <v>4863</v>
      </c>
      <c r="F149" s="1282" t="s">
        <v>4864</v>
      </c>
      <c r="G149" s="1286" t="s">
        <v>4916</v>
      </c>
      <c r="H149" s="1287" t="s">
        <v>4619</v>
      </c>
      <c r="I149" s="1288" t="str">
        <f t="shared" si="84"/>
        <v/>
      </c>
      <c r="J149" s="1288" t="str">
        <f t="shared" si="85"/>
        <v>●</v>
      </c>
      <c r="K149" s="1288" t="str">
        <f t="shared" si="86"/>
        <v/>
      </c>
      <c r="L149" s="1293"/>
      <c r="M149" s="1280"/>
      <c r="N149" s="1290">
        <f t="shared" si="71"/>
        <v>2</v>
      </c>
      <c r="O149" s="1313"/>
      <c r="Q149" s="1291" t="s">
        <v>92</v>
      </c>
      <c r="R149" s="1291" t="s">
        <v>407</v>
      </c>
      <c r="S149" s="1291" t="s">
        <v>445</v>
      </c>
      <c r="T149" s="1291" t="s">
        <v>496</v>
      </c>
      <c r="U149" s="1291" t="s">
        <v>447</v>
      </c>
      <c r="V149" s="1291" t="s">
        <v>82</v>
      </c>
      <c r="W149" s="1291" t="s">
        <v>448</v>
      </c>
      <c r="X149" s="1291" t="s">
        <v>80</v>
      </c>
      <c r="Y149" s="1291" t="s">
        <v>497</v>
      </c>
      <c r="Z149" s="1332" t="str">
        <f t="shared" si="72"/>
        <v>対象</v>
      </c>
      <c r="AB149" s="1349"/>
      <c r="AC149" s="1319"/>
      <c r="AD149" s="1334">
        <f>Score!$Z$107</f>
        <v>3</v>
      </c>
      <c r="AE149" s="1334">
        <f>Score!$AB$107</f>
        <v>0</v>
      </c>
      <c r="AF149" s="1335">
        <f t="shared" si="87"/>
        <v>3</v>
      </c>
      <c r="AG149" s="1336">
        <f t="shared" si="88"/>
        <v>2</v>
      </c>
      <c r="AH149" s="1337"/>
      <c r="AI149" s="1336">
        <f t="shared" si="73"/>
        <v>2</v>
      </c>
      <c r="AJ149" s="1298">
        <f t="shared" si="83"/>
        <v>2</v>
      </c>
      <c r="AK149" s="1338" t="b">
        <v>0</v>
      </c>
      <c r="AL149" s="1339">
        <f t="shared" si="61"/>
        <v>2</v>
      </c>
      <c r="AM149" s="1373"/>
    </row>
    <row r="150" spans="1:39" ht="30" customHeight="1">
      <c r="A150" s="4368"/>
      <c r="B150" s="4351"/>
      <c r="C150" s="4358"/>
      <c r="D150" s="1279" t="s">
        <v>1171</v>
      </c>
      <c r="E150" s="1280" t="s">
        <v>4865</v>
      </c>
      <c r="F150" s="1282" t="s">
        <v>4866</v>
      </c>
      <c r="G150" s="1286" t="s">
        <v>4916</v>
      </c>
      <c r="H150" s="1287" t="s">
        <v>4620</v>
      </c>
      <c r="I150" s="1288" t="str">
        <f t="shared" si="84"/>
        <v/>
      </c>
      <c r="J150" s="1288" t="str">
        <f t="shared" si="85"/>
        <v>●</v>
      </c>
      <c r="K150" s="1288" t="str">
        <f t="shared" si="86"/>
        <v/>
      </c>
      <c r="L150" s="1293"/>
      <c r="M150" s="1280"/>
      <c r="N150" s="1290">
        <f t="shared" si="71"/>
        <v>2</v>
      </c>
      <c r="O150" s="1313"/>
      <c r="Q150" s="1291" t="s">
        <v>92</v>
      </c>
      <c r="R150" s="1291" t="s">
        <v>407</v>
      </c>
      <c r="S150" s="1291" t="s">
        <v>445</v>
      </c>
      <c r="T150" s="1291" t="s">
        <v>496</v>
      </c>
      <c r="U150" s="1291" t="s">
        <v>447</v>
      </c>
      <c r="V150" s="1291" t="s">
        <v>82</v>
      </c>
      <c r="W150" s="1291" t="s">
        <v>448</v>
      </c>
      <c r="X150" s="1291" t="s">
        <v>80</v>
      </c>
      <c r="Y150" s="1291" t="s">
        <v>497</v>
      </c>
      <c r="Z150" s="1332" t="str">
        <f t="shared" si="72"/>
        <v>対象</v>
      </c>
      <c r="AB150" s="1349"/>
      <c r="AC150" s="1319"/>
      <c r="AD150" s="1334">
        <f>Score!$Z$108</f>
        <v>3</v>
      </c>
      <c r="AE150" s="1334">
        <f>Score!$AB$108</f>
        <v>0</v>
      </c>
      <c r="AF150" s="1335">
        <f t="shared" si="87"/>
        <v>3</v>
      </c>
      <c r="AG150" s="1336">
        <f t="shared" si="88"/>
        <v>2</v>
      </c>
      <c r="AH150" s="1337"/>
      <c r="AI150" s="1336">
        <f t="shared" si="73"/>
        <v>2</v>
      </c>
      <c r="AJ150" s="1298">
        <f t="shared" si="83"/>
        <v>2</v>
      </c>
      <c r="AK150" s="1338" t="b">
        <v>0</v>
      </c>
      <c r="AL150" s="1339">
        <f t="shared" si="61"/>
        <v>2</v>
      </c>
      <c r="AM150" s="1373"/>
    </row>
    <row r="151" spans="1:39" ht="30" customHeight="1">
      <c r="A151" s="4368"/>
      <c r="B151" s="4351"/>
      <c r="C151" s="4358"/>
      <c r="D151" s="1279" t="s">
        <v>1172</v>
      </c>
      <c r="E151" s="1280" t="s">
        <v>4867</v>
      </c>
      <c r="F151" s="1282" t="s">
        <v>4868</v>
      </c>
      <c r="G151" s="1286" t="s">
        <v>4916</v>
      </c>
      <c r="H151" s="1287" t="s">
        <v>4621</v>
      </c>
      <c r="I151" s="1288" t="str">
        <f t="shared" si="84"/>
        <v/>
      </c>
      <c r="J151" s="1288" t="str">
        <f t="shared" si="85"/>
        <v>●</v>
      </c>
      <c r="K151" s="1288" t="str">
        <f t="shared" si="86"/>
        <v/>
      </c>
      <c r="L151" s="1293"/>
      <c r="M151" s="1280"/>
      <c r="N151" s="1290">
        <f t="shared" si="71"/>
        <v>2</v>
      </c>
      <c r="O151" s="1313"/>
      <c r="Q151" s="1291" t="s">
        <v>92</v>
      </c>
      <c r="R151" s="1291" t="s">
        <v>407</v>
      </c>
      <c r="S151" s="1291" t="s">
        <v>445</v>
      </c>
      <c r="T151" s="1291" t="s">
        <v>496</v>
      </c>
      <c r="U151" s="1291" t="s">
        <v>447</v>
      </c>
      <c r="V151" s="1291" t="s">
        <v>82</v>
      </c>
      <c r="W151" s="1291" t="s">
        <v>448</v>
      </c>
      <c r="X151" s="1291" t="s">
        <v>80</v>
      </c>
      <c r="Y151" s="1291" t="s">
        <v>497</v>
      </c>
      <c r="Z151" s="1332" t="str">
        <f t="shared" si="72"/>
        <v>対象</v>
      </c>
      <c r="AB151" s="1349"/>
      <c r="AC151" s="1319"/>
      <c r="AD151" s="1334">
        <f>Score!$Z$109</f>
        <v>3</v>
      </c>
      <c r="AE151" s="1334">
        <f>Score!$AB$109</f>
        <v>0</v>
      </c>
      <c r="AF151" s="1335">
        <f t="shared" si="87"/>
        <v>3</v>
      </c>
      <c r="AG151" s="1336">
        <f t="shared" si="88"/>
        <v>2</v>
      </c>
      <c r="AH151" s="1337"/>
      <c r="AI151" s="1336">
        <f t="shared" si="73"/>
        <v>2</v>
      </c>
      <c r="AJ151" s="1298">
        <f t="shared" si="83"/>
        <v>2</v>
      </c>
      <c r="AK151" s="1338" t="b">
        <v>0</v>
      </c>
      <c r="AL151" s="1339">
        <f t="shared" si="61"/>
        <v>2</v>
      </c>
      <c r="AM151" s="1373"/>
    </row>
    <row r="152" spans="1:39" ht="30" customHeight="1">
      <c r="A152" s="4368"/>
      <c r="B152" s="4351"/>
      <c r="C152" s="4358"/>
      <c r="D152" s="1279" t="s">
        <v>1173</v>
      </c>
      <c r="E152" s="1280" t="s">
        <v>4869</v>
      </c>
      <c r="F152" s="1282" t="s">
        <v>4870</v>
      </c>
      <c r="G152" s="1286" t="s">
        <v>4916</v>
      </c>
      <c r="H152" s="1287" t="s">
        <v>4622</v>
      </c>
      <c r="I152" s="1288" t="str">
        <f t="shared" si="84"/>
        <v/>
      </c>
      <c r="J152" s="1288" t="str">
        <f t="shared" si="85"/>
        <v>●</v>
      </c>
      <c r="K152" s="1288" t="str">
        <f t="shared" si="86"/>
        <v/>
      </c>
      <c r="L152" s="1293"/>
      <c r="M152" s="1280"/>
      <c r="N152" s="1290">
        <f t="shared" si="71"/>
        <v>2</v>
      </c>
      <c r="O152" s="1313"/>
      <c r="Q152" s="1291" t="s">
        <v>92</v>
      </c>
      <c r="R152" s="1291" t="s">
        <v>407</v>
      </c>
      <c r="S152" s="1291" t="s">
        <v>445</v>
      </c>
      <c r="T152" s="1291" t="s">
        <v>496</v>
      </c>
      <c r="U152" s="1291" t="s">
        <v>447</v>
      </c>
      <c r="V152" s="1291" t="s">
        <v>82</v>
      </c>
      <c r="W152" s="1291" t="s">
        <v>448</v>
      </c>
      <c r="X152" s="1291" t="s">
        <v>80</v>
      </c>
      <c r="Y152" s="1291" t="s">
        <v>497</v>
      </c>
      <c r="Z152" s="1332" t="str">
        <f t="shared" si="72"/>
        <v>対象</v>
      </c>
      <c r="AB152" s="1349"/>
      <c r="AC152" s="1319"/>
      <c r="AD152" s="1334">
        <f>Score!$Z$110</f>
        <v>3</v>
      </c>
      <c r="AE152" s="1334">
        <f>Score!$AB$110</f>
        <v>0</v>
      </c>
      <c r="AF152" s="1335">
        <f t="shared" si="87"/>
        <v>3</v>
      </c>
      <c r="AG152" s="1336">
        <f t="shared" si="88"/>
        <v>2</v>
      </c>
      <c r="AH152" s="1337"/>
      <c r="AI152" s="1336">
        <f t="shared" si="73"/>
        <v>2</v>
      </c>
      <c r="AJ152" s="1298">
        <f t="shared" si="83"/>
        <v>2</v>
      </c>
      <c r="AK152" s="1338" t="b">
        <v>0</v>
      </c>
      <c r="AL152" s="1339">
        <f t="shared" si="61"/>
        <v>2</v>
      </c>
      <c r="AM152" s="1373"/>
    </row>
    <row r="153" spans="1:39" ht="30" customHeight="1">
      <c r="A153" s="4368"/>
      <c r="B153" s="4352"/>
      <c r="C153" s="4359"/>
      <c r="D153" s="1279" t="s">
        <v>1174</v>
      </c>
      <c r="E153" s="1280" t="s">
        <v>4871</v>
      </c>
      <c r="F153" s="1282" t="s">
        <v>4872</v>
      </c>
      <c r="G153" s="1286" t="s">
        <v>4916</v>
      </c>
      <c r="H153" s="1287" t="s">
        <v>4623</v>
      </c>
      <c r="I153" s="1288" t="str">
        <f t="shared" si="84"/>
        <v/>
      </c>
      <c r="J153" s="1288" t="str">
        <f t="shared" si="85"/>
        <v>●</v>
      </c>
      <c r="K153" s="1288" t="str">
        <f t="shared" si="86"/>
        <v/>
      </c>
      <c r="L153" s="1293"/>
      <c r="M153" s="1280"/>
      <c r="N153" s="1290">
        <f t="shared" si="71"/>
        <v>2</v>
      </c>
      <c r="O153" s="1313"/>
      <c r="Q153" s="1291" t="s">
        <v>92</v>
      </c>
      <c r="R153" s="1291" t="s">
        <v>407</v>
      </c>
      <c r="S153" s="1291" t="s">
        <v>445</v>
      </c>
      <c r="T153" s="1291" t="s">
        <v>496</v>
      </c>
      <c r="U153" s="1291" t="s">
        <v>447</v>
      </c>
      <c r="V153" s="1291" t="s">
        <v>82</v>
      </c>
      <c r="W153" s="1291" t="s">
        <v>448</v>
      </c>
      <c r="X153" s="1291" t="s">
        <v>80</v>
      </c>
      <c r="Y153" s="1291" t="s">
        <v>497</v>
      </c>
      <c r="Z153" s="1332" t="str">
        <f t="shared" si="72"/>
        <v>対象</v>
      </c>
      <c r="AB153" s="1349"/>
      <c r="AC153" s="1319"/>
      <c r="AD153" s="1334">
        <f>Score!$Z$111</f>
        <v>3</v>
      </c>
      <c r="AE153" s="1334">
        <f>Score!$AB$111</f>
        <v>0</v>
      </c>
      <c r="AF153" s="1335">
        <f t="shared" si="87"/>
        <v>3</v>
      </c>
      <c r="AG153" s="1336">
        <f t="shared" si="88"/>
        <v>2</v>
      </c>
      <c r="AH153" s="1337"/>
      <c r="AI153" s="1336">
        <f t="shared" si="73"/>
        <v>2</v>
      </c>
      <c r="AJ153" s="1298">
        <f t="shared" si="83"/>
        <v>2</v>
      </c>
      <c r="AK153" s="1338" t="b">
        <v>0</v>
      </c>
      <c r="AL153" s="1339">
        <f t="shared" si="61"/>
        <v>2</v>
      </c>
      <c r="AM153" s="1373"/>
    </row>
    <row r="154" spans="1:39" ht="63">
      <c r="A154" s="4368"/>
      <c r="B154" s="4351" t="s">
        <v>1320</v>
      </c>
      <c r="C154" s="4358" t="s">
        <v>4873</v>
      </c>
      <c r="D154" s="1279" t="s">
        <v>1321</v>
      </c>
      <c r="E154" s="1280" t="s">
        <v>4874</v>
      </c>
      <c r="F154" s="1280" t="s">
        <v>4973</v>
      </c>
      <c r="G154" s="1286" t="s">
        <v>4916</v>
      </c>
      <c r="H154" s="1292" t="s">
        <v>4555</v>
      </c>
      <c r="I154" s="1282"/>
      <c r="J154" s="1282"/>
      <c r="K154" s="1282"/>
      <c r="L154" s="1293"/>
      <c r="M154" s="1280"/>
      <c r="N154" s="1290">
        <f t="shared" si="71"/>
        <v>3</v>
      </c>
      <c r="O154" s="1313"/>
      <c r="Q154" s="1291" t="s">
        <v>92</v>
      </c>
      <c r="R154" s="1291" t="s">
        <v>407</v>
      </c>
      <c r="S154" s="1291" t="s">
        <v>445</v>
      </c>
      <c r="T154" s="1291" t="s">
        <v>496</v>
      </c>
      <c r="U154" s="1291" t="s">
        <v>447</v>
      </c>
      <c r="V154" s="1291" t="s">
        <v>82</v>
      </c>
      <c r="W154" s="1291" t="s">
        <v>448</v>
      </c>
      <c r="X154" s="1291" t="s">
        <v>80</v>
      </c>
      <c r="Y154" s="1291" t="s">
        <v>497</v>
      </c>
      <c r="Z154" s="1332" t="str">
        <f t="shared" si="72"/>
        <v>対象</v>
      </c>
      <c r="AB154" s="1353">
        <v>3</v>
      </c>
      <c r="AC154" s="1319"/>
      <c r="AD154" s="1349"/>
      <c r="AE154" s="1349"/>
      <c r="AF154" s="1349"/>
      <c r="AG154" s="1349"/>
      <c r="AH154" s="1350"/>
      <c r="AI154" s="1336">
        <f t="shared" si="73"/>
        <v>3</v>
      </c>
      <c r="AJ154" s="1298">
        <f t="shared" si="83"/>
        <v>3</v>
      </c>
      <c r="AK154" s="1338" t="b">
        <v>0</v>
      </c>
      <c r="AL154" s="1339">
        <f t="shared" si="61"/>
        <v>3</v>
      </c>
      <c r="AM154" s="1374">
        <f>AVERAGEIFS(AL154:AL159,AL154:AL159,"&lt;&gt;0",AL154:AL159,"&lt;&gt;#DIV/0!")</f>
        <v>2.1666666666666665</v>
      </c>
    </row>
    <row r="155" spans="1:39" ht="30" customHeight="1">
      <c r="A155" s="4368"/>
      <c r="B155" s="4351"/>
      <c r="C155" s="4358"/>
      <c r="D155" s="1279" t="s">
        <v>1322</v>
      </c>
      <c r="E155" s="1282" t="s">
        <v>4875</v>
      </c>
      <c r="F155" s="1282" t="s">
        <v>4876</v>
      </c>
      <c r="G155" s="1286" t="s">
        <v>4916</v>
      </c>
      <c r="H155" s="1287" t="s">
        <v>4624</v>
      </c>
      <c r="I155" s="1288" t="str">
        <f>IF(AI155=1,"●","")</f>
        <v/>
      </c>
      <c r="J155" s="1288" t="str">
        <f>IF(AI155=2,"●","")</f>
        <v>●</v>
      </c>
      <c r="K155" s="1288" t="str">
        <f>IF(AI155=3,"●","")</f>
        <v/>
      </c>
      <c r="L155" s="1295" t="str">
        <f>IF(L73="","（The result for 8.3.1 is transferred.）",L73)</f>
        <v>（The result for 8.3.1 is transferred.）</v>
      </c>
      <c r="M155" s="1280"/>
      <c r="N155" s="1290">
        <f t="shared" si="71"/>
        <v>2</v>
      </c>
      <c r="O155" s="1313"/>
      <c r="Q155" s="1291" t="s">
        <v>92</v>
      </c>
      <c r="R155" s="1291" t="s">
        <v>407</v>
      </c>
      <c r="S155" s="1291" t="s">
        <v>445</v>
      </c>
      <c r="T155" s="1291" t="s">
        <v>496</v>
      </c>
      <c r="U155" s="1291" t="s">
        <v>447</v>
      </c>
      <c r="V155" s="1291" t="s">
        <v>82</v>
      </c>
      <c r="W155" s="1291" t="s">
        <v>448</v>
      </c>
      <c r="X155" s="1291" t="s">
        <v>80</v>
      </c>
      <c r="Y155" s="1291" t="s">
        <v>497</v>
      </c>
      <c r="Z155" s="1332" t="str">
        <f t="shared" si="72"/>
        <v>対象</v>
      </c>
      <c r="AB155" s="1349"/>
      <c r="AC155" s="1319"/>
      <c r="AD155" s="1334">
        <f>Score!$Z$154</f>
        <v>3</v>
      </c>
      <c r="AE155" s="1334">
        <f>Score!$AB$154</f>
        <v>0</v>
      </c>
      <c r="AF155" s="1335">
        <f>IF(AE155=0,AD155,IF(AD155=0,AE155,AD155*$AD$6+AE155*$AE$6))</f>
        <v>3</v>
      </c>
      <c r="AG155" s="1336">
        <f t="shared" ref="AG155:AG183" si="89">IF(AF155=0,"#DIV/0!",IF(AF155&lt;2,1,IF(AF155&lt;4,2,3)))</f>
        <v>2</v>
      </c>
      <c r="AH155" s="1337"/>
      <c r="AI155" s="1336">
        <f t="shared" si="73"/>
        <v>2</v>
      </c>
      <c r="AJ155" s="1298">
        <f t="shared" si="83"/>
        <v>2</v>
      </c>
      <c r="AK155" s="1338" t="b">
        <v>0</v>
      </c>
      <c r="AL155" s="1339">
        <f t="shared" si="61"/>
        <v>2</v>
      </c>
      <c r="AM155" s="1373"/>
    </row>
    <row r="156" spans="1:39" ht="30" customHeight="1">
      <c r="A156" s="4368"/>
      <c r="B156" s="4351"/>
      <c r="C156" s="4358"/>
      <c r="D156" s="1279" t="s">
        <v>1175</v>
      </c>
      <c r="E156" s="1282" t="s">
        <v>4877</v>
      </c>
      <c r="F156" s="1282" t="s">
        <v>4532</v>
      </c>
      <c r="G156" s="1286" t="s">
        <v>4916</v>
      </c>
      <c r="H156" s="1287" t="s">
        <v>4581</v>
      </c>
      <c r="I156" s="1288" t="str">
        <f t="shared" ref="I156:I168" si="90">IF(AI156=1,"●","")</f>
        <v/>
      </c>
      <c r="J156" s="1288" t="str">
        <f t="shared" ref="J156:J168" si="91">IF(AI156=2,"●","")</f>
        <v>●</v>
      </c>
      <c r="K156" s="1288" t="str">
        <f t="shared" ref="K156:K168" si="92">IF(AI156=3,"●","")</f>
        <v/>
      </c>
      <c r="L156" s="1295" t="str">
        <f>IF(L74="","（The result for 8.3.2 is transferred.）",L74)</f>
        <v>（The result for 8.3.2 is transferred.）</v>
      </c>
      <c r="M156" s="1280"/>
      <c r="N156" s="1290">
        <f t="shared" si="71"/>
        <v>2</v>
      </c>
      <c r="O156" s="1313"/>
      <c r="Q156" s="1291" t="s">
        <v>92</v>
      </c>
      <c r="R156" s="1291" t="s">
        <v>407</v>
      </c>
      <c r="S156" s="1291" t="s">
        <v>445</v>
      </c>
      <c r="T156" s="1291" t="s">
        <v>496</v>
      </c>
      <c r="U156" s="1291" t="s">
        <v>447</v>
      </c>
      <c r="V156" s="1291" t="s">
        <v>82</v>
      </c>
      <c r="W156" s="1291" t="s">
        <v>448</v>
      </c>
      <c r="X156" s="1291" t="s">
        <v>80</v>
      </c>
      <c r="Y156" s="1291" t="s">
        <v>497</v>
      </c>
      <c r="Z156" s="1332" t="str">
        <f t="shared" si="72"/>
        <v>対象</v>
      </c>
      <c r="AB156" s="1349"/>
      <c r="AC156" s="1319"/>
      <c r="AD156" s="1334">
        <f>Score!$Z$155</f>
        <v>3</v>
      </c>
      <c r="AE156" s="1334">
        <f>Score!$AB$155</f>
        <v>0</v>
      </c>
      <c r="AF156" s="1335">
        <f t="shared" ref="AF156:AF168" si="93">IF(AE156=0,AD156,IF(AD156=0,AE156,AD156*$AD$6+AE156*$AE$6))</f>
        <v>3</v>
      </c>
      <c r="AG156" s="1336">
        <f t="shared" si="89"/>
        <v>2</v>
      </c>
      <c r="AH156" s="1337"/>
      <c r="AI156" s="1336">
        <f t="shared" si="73"/>
        <v>2</v>
      </c>
      <c r="AJ156" s="1298">
        <f t="shared" si="83"/>
        <v>2</v>
      </c>
      <c r="AK156" s="1338" t="b">
        <v>0</v>
      </c>
      <c r="AL156" s="1339">
        <f t="shared" si="61"/>
        <v>2</v>
      </c>
      <c r="AM156" s="1373"/>
    </row>
    <row r="157" spans="1:39" ht="30" customHeight="1">
      <c r="A157" s="4368"/>
      <c r="B157" s="4351"/>
      <c r="C157" s="4358"/>
      <c r="D157" s="1279" t="s">
        <v>1176</v>
      </c>
      <c r="E157" s="1282" t="s">
        <v>4878</v>
      </c>
      <c r="F157" s="1282" t="s">
        <v>4761</v>
      </c>
      <c r="G157" s="1286" t="s">
        <v>4916</v>
      </c>
      <c r="H157" s="1287" t="s">
        <v>4625</v>
      </c>
      <c r="I157" s="1288" t="str">
        <f t="shared" si="90"/>
        <v/>
      </c>
      <c r="J157" s="1288" t="str">
        <f t="shared" si="91"/>
        <v>●</v>
      </c>
      <c r="K157" s="1288" t="str">
        <f t="shared" si="92"/>
        <v/>
      </c>
      <c r="L157" s="1295" t="str">
        <f>IF(L75="","（The result for 8.3.3 is transferred.）",L75)</f>
        <v>（The result for 8.3.3 is transferred.）</v>
      </c>
      <c r="M157" s="1280"/>
      <c r="N157" s="1290">
        <f t="shared" si="71"/>
        <v>2</v>
      </c>
      <c r="O157" s="1313"/>
      <c r="Q157" s="1291" t="s">
        <v>92</v>
      </c>
      <c r="R157" s="1291" t="s">
        <v>407</v>
      </c>
      <c r="S157" s="1291" t="s">
        <v>445</v>
      </c>
      <c r="T157" s="1291" t="s">
        <v>496</v>
      </c>
      <c r="U157" s="1291" t="s">
        <v>447</v>
      </c>
      <c r="V157" s="1291" t="s">
        <v>82</v>
      </c>
      <c r="W157" s="1291" t="s">
        <v>448</v>
      </c>
      <c r="X157" s="1291" t="s">
        <v>80</v>
      </c>
      <c r="Y157" s="1291" t="s">
        <v>497</v>
      </c>
      <c r="Z157" s="1332" t="str">
        <f t="shared" si="72"/>
        <v>対象</v>
      </c>
      <c r="AB157" s="1349"/>
      <c r="AC157" s="1319"/>
      <c r="AD157" s="1334">
        <f>Score!$Z$156</f>
        <v>3</v>
      </c>
      <c r="AE157" s="1334">
        <f>Score!$AB$156</f>
        <v>0</v>
      </c>
      <c r="AF157" s="1335">
        <f t="shared" si="93"/>
        <v>3</v>
      </c>
      <c r="AG157" s="1336">
        <f t="shared" si="89"/>
        <v>2</v>
      </c>
      <c r="AH157" s="1337"/>
      <c r="AI157" s="1336">
        <f t="shared" si="73"/>
        <v>2</v>
      </c>
      <c r="AJ157" s="1298">
        <f t="shared" si="83"/>
        <v>2</v>
      </c>
      <c r="AK157" s="1338" t="b">
        <v>0</v>
      </c>
      <c r="AL157" s="1339">
        <f t="shared" si="61"/>
        <v>2</v>
      </c>
      <c r="AM157" s="1373"/>
    </row>
    <row r="158" spans="1:39" ht="43.15" customHeight="1">
      <c r="A158" s="4368"/>
      <c r="B158" s="4351"/>
      <c r="C158" s="4358"/>
      <c r="D158" s="1279" t="s">
        <v>1177</v>
      </c>
      <c r="E158" s="1282" t="s">
        <v>4879</v>
      </c>
      <c r="F158" s="1282" t="s">
        <v>4533</v>
      </c>
      <c r="G158" s="1286" t="s">
        <v>4916</v>
      </c>
      <c r="H158" s="1287" t="s">
        <v>4626</v>
      </c>
      <c r="I158" s="1288" t="str">
        <f t="shared" si="90"/>
        <v/>
      </c>
      <c r="J158" s="1288" t="str">
        <f t="shared" si="91"/>
        <v>●</v>
      </c>
      <c r="K158" s="1288" t="str">
        <f t="shared" si="92"/>
        <v/>
      </c>
      <c r="L158" s="1295" t="str">
        <f>IF(L76="","（The result for 8.3.4 is transferred.）",L76)</f>
        <v>（The result for 8.3.4 is transferred.）</v>
      </c>
      <c r="M158" s="1280"/>
      <c r="N158" s="1290">
        <f t="shared" si="71"/>
        <v>2</v>
      </c>
      <c r="O158" s="1313"/>
      <c r="Q158" s="1291" t="s">
        <v>92</v>
      </c>
      <c r="R158" s="1291" t="s">
        <v>407</v>
      </c>
      <c r="S158" s="1291" t="s">
        <v>445</v>
      </c>
      <c r="T158" s="1291" t="s">
        <v>496</v>
      </c>
      <c r="U158" s="1291" t="s">
        <v>447</v>
      </c>
      <c r="V158" s="1291" t="s">
        <v>82</v>
      </c>
      <c r="W158" s="1291" t="s">
        <v>448</v>
      </c>
      <c r="X158" s="1291" t="s">
        <v>80</v>
      </c>
      <c r="Y158" s="1291" t="s">
        <v>497</v>
      </c>
      <c r="Z158" s="1332" t="str">
        <f t="shared" si="72"/>
        <v>対象</v>
      </c>
      <c r="AB158" s="1349"/>
      <c r="AC158" s="1319"/>
      <c r="AD158" s="1334">
        <f>Score!$Z$157</f>
        <v>3</v>
      </c>
      <c r="AE158" s="1334">
        <f>Score!$AB$157</f>
        <v>0</v>
      </c>
      <c r="AF158" s="1335">
        <f t="shared" si="93"/>
        <v>3</v>
      </c>
      <c r="AG158" s="1336">
        <f t="shared" si="89"/>
        <v>2</v>
      </c>
      <c r="AH158" s="1337"/>
      <c r="AI158" s="1336">
        <f t="shared" si="73"/>
        <v>2</v>
      </c>
      <c r="AJ158" s="1298">
        <f t="shared" si="83"/>
        <v>2</v>
      </c>
      <c r="AK158" s="1338" t="b">
        <v>0</v>
      </c>
      <c r="AL158" s="1339">
        <f t="shared" si="61"/>
        <v>2</v>
      </c>
      <c r="AM158" s="1373"/>
    </row>
    <row r="159" spans="1:39" ht="45" customHeight="1">
      <c r="A159" s="4368"/>
      <c r="B159" s="4352"/>
      <c r="C159" s="4359"/>
      <c r="D159" s="1279" t="s">
        <v>1178</v>
      </c>
      <c r="E159" s="1282" t="s">
        <v>4880</v>
      </c>
      <c r="F159" s="1282" t="s">
        <v>4540</v>
      </c>
      <c r="G159" s="1286" t="s">
        <v>4916</v>
      </c>
      <c r="H159" s="1287" t="s">
        <v>4627</v>
      </c>
      <c r="I159" s="1288" t="str">
        <f t="shared" si="90"/>
        <v/>
      </c>
      <c r="J159" s="1288" t="str">
        <f t="shared" si="91"/>
        <v>●</v>
      </c>
      <c r="K159" s="1288" t="str">
        <f t="shared" si="92"/>
        <v/>
      </c>
      <c r="L159" s="1295" t="str">
        <f>IF(L78="","（The result for 8.3.6 is transferred.）",L78)</f>
        <v>（The result for 8.3.6 is transferred.）</v>
      </c>
      <c r="M159" s="1280"/>
      <c r="N159" s="1290">
        <f t="shared" si="71"/>
        <v>2</v>
      </c>
      <c r="O159" s="1313"/>
      <c r="Q159" s="1291" t="s">
        <v>92</v>
      </c>
      <c r="R159" s="1291" t="s">
        <v>407</v>
      </c>
      <c r="S159" s="1291" t="s">
        <v>445</v>
      </c>
      <c r="T159" s="1291" t="s">
        <v>496</v>
      </c>
      <c r="U159" s="1291" t="s">
        <v>447</v>
      </c>
      <c r="V159" s="1291" t="s">
        <v>82</v>
      </c>
      <c r="W159" s="1291" t="s">
        <v>448</v>
      </c>
      <c r="X159" s="1291" t="s">
        <v>80</v>
      </c>
      <c r="Y159" s="1291" t="s">
        <v>497</v>
      </c>
      <c r="Z159" s="1332" t="str">
        <f t="shared" si="72"/>
        <v>対象</v>
      </c>
      <c r="AB159" s="1349"/>
      <c r="AC159" s="1319"/>
      <c r="AD159" s="1334">
        <f>Score!$Z$159</f>
        <v>3</v>
      </c>
      <c r="AE159" s="1334">
        <f>Score!$AB$159</f>
        <v>0</v>
      </c>
      <c r="AF159" s="1335">
        <f t="shared" si="93"/>
        <v>3</v>
      </c>
      <c r="AG159" s="1336">
        <f t="shared" si="89"/>
        <v>2</v>
      </c>
      <c r="AH159" s="1337"/>
      <c r="AI159" s="1336">
        <f t="shared" si="73"/>
        <v>2</v>
      </c>
      <c r="AJ159" s="1298">
        <f t="shared" si="83"/>
        <v>2</v>
      </c>
      <c r="AK159" s="1338" t="b">
        <v>0</v>
      </c>
      <c r="AL159" s="1339">
        <f t="shared" si="61"/>
        <v>2</v>
      </c>
      <c r="AM159" s="1373"/>
    </row>
    <row r="160" spans="1:39" ht="30" customHeight="1">
      <c r="A160" s="4368"/>
      <c r="B160" s="4350" t="s">
        <v>1179</v>
      </c>
      <c r="C160" s="4357" t="s">
        <v>4881</v>
      </c>
      <c r="D160" s="1279" t="s">
        <v>1180</v>
      </c>
      <c r="E160" s="1280" t="s">
        <v>4712</v>
      </c>
      <c r="F160" s="1280" t="s">
        <v>4530</v>
      </c>
      <c r="G160" s="1286" t="s">
        <v>4916</v>
      </c>
      <c r="H160" s="1287" t="s">
        <v>4628</v>
      </c>
      <c r="I160" s="1288" t="str">
        <f t="shared" si="90"/>
        <v/>
      </c>
      <c r="J160" s="1288" t="str">
        <f t="shared" si="91"/>
        <v>●</v>
      </c>
      <c r="K160" s="1288" t="str">
        <f t="shared" si="92"/>
        <v/>
      </c>
      <c r="L160" s="1295" t="str">
        <f>IF(L48="","（The result for 6.1.1 is transferred.）",L48)</f>
        <v>（The result for 6.1.1 is transferred.）</v>
      </c>
      <c r="M160" s="1280"/>
      <c r="N160" s="1290">
        <f t="shared" si="71"/>
        <v>2</v>
      </c>
      <c r="O160" s="1313"/>
      <c r="Q160" s="1291" t="s">
        <v>92</v>
      </c>
      <c r="R160" s="1291" t="s">
        <v>407</v>
      </c>
      <c r="S160" s="1291" t="s">
        <v>445</v>
      </c>
      <c r="T160" s="1291" t="s">
        <v>496</v>
      </c>
      <c r="U160" s="1291" t="s">
        <v>447</v>
      </c>
      <c r="V160" s="1291" t="s">
        <v>82</v>
      </c>
      <c r="W160" s="1291" t="s">
        <v>448</v>
      </c>
      <c r="X160" s="1291" t="s">
        <v>80</v>
      </c>
      <c r="Y160" s="1291" t="s">
        <v>497</v>
      </c>
      <c r="Z160" s="1332" t="str">
        <f t="shared" si="72"/>
        <v>対象</v>
      </c>
      <c r="AB160" s="1349"/>
      <c r="AC160" s="1319"/>
      <c r="AD160" s="1334">
        <f>Score!$Z$149</f>
        <v>3</v>
      </c>
      <c r="AE160" s="1334">
        <f>Score!$AB$149</f>
        <v>0</v>
      </c>
      <c r="AF160" s="1335">
        <f t="shared" si="93"/>
        <v>3</v>
      </c>
      <c r="AG160" s="1336">
        <f t="shared" si="89"/>
        <v>2</v>
      </c>
      <c r="AH160" s="1337"/>
      <c r="AI160" s="1336">
        <f t="shared" si="73"/>
        <v>2</v>
      </c>
      <c r="AJ160" s="1298">
        <f t="shared" si="83"/>
        <v>2</v>
      </c>
      <c r="AK160" s="1338" t="b">
        <v>0</v>
      </c>
      <c r="AL160" s="1339">
        <f t="shared" si="61"/>
        <v>2</v>
      </c>
      <c r="AM160" s="1374">
        <f>AVERAGEIFS(AL160:AL163,AL160:AL163,"&lt;&gt;0",AL160:AL163,"&lt;&gt;#DIV/0!")</f>
        <v>2</v>
      </c>
    </row>
    <row r="161" spans="1:39" ht="30" customHeight="1">
      <c r="A161" s="4368"/>
      <c r="B161" s="4351"/>
      <c r="C161" s="4358"/>
      <c r="D161" s="1279" t="s">
        <v>1181</v>
      </c>
      <c r="E161" s="1280" t="s">
        <v>4882</v>
      </c>
      <c r="F161" s="1280" t="s">
        <v>4883</v>
      </c>
      <c r="G161" s="1286" t="s">
        <v>4916</v>
      </c>
      <c r="H161" s="1287" t="s">
        <v>4629</v>
      </c>
      <c r="I161" s="1288" t="str">
        <f t="shared" si="90"/>
        <v/>
      </c>
      <c r="J161" s="1288" t="str">
        <f t="shared" si="91"/>
        <v>●</v>
      </c>
      <c r="K161" s="1288" t="str">
        <f t="shared" si="92"/>
        <v/>
      </c>
      <c r="L161" s="1295"/>
      <c r="M161" s="1280"/>
      <c r="N161" s="1290">
        <f t="shared" si="71"/>
        <v>2</v>
      </c>
      <c r="O161" s="1313"/>
      <c r="Q161" s="1291" t="s">
        <v>92</v>
      </c>
      <c r="R161" s="1291" t="s">
        <v>407</v>
      </c>
      <c r="S161" s="1291" t="s">
        <v>445</v>
      </c>
      <c r="T161" s="1291" t="s">
        <v>496</v>
      </c>
      <c r="U161" s="1291" t="s">
        <v>447</v>
      </c>
      <c r="V161" s="1291" t="s">
        <v>82</v>
      </c>
      <c r="W161" s="1291"/>
      <c r="X161" s="1291"/>
      <c r="Y161" s="1291"/>
      <c r="Z161" s="1332" t="str">
        <f t="shared" si="72"/>
        <v>対象</v>
      </c>
      <c r="AB161" s="1349"/>
      <c r="AC161" s="1319"/>
      <c r="AD161" s="1334">
        <f>Score!$Z$60</f>
        <v>3</v>
      </c>
      <c r="AE161" s="1334">
        <f>Score!$AB$60</f>
        <v>0</v>
      </c>
      <c r="AF161" s="1335">
        <f t="shared" si="93"/>
        <v>3</v>
      </c>
      <c r="AG161" s="1336">
        <f t="shared" si="89"/>
        <v>2</v>
      </c>
      <c r="AH161" s="1337"/>
      <c r="AI161" s="1336">
        <f t="shared" si="73"/>
        <v>2</v>
      </c>
      <c r="AJ161" s="1298">
        <f t="shared" si="83"/>
        <v>2</v>
      </c>
      <c r="AK161" s="1338" t="b">
        <v>0</v>
      </c>
      <c r="AL161" s="1339">
        <f t="shared" si="61"/>
        <v>2</v>
      </c>
      <c r="AM161" s="1373"/>
    </row>
    <row r="162" spans="1:39" ht="30" customHeight="1">
      <c r="A162" s="4368"/>
      <c r="B162" s="4351"/>
      <c r="C162" s="4358"/>
      <c r="D162" s="1279" t="s">
        <v>1182</v>
      </c>
      <c r="E162" s="1280" t="s">
        <v>4884</v>
      </c>
      <c r="F162" s="1280" t="s">
        <v>4885</v>
      </c>
      <c r="G162" s="1286" t="s">
        <v>4916</v>
      </c>
      <c r="H162" s="1287" t="s">
        <v>4630</v>
      </c>
      <c r="I162" s="1288" t="str">
        <f t="shared" si="90"/>
        <v/>
      </c>
      <c r="J162" s="1288" t="str">
        <f t="shared" si="91"/>
        <v>●</v>
      </c>
      <c r="K162" s="1288" t="str">
        <f t="shared" si="92"/>
        <v/>
      </c>
      <c r="L162" s="1293"/>
      <c r="M162" s="1280"/>
      <c r="N162" s="1290">
        <f t="shared" si="71"/>
        <v>2</v>
      </c>
      <c r="O162" s="1313"/>
      <c r="Q162" s="1291" t="s">
        <v>92</v>
      </c>
      <c r="R162" s="1291" t="s">
        <v>407</v>
      </c>
      <c r="S162" s="1291" t="s">
        <v>445</v>
      </c>
      <c r="T162" s="1291" t="s">
        <v>496</v>
      </c>
      <c r="U162" s="1291" t="s">
        <v>447</v>
      </c>
      <c r="V162" s="1291" t="s">
        <v>82</v>
      </c>
      <c r="W162" s="1291" t="s">
        <v>448</v>
      </c>
      <c r="X162" s="1291" t="s">
        <v>80</v>
      </c>
      <c r="Y162" s="1291" t="s">
        <v>497</v>
      </c>
      <c r="Z162" s="1332" t="str">
        <f t="shared" si="72"/>
        <v>対象</v>
      </c>
      <c r="AB162" s="1349"/>
      <c r="AC162" s="1319"/>
      <c r="AD162" s="1334">
        <f>Score!$Z$183</f>
        <v>3</v>
      </c>
      <c r="AE162" s="1334">
        <f>Score!$AB$183</f>
        <v>0</v>
      </c>
      <c r="AF162" s="1335">
        <f t="shared" si="93"/>
        <v>3</v>
      </c>
      <c r="AG162" s="1336">
        <f t="shared" si="89"/>
        <v>2</v>
      </c>
      <c r="AH162" s="1337"/>
      <c r="AI162" s="1336">
        <f t="shared" si="73"/>
        <v>2</v>
      </c>
      <c r="AJ162" s="1298">
        <f t="shared" si="83"/>
        <v>2</v>
      </c>
      <c r="AK162" s="1338" t="b">
        <v>0</v>
      </c>
      <c r="AL162" s="1339">
        <f t="shared" si="61"/>
        <v>2</v>
      </c>
      <c r="AM162" s="1373"/>
    </row>
    <row r="163" spans="1:39" ht="30" customHeight="1">
      <c r="A163" s="4368"/>
      <c r="B163" s="4352"/>
      <c r="C163" s="4359"/>
      <c r="D163" s="1279" t="s">
        <v>1183</v>
      </c>
      <c r="E163" s="1282" t="s">
        <v>4743</v>
      </c>
      <c r="F163" s="1282" t="s">
        <v>4744</v>
      </c>
      <c r="G163" s="1286" t="s">
        <v>4916</v>
      </c>
      <c r="H163" s="1287" t="s">
        <v>4631</v>
      </c>
      <c r="I163" s="1288" t="str">
        <f t="shared" si="90"/>
        <v/>
      </c>
      <c r="J163" s="1288" t="str">
        <f t="shared" si="91"/>
        <v>●</v>
      </c>
      <c r="K163" s="1288" t="str">
        <f t="shared" si="92"/>
        <v/>
      </c>
      <c r="L163" s="1295" t="str">
        <f>IF(L62="","（The result for 7.5.1 is transferred.）",L62)</f>
        <v>（The result for 7.5.1 is transferred.）</v>
      </c>
      <c r="M163" s="1280"/>
      <c r="N163" s="1290">
        <f t="shared" si="71"/>
        <v>2</v>
      </c>
      <c r="O163" s="1313"/>
      <c r="Q163" s="1291" t="s">
        <v>92</v>
      </c>
      <c r="R163" s="1291" t="s">
        <v>407</v>
      </c>
      <c r="S163" s="1291" t="s">
        <v>445</v>
      </c>
      <c r="T163" s="1291" t="s">
        <v>496</v>
      </c>
      <c r="U163" s="1291" t="s">
        <v>447</v>
      </c>
      <c r="V163" s="1291" t="s">
        <v>82</v>
      </c>
      <c r="W163" s="1291" t="s">
        <v>448</v>
      </c>
      <c r="X163" s="1291" t="s">
        <v>80</v>
      </c>
      <c r="Y163" s="1291" t="s">
        <v>497</v>
      </c>
      <c r="Z163" s="1332" t="str">
        <f t="shared" si="72"/>
        <v>対象</v>
      </c>
      <c r="AB163" s="1349"/>
      <c r="AC163" s="1319"/>
      <c r="AD163" s="1334">
        <f>Score!$Z$138</f>
        <v>3</v>
      </c>
      <c r="AE163" s="1334">
        <f>Score!$AB$138</f>
        <v>0</v>
      </c>
      <c r="AF163" s="1335">
        <f t="shared" si="93"/>
        <v>3</v>
      </c>
      <c r="AG163" s="1336">
        <f t="shared" si="89"/>
        <v>2</v>
      </c>
      <c r="AH163" s="1350"/>
      <c r="AI163" s="1336">
        <f t="shared" si="73"/>
        <v>2</v>
      </c>
      <c r="AJ163" s="1298">
        <f t="shared" si="83"/>
        <v>2</v>
      </c>
      <c r="AK163" s="1338" t="b">
        <v>0</v>
      </c>
      <c r="AL163" s="1339">
        <f t="shared" si="61"/>
        <v>2</v>
      </c>
      <c r="AM163" s="1376"/>
    </row>
    <row r="164" spans="1:39" ht="30" customHeight="1">
      <c r="A164" s="4368"/>
      <c r="B164" s="4350" t="s">
        <v>1184</v>
      </c>
      <c r="C164" s="4419" t="s">
        <v>4886</v>
      </c>
      <c r="D164" s="1279" t="s">
        <v>1185</v>
      </c>
      <c r="E164" s="1280" t="s">
        <v>4817</v>
      </c>
      <c r="F164" s="1280" t="s">
        <v>4887</v>
      </c>
      <c r="G164" s="1286" t="s">
        <v>4916</v>
      </c>
      <c r="H164" s="1287" t="s">
        <v>4632</v>
      </c>
      <c r="I164" s="1288" t="str">
        <f>IF(AI164=1,"●","")</f>
        <v/>
      </c>
      <c r="J164" s="1288" t="str">
        <f>IF(AI164=2,"●","")</f>
        <v>●</v>
      </c>
      <c r="K164" s="1288" t="str">
        <f>IF(AI164=3,"●","")</f>
        <v/>
      </c>
      <c r="L164" s="1295" t="str">
        <f>IF(L53="","（The result for 6.5.1 is transferred.）",L53)</f>
        <v>（The result for 6.5.1 is transferred.）</v>
      </c>
      <c r="M164" s="1280"/>
      <c r="N164" s="1290">
        <f t="shared" si="71"/>
        <v>2</v>
      </c>
      <c r="O164" s="1313"/>
      <c r="Q164" s="1291" t="s">
        <v>92</v>
      </c>
      <c r="R164" s="1291" t="s">
        <v>407</v>
      </c>
      <c r="S164" s="1291" t="s">
        <v>445</v>
      </c>
      <c r="T164" s="1291" t="s">
        <v>496</v>
      </c>
      <c r="U164" s="1291" t="s">
        <v>447</v>
      </c>
      <c r="V164" s="1291" t="s">
        <v>82</v>
      </c>
      <c r="W164" s="1291" t="s">
        <v>448</v>
      </c>
      <c r="X164" s="1291" t="s">
        <v>80</v>
      </c>
      <c r="Y164" s="1291" t="s">
        <v>497</v>
      </c>
      <c r="Z164" s="1332" t="str">
        <f t="shared" si="72"/>
        <v>対象</v>
      </c>
      <c r="AB164" s="1349"/>
      <c r="AC164" s="1319"/>
      <c r="AD164" s="1334">
        <f>Score!$Z$181</f>
        <v>3</v>
      </c>
      <c r="AE164" s="1334">
        <f>Score!$AB$181</f>
        <v>0</v>
      </c>
      <c r="AF164" s="1335">
        <f>IF(AE164=0,AD164,IF(AD164=0,AE164,AD164*$AD$6+AE164*$AE$6))</f>
        <v>3</v>
      </c>
      <c r="AG164" s="1336">
        <f>IF(AF164=0,"#DIV/0!",IF(AF164&lt;2,1,IF(AF164&lt;4,2,3)))</f>
        <v>2</v>
      </c>
      <c r="AH164" s="1337"/>
      <c r="AI164" s="1336">
        <f t="shared" si="73"/>
        <v>2</v>
      </c>
      <c r="AJ164" s="1298">
        <f>AVERAGEIFS(AI164,AI164,"&lt;&gt;0",AI164,"&lt;&gt;#DIV/0!")</f>
        <v>2</v>
      </c>
      <c r="AK164" s="1338" t="b">
        <v>0</v>
      </c>
      <c r="AL164" s="1339">
        <f>IF(AK164=FALSE,AJ164,IF(AJ164=1,2,3))</f>
        <v>2</v>
      </c>
      <c r="AM164" s="1374">
        <f>AVERAGEIFS(AL164:AL167,AL164:AL167,"&lt;&gt;0",AL164:AL167,"&lt;&gt;#DIV/0!")</f>
        <v>1.75</v>
      </c>
    </row>
    <row r="165" spans="1:39" ht="48" customHeight="1">
      <c r="A165" s="4368"/>
      <c r="B165" s="4351"/>
      <c r="C165" s="4420"/>
      <c r="D165" s="1279" t="s">
        <v>1317</v>
      </c>
      <c r="E165" s="1280" t="s">
        <v>4815</v>
      </c>
      <c r="F165" s="1280" t="s">
        <v>4888</v>
      </c>
      <c r="G165" s="1286" t="s">
        <v>4916</v>
      </c>
      <c r="H165" s="1287" t="s">
        <v>4633</v>
      </c>
      <c r="I165" s="1288" t="str">
        <f>IF(AI165=1,"●","")</f>
        <v/>
      </c>
      <c r="J165" s="1288" t="str">
        <f>IF(AI165=2,"●","")</f>
        <v>●</v>
      </c>
      <c r="K165" s="1288" t="str">
        <f>IF(AI165=3,"●","")</f>
        <v/>
      </c>
      <c r="L165" s="1295" t="str">
        <f>IF(L111="","（The result for 11.4.1 is transferred.）",L111)</f>
        <v>（The result for 11.4.1 is transferred.）</v>
      </c>
      <c r="M165" s="1280"/>
      <c r="N165" s="1290">
        <f t="shared" si="71"/>
        <v>2</v>
      </c>
      <c r="O165" s="1313"/>
      <c r="Q165" s="1291" t="s">
        <v>92</v>
      </c>
      <c r="R165" s="1291" t="s">
        <v>407</v>
      </c>
      <c r="S165" s="1291" t="s">
        <v>445</v>
      </c>
      <c r="T165" s="1291" t="s">
        <v>496</v>
      </c>
      <c r="U165" s="1291" t="s">
        <v>447</v>
      </c>
      <c r="V165" s="1291" t="s">
        <v>82</v>
      </c>
      <c r="W165" s="1291" t="s">
        <v>448</v>
      </c>
      <c r="X165" s="1291" t="s">
        <v>80</v>
      </c>
      <c r="Y165" s="1291" t="s">
        <v>497</v>
      </c>
      <c r="Z165" s="1332" t="str">
        <f t="shared" si="72"/>
        <v>対象</v>
      </c>
      <c r="AB165" s="1349"/>
      <c r="AC165" s="1319"/>
      <c r="AD165" s="1334">
        <f>Score!$Z$177</f>
        <v>3</v>
      </c>
      <c r="AE165" s="1334">
        <f>Score!$AB$177</f>
        <v>0</v>
      </c>
      <c r="AF165" s="1335">
        <f>IF(AE165=0,AD165,IF(AD165=0,AE165,AD165*$AD$6+AE165*$AE$6))</f>
        <v>3</v>
      </c>
      <c r="AG165" s="1336">
        <f>IF(AF165=0,"#DIV/0!",IF(AF165&lt;2,1,IF(AF165&lt;4,2,3)))</f>
        <v>2</v>
      </c>
      <c r="AH165" s="1337"/>
      <c r="AI165" s="1336">
        <f t="shared" si="73"/>
        <v>2</v>
      </c>
      <c r="AJ165" s="1298">
        <f>AVERAGEIFS(AI165,AI165,"&lt;&gt;0",AI165,"&lt;&gt;#DIV/0!")</f>
        <v>2</v>
      </c>
      <c r="AK165" s="1338" t="b">
        <v>0</v>
      </c>
      <c r="AL165" s="1339">
        <f>IF(AK165=FALSE,AJ165,IF(AJ165=1,2,3))</f>
        <v>2</v>
      </c>
      <c r="AM165" s="1373"/>
    </row>
    <row r="166" spans="1:39" ht="54" customHeight="1">
      <c r="A166" s="4368"/>
      <c r="B166" s="4351"/>
      <c r="C166" s="4420"/>
      <c r="D166" s="1279" t="s">
        <v>1318</v>
      </c>
      <c r="E166" s="1280" t="s">
        <v>4496</v>
      </c>
      <c r="F166" s="1280" t="s">
        <v>4951</v>
      </c>
      <c r="G166" s="1286" t="s">
        <v>4916</v>
      </c>
      <c r="H166" s="1292" t="s">
        <v>4555</v>
      </c>
      <c r="I166" s="1288" t="str">
        <f>IF(AI166=1,"●","")</f>
        <v>●</v>
      </c>
      <c r="J166" s="1288" t="str">
        <f>IF(AI166=2,"●","")</f>
        <v/>
      </c>
      <c r="K166" s="1288" t="str">
        <f>IF(AI166=3,"●","")</f>
        <v/>
      </c>
      <c r="L166" s="1295" t="str">
        <f>IF(L52="","（The result for 6.4.1 is transferred.）",L52)</f>
        <v>（The result for 6.4.1 is transferred.）</v>
      </c>
      <c r="M166" s="1280"/>
      <c r="N166" s="1290">
        <f t="shared" si="71"/>
        <v>1</v>
      </c>
      <c r="O166" s="1313"/>
      <c r="Q166" s="1291" t="s">
        <v>92</v>
      </c>
      <c r="R166" s="1291" t="s">
        <v>407</v>
      </c>
      <c r="S166" s="1291" t="s">
        <v>445</v>
      </c>
      <c r="T166" s="1291" t="s">
        <v>496</v>
      </c>
      <c r="U166" s="1291" t="s">
        <v>447</v>
      </c>
      <c r="V166" s="1291" t="s">
        <v>82</v>
      </c>
      <c r="W166" s="1291" t="s">
        <v>448</v>
      </c>
      <c r="X166" s="1291" t="s">
        <v>80</v>
      </c>
      <c r="Y166" s="1291" t="s">
        <v>497</v>
      </c>
      <c r="Z166" s="1332" t="str">
        <f t="shared" ref="Z166:Z183" si="94">IF(AG166="#DIV/0!","N.A.",IF(AND($Q$4="〇",Q166&lt;&gt;"")+AND($R$4="〇",R166&lt;&gt;"")+AND($S$4="〇",S166&lt;&gt;"")+AND($T$4="〇",T166&lt;&gt;"")+AND($U$4="〇",U166&lt;&gt;"")+AND($V$4="〇",V166&lt;&gt;"")+AND($W$4="〇",W166&lt;&gt;"")+AND($X$4="〇",X166&lt;&gt;"")+AND($Y$4="〇",Y166&lt;&gt;"")=0,"N.A.","対象"))</f>
        <v>対象</v>
      </c>
      <c r="AB166" s="1353">
        <f>AB52</f>
        <v>1</v>
      </c>
      <c r="AC166" s="1319"/>
      <c r="AD166" s="1349"/>
      <c r="AE166" s="1349"/>
      <c r="AF166" s="1349"/>
      <c r="AG166" s="1349"/>
      <c r="AH166" s="1350"/>
      <c r="AI166" s="1336">
        <f t="shared" ref="AI166:AI183" si="95">IF(Z166="N.A.","#DIV/0!",IF(AG166="",AB166,IF(AB166="",AG166,0)))</f>
        <v>1</v>
      </c>
      <c r="AJ166" s="1298">
        <f>AVERAGEIFS(AI166,AI166,"&lt;&gt;0",AI166,"&lt;&gt;#DIV/0!")</f>
        <v>1</v>
      </c>
      <c r="AK166" s="1338" t="b">
        <v>0</v>
      </c>
      <c r="AL166" s="1339">
        <f>IF(AK166=FALSE,AJ166,IF(AJ166=1,2,3))</f>
        <v>1</v>
      </c>
      <c r="AM166" s="1373"/>
    </row>
    <row r="167" spans="1:39" ht="30" customHeight="1">
      <c r="A167" s="4368"/>
      <c r="B167" s="4352"/>
      <c r="C167" s="4421"/>
      <c r="D167" s="1279" t="s">
        <v>1319</v>
      </c>
      <c r="E167" s="1282" t="s">
        <v>4692</v>
      </c>
      <c r="F167" s="1280" t="s">
        <v>4693</v>
      </c>
      <c r="G167" s="1286" t="s">
        <v>4916</v>
      </c>
      <c r="H167" s="1287" t="s">
        <v>4634</v>
      </c>
      <c r="I167" s="1288" t="str">
        <f>IF(AI167=1,"●","")</f>
        <v/>
      </c>
      <c r="J167" s="1288" t="str">
        <f>IF(AI167=2,"●","")</f>
        <v>●</v>
      </c>
      <c r="K167" s="1288" t="str">
        <f>IF(AI167=3,"●","")</f>
        <v/>
      </c>
      <c r="L167" s="1295" t="str">
        <f>IF(L32="","（The result for 3.8.5 is transferred.）",L32)</f>
        <v>（The result for 3.8.5 is transferred.）</v>
      </c>
      <c r="M167" s="1280"/>
      <c r="N167" s="1290">
        <f t="shared" si="71"/>
        <v>2</v>
      </c>
      <c r="O167" s="1313"/>
      <c r="Q167" s="1291" t="s">
        <v>92</v>
      </c>
      <c r="R167" s="1291" t="s">
        <v>407</v>
      </c>
      <c r="S167" s="1291" t="s">
        <v>445</v>
      </c>
      <c r="T167" s="1291" t="s">
        <v>496</v>
      </c>
      <c r="U167" s="1291" t="s">
        <v>447</v>
      </c>
      <c r="V167" s="1291" t="s">
        <v>82</v>
      </c>
      <c r="W167" s="1291" t="s">
        <v>448</v>
      </c>
      <c r="X167" s="1291" t="s">
        <v>80</v>
      </c>
      <c r="Y167" s="1291" t="s">
        <v>497</v>
      </c>
      <c r="Z167" s="1332" t="str">
        <f t="shared" si="94"/>
        <v>対象</v>
      </c>
      <c r="AB167" s="1349"/>
      <c r="AC167" s="1319"/>
      <c r="AD167" s="1334">
        <f>Score!$Z$169</f>
        <v>3</v>
      </c>
      <c r="AE167" s="1334">
        <f>Score!$AB$169</f>
        <v>0</v>
      </c>
      <c r="AF167" s="1335">
        <f>IF(AE167=0,AD167,IF(AD167=0,AE167,AD167*$AD$6+AE167*$AE$6))</f>
        <v>3</v>
      </c>
      <c r="AG167" s="1336">
        <f>IF(AF167=0,"#DIV/0!",IF(AF167&lt;2,1,IF(AF167&lt;4,2,3)))</f>
        <v>2</v>
      </c>
      <c r="AH167" s="1337"/>
      <c r="AI167" s="1336">
        <f t="shared" si="95"/>
        <v>2</v>
      </c>
      <c r="AJ167" s="1298">
        <f>AVERAGEIFS(AI167,AI167,"&lt;&gt;0",AI167,"&lt;&gt;#DIV/0!")</f>
        <v>2</v>
      </c>
      <c r="AK167" s="1397" t="b">
        <v>0</v>
      </c>
      <c r="AL167" s="1339">
        <f>IF(AK167=FALSE,AJ167,IF(AJ167=1,2,3))</f>
        <v>2</v>
      </c>
      <c r="AM167" s="1376"/>
    </row>
    <row r="168" spans="1:39" ht="33.75">
      <c r="A168" s="4368"/>
      <c r="B168" s="1283" t="s">
        <v>1186</v>
      </c>
      <c r="C168" s="3782" t="s">
        <v>4511</v>
      </c>
      <c r="D168" s="1279" t="s">
        <v>1187</v>
      </c>
      <c r="E168" s="1282" t="s">
        <v>4889</v>
      </c>
      <c r="F168" s="1282" t="s">
        <v>4890</v>
      </c>
      <c r="G168" s="1286" t="s">
        <v>4916</v>
      </c>
      <c r="H168" s="1287" t="s">
        <v>4635</v>
      </c>
      <c r="I168" s="1288" t="e">
        <f t="shared" si="90"/>
        <v>#VALUE!</v>
      </c>
      <c r="J168" s="1288" t="e">
        <f t="shared" si="91"/>
        <v>#VALUE!</v>
      </c>
      <c r="K168" s="1288" t="e">
        <f t="shared" si="92"/>
        <v>#VALUE!</v>
      </c>
      <c r="L168" s="1295" t="str">
        <f>IF(L65="","（The result for 7.8.1 is transferred.）",L65)</f>
        <v>（The result for 7.8.1 is transferred.）</v>
      </c>
      <c r="M168" s="1280"/>
      <c r="N168" s="1290" t="e">
        <f t="shared" si="71"/>
        <v>#VALUE!</v>
      </c>
      <c r="O168" s="1313"/>
      <c r="Q168" s="1291" t="s">
        <v>92</v>
      </c>
      <c r="R168" s="1291" t="s">
        <v>407</v>
      </c>
      <c r="S168" s="1291" t="s">
        <v>445</v>
      </c>
      <c r="T168" s="1291" t="s">
        <v>496</v>
      </c>
      <c r="U168" s="1291" t="s">
        <v>447</v>
      </c>
      <c r="V168" s="1291" t="s">
        <v>82</v>
      </c>
      <c r="W168" s="1291" t="s">
        <v>448</v>
      </c>
      <c r="X168" s="1291" t="s">
        <v>80</v>
      </c>
      <c r="Y168" s="1291" t="s">
        <v>497</v>
      </c>
      <c r="Z168" s="1332" t="e">
        <f t="shared" si="94"/>
        <v>#VALUE!</v>
      </c>
      <c r="AB168" s="1349"/>
      <c r="AC168" s="1319"/>
      <c r="AD168" s="1334" t="e">
        <f>Score!$Z$175</f>
        <v>#VALUE!</v>
      </c>
      <c r="AE168" s="1334">
        <f>Score!$AB$175</f>
        <v>0</v>
      </c>
      <c r="AF168" s="1335" t="e">
        <f t="shared" si="93"/>
        <v>#VALUE!</v>
      </c>
      <c r="AG168" s="1336" t="e">
        <f t="shared" si="89"/>
        <v>#VALUE!</v>
      </c>
      <c r="AH168" s="1337"/>
      <c r="AI168" s="1336" t="e">
        <f t="shared" si="95"/>
        <v>#VALUE!</v>
      </c>
      <c r="AJ168" s="1298" t="e">
        <f t="shared" si="83"/>
        <v>#VALUE!</v>
      </c>
      <c r="AK168" s="1397" t="b">
        <v>0</v>
      </c>
      <c r="AL168" s="1339" t="e">
        <f t="shared" si="61"/>
        <v>#VALUE!</v>
      </c>
      <c r="AM168" s="1335" t="e">
        <f>AVERAGEIFS(AL168,AL168,"&lt;&gt;0",AL168,"&lt;&gt;#DIV/0!")</f>
        <v>#VALUE!</v>
      </c>
    </row>
    <row r="169" spans="1:39" ht="126">
      <c r="A169" s="4368"/>
      <c r="B169" s="1279" t="s">
        <v>1188</v>
      </c>
      <c r="C169" s="1282" t="s">
        <v>4891</v>
      </c>
      <c r="D169" s="1279" t="s">
        <v>1189</v>
      </c>
      <c r="E169" s="1280" t="s">
        <v>4892</v>
      </c>
      <c r="F169" s="1280" t="s">
        <v>4966</v>
      </c>
      <c r="G169" s="1286" t="s">
        <v>4916</v>
      </c>
      <c r="H169" s="1292" t="s">
        <v>4555</v>
      </c>
      <c r="I169" s="1282"/>
      <c r="J169" s="1282"/>
      <c r="K169" s="1282"/>
      <c r="L169" s="1293"/>
      <c r="M169" s="1280"/>
      <c r="N169" s="1290">
        <f t="shared" si="71"/>
        <v>3</v>
      </c>
      <c r="O169" s="1313"/>
      <c r="Q169" s="1291" t="s">
        <v>92</v>
      </c>
      <c r="R169" s="1291" t="s">
        <v>407</v>
      </c>
      <c r="S169" s="1291" t="s">
        <v>445</v>
      </c>
      <c r="T169" s="1291" t="s">
        <v>496</v>
      </c>
      <c r="U169" s="1291" t="s">
        <v>447</v>
      </c>
      <c r="V169" s="1291" t="s">
        <v>82</v>
      </c>
      <c r="W169" s="1291" t="s">
        <v>448</v>
      </c>
      <c r="X169" s="1291" t="s">
        <v>80</v>
      </c>
      <c r="Y169" s="1291" t="s">
        <v>497</v>
      </c>
      <c r="Z169" s="1332" t="str">
        <f t="shared" si="94"/>
        <v>対象</v>
      </c>
      <c r="AB169" s="1353">
        <v>3</v>
      </c>
      <c r="AC169" s="1319"/>
      <c r="AD169" s="1349"/>
      <c r="AE169" s="1349"/>
      <c r="AF169" s="1349"/>
      <c r="AG169" s="1349"/>
      <c r="AH169" s="1350"/>
      <c r="AI169" s="1336">
        <f t="shared" si="95"/>
        <v>3</v>
      </c>
      <c r="AJ169" s="1298">
        <f t="shared" si="83"/>
        <v>3</v>
      </c>
      <c r="AK169" s="1352" t="b">
        <v>0</v>
      </c>
      <c r="AL169" s="1339">
        <f t="shared" ref="AL169" si="96">IF(AK169=FALSE,AJ169,IF(AJ169=1,2,3))</f>
        <v>3</v>
      </c>
      <c r="AM169" s="1377">
        <f>AVERAGEIFS(AL169,AL169,"&lt;&gt;0",AL169,"&lt;&gt;#DIV/0!")</f>
        <v>3</v>
      </c>
    </row>
    <row r="170" spans="1:39" ht="30" customHeight="1">
      <c r="A170" s="4369" t="s">
        <v>4936</v>
      </c>
      <c r="B170" s="1458" t="s">
        <v>1190</v>
      </c>
      <c r="C170" s="1459" t="s">
        <v>4893</v>
      </c>
      <c r="D170" s="1279" t="s">
        <v>1191</v>
      </c>
      <c r="E170" s="1282" t="s">
        <v>4750</v>
      </c>
      <c r="F170" s="1282" t="s">
        <v>4894</v>
      </c>
      <c r="G170" s="1286" t="s">
        <v>4916</v>
      </c>
      <c r="H170" s="1287" t="s">
        <v>4635</v>
      </c>
      <c r="I170" s="1288" t="e">
        <f>IF(AI170=1,"●","")</f>
        <v>#VALUE!</v>
      </c>
      <c r="J170" s="1288" t="e">
        <f>IF(AI170=2,"●","")</f>
        <v>#VALUE!</v>
      </c>
      <c r="K170" s="1288" t="e">
        <f>IF(AI170=3,"●","")</f>
        <v>#VALUE!</v>
      </c>
      <c r="L170" s="1295" t="str">
        <f>IF(L65="","（The result for 7.8.1 is transferred.）",L65)</f>
        <v>（The result for 7.8.1 is transferred.）</v>
      </c>
      <c r="M170" s="1280"/>
      <c r="N170" s="1290" t="e">
        <f t="shared" si="71"/>
        <v>#VALUE!</v>
      </c>
      <c r="O170" s="1313"/>
      <c r="Q170" s="1291" t="s">
        <v>92</v>
      </c>
      <c r="R170" s="1291" t="s">
        <v>407</v>
      </c>
      <c r="S170" s="1291" t="s">
        <v>445</v>
      </c>
      <c r="T170" s="1291" t="s">
        <v>496</v>
      </c>
      <c r="U170" s="1291" t="s">
        <v>447</v>
      </c>
      <c r="V170" s="1291" t="s">
        <v>82</v>
      </c>
      <c r="W170" s="1291" t="s">
        <v>448</v>
      </c>
      <c r="X170" s="1291" t="s">
        <v>80</v>
      </c>
      <c r="Y170" s="1291" t="s">
        <v>497</v>
      </c>
      <c r="Z170" s="1332" t="e">
        <f t="shared" si="94"/>
        <v>#VALUE!</v>
      </c>
      <c r="AB170" s="1349"/>
      <c r="AC170" s="1319"/>
      <c r="AD170" s="1334" t="e">
        <f>Score!$Z$175</f>
        <v>#VALUE!</v>
      </c>
      <c r="AE170" s="1334">
        <f>Score!$AB$175</f>
        <v>0</v>
      </c>
      <c r="AF170" s="1335" t="e">
        <f>IF(AE170=0,AD170,IF(AD170=0,AE170,AD170*$AD$6+AE170*$AE$6))</f>
        <v>#VALUE!</v>
      </c>
      <c r="AG170" s="1336" t="e">
        <f t="shared" si="89"/>
        <v>#VALUE!</v>
      </c>
      <c r="AH170" s="1337"/>
      <c r="AI170" s="1336" t="e">
        <f t="shared" si="95"/>
        <v>#VALUE!</v>
      </c>
      <c r="AJ170" s="1298" t="e">
        <f t="shared" si="83"/>
        <v>#VALUE!</v>
      </c>
      <c r="AK170" s="1338" t="b">
        <v>0</v>
      </c>
      <c r="AL170" s="1339" t="e">
        <f t="shared" ref="AL170:AL183" si="97">IF(AK170=FALSE,AJ170,IF(AJ170=1,2,3))</f>
        <v>#VALUE!</v>
      </c>
      <c r="AM170" s="1374" t="e">
        <f>AVERAGEIFS(AL170:AL170,AL170:AL170,"&lt;&gt;0",AL170:AL170,"&lt;&gt;#DIV/0!")</f>
        <v>#VALUE!</v>
      </c>
    </row>
    <row r="171" spans="1:39" ht="32.25" customHeight="1">
      <c r="A171" s="4369"/>
      <c r="B171" s="1283" t="s">
        <v>1192</v>
      </c>
      <c r="C171" s="1296" t="s">
        <v>4895</v>
      </c>
      <c r="D171" s="1279" t="s">
        <v>1193</v>
      </c>
      <c r="E171" s="1280" t="s">
        <v>4691</v>
      </c>
      <c r="F171" s="1280" t="s">
        <v>4896</v>
      </c>
      <c r="G171" s="1286" t="s">
        <v>4916</v>
      </c>
      <c r="H171" s="1287" t="s">
        <v>4636</v>
      </c>
      <c r="I171" s="1288" t="str">
        <f t="shared" ref="I171:I177" si="98">IF(AI171=1,"●","")</f>
        <v/>
      </c>
      <c r="J171" s="1288" t="str">
        <f t="shared" ref="J171:J177" si="99">IF(AI171=2,"●","")</f>
        <v>●</v>
      </c>
      <c r="K171" s="1288" t="str">
        <f t="shared" ref="K171:K177" si="100">IF(AI171=3,"●","")</f>
        <v/>
      </c>
      <c r="L171" s="1304" t="str">
        <f>IF(L31="","（The result for 3.8.4 is transferred.）",L31)</f>
        <v>（The result for 3.8.4 is transferred.）</v>
      </c>
      <c r="M171" s="1280"/>
      <c r="N171" s="1290">
        <f t="shared" si="71"/>
        <v>2</v>
      </c>
      <c r="O171" s="1313"/>
      <c r="Q171" s="1291" t="s">
        <v>92</v>
      </c>
      <c r="R171" s="1291" t="s">
        <v>407</v>
      </c>
      <c r="S171" s="1291" t="s">
        <v>445</v>
      </c>
      <c r="T171" s="1291" t="s">
        <v>496</v>
      </c>
      <c r="U171" s="1291" t="s">
        <v>447</v>
      </c>
      <c r="V171" s="1291" t="s">
        <v>82</v>
      </c>
      <c r="W171" s="1291" t="s">
        <v>448</v>
      </c>
      <c r="X171" s="1291" t="s">
        <v>80</v>
      </c>
      <c r="Y171" s="1291" t="s">
        <v>497</v>
      </c>
      <c r="Z171" s="1332" t="str">
        <f t="shared" si="94"/>
        <v>対象</v>
      </c>
      <c r="AB171" s="1349"/>
      <c r="AC171" s="1319"/>
      <c r="AD171" s="1334">
        <f>Score!$Z$178</f>
        <v>3</v>
      </c>
      <c r="AE171" s="1334">
        <f>Score!$AB$178</f>
        <v>0</v>
      </c>
      <c r="AF171" s="1335">
        <f t="shared" ref="AF171:AF177" si="101">IF(AE171=0,AD171,IF(AD171=0,AE171,AD171*$AD$6+AE171*$AE$6))</f>
        <v>3</v>
      </c>
      <c r="AG171" s="1336">
        <f t="shared" si="89"/>
        <v>2</v>
      </c>
      <c r="AH171" s="1337"/>
      <c r="AI171" s="1336">
        <f t="shared" si="95"/>
        <v>2</v>
      </c>
      <c r="AJ171" s="1298">
        <f t="shared" si="83"/>
        <v>2</v>
      </c>
      <c r="AK171" s="1338" t="b">
        <v>0</v>
      </c>
      <c r="AL171" s="1339">
        <f t="shared" si="97"/>
        <v>2</v>
      </c>
      <c r="AM171" s="1374">
        <f>AVERAGEIFS(AL171:AL171,AL171:AL171,"&lt;&gt;0",AL171:AL171,"&lt;&gt;#DIV/0!")</f>
        <v>2</v>
      </c>
    </row>
    <row r="172" spans="1:39" ht="173.25">
      <c r="A172" s="4369"/>
      <c r="B172" s="4350" t="s">
        <v>1323</v>
      </c>
      <c r="C172" s="4399" t="s">
        <v>4897</v>
      </c>
      <c r="D172" s="1305" t="s">
        <v>1324</v>
      </c>
      <c r="E172" s="1282" t="s">
        <v>4898</v>
      </c>
      <c r="F172" s="1282" t="s">
        <v>4967</v>
      </c>
      <c r="G172" s="1286" t="s">
        <v>4916</v>
      </c>
      <c r="H172" s="1292" t="s">
        <v>4555</v>
      </c>
      <c r="I172" s="1294"/>
      <c r="J172" s="1282"/>
      <c r="K172" s="1294"/>
      <c r="L172" s="1293"/>
      <c r="M172" s="1280"/>
      <c r="N172" s="1290">
        <f t="shared" si="71"/>
        <v>2</v>
      </c>
      <c r="O172" s="1313"/>
      <c r="Q172" s="1291" t="s">
        <v>92</v>
      </c>
      <c r="R172" s="1291" t="s">
        <v>407</v>
      </c>
      <c r="S172" s="1291" t="s">
        <v>445</v>
      </c>
      <c r="T172" s="1291" t="s">
        <v>496</v>
      </c>
      <c r="U172" s="1291" t="s">
        <v>447</v>
      </c>
      <c r="V172" s="1291" t="s">
        <v>82</v>
      </c>
      <c r="W172" s="1291" t="s">
        <v>448</v>
      </c>
      <c r="X172" s="1291" t="s">
        <v>80</v>
      </c>
      <c r="Y172" s="1291" t="s">
        <v>497</v>
      </c>
      <c r="Z172" s="1332" t="str">
        <f t="shared" si="94"/>
        <v>対象</v>
      </c>
      <c r="AB172" s="1353">
        <v>2</v>
      </c>
      <c r="AC172" s="1319"/>
      <c r="AD172" s="1349"/>
      <c r="AE172" s="1349"/>
      <c r="AF172" s="1349"/>
      <c r="AG172" s="1349"/>
      <c r="AH172" s="1350"/>
      <c r="AI172" s="1336">
        <f t="shared" si="95"/>
        <v>2</v>
      </c>
      <c r="AJ172" s="1298">
        <f t="shared" si="83"/>
        <v>2</v>
      </c>
      <c r="AK172" s="1352" t="b">
        <v>0</v>
      </c>
      <c r="AL172" s="1339">
        <f t="shared" si="97"/>
        <v>2</v>
      </c>
      <c r="AM172" s="1335">
        <f>AVERAGEIFS(AL172:AL173,AL172:AL173,"&lt;&gt;0",AL172:AL173,"&lt;&gt;#DIV/0!")</f>
        <v>1.5</v>
      </c>
    </row>
    <row r="173" spans="1:39" ht="56.25" customHeight="1">
      <c r="A173" s="4369"/>
      <c r="B173" s="4352"/>
      <c r="C173" s="4400"/>
      <c r="D173" s="1305" t="s">
        <v>1325</v>
      </c>
      <c r="E173" s="1280" t="s">
        <v>4825</v>
      </c>
      <c r="F173" s="1280" t="s">
        <v>4968</v>
      </c>
      <c r="G173" s="1286" t="s">
        <v>4916</v>
      </c>
      <c r="H173" s="1292" t="s">
        <v>4555</v>
      </c>
      <c r="I173" s="1288" t="str">
        <f>IF(AI173=1,"●","")</f>
        <v>●</v>
      </c>
      <c r="J173" s="1288" t="str">
        <f>IF(AI173=2,"●","")</f>
        <v/>
      </c>
      <c r="K173" s="1288" t="str">
        <f>IF(AI173=3,"●","")</f>
        <v/>
      </c>
      <c r="L173" s="1295" t="str">
        <f>IF(L99="","（The result for 9.5.1 is transferred.）",L99)</f>
        <v>（The result for 9.5.1 is transferred.）</v>
      </c>
      <c r="M173" s="1280"/>
      <c r="N173" s="1290">
        <f t="shared" si="71"/>
        <v>1</v>
      </c>
      <c r="O173" s="1313"/>
      <c r="Q173" s="1291" t="s">
        <v>92</v>
      </c>
      <c r="R173" s="1291" t="s">
        <v>407</v>
      </c>
      <c r="S173" s="1291" t="s">
        <v>445</v>
      </c>
      <c r="T173" s="1291" t="s">
        <v>496</v>
      </c>
      <c r="U173" s="1291" t="s">
        <v>447</v>
      </c>
      <c r="V173" s="1291" t="s">
        <v>82</v>
      </c>
      <c r="W173" s="1291" t="s">
        <v>448</v>
      </c>
      <c r="X173" s="1291" t="s">
        <v>80</v>
      </c>
      <c r="Y173" s="1291" t="s">
        <v>497</v>
      </c>
      <c r="Z173" s="1332" t="str">
        <f t="shared" si="94"/>
        <v>対象</v>
      </c>
      <c r="AB173" s="1353">
        <f>AB99</f>
        <v>1</v>
      </c>
      <c r="AC173" s="1319"/>
      <c r="AD173" s="1349"/>
      <c r="AE173" s="1349"/>
      <c r="AF173" s="1349"/>
      <c r="AG173" s="1349"/>
      <c r="AH173" s="1350"/>
      <c r="AI173" s="1336">
        <f t="shared" si="95"/>
        <v>1</v>
      </c>
      <c r="AJ173" s="1298">
        <f>AVERAGEIFS(AI173,AI173,"&lt;&gt;0",AI173,"&lt;&gt;#DIV/0!")</f>
        <v>1</v>
      </c>
      <c r="AK173" s="1338" t="b">
        <v>0</v>
      </c>
      <c r="AL173" s="1339">
        <f>IF(AK173=FALSE,AJ173,IF(AJ173=1,2,3))</f>
        <v>1</v>
      </c>
      <c r="AM173" s="1375"/>
    </row>
    <row r="174" spans="1:39" ht="30" customHeight="1">
      <c r="A174" s="4369"/>
      <c r="B174" s="4350" t="s">
        <v>1328</v>
      </c>
      <c r="C174" s="4357" t="s">
        <v>4899</v>
      </c>
      <c r="D174" s="1279" t="s">
        <v>1326</v>
      </c>
      <c r="E174" s="1280" t="s">
        <v>4900</v>
      </c>
      <c r="F174" s="1280" t="s">
        <v>4513</v>
      </c>
      <c r="G174" s="1286" t="s">
        <v>4916</v>
      </c>
      <c r="H174" s="1287" t="s">
        <v>4637</v>
      </c>
      <c r="I174" s="1288" t="str">
        <f t="shared" si="98"/>
        <v/>
      </c>
      <c r="J174" s="1288" t="str">
        <f t="shared" si="99"/>
        <v>●</v>
      </c>
      <c r="K174" s="1288" t="str">
        <f t="shared" si="100"/>
        <v/>
      </c>
      <c r="L174" s="1295" t="str">
        <f>IF(L9="","（The result for 3.1.1 is transferred.）",L9)</f>
        <v>（The result for 3.1.1 is transferred.）</v>
      </c>
      <c r="M174" s="1280"/>
      <c r="N174" s="1290">
        <f t="shared" si="71"/>
        <v>2</v>
      </c>
      <c r="O174" s="1313"/>
      <c r="Q174" s="1291" t="s">
        <v>92</v>
      </c>
      <c r="R174" s="1291" t="s">
        <v>407</v>
      </c>
      <c r="S174" s="1291" t="s">
        <v>445</v>
      </c>
      <c r="T174" s="1291" t="s">
        <v>496</v>
      </c>
      <c r="U174" s="1291" t="s">
        <v>447</v>
      </c>
      <c r="V174" s="1291" t="s">
        <v>82</v>
      </c>
      <c r="W174" s="1291" t="s">
        <v>448</v>
      </c>
      <c r="X174" s="1291" t="s">
        <v>80</v>
      </c>
      <c r="Y174" s="1291" t="s">
        <v>497</v>
      </c>
      <c r="Z174" s="1332" t="str">
        <f t="shared" si="94"/>
        <v>対象</v>
      </c>
      <c r="AB174" s="1349"/>
      <c r="AC174" s="1319"/>
      <c r="AD174" s="1334">
        <f>Score!$Z$22</f>
        <v>3</v>
      </c>
      <c r="AE174" s="1334">
        <f>Score!$AB$22</f>
        <v>0</v>
      </c>
      <c r="AF174" s="1335">
        <f t="shared" si="101"/>
        <v>3</v>
      </c>
      <c r="AG174" s="1336">
        <f t="shared" si="89"/>
        <v>2</v>
      </c>
      <c r="AH174" s="1337"/>
      <c r="AI174" s="1336">
        <f t="shared" si="95"/>
        <v>2</v>
      </c>
      <c r="AJ174" s="1298">
        <f t="shared" si="83"/>
        <v>2</v>
      </c>
      <c r="AK174" s="1338" t="b">
        <v>0</v>
      </c>
      <c r="AL174" s="1339">
        <f t="shared" si="97"/>
        <v>2</v>
      </c>
      <c r="AM174" s="1374">
        <f>AVERAGEIFS(AL174:AL177,AL174:AL177,"&lt;&gt;0",AL174:AL177,"&lt;&gt;#DIV/0!")</f>
        <v>2</v>
      </c>
    </row>
    <row r="175" spans="1:39" ht="30" customHeight="1">
      <c r="A175" s="4369"/>
      <c r="B175" s="4351"/>
      <c r="C175" s="4358"/>
      <c r="D175" s="1279" t="s">
        <v>1327</v>
      </c>
      <c r="E175" s="1280" t="s">
        <v>4901</v>
      </c>
      <c r="F175" s="1280" t="s">
        <v>4514</v>
      </c>
      <c r="G175" s="1286" t="s">
        <v>4916</v>
      </c>
      <c r="H175" s="1287" t="s">
        <v>4579</v>
      </c>
      <c r="I175" s="1288" t="str">
        <f t="shared" si="98"/>
        <v/>
      </c>
      <c r="J175" s="1288" t="str">
        <f t="shared" si="99"/>
        <v>●</v>
      </c>
      <c r="K175" s="1288" t="str">
        <f t="shared" si="100"/>
        <v/>
      </c>
      <c r="L175" s="1295" t="str">
        <f>IF(L10="","（The result for 3.1.2 is transferred.）",L10)</f>
        <v>（The result for 3.1.2 is transferred.）</v>
      </c>
      <c r="M175" s="1280"/>
      <c r="N175" s="1290">
        <f t="shared" si="71"/>
        <v>2</v>
      </c>
      <c r="O175" s="1313"/>
      <c r="Q175" s="1291" t="s">
        <v>92</v>
      </c>
      <c r="R175" s="1291" t="s">
        <v>407</v>
      </c>
      <c r="S175" s="1291" t="s">
        <v>445</v>
      </c>
      <c r="T175" s="1291" t="s">
        <v>496</v>
      </c>
      <c r="U175" s="1291" t="s">
        <v>447</v>
      </c>
      <c r="V175" s="1291" t="s">
        <v>82</v>
      </c>
      <c r="W175" s="1291" t="s">
        <v>448</v>
      </c>
      <c r="X175" s="1291" t="s">
        <v>80</v>
      </c>
      <c r="Y175" s="1291" t="s">
        <v>497</v>
      </c>
      <c r="Z175" s="1332" t="str">
        <f t="shared" si="94"/>
        <v>対象</v>
      </c>
      <c r="AB175" s="1349"/>
      <c r="AC175" s="1319"/>
      <c r="AD175" s="1334">
        <f>Score!$Z$24</f>
        <v>3</v>
      </c>
      <c r="AE175" s="1334">
        <f>Score!$AB$24</f>
        <v>0</v>
      </c>
      <c r="AF175" s="1335">
        <f t="shared" si="101"/>
        <v>3</v>
      </c>
      <c r="AG175" s="1336">
        <f t="shared" si="89"/>
        <v>2</v>
      </c>
      <c r="AH175" s="1337"/>
      <c r="AI175" s="1336">
        <f t="shared" si="95"/>
        <v>2</v>
      </c>
      <c r="AJ175" s="1356">
        <f t="shared" si="83"/>
        <v>2</v>
      </c>
      <c r="AK175" s="1398" t="b">
        <v>0</v>
      </c>
      <c r="AL175" s="1339">
        <f t="shared" si="97"/>
        <v>2</v>
      </c>
      <c r="AM175" s="1373"/>
    </row>
    <row r="176" spans="1:39" ht="30" customHeight="1">
      <c r="A176" s="4369"/>
      <c r="B176" s="4351"/>
      <c r="C176" s="4358"/>
      <c r="D176" s="4348" t="s">
        <v>1194</v>
      </c>
      <c r="E176" s="4360" t="s">
        <v>4661</v>
      </c>
      <c r="F176" s="1281" t="s">
        <v>4662</v>
      </c>
      <c r="G176" s="1291" t="s">
        <v>4917</v>
      </c>
      <c r="H176" s="1287" t="s">
        <v>4544</v>
      </c>
      <c r="I176" s="1288" t="str">
        <f t="shared" si="98"/>
        <v/>
      </c>
      <c r="J176" s="1288" t="str">
        <f t="shared" si="99"/>
        <v>●</v>
      </c>
      <c r="K176" s="1288" t="str">
        <f t="shared" si="100"/>
        <v/>
      </c>
      <c r="L176" s="4411" t="str">
        <f>IF(L11="","（The result for 3.1.3 is transferred.）",L11)</f>
        <v>（The result for 3.1.3 is transferred.）</v>
      </c>
      <c r="M176" s="4396"/>
      <c r="N176" s="4380">
        <f>IF(AND(Z176="N.A.",Z177="N.A."),"N.A.",AL176)</f>
        <v>2</v>
      </c>
      <c r="O176" s="1313"/>
      <c r="Q176" s="1291" t="s">
        <v>92</v>
      </c>
      <c r="R176" s="1291"/>
      <c r="S176" s="1291" t="s">
        <v>445</v>
      </c>
      <c r="T176" s="1291" t="s">
        <v>496</v>
      </c>
      <c r="U176" s="1291" t="s">
        <v>447</v>
      </c>
      <c r="V176" s="1291" t="s">
        <v>82</v>
      </c>
      <c r="W176" s="1291" t="s">
        <v>448</v>
      </c>
      <c r="X176" s="1291" t="s">
        <v>80</v>
      </c>
      <c r="Y176" s="1291"/>
      <c r="Z176" s="1332" t="str">
        <f t="shared" si="94"/>
        <v>対象</v>
      </c>
      <c r="AB176" s="1349"/>
      <c r="AC176" s="1319"/>
      <c r="AD176" s="1334">
        <f>Score!$Z$25</f>
        <v>3</v>
      </c>
      <c r="AE176" s="1334">
        <f>Score!$AB$25</f>
        <v>0</v>
      </c>
      <c r="AF176" s="1335">
        <f t="shared" si="101"/>
        <v>3</v>
      </c>
      <c r="AG176" s="1336">
        <f t="shared" si="89"/>
        <v>2</v>
      </c>
      <c r="AH176" s="1337"/>
      <c r="AI176" s="1361">
        <f t="shared" si="95"/>
        <v>2</v>
      </c>
      <c r="AJ176" s="1339">
        <f>AVERAGEIFS(AI176:AI177,AI176:AI177,"&lt;&gt;0",AI176:AI177,"&lt;&gt;#DIV/0!")</f>
        <v>2</v>
      </c>
      <c r="AK176" s="1393" t="b">
        <v>0</v>
      </c>
      <c r="AL176" s="1339">
        <f t="shared" si="97"/>
        <v>2</v>
      </c>
      <c r="AM176" s="1391"/>
    </row>
    <row r="177" spans="1:41" ht="30" customHeight="1">
      <c r="A177" s="4369"/>
      <c r="B177" s="4351"/>
      <c r="C177" s="4358"/>
      <c r="D177" s="4349"/>
      <c r="E177" s="4360"/>
      <c r="F177" s="1282" t="s">
        <v>4663</v>
      </c>
      <c r="G177" s="1286" t="s">
        <v>4916</v>
      </c>
      <c r="H177" s="1287" t="s">
        <v>4545</v>
      </c>
      <c r="I177" s="1288" t="str">
        <f t="shared" si="98"/>
        <v/>
      </c>
      <c r="J177" s="1288" t="str">
        <f t="shared" si="99"/>
        <v>●</v>
      </c>
      <c r="K177" s="1288" t="str">
        <f t="shared" si="100"/>
        <v/>
      </c>
      <c r="L177" s="4412"/>
      <c r="M177" s="4397"/>
      <c r="N177" s="4381"/>
      <c r="O177" s="1313"/>
      <c r="Q177" s="1291" t="s">
        <v>92</v>
      </c>
      <c r="R177" s="1291" t="s">
        <v>407</v>
      </c>
      <c r="S177" s="1291" t="s">
        <v>445</v>
      </c>
      <c r="T177" s="1291" t="s">
        <v>496</v>
      </c>
      <c r="U177" s="1291" t="s">
        <v>447</v>
      </c>
      <c r="V177" s="1291" t="s">
        <v>82</v>
      </c>
      <c r="W177" s="1291" t="s">
        <v>448</v>
      </c>
      <c r="X177" s="1291" t="s">
        <v>80</v>
      </c>
      <c r="Y177" s="1291" t="s">
        <v>497</v>
      </c>
      <c r="Z177" s="1332" t="str">
        <f t="shared" si="94"/>
        <v>対象</v>
      </c>
      <c r="AB177" s="1349"/>
      <c r="AC177" s="1319"/>
      <c r="AD177" s="1334">
        <f>Score!$Z$31</f>
        <v>3</v>
      </c>
      <c r="AE177" s="1334">
        <f>Score!$AB$31</f>
        <v>0</v>
      </c>
      <c r="AF177" s="1335">
        <f t="shared" si="101"/>
        <v>3</v>
      </c>
      <c r="AG177" s="1336">
        <f t="shared" si="89"/>
        <v>2</v>
      </c>
      <c r="AH177" s="1337"/>
      <c r="AI177" s="1361">
        <f t="shared" si="95"/>
        <v>2</v>
      </c>
      <c r="AJ177" s="1344"/>
      <c r="AK177" s="1395"/>
      <c r="AL177" s="1344"/>
      <c r="AM177" s="1391"/>
    </row>
    <row r="178" spans="1:41" ht="30" customHeight="1">
      <c r="A178" s="4369"/>
      <c r="B178" s="4350" t="s">
        <v>1329</v>
      </c>
      <c r="C178" s="4357" t="s">
        <v>4788</v>
      </c>
      <c r="D178" s="1279" t="s">
        <v>1330</v>
      </c>
      <c r="E178" s="1280" t="s">
        <v>4789</v>
      </c>
      <c r="F178" s="1280" t="s">
        <v>4822</v>
      </c>
      <c r="G178" s="1286" t="s">
        <v>4916</v>
      </c>
      <c r="H178" s="1287" t="s">
        <v>4595</v>
      </c>
      <c r="I178" s="1288" t="str">
        <f t="shared" ref="I178:I183" si="102">IF(AI178=1,"●","")</f>
        <v/>
      </c>
      <c r="J178" s="1288" t="str">
        <f t="shared" ref="J178:J183" si="103">IF(AI178=2,"●","")</f>
        <v>●</v>
      </c>
      <c r="K178" s="1288" t="str">
        <f t="shared" ref="K178:K183" si="104">IF(AI178=3,"●","")</f>
        <v/>
      </c>
      <c r="L178" s="1295" t="str">
        <f>IF(L93="","（The result for 9.4.1 is transferred.）",L93)</f>
        <v>（The result for 9.4.1 is transferred.）</v>
      </c>
      <c r="M178" s="1280"/>
      <c r="N178" s="1290">
        <f t="shared" ref="N178:N183" si="105">IF(Z178="N.A.","N.A.",AL178)</f>
        <v>2</v>
      </c>
      <c r="O178" s="1313"/>
      <c r="Q178" s="1291" t="s">
        <v>92</v>
      </c>
      <c r="R178" s="1291" t="s">
        <v>407</v>
      </c>
      <c r="S178" s="1291" t="s">
        <v>445</v>
      </c>
      <c r="T178" s="1291" t="s">
        <v>496</v>
      </c>
      <c r="U178" s="1291" t="s">
        <v>447</v>
      </c>
      <c r="V178" s="1291" t="s">
        <v>82</v>
      </c>
      <c r="W178" s="1291" t="s">
        <v>448</v>
      </c>
      <c r="X178" s="1291" t="s">
        <v>80</v>
      </c>
      <c r="Y178" s="1291" t="s">
        <v>497</v>
      </c>
      <c r="Z178" s="1332" t="str">
        <f t="shared" si="94"/>
        <v>対象</v>
      </c>
      <c r="AB178" s="1349"/>
      <c r="AC178" s="1319"/>
      <c r="AD178" s="1334">
        <f>Score!$Z$79</f>
        <v>3.0000000000000004</v>
      </c>
      <c r="AE178" s="1334">
        <f>Score!$AB$79</f>
        <v>0</v>
      </c>
      <c r="AF178" s="1335">
        <f t="shared" ref="AF178:AF183" si="106">IF(AE178=0,AD178,IF(AD178=0,AE178,AD178*$AD$6+AE178*$AE$6))</f>
        <v>3.0000000000000004</v>
      </c>
      <c r="AG178" s="1336">
        <f t="shared" si="89"/>
        <v>2</v>
      </c>
      <c r="AH178" s="1337"/>
      <c r="AI178" s="1336">
        <f t="shared" si="95"/>
        <v>2</v>
      </c>
      <c r="AJ178" s="1298">
        <f t="shared" si="83"/>
        <v>2</v>
      </c>
      <c r="AK178" s="1338" t="b">
        <v>0</v>
      </c>
      <c r="AL178" s="1339">
        <f t="shared" si="97"/>
        <v>2</v>
      </c>
      <c r="AM178" s="1374">
        <f>AVERAGEIFS(AL178:AL183,AL178:AL183,"&lt;&gt;0",AL178:AL183,"&lt;&gt;#DIV/0!")</f>
        <v>2</v>
      </c>
    </row>
    <row r="179" spans="1:41" ht="30" customHeight="1">
      <c r="A179" s="4369"/>
      <c r="B179" s="4351"/>
      <c r="C179" s="4358"/>
      <c r="D179" s="1279" t="s">
        <v>1331</v>
      </c>
      <c r="E179" s="1280" t="s">
        <v>4499</v>
      </c>
      <c r="F179" s="1282" t="s">
        <v>4791</v>
      </c>
      <c r="G179" s="1286" t="s">
        <v>4916</v>
      </c>
      <c r="H179" s="1287" t="s">
        <v>4638</v>
      </c>
      <c r="I179" s="1288" t="str">
        <f t="shared" si="102"/>
        <v/>
      </c>
      <c r="J179" s="1288" t="str">
        <f t="shared" si="103"/>
        <v>●</v>
      </c>
      <c r="K179" s="1288" t="str">
        <f t="shared" si="104"/>
        <v/>
      </c>
      <c r="L179" s="1295" t="str">
        <f>IF(L94="","（The result for 9.4.2 is transferred.）",L94)</f>
        <v>（The result for 9.4.2 is transferred.）</v>
      </c>
      <c r="M179" s="1280"/>
      <c r="N179" s="1290">
        <f t="shared" si="105"/>
        <v>2</v>
      </c>
      <c r="O179" s="1313"/>
      <c r="Q179" s="1291" t="s">
        <v>92</v>
      </c>
      <c r="R179" s="1291" t="s">
        <v>407</v>
      </c>
      <c r="S179" s="1291" t="s">
        <v>445</v>
      </c>
      <c r="T179" s="1291" t="s">
        <v>496</v>
      </c>
      <c r="U179" s="1291" t="s">
        <v>447</v>
      </c>
      <c r="V179" s="1291" t="s">
        <v>82</v>
      </c>
      <c r="W179" s="1291" t="s">
        <v>448</v>
      </c>
      <c r="X179" s="1291" t="s">
        <v>80</v>
      </c>
      <c r="Y179" s="1291" t="s">
        <v>497</v>
      </c>
      <c r="Z179" s="1332" t="str">
        <f t="shared" si="94"/>
        <v>対象</v>
      </c>
      <c r="AB179" s="1349"/>
      <c r="AC179" s="1319"/>
      <c r="AD179" s="1334">
        <f>Score!$Z$94</f>
        <v>3</v>
      </c>
      <c r="AE179" s="1334">
        <f>Score!$AB$94</f>
        <v>0</v>
      </c>
      <c r="AF179" s="1335">
        <f t="shared" si="106"/>
        <v>3</v>
      </c>
      <c r="AG179" s="1336">
        <f t="shared" si="89"/>
        <v>2</v>
      </c>
      <c r="AH179" s="1337"/>
      <c r="AI179" s="1336">
        <f t="shared" si="95"/>
        <v>2</v>
      </c>
      <c r="AJ179" s="1298">
        <f t="shared" si="83"/>
        <v>2</v>
      </c>
      <c r="AK179" s="1338" t="b">
        <v>0</v>
      </c>
      <c r="AL179" s="1339">
        <f t="shared" si="97"/>
        <v>2</v>
      </c>
      <c r="AM179" s="1379"/>
    </row>
    <row r="180" spans="1:41" ht="30" customHeight="1">
      <c r="A180" s="4369"/>
      <c r="B180" s="4351"/>
      <c r="C180" s="4358"/>
      <c r="D180" s="1279" t="s">
        <v>1332</v>
      </c>
      <c r="E180" s="1280" t="s">
        <v>4500</v>
      </c>
      <c r="F180" s="1282" t="s">
        <v>4727</v>
      </c>
      <c r="G180" s="1286" t="s">
        <v>4916</v>
      </c>
      <c r="H180" s="1287" t="s">
        <v>4605</v>
      </c>
      <c r="I180" s="1288" t="str">
        <f t="shared" si="102"/>
        <v/>
      </c>
      <c r="J180" s="1288" t="str">
        <f t="shared" si="103"/>
        <v>●</v>
      </c>
      <c r="K180" s="1288" t="str">
        <f t="shared" si="104"/>
        <v/>
      </c>
      <c r="L180" s="1295" t="str">
        <f>IF(L55="","（The result for 6.7.1 is transferred.）",L55)</f>
        <v>（The result for 6.7.1 is transferred.）</v>
      </c>
      <c r="M180" s="1280"/>
      <c r="N180" s="1290">
        <f t="shared" si="105"/>
        <v>2</v>
      </c>
      <c r="O180" s="1313"/>
      <c r="Q180" s="1291" t="s">
        <v>92</v>
      </c>
      <c r="R180" s="1291" t="s">
        <v>407</v>
      </c>
      <c r="S180" s="1291" t="s">
        <v>445</v>
      </c>
      <c r="T180" s="1291" t="s">
        <v>496</v>
      </c>
      <c r="U180" s="1291" t="s">
        <v>447</v>
      </c>
      <c r="V180" s="1291" t="s">
        <v>82</v>
      </c>
      <c r="W180" s="1291" t="s">
        <v>448</v>
      </c>
      <c r="X180" s="1291" t="s">
        <v>80</v>
      </c>
      <c r="Y180" s="1291" t="s">
        <v>497</v>
      </c>
      <c r="Z180" s="1332" t="str">
        <f t="shared" si="94"/>
        <v>対象</v>
      </c>
      <c r="AB180" s="1349"/>
      <c r="AC180" s="1319"/>
      <c r="AD180" s="1334">
        <f>Score!$Z$95</f>
        <v>3</v>
      </c>
      <c r="AE180" s="1334">
        <f>Score!$AB$95</f>
        <v>0</v>
      </c>
      <c r="AF180" s="1335">
        <f t="shared" si="106"/>
        <v>3</v>
      </c>
      <c r="AG180" s="1336">
        <f t="shared" si="89"/>
        <v>2</v>
      </c>
      <c r="AH180" s="1337"/>
      <c r="AI180" s="1336">
        <f t="shared" si="95"/>
        <v>2</v>
      </c>
      <c r="AJ180" s="1298">
        <f t="shared" si="83"/>
        <v>2</v>
      </c>
      <c r="AK180" s="1338" t="b">
        <v>0</v>
      </c>
      <c r="AL180" s="1339">
        <f t="shared" si="97"/>
        <v>2</v>
      </c>
      <c r="AM180" s="1379"/>
    </row>
    <row r="181" spans="1:41" ht="48" customHeight="1">
      <c r="A181" s="4369"/>
      <c r="B181" s="4351"/>
      <c r="C181" s="4358"/>
      <c r="D181" s="1279" t="s">
        <v>1333</v>
      </c>
      <c r="E181" s="1280" t="s">
        <v>4501</v>
      </c>
      <c r="F181" s="1282" t="s">
        <v>4792</v>
      </c>
      <c r="G181" s="1286" t="s">
        <v>4916</v>
      </c>
      <c r="H181" s="1287" t="s">
        <v>4606</v>
      </c>
      <c r="I181" s="1288" t="str">
        <f t="shared" si="102"/>
        <v/>
      </c>
      <c r="J181" s="1288" t="str">
        <f t="shared" si="103"/>
        <v>●</v>
      </c>
      <c r="K181" s="1288" t="str">
        <f t="shared" si="104"/>
        <v/>
      </c>
      <c r="L181" s="1295" t="str">
        <f>IF(L63="","（The result for 7.6.1 is transferred.）",L63)</f>
        <v>（The result for 7.6.1 is transferred.）</v>
      </c>
      <c r="M181" s="1280"/>
      <c r="N181" s="1290">
        <f t="shared" si="105"/>
        <v>2</v>
      </c>
      <c r="O181" s="1313"/>
      <c r="Q181" s="1291" t="s">
        <v>92</v>
      </c>
      <c r="R181" s="1291" t="s">
        <v>407</v>
      </c>
      <c r="S181" s="1291" t="s">
        <v>445</v>
      </c>
      <c r="T181" s="1291" t="s">
        <v>496</v>
      </c>
      <c r="U181" s="1291" t="s">
        <v>447</v>
      </c>
      <c r="V181" s="1291" t="s">
        <v>82</v>
      </c>
      <c r="W181" s="1291" t="s">
        <v>448</v>
      </c>
      <c r="X181" s="1291" t="s">
        <v>80</v>
      </c>
      <c r="Y181" s="1291" t="s">
        <v>497</v>
      </c>
      <c r="Z181" s="1332" t="str">
        <f t="shared" si="94"/>
        <v>対象</v>
      </c>
      <c r="AB181" s="1349"/>
      <c r="AC181" s="1319"/>
      <c r="AD181" s="1334">
        <f>Score!$Z$96</f>
        <v>3</v>
      </c>
      <c r="AE181" s="1334">
        <f>Score!$AB$96</f>
        <v>0</v>
      </c>
      <c r="AF181" s="1335">
        <f t="shared" si="106"/>
        <v>3</v>
      </c>
      <c r="AG181" s="1336">
        <f t="shared" si="89"/>
        <v>2</v>
      </c>
      <c r="AH181" s="1337"/>
      <c r="AI181" s="1336">
        <f t="shared" si="95"/>
        <v>2</v>
      </c>
      <c r="AJ181" s="1298">
        <f t="shared" si="83"/>
        <v>2</v>
      </c>
      <c r="AK181" s="1338" t="b">
        <v>0</v>
      </c>
      <c r="AL181" s="1339">
        <f t="shared" si="97"/>
        <v>2</v>
      </c>
      <c r="AM181" s="1379"/>
    </row>
    <row r="182" spans="1:41" ht="40.9" customHeight="1">
      <c r="A182" s="4369"/>
      <c r="B182" s="4351"/>
      <c r="C182" s="4358"/>
      <c r="D182" s="1279" t="s">
        <v>1334</v>
      </c>
      <c r="E182" s="1280" t="s">
        <v>4502</v>
      </c>
      <c r="F182" s="1280" t="s">
        <v>4793</v>
      </c>
      <c r="G182" s="1286" t="s">
        <v>4916</v>
      </c>
      <c r="H182" s="1287" t="s">
        <v>4607</v>
      </c>
      <c r="I182" s="1288" t="str">
        <f t="shared" si="102"/>
        <v/>
      </c>
      <c r="J182" s="1288" t="str">
        <f t="shared" si="103"/>
        <v>●</v>
      </c>
      <c r="K182" s="1288" t="str">
        <f t="shared" si="104"/>
        <v/>
      </c>
      <c r="L182" s="1295" t="str">
        <f>IF(L97="","（The result for 9.4.5 is transferred.）",L97)</f>
        <v>（The result for 9.4.5 is transferred.）</v>
      </c>
      <c r="M182" s="1280"/>
      <c r="N182" s="1290">
        <f t="shared" si="105"/>
        <v>2</v>
      </c>
      <c r="O182" s="1313"/>
      <c r="Q182" s="1291" t="s">
        <v>92</v>
      </c>
      <c r="R182" s="1291" t="s">
        <v>407</v>
      </c>
      <c r="S182" s="1291" t="s">
        <v>445</v>
      </c>
      <c r="T182" s="1291" t="s">
        <v>496</v>
      </c>
      <c r="U182" s="1291" t="s">
        <v>447</v>
      </c>
      <c r="V182" s="1291" t="s">
        <v>82</v>
      </c>
      <c r="W182" s="1291" t="s">
        <v>448</v>
      </c>
      <c r="X182" s="1291" t="s">
        <v>80</v>
      </c>
      <c r="Y182" s="1291" t="s">
        <v>497</v>
      </c>
      <c r="Z182" s="1332" t="str">
        <f t="shared" si="94"/>
        <v>対象</v>
      </c>
      <c r="AB182" s="1349"/>
      <c r="AC182" s="1319"/>
      <c r="AD182" s="1334">
        <f>Score!$Z$97</f>
        <v>3</v>
      </c>
      <c r="AE182" s="1334">
        <f>Score!$AB$97</f>
        <v>0</v>
      </c>
      <c r="AF182" s="1335">
        <f t="shared" si="106"/>
        <v>3</v>
      </c>
      <c r="AG182" s="1336">
        <f t="shared" si="89"/>
        <v>2</v>
      </c>
      <c r="AH182" s="1337"/>
      <c r="AI182" s="1336">
        <f t="shared" si="95"/>
        <v>2</v>
      </c>
      <c r="AJ182" s="1298">
        <f t="shared" si="83"/>
        <v>2</v>
      </c>
      <c r="AK182" s="1338" t="b">
        <v>0</v>
      </c>
      <c r="AL182" s="1339">
        <f t="shared" si="97"/>
        <v>2</v>
      </c>
      <c r="AM182" s="1379"/>
    </row>
    <row r="183" spans="1:41" ht="30" customHeight="1">
      <c r="A183" s="4369"/>
      <c r="B183" s="4351"/>
      <c r="C183" s="4358"/>
      <c r="D183" s="1279" t="s">
        <v>1335</v>
      </c>
      <c r="E183" s="1280" t="s">
        <v>4503</v>
      </c>
      <c r="F183" s="1280" t="s">
        <v>4794</v>
      </c>
      <c r="G183" s="1286" t="s">
        <v>4916</v>
      </c>
      <c r="H183" s="1287" t="s">
        <v>4608</v>
      </c>
      <c r="I183" s="1288" t="str">
        <f t="shared" si="102"/>
        <v/>
      </c>
      <c r="J183" s="1288" t="str">
        <f t="shared" si="103"/>
        <v>●</v>
      </c>
      <c r="K183" s="1288" t="str">
        <f t="shared" si="104"/>
        <v/>
      </c>
      <c r="L183" s="1295" t="str">
        <f>IF(L98="","（The result for 9.4.6 is transferred.）",L98)</f>
        <v>（The result for 9.4.6 is transferred.）</v>
      </c>
      <c r="M183" s="1280"/>
      <c r="N183" s="1290">
        <f t="shared" si="105"/>
        <v>2</v>
      </c>
      <c r="O183" s="1313"/>
      <c r="Q183" s="1291" t="s">
        <v>92</v>
      </c>
      <c r="R183" s="1291" t="s">
        <v>407</v>
      </c>
      <c r="S183" s="1291" t="s">
        <v>445</v>
      </c>
      <c r="T183" s="1291" t="s">
        <v>496</v>
      </c>
      <c r="U183" s="1291" t="s">
        <v>447</v>
      </c>
      <c r="V183" s="1291" t="s">
        <v>82</v>
      </c>
      <c r="W183" s="1291" t="s">
        <v>448</v>
      </c>
      <c r="X183" s="1291" t="s">
        <v>80</v>
      </c>
      <c r="Y183" s="1291" t="s">
        <v>497</v>
      </c>
      <c r="Z183" s="1332" t="str">
        <f t="shared" si="94"/>
        <v>対象</v>
      </c>
      <c r="AB183" s="1349"/>
      <c r="AC183" s="1319"/>
      <c r="AD183" s="1334">
        <f>Score!$Z$98</f>
        <v>3</v>
      </c>
      <c r="AE183" s="1334">
        <f>Score!$AB$98</f>
        <v>0</v>
      </c>
      <c r="AF183" s="1335">
        <f t="shared" si="106"/>
        <v>3</v>
      </c>
      <c r="AG183" s="1336">
        <f t="shared" si="89"/>
        <v>2</v>
      </c>
      <c r="AH183" s="1337"/>
      <c r="AI183" s="1336">
        <f t="shared" si="95"/>
        <v>2</v>
      </c>
      <c r="AJ183" s="1298">
        <f t="shared" si="83"/>
        <v>2</v>
      </c>
      <c r="AK183" s="1338" t="b">
        <v>0</v>
      </c>
      <c r="AL183" s="1339">
        <f t="shared" si="97"/>
        <v>2</v>
      </c>
      <c r="AM183" s="1379"/>
    </row>
    <row r="184" spans="1:41" ht="107.25" customHeight="1">
      <c r="A184" s="1302" t="s">
        <v>4937</v>
      </c>
      <c r="B184" s="1275" t="s">
        <v>4938</v>
      </c>
      <c r="C184" s="1419"/>
      <c r="D184" s="1419"/>
      <c r="E184" s="1419"/>
      <c r="F184" s="1425"/>
      <c r="G184" s="1426"/>
      <c r="H184" s="1427"/>
      <c r="I184" s="1276"/>
      <c r="J184" s="1276"/>
      <c r="K184" s="1276"/>
      <c r="L184" s="1428"/>
      <c r="M184" s="1429"/>
      <c r="N184" s="1424"/>
      <c r="O184" s="1313"/>
      <c r="Q184" s="1474"/>
      <c r="R184" s="1475"/>
      <c r="S184" s="1475"/>
      <c r="T184" s="1475"/>
      <c r="U184" s="1475"/>
      <c r="V184" s="1475"/>
      <c r="W184" s="1475"/>
      <c r="X184" s="1476"/>
      <c r="Y184" s="1476"/>
      <c r="Z184" s="1277"/>
      <c r="AB184" s="1436"/>
      <c r="AD184" s="1437"/>
      <c r="AE184" s="1438"/>
      <c r="AF184" s="1438"/>
      <c r="AG184" s="1439"/>
      <c r="AH184" s="1318"/>
      <c r="AI184" s="1432"/>
      <c r="AJ184" s="1438"/>
      <c r="AK184" s="1440"/>
      <c r="AL184" s="1438"/>
      <c r="AM184" s="1439"/>
    </row>
    <row r="185" spans="1:41" ht="54.75" customHeight="1">
      <c r="A185" s="4371" t="s">
        <v>4939</v>
      </c>
      <c r="B185" s="1283" t="s">
        <v>1195</v>
      </c>
      <c r="C185" s="1306" t="s">
        <v>4902</v>
      </c>
      <c r="D185" s="1279" t="s">
        <v>1196</v>
      </c>
      <c r="E185" s="1280" t="s">
        <v>4903</v>
      </c>
      <c r="F185" s="1280" t="s">
        <v>4904</v>
      </c>
      <c r="G185" s="1286" t="s">
        <v>4916</v>
      </c>
      <c r="H185" s="1287" t="s">
        <v>4611</v>
      </c>
      <c r="I185" s="1288" t="str">
        <f>IF(AI185=1,"●","")</f>
        <v/>
      </c>
      <c r="J185" s="1288" t="str">
        <f>IF(AI185=2,"●","")</f>
        <v>●</v>
      </c>
      <c r="K185" s="1288" t="str">
        <f>IF(AI185=3,"●","")</f>
        <v/>
      </c>
      <c r="L185" s="1304"/>
      <c r="M185" s="1280"/>
      <c r="N185" s="1290">
        <f>IF(Z185="N.A.","N.A.",AL185)</f>
        <v>2</v>
      </c>
      <c r="O185" s="1313"/>
      <c r="Q185" s="1291" t="s">
        <v>92</v>
      </c>
      <c r="R185" s="1291" t="s">
        <v>407</v>
      </c>
      <c r="S185" s="1291" t="s">
        <v>445</v>
      </c>
      <c r="T185" s="1291" t="s">
        <v>496</v>
      </c>
      <c r="U185" s="1291" t="s">
        <v>447</v>
      </c>
      <c r="V185" s="1291" t="s">
        <v>82</v>
      </c>
      <c r="W185" s="1291" t="s">
        <v>448</v>
      </c>
      <c r="X185" s="1291" t="s">
        <v>80</v>
      </c>
      <c r="Y185" s="1291" t="s">
        <v>497</v>
      </c>
      <c r="Z185" s="1332" t="str">
        <f>IF(AG185="#DIV/0!","N.A.",IF(AND($Q$4="〇",Q185&lt;&gt;"")+AND($R$4="〇",R185&lt;&gt;"")+AND($S$4="〇",S185&lt;&gt;"")+AND($T$4="〇",T185&lt;&gt;"")+AND($U$4="〇",U185&lt;&gt;"")+AND($V$4="〇",V185&lt;&gt;"")+AND($W$4="〇",W185&lt;&gt;"")+AND($X$4="〇",X185&lt;&gt;"")+AND($Y$4="〇",Y185&lt;&gt;"")=0,"N.A.","対象"))</f>
        <v>対象</v>
      </c>
      <c r="AB185" s="1349"/>
      <c r="AC185" s="1319"/>
      <c r="AD185" s="1334">
        <f>Score!$Z$113</f>
        <v>3</v>
      </c>
      <c r="AE185" s="1334">
        <f>Score!$AB$113</f>
        <v>0</v>
      </c>
      <c r="AF185" s="1335">
        <f>IF(AE185=0,AD185,IF(AD185=0,AE185,AD185*$AD$6+AE185*$AE$6))</f>
        <v>3</v>
      </c>
      <c r="AG185" s="1336">
        <f>IF(AF185=0,"#DIV/0!",IF(AF185&lt;2,1,IF(AF185&lt;4,2,3)))</f>
        <v>2</v>
      </c>
      <c r="AH185" s="1337"/>
      <c r="AI185" s="1336">
        <f>IF(Z185="N.A.","#DIV/0!",IF(AG185="",AB185,IF(AB185="",AG185,0)))</f>
        <v>2</v>
      </c>
      <c r="AJ185" s="1298">
        <f>AVERAGEIFS(AI185,AI185,"&lt;&gt;0",AI185,"&lt;&gt;#DIV/0!")</f>
        <v>2</v>
      </c>
      <c r="AK185" s="1397" t="b">
        <v>0</v>
      </c>
      <c r="AL185" s="1339">
        <f>IF(AK185=FALSE,AJ185,IF(AJ185=1,2,3))</f>
        <v>2</v>
      </c>
      <c r="AM185" s="1335">
        <f>AVERAGEIFS(AL185,AL185,"&lt;&gt;0",AL185,"&lt;&gt;#DIV/0!")</f>
        <v>2</v>
      </c>
    </row>
    <row r="186" spans="1:41" ht="60" customHeight="1">
      <c r="A186" s="4371"/>
      <c r="B186" s="1283" t="s">
        <v>1197</v>
      </c>
      <c r="C186" s="1284" t="s">
        <v>4905</v>
      </c>
      <c r="D186" s="1279" t="s">
        <v>1198</v>
      </c>
      <c r="E186" s="1280" t="s">
        <v>4720</v>
      </c>
      <c r="F186" s="1280" t="s">
        <v>4951</v>
      </c>
      <c r="G186" s="1286" t="s">
        <v>4916</v>
      </c>
      <c r="H186" s="1469" t="s">
        <v>4555</v>
      </c>
      <c r="I186" s="1288" t="str">
        <f>IF(AI186=1,"●","")</f>
        <v>●</v>
      </c>
      <c r="J186" s="1288" t="str">
        <f>IF(AI186=2,"●","")</f>
        <v/>
      </c>
      <c r="K186" s="1288" t="str">
        <f>IF(AI186=3,"●","")</f>
        <v/>
      </c>
      <c r="L186" s="1304" t="str">
        <f>IF(L52="","（The result for 6.4.1 is transferred.）",L52)</f>
        <v>（The result for 6.4.1 is transferred.）</v>
      </c>
      <c r="M186" s="1280"/>
      <c r="N186" s="1290">
        <f>IF(Z186="N.A.","N.A.",AL186)</f>
        <v>1</v>
      </c>
      <c r="O186" s="1313"/>
      <c r="Q186" s="1291" t="s">
        <v>92</v>
      </c>
      <c r="R186" s="1291" t="s">
        <v>407</v>
      </c>
      <c r="S186" s="1291" t="s">
        <v>445</v>
      </c>
      <c r="T186" s="1291" t="s">
        <v>496</v>
      </c>
      <c r="U186" s="1291" t="s">
        <v>447</v>
      </c>
      <c r="V186" s="1291" t="s">
        <v>82</v>
      </c>
      <c r="W186" s="1291" t="s">
        <v>448</v>
      </c>
      <c r="X186" s="1291" t="s">
        <v>80</v>
      </c>
      <c r="Y186" s="1291" t="s">
        <v>497</v>
      </c>
      <c r="Z186" s="1332" t="str">
        <f>IF(AG186="#DIV/0!","N.A.",IF(AND($Q$4="〇",Q186&lt;&gt;"")+AND($R$4="〇",R186&lt;&gt;"")+AND($S$4="〇",S186&lt;&gt;"")+AND($T$4="〇",T186&lt;&gt;"")+AND($U$4="〇",U186&lt;&gt;"")+AND($V$4="〇",V186&lt;&gt;"")+AND($W$4="〇",W186&lt;&gt;"")+AND($X$4="〇",X186&lt;&gt;"")+AND($Y$4="〇",Y186&lt;&gt;"")=0,"N.A.","対象"))</f>
        <v>対象</v>
      </c>
      <c r="AB186" s="1353">
        <f>AB51</f>
        <v>1</v>
      </c>
      <c r="AC186" s="1319"/>
      <c r="AD186" s="1349"/>
      <c r="AE186" s="1349"/>
      <c r="AF186" s="1349"/>
      <c r="AG186" s="1349"/>
      <c r="AH186" s="1350"/>
      <c r="AI186" s="1336">
        <f>IF(Z186="N.A.","#DIV/0!",IF(AG186="",AB186,IF(AB186="",AG186,0)))</f>
        <v>1</v>
      </c>
      <c r="AJ186" s="1298">
        <f>AVERAGEIFS(AI186,AI186,"&lt;&gt;0",AI186,"&lt;&gt;#DIV/0!")</f>
        <v>1</v>
      </c>
      <c r="AK186" s="1397" t="b">
        <v>0</v>
      </c>
      <c r="AL186" s="1339">
        <f>IF(AK186=FALSE,AJ186,IF(AJ186=1,2,3))</f>
        <v>1</v>
      </c>
      <c r="AM186" s="1335">
        <f>AVERAGEIFS(AL186,AL186,"&lt;&gt;0",AL186,"&lt;&gt;#DIV/0!")</f>
        <v>1</v>
      </c>
    </row>
    <row r="187" spans="1:41" ht="30" customHeight="1">
      <c r="A187" s="4371"/>
      <c r="B187" s="4350" t="s">
        <v>1199</v>
      </c>
      <c r="C187" s="4426" t="s">
        <v>4856</v>
      </c>
      <c r="D187" s="1279" t="s">
        <v>1200</v>
      </c>
      <c r="E187" s="1280" t="s">
        <v>4857</v>
      </c>
      <c r="F187" s="1282" t="s">
        <v>4858</v>
      </c>
      <c r="G187" s="1286" t="s">
        <v>4916</v>
      </c>
      <c r="H187" s="1287" t="s">
        <v>4584</v>
      </c>
      <c r="I187" s="1288" t="str">
        <f>IF(AI187=1,"●","")</f>
        <v/>
      </c>
      <c r="J187" s="1288" t="str">
        <f>IF(AI187=2,"●","")</f>
        <v>●</v>
      </c>
      <c r="K187" s="1288" t="str">
        <f>IF(AI187=3,"●","")</f>
        <v/>
      </c>
      <c r="L187" s="1307" t="str">
        <f>IF(L77="","（The result for 8.3.5 is transferred.）",L77)</f>
        <v>（The result for 8.3.5 is transferred.）</v>
      </c>
      <c r="M187" s="1280"/>
      <c r="N187" s="1290">
        <f>IF(Z187="N.A.","N.A.",AL187)</f>
        <v>2</v>
      </c>
      <c r="O187" s="1313"/>
      <c r="Q187" s="1291" t="s">
        <v>92</v>
      </c>
      <c r="R187" s="1291" t="s">
        <v>407</v>
      </c>
      <c r="S187" s="1291" t="s">
        <v>445</v>
      </c>
      <c r="T187" s="1291" t="s">
        <v>496</v>
      </c>
      <c r="U187" s="1291" t="s">
        <v>447</v>
      </c>
      <c r="V187" s="1291" t="s">
        <v>82</v>
      </c>
      <c r="W187" s="1291" t="s">
        <v>448</v>
      </c>
      <c r="X187" s="1291" t="s">
        <v>80</v>
      </c>
      <c r="Y187" s="1291" t="s">
        <v>497</v>
      </c>
      <c r="Z187" s="1332" t="str">
        <f>IF(AG187="#DIV/0!","N.A.",IF(AND($Q$4="〇",Q187&lt;&gt;"")+AND($R$4="〇",R187&lt;&gt;"")+AND($S$4="〇",S187&lt;&gt;"")+AND($T$4="〇",T187&lt;&gt;"")+AND($U$4="〇",U187&lt;&gt;"")+AND($V$4="〇",V187&lt;&gt;"")+AND($W$4="〇",W187&lt;&gt;"")+AND($X$4="〇",X187&lt;&gt;"")+AND($Y$4="〇",Y187&lt;&gt;"")=0,"N.A.","対象"))</f>
        <v>対象</v>
      </c>
      <c r="AB187" s="1349"/>
      <c r="AC187" s="1319"/>
      <c r="AD187" s="1334">
        <f>Score!$Z$158</f>
        <v>3</v>
      </c>
      <c r="AE187" s="1334">
        <f>Score!$AB$158</f>
        <v>0</v>
      </c>
      <c r="AF187" s="1335">
        <f>IF(AE187=0,AD187,IF(AD187=0,AE187,AD187*$AD$6+AE187*$AE$6))</f>
        <v>3</v>
      </c>
      <c r="AG187" s="1336">
        <f>IF(AF187=0,"#DIV/0!",IF(AF187&lt;2,1,IF(AF187&lt;4,2,3)))</f>
        <v>2</v>
      </c>
      <c r="AH187" s="1337"/>
      <c r="AI187" s="1336">
        <f>IF(Z187="N.A.","#DIV/0!",IF(AG187="",AB187,IF(AB187="",AG187,0)))</f>
        <v>2</v>
      </c>
      <c r="AJ187" s="1298">
        <f>AVERAGEIFS(AI187,AI187,"&lt;&gt;0",AI187,"&lt;&gt;#DIV/0!")</f>
        <v>2</v>
      </c>
      <c r="AK187" s="1397" t="b">
        <v>0</v>
      </c>
      <c r="AL187" s="1339">
        <f>IF(AK187=FALSE,AJ187,IF(AJ187=1,2,3))</f>
        <v>2</v>
      </c>
      <c r="AM187" s="1335">
        <f>AVERAGEIFS(AL187:AL188,AL187:AL188,"&lt;&gt;0",AL187:AL188,"&lt;&gt;#DIV/0!")</f>
        <v>1.5</v>
      </c>
    </row>
    <row r="188" spans="1:41" ht="30" customHeight="1">
      <c r="A188" s="4371"/>
      <c r="B188" s="4352"/>
      <c r="C188" s="4427"/>
      <c r="D188" s="1279" t="s">
        <v>1337</v>
      </c>
      <c r="E188" s="1280" t="s">
        <v>4859</v>
      </c>
      <c r="F188" s="1280" t="s">
        <v>4779</v>
      </c>
      <c r="G188" s="1286" t="s">
        <v>4916</v>
      </c>
      <c r="H188" s="1287" t="s">
        <v>4592</v>
      </c>
      <c r="I188" s="1288" t="str">
        <f t="shared" ref="I188" si="107">IF(AI188=1,"●","")</f>
        <v>●</v>
      </c>
      <c r="J188" s="1288" t="str">
        <f t="shared" ref="J188" si="108">IF(AI188=2,"●","")</f>
        <v/>
      </c>
      <c r="K188" s="1288" t="str">
        <f t="shared" ref="K188" si="109">IF(AI188=3,"●","")</f>
        <v/>
      </c>
      <c r="L188" s="1465" t="str">
        <f>IF(L87="","（The result for 8.5.1 is transferred.）",L87)</f>
        <v>（The result for 8.5.1 is transferred.）</v>
      </c>
      <c r="M188" s="1280"/>
      <c r="N188" s="1290">
        <f>IF(Z188="N.A.","N.A.",AL188)</f>
        <v>1</v>
      </c>
      <c r="O188" s="1313"/>
      <c r="Q188" s="1291" t="s">
        <v>92</v>
      </c>
      <c r="R188" s="1291" t="s">
        <v>407</v>
      </c>
      <c r="S188" s="1291" t="s">
        <v>445</v>
      </c>
      <c r="T188" s="1291" t="s">
        <v>496</v>
      </c>
      <c r="U188" s="1291" t="s">
        <v>447</v>
      </c>
      <c r="V188" s="1291" t="s">
        <v>82</v>
      </c>
      <c r="W188" s="1291" t="s">
        <v>448</v>
      </c>
      <c r="X188" s="1291" t="s">
        <v>80</v>
      </c>
      <c r="Y188" s="1291" t="s">
        <v>497</v>
      </c>
      <c r="Z188" s="1332" t="str">
        <f>IF(AG188="#DIV/0!","N.A.",IF(AND($Q$4="〇",Q188&lt;&gt;"")+AND($R$4="〇",R188&lt;&gt;"")+AND($S$4="〇",S188&lt;&gt;"")+AND($T$4="〇",T188&lt;&gt;"")+AND($U$4="〇",U188&lt;&gt;"")+AND($V$4="〇",V188&lt;&gt;"")+AND($W$4="〇",W188&lt;&gt;"")+AND($X$4="〇",X188&lt;&gt;"")+AND($Y$4="〇",Y188&lt;&gt;"")=0,"N.A.","対象"))</f>
        <v>対象</v>
      </c>
      <c r="AB188" s="1349"/>
      <c r="AC188" s="1319"/>
      <c r="AD188" s="1334">
        <f>IF(SUM(VALUE('Q3'!G58)+VALUE('Q3'!G77))=0,1,5)</f>
        <v>1</v>
      </c>
      <c r="AE188" s="1349"/>
      <c r="AF188" s="1335">
        <f t="shared" ref="AF188" si="110">IF(AE188=0,AD188,IF(AD188=0,AE188,AD188*$AD$6+AE188*$AE$6))</f>
        <v>1</v>
      </c>
      <c r="AG188" s="1336">
        <f>IF(AF188=0,"#DIV/0!",IF(AF188&lt;2,1,IF(AF188&lt;4,2,3)))</f>
        <v>1</v>
      </c>
      <c r="AH188" s="1337"/>
      <c r="AI188" s="1336">
        <f>IF(Z188="N.A.","#DIV/0!",IF(AG188="",AB188,IF(AB188="",AG188,0)))</f>
        <v>1</v>
      </c>
      <c r="AJ188" s="1298">
        <f>AVERAGEIFS(AI188,AI188,"&lt;&gt;0",AI188,"&lt;&gt;#DIV/0!")</f>
        <v>1</v>
      </c>
      <c r="AK188" s="1352" t="b">
        <v>0</v>
      </c>
      <c r="AL188" s="1339">
        <f>IF(AK188=FALSE,AJ188,IF(AJ188=1,2,3))</f>
        <v>1</v>
      </c>
      <c r="AM188" s="1373"/>
    </row>
    <row r="189" spans="1:41" ht="42.6" customHeight="1">
      <c r="A189" s="4371"/>
      <c r="B189" s="1283" t="s">
        <v>1201</v>
      </c>
      <c r="C189" s="1284" t="s">
        <v>4906</v>
      </c>
      <c r="D189" s="1279" t="s">
        <v>1202</v>
      </c>
      <c r="E189" s="1280" t="s">
        <v>4907</v>
      </c>
      <c r="F189" s="1282" t="s">
        <v>4972</v>
      </c>
      <c r="G189" s="1286" t="s">
        <v>4916</v>
      </c>
      <c r="H189" s="1469" t="s">
        <v>4555</v>
      </c>
      <c r="I189" s="1282"/>
      <c r="J189" s="1282"/>
      <c r="K189" s="1282"/>
      <c r="L189" s="1293"/>
      <c r="M189" s="1280"/>
      <c r="N189" s="1290">
        <f>IF(Z189="N.A.","N.A.",AL189)</f>
        <v>1</v>
      </c>
      <c r="O189" s="1313"/>
      <c r="Q189" s="1291" t="s">
        <v>92</v>
      </c>
      <c r="R189" s="1291" t="s">
        <v>407</v>
      </c>
      <c r="S189" s="1291" t="s">
        <v>445</v>
      </c>
      <c r="T189" s="1291" t="s">
        <v>496</v>
      </c>
      <c r="U189" s="1291" t="s">
        <v>447</v>
      </c>
      <c r="V189" s="1291" t="s">
        <v>82</v>
      </c>
      <c r="W189" s="1291" t="s">
        <v>448</v>
      </c>
      <c r="X189" s="1291" t="s">
        <v>80</v>
      </c>
      <c r="Y189" s="1291" t="s">
        <v>497</v>
      </c>
      <c r="Z189" s="1332" t="str">
        <f>IF(AG189="#DIV/0!","N.A.",IF(AND($Q$4="〇",Q189&lt;&gt;"")+AND($R$4="〇",R189&lt;&gt;"")+AND($S$4="〇",S189&lt;&gt;"")+AND($T$4="〇",T189&lt;&gt;"")+AND($U$4="〇",U189&lt;&gt;"")+AND($V$4="〇",V189&lt;&gt;"")+AND($W$4="〇",W189&lt;&gt;"")+AND($X$4="〇",X189&lt;&gt;"")+AND($Y$4="〇",Y189&lt;&gt;"")=0,"N.A.","対象"))</f>
        <v>対象</v>
      </c>
      <c r="AB189" s="1353">
        <v>1</v>
      </c>
      <c r="AC189" s="1319"/>
      <c r="AD189" s="1349"/>
      <c r="AE189" s="1349"/>
      <c r="AF189" s="1349"/>
      <c r="AG189" s="1349"/>
      <c r="AH189" s="1337"/>
      <c r="AI189" s="1336">
        <f>IF(Z189="N.A.","#DIV/0!",IF(AG189="",AB189,IF(AB189="",AG189,0)))</f>
        <v>1</v>
      </c>
      <c r="AJ189" s="1298">
        <f>AVERAGEIFS(AI189,AI189,"&lt;&gt;0",AI189,"&lt;&gt;#DIV/0!")</f>
        <v>1</v>
      </c>
      <c r="AK189" s="1403" t="b">
        <v>0</v>
      </c>
      <c r="AL189" s="1339">
        <f>IF(AK189=FALSE,AJ189,IF(AJ189=1,2,3))</f>
        <v>1</v>
      </c>
      <c r="AM189" s="1360">
        <f>AVERAGEIFS(AL189,AL189,"&lt;&gt;0",AL189,"&lt;&gt;#DIV/0!")</f>
        <v>1</v>
      </c>
    </row>
    <row r="190" spans="1:41" ht="108" customHeight="1">
      <c r="A190" s="1303" t="s">
        <v>4940</v>
      </c>
      <c r="B190" s="1275" t="s">
        <v>4656</v>
      </c>
      <c r="C190" s="1419"/>
      <c r="D190" s="1419"/>
      <c r="E190" s="1419"/>
      <c r="F190" s="1420"/>
      <c r="G190" s="1421"/>
      <c r="H190" s="1422"/>
      <c r="I190" s="1420"/>
      <c r="J190" s="1420"/>
      <c r="K190" s="1420"/>
      <c r="L190" s="1423"/>
      <c r="M190" s="1420"/>
      <c r="N190" s="1424"/>
      <c r="O190" s="1313"/>
      <c r="Q190" s="1477"/>
      <c r="R190" s="1476"/>
      <c r="S190" s="1476"/>
      <c r="T190" s="1476"/>
      <c r="U190" s="1476"/>
      <c r="V190" s="1476"/>
      <c r="W190" s="1476"/>
      <c r="X190" s="1476"/>
      <c r="Y190" s="1476"/>
      <c r="Z190" s="1277"/>
      <c r="AB190" s="1435"/>
      <c r="AD190" s="1433"/>
      <c r="AE190" s="1420"/>
      <c r="AF190" s="1420"/>
      <c r="AG190" s="1434"/>
      <c r="AH190" s="1385"/>
      <c r="AI190" s="1432"/>
      <c r="AJ190" s="1430"/>
      <c r="AK190" s="1430"/>
      <c r="AL190" s="1430"/>
      <c r="AM190" s="1431"/>
    </row>
    <row r="191" spans="1:41" ht="31.5">
      <c r="A191" s="4375" t="s">
        <v>4941</v>
      </c>
      <c r="B191" s="4348" t="s">
        <v>1203</v>
      </c>
      <c r="C191" s="4422" t="s">
        <v>4908</v>
      </c>
      <c r="D191" s="1279" t="s">
        <v>1204</v>
      </c>
      <c r="E191" s="1280" t="s">
        <v>4857</v>
      </c>
      <c r="F191" s="1282" t="s">
        <v>4858</v>
      </c>
      <c r="G191" s="1286" t="s">
        <v>4916</v>
      </c>
      <c r="H191" s="1287" t="s">
        <v>4584</v>
      </c>
      <c r="I191" s="1288" t="str">
        <f>IF(AI191=1,"●","")</f>
        <v/>
      </c>
      <c r="J191" s="1288" t="str">
        <f>IF(AI191=2,"●","")</f>
        <v>●</v>
      </c>
      <c r="K191" s="1288" t="str">
        <f>IF(AI191=3,"●","")</f>
        <v/>
      </c>
      <c r="L191" s="1307" t="str">
        <f>IF(L81="","（The result for 8.3.5 is transferred.）",L81)</f>
        <v>（The result for 8.3.5 is transferred.）</v>
      </c>
      <c r="M191" s="1280"/>
      <c r="N191" s="1290">
        <f t="shared" ref="N191:N197" si="111">IF(Z191="N.A.","N.A.",AL191)</f>
        <v>2</v>
      </c>
      <c r="O191" s="1313"/>
      <c r="Q191" s="1291" t="s">
        <v>92</v>
      </c>
      <c r="R191" s="1291" t="s">
        <v>407</v>
      </c>
      <c r="S191" s="1291" t="s">
        <v>445</v>
      </c>
      <c r="T191" s="1291" t="s">
        <v>496</v>
      </c>
      <c r="U191" s="1291" t="s">
        <v>447</v>
      </c>
      <c r="V191" s="1291" t="s">
        <v>82</v>
      </c>
      <c r="W191" s="1291" t="s">
        <v>448</v>
      </c>
      <c r="X191" s="1291" t="s">
        <v>80</v>
      </c>
      <c r="Y191" s="1291" t="s">
        <v>497</v>
      </c>
      <c r="Z191" s="1332" t="str">
        <f t="shared" ref="Z191:Z214" si="112">IF(AG191="#DIV/0!","N.A.",IF(AND($Q$4="〇",Q191&lt;&gt;"")+AND($R$4="〇",R191&lt;&gt;"")+AND($S$4="〇",S191&lt;&gt;"")+AND($T$4="〇",T191&lt;&gt;"")+AND($U$4="〇",U191&lt;&gt;"")+AND($V$4="〇",V191&lt;&gt;"")+AND($W$4="〇",W191&lt;&gt;"")+AND($X$4="〇",X191&lt;&gt;"")+AND($Y$4="〇",Y191&lt;&gt;"")=0,"N.A.","対象"))</f>
        <v>対象</v>
      </c>
      <c r="AB191" s="1349"/>
      <c r="AC191" s="1319"/>
      <c r="AD191" s="1334">
        <f>Score!$Z$158</f>
        <v>3</v>
      </c>
      <c r="AE191" s="1334">
        <f>Score!$AB$158</f>
        <v>0</v>
      </c>
      <c r="AF191" s="1335">
        <f>IF(AE191=0,AD191,IF(AD191=0,AE191,AD191*$AD$6+AE191*$AE$6))</f>
        <v>3</v>
      </c>
      <c r="AG191" s="1336">
        <f>IF(AF191=0,"#DIV/0!",IF(AF191&lt;2,1,IF(AF191&lt;4,2,3)))</f>
        <v>2</v>
      </c>
      <c r="AH191" s="1337"/>
      <c r="AI191" s="1336">
        <f t="shared" ref="AI191:AI197" si="113">IF(Z191="N.A.","#DIV/0!",IF(AG191="",AB191,IF(AB191="",AG191,0)))</f>
        <v>2</v>
      </c>
      <c r="AJ191" s="1298">
        <f>AVERAGEIFS(AI191,AI191,"&lt;&gt;0",AI191,"&lt;&gt;#DIV/0!")</f>
        <v>2</v>
      </c>
      <c r="AK191" s="1397" t="b">
        <v>0</v>
      </c>
      <c r="AL191" s="1339">
        <f>IF(AK191=FALSE,AJ191,IF(AJ191=1,2,3))</f>
        <v>2</v>
      </c>
      <c r="AM191" s="1335">
        <f>AVERAGEIFS(AL191:AL192,AL191:AL192,"&lt;&gt;0",AL191:AL192,"&lt;&gt;#DIV/0!")</f>
        <v>1.5</v>
      </c>
      <c r="AO191" s="1495"/>
    </row>
    <row r="192" spans="1:41" ht="78">
      <c r="A192" s="4375"/>
      <c r="B192" s="4349"/>
      <c r="C192" s="4424"/>
      <c r="D192" s="1279" t="s">
        <v>1339</v>
      </c>
      <c r="E192" s="1280" t="s">
        <v>4859</v>
      </c>
      <c r="F192" s="1280" t="s">
        <v>4779</v>
      </c>
      <c r="G192" s="1286" t="s">
        <v>4916</v>
      </c>
      <c r="H192" s="1287" t="s">
        <v>4592</v>
      </c>
      <c r="I192" s="1288" t="str">
        <f t="shared" ref="I192" si="114">IF(AI192=1,"●","")</f>
        <v>●</v>
      </c>
      <c r="J192" s="1288" t="str">
        <f t="shared" ref="J192" si="115">IF(AI192=2,"●","")</f>
        <v/>
      </c>
      <c r="K192" s="1288" t="str">
        <f t="shared" ref="K192" si="116">IF(AI192=3,"●","")</f>
        <v/>
      </c>
      <c r="L192" s="1465" t="str">
        <f>IF(L91="","（The result for 8.5.1 is transferred.）",L91)</f>
        <v>（The result for 8.5.1 is transferred.）</v>
      </c>
      <c r="M192" s="1280"/>
      <c r="N192" s="1290">
        <f t="shared" si="111"/>
        <v>1</v>
      </c>
      <c r="O192" s="1313"/>
      <c r="Q192" s="1291" t="s">
        <v>92</v>
      </c>
      <c r="R192" s="1291" t="s">
        <v>407</v>
      </c>
      <c r="S192" s="1291" t="s">
        <v>445</v>
      </c>
      <c r="T192" s="1291" t="s">
        <v>496</v>
      </c>
      <c r="U192" s="1291" t="s">
        <v>447</v>
      </c>
      <c r="V192" s="1291" t="s">
        <v>82</v>
      </c>
      <c r="W192" s="1291" t="s">
        <v>448</v>
      </c>
      <c r="X192" s="1291" t="s">
        <v>80</v>
      </c>
      <c r="Y192" s="1291" t="s">
        <v>497</v>
      </c>
      <c r="Z192" s="1332" t="str">
        <f t="shared" si="112"/>
        <v>対象</v>
      </c>
      <c r="AB192" s="1349"/>
      <c r="AC192" s="1319"/>
      <c r="AD192" s="1334">
        <f>IF(SUM(VALUE('Q3'!G58)+VALUE('Q3'!G77))=0,1,5)</f>
        <v>1</v>
      </c>
      <c r="AE192" s="1349"/>
      <c r="AF192" s="1335">
        <f t="shared" ref="AF192" si="117">IF(AE192=0,AD192,IF(AD192=0,AE192,AD192*$AD$6+AE192*$AE$6))</f>
        <v>1</v>
      </c>
      <c r="AG192" s="1336">
        <f>IF(AF192=0,"#DIV/0!",IF(AF192&lt;2,1,IF(AF192&lt;4,2,3)))</f>
        <v>1</v>
      </c>
      <c r="AH192" s="1337"/>
      <c r="AI192" s="1336">
        <f t="shared" si="113"/>
        <v>1</v>
      </c>
      <c r="AJ192" s="1298">
        <f>AVERAGEIFS(AI192,AI192,"&lt;&gt;0",AI192,"&lt;&gt;#DIV/0!")</f>
        <v>1</v>
      </c>
      <c r="AK192" s="1352" t="b">
        <v>0</v>
      </c>
      <c r="AL192" s="1339">
        <f>IF(AK192=FALSE,AJ192,IF(AJ192=1,2,3))</f>
        <v>1</v>
      </c>
      <c r="AM192" s="1373"/>
    </row>
    <row r="193" spans="1:40" ht="44.45" customHeight="1">
      <c r="A193" s="4375"/>
      <c r="B193" s="4350" t="s">
        <v>1205</v>
      </c>
      <c r="C193" s="4419" t="s">
        <v>4909</v>
      </c>
      <c r="D193" s="1279" t="s">
        <v>1206</v>
      </c>
      <c r="E193" s="1282" t="s">
        <v>4829</v>
      </c>
      <c r="F193" s="1282" t="s">
        <v>4977</v>
      </c>
      <c r="G193" s="1286" t="s">
        <v>4916</v>
      </c>
      <c r="H193" s="1287" t="s">
        <v>4610</v>
      </c>
      <c r="I193" s="1288" t="str">
        <f>IF(AI193=1,"●","")</f>
        <v/>
      </c>
      <c r="J193" s="1288" t="str">
        <f>IF(AI193=2,"●","")</f>
        <v>●</v>
      </c>
      <c r="K193" s="1288" t="str">
        <f>IF(AI193=3,"●","")</f>
        <v/>
      </c>
      <c r="L193" s="1304" t="str">
        <f>IF(L123="","（The result for 11.8.1 is transferred.）",L123)</f>
        <v>（The result for 11.8.1 is transferred.）</v>
      </c>
      <c r="M193" s="1280"/>
      <c r="N193" s="1290">
        <f t="shared" si="111"/>
        <v>2</v>
      </c>
      <c r="O193" s="1313"/>
      <c r="Q193" s="1291" t="s">
        <v>92</v>
      </c>
      <c r="R193" s="1291" t="s">
        <v>407</v>
      </c>
      <c r="S193" s="1291" t="s">
        <v>445</v>
      </c>
      <c r="T193" s="1291" t="s">
        <v>496</v>
      </c>
      <c r="U193" s="1291" t="s">
        <v>447</v>
      </c>
      <c r="V193" s="1291" t="s">
        <v>82</v>
      </c>
      <c r="W193" s="1291" t="s">
        <v>448</v>
      </c>
      <c r="X193" s="1291" t="s">
        <v>80</v>
      </c>
      <c r="Y193" s="1291" t="s">
        <v>497</v>
      </c>
      <c r="Z193" s="1332" t="str">
        <f t="shared" si="112"/>
        <v>対象</v>
      </c>
      <c r="AB193" s="1349"/>
      <c r="AC193" s="1319"/>
      <c r="AD193" s="1334">
        <f>Score!$Z$116</f>
        <v>3</v>
      </c>
      <c r="AE193" s="1334">
        <f>Score!$AB$116</f>
        <v>0</v>
      </c>
      <c r="AF193" s="1335">
        <f>IF(AE193=0,AD193,IF(AD193=0,AE193,AD193*$AD$6+AE193*$AE$6))</f>
        <v>3</v>
      </c>
      <c r="AG193" s="1336">
        <f>IF(AF193=0,"#DIV/0!",IF(AF193&lt;2,1,IF(AF193&lt;4,2,3)))</f>
        <v>2</v>
      </c>
      <c r="AH193" s="1350"/>
      <c r="AI193" s="1336">
        <f t="shared" si="113"/>
        <v>2</v>
      </c>
      <c r="AJ193" s="1298">
        <f>AVERAGEIFS(AI193,AI193,"&lt;&gt;0",AI193,"&lt;&gt;#DIV/0!")</f>
        <v>2</v>
      </c>
      <c r="AK193" s="1397" t="b">
        <v>0</v>
      </c>
      <c r="AL193" s="1339">
        <f>IF(AK193=FALSE,AJ193,IF(AJ193=1,2,3))</f>
        <v>2</v>
      </c>
      <c r="AM193" s="1360">
        <f>AVERAGEIFS(AL193:AL194,AL193:AL194,"&lt;&gt;0",AL193:AL194,"&lt;&gt;#DIV/0!")</f>
        <v>1.5</v>
      </c>
    </row>
    <row r="194" spans="1:40" ht="28.5" customHeight="1">
      <c r="A194" s="4375"/>
      <c r="B194" s="4351"/>
      <c r="C194" s="4420"/>
      <c r="D194" s="1279" t="s">
        <v>1336</v>
      </c>
      <c r="E194" s="1280" t="s">
        <v>4812</v>
      </c>
      <c r="F194" s="1280" t="s">
        <v>4813</v>
      </c>
      <c r="G194" s="1286" t="s">
        <v>4916</v>
      </c>
      <c r="H194" s="1287" t="s">
        <v>4639</v>
      </c>
      <c r="I194" s="1288" t="str">
        <f t="shared" ref="I194" si="118">IF(AI194=1,"●","")</f>
        <v>●</v>
      </c>
      <c r="J194" s="1288" t="str">
        <f t="shared" ref="J194" si="119">IF(AI194=2,"●","")</f>
        <v/>
      </c>
      <c r="K194" s="1288" t="str">
        <f t="shared" ref="K194" si="120">IF(AI194=3,"●","")</f>
        <v/>
      </c>
      <c r="L194" s="1304" t="str">
        <f>IF(L110="","（The result for 11.3.1 is transferred.）",L110)</f>
        <v>（The result for 11.3.1 is transferred.）</v>
      </c>
      <c r="M194" s="1280"/>
      <c r="N194" s="1290">
        <f t="shared" si="111"/>
        <v>1</v>
      </c>
      <c r="O194" s="1313"/>
      <c r="Q194" s="1291" t="s">
        <v>92</v>
      </c>
      <c r="R194" s="1291" t="s">
        <v>407</v>
      </c>
      <c r="S194" s="1291" t="s">
        <v>445</v>
      </c>
      <c r="T194" s="1291" t="s">
        <v>496</v>
      </c>
      <c r="U194" s="1291" t="s">
        <v>447</v>
      </c>
      <c r="V194" s="1291" t="s">
        <v>82</v>
      </c>
      <c r="W194" s="1291" t="s">
        <v>448</v>
      </c>
      <c r="X194" s="1291" t="s">
        <v>80</v>
      </c>
      <c r="Y194" s="1291" t="s">
        <v>497</v>
      </c>
      <c r="Z194" s="1332" t="str">
        <f t="shared" si="112"/>
        <v>対象</v>
      </c>
      <c r="AB194" s="1349"/>
      <c r="AC194" s="1319"/>
      <c r="AD194" s="1334">
        <f>IF('Q3'!G92=1,5,1)</f>
        <v>1</v>
      </c>
      <c r="AE194" s="1349"/>
      <c r="AF194" s="1335">
        <f>IF(AE194=0,AD194,IF(AD194=0,AE194,AD194*$AD$6+AE194*$AE$6))</f>
        <v>1</v>
      </c>
      <c r="AG194" s="1336">
        <f t="shared" ref="AG194" si="121">IF(AF194=0,"#DIV/0!",IF(AF194&lt;2,1,IF(AF194&lt;4,2,3)))</f>
        <v>1</v>
      </c>
      <c r="AH194" s="1337"/>
      <c r="AI194" s="1336">
        <f t="shared" si="113"/>
        <v>1</v>
      </c>
      <c r="AJ194" s="1298">
        <f t="shared" ref="AJ194" si="122">AVERAGEIFS(AI194,AI194,"&lt;&gt;0",AI194,"&lt;&gt;#DIV/0!")</f>
        <v>1</v>
      </c>
      <c r="AK194" s="1352" t="b">
        <v>0</v>
      </c>
      <c r="AL194" s="1339">
        <f t="shared" ref="AL194" si="123">IF(AK194=FALSE,AJ194,IF(AJ194=1,2,3))</f>
        <v>1</v>
      </c>
      <c r="AM194" s="1360">
        <f>AVERAGEIFS(AL194,AL194,"&lt;&gt;0",AL194,"&lt;&gt;#DIV/0!")</f>
        <v>1</v>
      </c>
    </row>
    <row r="195" spans="1:40" ht="78.75">
      <c r="A195" s="4375"/>
      <c r="B195" s="1283" t="s">
        <v>1207</v>
      </c>
      <c r="C195" s="1284" t="s">
        <v>4512</v>
      </c>
      <c r="D195" s="1279" t="s">
        <v>1208</v>
      </c>
      <c r="E195" s="1464" t="s">
        <v>4910</v>
      </c>
      <c r="F195" s="1281" t="s">
        <v>4969</v>
      </c>
      <c r="G195" s="1462" t="s">
        <v>4916</v>
      </c>
      <c r="H195" s="1468" t="s">
        <v>4555</v>
      </c>
      <c r="I195" s="1282"/>
      <c r="J195" s="1282"/>
      <c r="K195" s="1282"/>
      <c r="L195" s="1293"/>
      <c r="M195" s="1280"/>
      <c r="N195" s="1290">
        <f t="shared" si="111"/>
        <v>3</v>
      </c>
      <c r="O195" s="1313"/>
      <c r="Q195" s="1291" t="s">
        <v>92</v>
      </c>
      <c r="R195" s="1291" t="s">
        <v>407</v>
      </c>
      <c r="S195" s="1291" t="s">
        <v>445</v>
      </c>
      <c r="T195" s="1291" t="s">
        <v>496</v>
      </c>
      <c r="U195" s="1291" t="s">
        <v>447</v>
      </c>
      <c r="V195" s="1291" t="s">
        <v>82</v>
      </c>
      <c r="W195" s="1291" t="s">
        <v>448</v>
      </c>
      <c r="X195" s="1291" t="s">
        <v>80</v>
      </c>
      <c r="Y195" s="1291" t="s">
        <v>497</v>
      </c>
      <c r="Z195" s="1332" t="str">
        <f t="shared" si="112"/>
        <v>対象</v>
      </c>
      <c r="AB195" s="1353">
        <v>3</v>
      </c>
      <c r="AC195" s="1319"/>
      <c r="AD195" s="1349"/>
      <c r="AE195" s="1349"/>
      <c r="AF195" s="1349"/>
      <c r="AG195" s="1349"/>
      <c r="AH195" s="1337"/>
      <c r="AI195" s="1336">
        <f t="shared" si="113"/>
        <v>3</v>
      </c>
      <c r="AJ195" s="1298">
        <f>AVERAGEIFS(AI195,AI195,"&lt;&gt;0",AI195,"&lt;&gt;#DIV/0!")</f>
        <v>3</v>
      </c>
      <c r="AK195" s="1403" t="b">
        <v>0</v>
      </c>
      <c r="AL195" s="1339">
        <f>IF(AK195=FALSE,AJ195,IF(AJ195=1,2,3))</f>
        <v>3</v>
      </c>
      <c r="AM195" s="1360">
        <f>AVERAGEIFS(AL195,AL195,"&lt;&gt;0",AL195,"&lt;&gt;#DIV/0!")</f>
        <v>3</v>
      </c>
    </row>
    <row r="196" spans="1:40" ht="63">
      <c r="A196" s="4375"/>
      <c r="B196" s="1283" t="s">
        <v>1209</v>
      </c>
      <c r="C196" s="1284" t="s">
        <v>4911</v>
      </c>
      <c r="D196" s="1461" t="s">
        <v>1210</v>
      </c>
      <c r="E196" s="1463" t="s">
        <v>4912</v>
      </c>
      <c r="F196" s="1282" t="s">
        <v>4970</v>
      </c>
      <c r="G196" s="1463" t="s">
        <v>4915</v>
      </c>
      <c r="H196" s="1468" t="s">
        <v>4555</v>
      </c>
      <c r="I196" s="1282"/>
      <c r="J196" s="1282"/>
      <c r="K196" s="1282"/>
      <c r="L196" s="1293"/>
      <c r="M196" s="1280"/>
      <c r="N196" s="1290">
        <f t="shared" si="111"/>
        <v>3</v>
      </c>
      <c r="O196" s="1313"/>
      <c r="Q196" s="1291" t="s">
        <v>92</v>
      </c>
      <c r="R196" s="1291" t="s">
        <v>407</v>
      </c>
      <c r="S196" s="1291" t="s">
        <v>445</v>
      </c>
      <c r="T196" s="1291" t="s">
        <v>496</v>
      </c>
      <c r="U196" s="1291" t="s">
        <v>447</v>
      </c>
      <c r="V196" s="1291" t="s">
        <v>82</v>
      </c>
      <c r="W196" s="1291" t="s">
        <v>448</v>
      </c>
      <c r="X196" s="1291" t="s">
        <v>80</v>
      </c>
      <c r="Y196" s="1291" t="s">
        <v>497</v>
      </c>
      <c r="Z196" s="1332" t="str">
        <f t="shared" si="112"/>
        <v>対象</v>
      </c>
      <c r="AB196" s="1353">
        <v>3</v>
      </c>
      <c r="AC196" s="1319"/>
      <c r="AD196" s="1349"/>
      <c r="AE196" s="1349"/>
      <c r="AF196" s="1349"/>
      <c r="AG196" s="1349"/>
      <c r="AH196" s="1337"/>
      <c r="AI196" s="1336">
        <f t="shared" si="113"/>
        <v>3</v>
      </c>
      <c r="AJ196" s="1298">
        <f>AVERAGEIFS(AI196,AI196,"&lt;&gt;0",AI196,"&lt;&gt;#DIV/0!")</f>
        <v>3</v>
      </c>
      <c r="AK196" s="1403" t="b">
        <v>0</v>
      </c>
      <c r="AL196" s="1339">
        <f>IF(AK196=FALSE,AJ196,IF(AJ196=1,2,3))</f>
        <v>3</v>
      </c>
      <c r="AM196" s="1360">
        <f>AVERAGEIFS(AL196,AL196,"&lt;&gt;0",AL196,"&lt;&gt;#DIV/0!")</f>
        <v>3</v>
      </c>
    </row>
    <row r="197" spans="1:40" ht="61.15" customHeight="1">
      <c r="A197" s="4375"/>
      <c r="B197" s="1283" t="s">
        <v>1211</v>
      </c>
      <c r="C197" s="1284" t="s">
        <v>4913</v>
      </c>
      <c r="D197" s="1279" t="s">
        <v>1212</v>
      </c>
      <c r="E197" s="1280" t="s">
        <v>4914</v>
      </c>
      <c r="F197" s="1282" t="s">
        <v>4971</v>
      </c>
      <c r="G197" s="1286" t="s">
        <v>4916</v>
      </c>
      <c r="H197" s="1469" t="s">
        <v>4555</v>
      </c>
      <c r="I197" s="1282"/>
      <c r="J197" s="1282"/>
      <c r="K197" s="1282"/>
      <c r="L197" s="1293"/>
      <c r="M197" s="1280"/>
      <c r="N197" s="1290">
        <f t="shared" si="111"/>
        <v>3</v>
      </c>
      <c r="O197" s="1313"/>
      <c r="Q197" s="1291" t="s">
        <v>92</v>
      </c>
      <c r="R197" s="1291" t="s">
        <v>407</v>
      </c>
      <c r="S197" s="1291" t="s">
        <v>445</v>
      </c>
      <c r="T197" s="1291" t="s">
        <v>496</v>
      </c>
      <c r="U197" s="1291" t="s">
        <v>447</v>
      </c>
      <c r="V197" s="1291" t="s">
        <v>82</v>
      </c>
      <c r="W197" s="1291" t="s">
        <v>448</v>
      </c>
      <c r="X197" s="1291" t="s">
        <v>80</v>
      </c>
      <c r="Y197" s="1291" t="s">
        <v>497</v>
      </c>
      <c r="Z197" s="1332" t="str">
        <f t="shared" si="112"/>
        <v>対象</v>
      </c>
      <c r="AB197" s="1353">
        <v>3</v>
      </c>
      <c r="AC197" s="1319"/>
      <c r="AD197" s="1349"/>
      <c r="AE197" s="1349"/>
      <c r="AF197" s="1349"/>
      <c r="AG197" s="1349"/>
      <c r="AH197" s="1337"/>
      <c r="AI197" s="1336">
        <f t="shared" si="113"/>
        <v>3</v>
      </c>
      <c r="AJ197" s="1298">
        <f>AVERAGEIFS(AI197,AI197,"&lt;&gt;0",AI197,"&lt;&gt;#DIV/0!")</f>
        <v>3</v>
      </c>
      <c r="AK197" s="1403" t="b">
        <v>0</v>
      </c>
      <c r="AL197" s="1339">
        <f>IF(AK197=FALSE,AJ197,IF(AJ197=1,2,3))</f>
        <v>3</v>
      </c>
      <c r="AM197" s="1360">
        <f>AVERAGEIFS(AL197,AL197,"&lt;&gt;0",AL197,"&lt;&gt;#DIV/0!")</f>
        <v>3</v>
      </c>
    </row>
    <row r="198" spans="1:40" hidden="1">
      <c r="Q198" s="1404"/>
      <c r="R198" s="1404"/>
      <c r="S198" s="1404"/>
      <c r="T198" s="1404"/>
      <c r="U198" s="1404"/>
      <c r="V198" s="1404"/>
      <c r="W198" s="1404"/>
      <c r="X198" s="1404"/>
      <c r="Y198" s="1404"/>
      <c r="Z198" s="1332" t="str">
        <f t="shared" si="112"/>
        <v>N.A.</v>
      </c>
      <c r="AD198" s="1405"/>
      <c r="AE198" s="1405"/>
      <c r="AF198" s="1405"/>
      <c r="AI198" s="1406"/>
      <c r="AJ198" s="1407"/>
      <c r="AK198" s="1407"/>
      <c r="AL198" s="1407"/>
      <c r="AM198" s="1407"/>
    </row>
    <row r="199" spans="1:40" hidden="1">
      <c r="Q199" s="1404"/>
      <c r="R199" s="1404"/>
      <c r="S199" s="1404"/>
      <c r="T199" s="1404"/>
      <c r="U199" s="1404"/>
      <c r="V199" s="1404"/>
      <c r="W199" s="1404"/>
      <c r="X199" s="1404"/>
      <c r="Y199" s="1404"/>
      <c r="Z199" s="1332" t="str">
        <f t="shared" si="112"/>
        <v>N.A.</v>
      </c>
      <c r="AA199" s="1404"/>
      <c r="AB199" s="1318"/>
      <c r="AC199" s="1404"/>
      <c r="AD199" s="1404"/>
      <c r="AE199" s="1404"/>
      <c r="AF199" s="1318"/>
      <c r="AG199" s="1318"/>
      <c r="AH199" s="1318"/>
      <c r="AI199" s="1317"/>
      <c r="AJ199" s="1318"/>
      <c r="AK199" s="1318"/>
      <c r="AL199" s="1318"/>
      <c r="AM199" s="1404"/>
    </row>
    <row r="200" spans="1:40" hidden="1">
      <c r="Q200" s="1471"/>
      <c r="R200" s="1471"/>
      <c r="S200" s="1471"/>
      <c r="T200" s="1471"/>
      <c r="U200" s="1471"/>
      <c r="V200" s="1471"/>
      <c r="W200" s="1471"/>
      <c r="X200" s="1471"/>
      <c r="Y200" s="1471"/>
      <c r="Z200" s="1332" t="str">
        <f t="shared" si="112"/>
        <v>N.A.</v>
      </c>
      <c r="AB200" s="1315"/>
      <c r="AD200" s="1350"/>
      <c r="AE200" s="1350"/>
      <c r="AF200" s="1315"/>
      <c r="AG200" s="1318"/>
      <c r="AH200" s="1315"/>
      <c r="AI200" s="1317"/>
      <c r="AJ200" s="1318"/>
      <c r="AK200" s="1318"/>
      <c r="AL200" s="1318"/>
      <c r="AM200" s="1408" t="s">
        <v>1230</v>
      </c>
      <c r="AN200" s="1463" t="s">
        <v>1338</v>
      </c>
    </row>
    <row r="201" spans="1:40" hidden="1">
      <c r="Q201" s="1471"/>
      <c r="R201" s="1471"/>
      <c r="S201" s="1471"/>
      <c r="T201" s="1471"/>
      <c r="U201" s="1471"/>
      <c r="V201" s="1471"/>
      <c r="W201" s="1471"/>
      <c r="X201" s="1471"/>
      <c r="Y201" s="1471"/>
      <c r="Z201" s="1332" t="str">
        <f t="shared" si="112"/>
        <v>N.A.</v>
      </c>
      <c r="AB201" s="1320"/>
      <c r="AD201" s="1350"/>
      <c r="AE201" s="1350"/>
      <c r="AF201" s="1315"/>
      <c r="AG201" s="1318"/>
      <c r="AH201" s="1318"/>
      <c r="AI201" s="1409" t="s">
        <v>1231</v>
      </c>
      <c r="AJ201" s="1410"/>
      <c r="AK201" s="1411" t="e">
        <f>AVERAGEIFS(AK203:AK214,AK203:AK214,"&lt;&gt;0",AK203:AK214,"&lt;&gt;#DIV/0!")</f>
        <v>#VALUE!</v>
      </c>
      <c r="AL201" s="1298" t="s">
        <v>1232</v>
      </c>
      <c r="AM201" s="1412" t="e">
        <f>(AK201-1)*2+1</f>
        <v>#VALUE!</v>
      </c>
      <c r="AN201" s="1412" t="e">
        <f>IF(E3="実施しない","N/A",(AK201-1)*2+1)</f>
        <v>#VALUE!</v>
      </c>
    </row>
    <row r="202" spans="1:40" hidden="1">
      <c r="Q202" s="1471"/>
      <c r="R202" s="1471"/>
      <c r="S202" s="1471"/>
      <c r="T202" s="1471"/>
      <c r="U202" s="1471"/>
      <c r="V202" s="1471"/>
      <c r="W202" s="1471"/>
      <c r="X202" s="1471"/>
      <c r="Y202" s="1471"/>
      <c r="Z202" s="1332" t="str">
        <f t="shared" si="112"/>
        <v>N.A.</v>
      </c>
      <c r="AD202" s="1350"/>
      <c r="AE202" s="1350"/>
      <c r="AF202" s="1315"/>
      <c r="AG202" s="1318"/>
      <c r="AH202" s="1315"/>
      <c r="AI202" s="1413"/>
      <c r="AK202" s="1315"/>
      <c r="AL202" s="1467" t="s">
        <v>1338</v>
      </c>
    </row>
    <row r="203" spans="1:40" hidden="1">
      <c r="Q203" s="1471"/>
      <c r="R203" s="1471"/>
      <c r="S203" s="1471"/>
      <c r="T203" s="1471"/>
      <c r="U203" s="1471"/>
      <c r="V203" s="1471"/>
      <c r="W203" s="1471"/>
      <c r="X203" s="1471"/>
      <c r="Y203" s="1471"/>
      <c r="Z203" s="1332" t="str">
        <f t="shared" si="112"/>
        <v>N.A.</v>
      </c>
      <c r="AB203" s="1414"/>
      <c r="AD203" s="1350"/>
      <c r="AE203" s="1350"/>
      <c r="AF203" s="1315"/>
      <c r="AG203" s="1318"/>
      <c r="AH203" s="1318"/>
      <c r="AI203" s="1415" t="s">
        <v>1233</v>
      </c>
      <c r="AJ203" s="1416"/>
      <c r="AK203" s="1411">
        <f>AVERAGEIFS(AM9:AM32,AM9:AM32,"&lt;&gt;0",AM9:AM32,"&lt;&gt;#DIV/0!")</f>
        <v>2.1428571428571428</v>
      </c>
      <c r="AL203" s="1411">
        <f>IF(E3="実施しない","N/A",AVERAGEIFS(AM9:AM32,AM9:AM32,"&lt;&gt;0",AM9:AM32,"&lt;&gt;#DIV/0!"))</f>
        <v>2.1428571428571428</v>
      </c>
    </row>
    <row r="204" spans="1:40" hidden="1">
      <c r="Q204" s="1471"/>
      <c r="R204" s="1471"/>
      <c r="S204" s="1471"/>
      <c r="T204" s="1471"/>
      <c r="U204" s="1471"/>
      <c r="V204" s="1471"/>
      <c r="W204" s="1471"/>
      <c r="X204" s="1471"/>
      <c r="Y204" s="1471"/>
      <c r="Z204" s="1332" t="str">
        <f t="shared" si="112"/>
        <v>N.A.</v>
      </c>
      <c r="AB204" s="1414"/>
      <c r="AD204" s="1350"/>
      <c r="AE204" s="1350"/>
      <c r="AF204" s="1315"/>
      <c r="AG204" s="1318"/>
      <c r="AH204" s="1315"/>
      <c r="AI204" s="1415" t="s">
        <v>1234</v>
      </c>
      <c r="AJ204" s="1416"/>
      <c r="AK204" s="1411">
        <f>AVERAGEIFS(AM33:AM42,AM33:AM42,"&lt;&gt;0",AM33:AM42,"&lt;&gt;#DIV/0!")</f>
        <v>2</v>
      </c>
      <c r="AL204" s="1411">
        <f>IF(E3="実施しない","N/A",AVERAGEIFS(AM33:AM42,AM33:AM42,"&lt;&gt;0",AM33:AM42,"&lt;&gt;#DIV/0!"))</f>
        <v>2</v>
      </c>
    </row>
    <row r="205" spans="1:40" hidden="1">
      <c r="Q205" s="1471"/>
      <c r="R205" s="1471"/>
      <c r="S205" s="1471"/>
      <c r="T205" s="1471"/>
      <c r="U205" s="1471"/>
      <c r="V205" s="1471"/>
      <c r="W205" s="1471"/>
      <c r="X205" s="1471"/>
      <c r="Y205" s="1471"/>
      <c r="Z205" s="1332" t="str">
        <f t="shared" si="112"/>
        <v>N.A.</v>
      </c>
      <c r="AB205" s="1414"/>
      <c r="AD205" s="1350"/>
      <c r="AE205" s="1350"/>
      <c r="AF205" s="1315"/>
      <c r="AG205" s="1318"/>
      <c r="AH205" s="1318"/>
      <c r="AI205" s="1415" t="s">
        <v>1235</v>
      </c>
      <c r="AJ205" s="1416"/>
      <c r="AK205" s="1411">
        <f>AVERAGEIFS(AM43:AM47,AM43:AM47,"&lt;&gt;0",AM43:AM47,"&lt;&gt;#DIV/0!")</f>
        <v>2</v>
      </c>
      <c r="AL205" s="1411">
        <f>IF(E3="実施しない","N/A",AVERAGEIFS(AM43:AM47,AM43:AM47,"&lt;&gt;0",AM43:AM47,"&lt;&gt;#DIV/0!"))</f>
        <v>2</v>
      </c>
    </row>
    <row r="206" spans="1:40" hidden="1">
      <c r="Q206" s="1471"/>
      <c r="R206" s="1471"/>
      <c r="S206" s="1471"/>
      <c r="T206" s="1471"/>
      <c r="U206" s="1471"/>
      <c r="V206" s="1471"/>
      <c r="W206" s="1471"/>
      <c r="X206" s="1471"/>
      <c r="Y206" s="1471"/>
      <c r="Z206" s="1332" t="str">
        <f t="shared" si="112"/>
        <v>N.A.</v>
      </c>
      <c r="AB206" s="1414"/>
      <c r="AD206" s="1350"/>
      <c r="AE206" s="1350"/>
      <c r="AF206" s="1315"/>
      <c r="AG206" s="1318"/>
      <c r="AH206" s="1315"/>
      <c r="AI206" s="1415" t="s">
        <v>1236</v>
      </c>
      <c r="AJ206" s="1416"/>
      <c r="AK206" s="1411">
        <f>AVERAGEIFS(AM48:AM55,AM48:AM55,"&lt;&gt;0",AM48:AM55,"&lt;&gt;#DIV/0!")</f>
        <v>1.7857142857142858</v>
      </c>
      <c r="AL206" s="1411">
        <f>IF(E3="実施しない","N/A",AVERAGEIFS(AM48:AM55,AM48:AM55,"&lt;&gt;0",AM48:AM55,"&lt;&gt;#DIV/0!"))</f>
        <v>1.7857142857142858</v>
      </c>
    </row>
    <row r="207" spans="1:40" hidden="1">
      <c r="Q207" s="1471"/>
      <c r="R207" s="1471"/>
      <c r="S207" s="1471"/>
      <c r="T207" s="1471"/>
      <c r="U207" s="1471"/>
      <c r="V207" s="1471"/>
      <c r="W207" s="1471"/>
      <c r="X207" s="1471"/>
      <c r="Y207" s="1471"/>
      <c r="Z207" s="1332" t="str">
        <f t="shared" si="112"/>
        <v>N.A.</v>
      </c>
      <c r="AB207" s="1414"/>
      <c r="AD207" s="1350"/>
      <c r="AE207" s="1350"/>
      <c r="AF207" s="1315"/>
      <c r="AG207" s="1318"/>
      <c r="AH207" s="1318"/>
      <c r="AI207" s="1415" t="s">
        <v>1237</v>
      </c>
      <c r="AJ207" s="1416"/>
      <c r="AK207" s="1411" t="e">
        <f>AVERAGEIFS(AM56:AM65,AM56:AM65,"&lt;&gt;0",AM56:AM65,"&lt;&gt;#DIV/0!")</f>
        <v>#VALUE!</v>
      </c>
      <c r="AL207" s="1411" t="e">
        <f>IF(E3="実施しない","N/A",AVERAGEIFS(AM56:AM65,AM56:AM65,"&lt;&gt;0",AM56:AM65,"&lt;&gt;#DIV/0!"))</f>
        <v>#VALUE!</v>
      </c>
    </row>
    <row r="208" spans="1:40" hidden="1">
      <c r="Q208" s="1471"/>
      <c r="R208" s="1471"/>
      <c r="S208" s="1471"/>
      <c r="T208" s="1471"/>
      <c r="U208" s="1471"/>
      <c r="V208" s="1471"/>
      <c r="W208" s="1471"/>
      <c r="X208" s="1471"/>
      <c r="Y208" s="1471"/>
      <c r="Z208" s="1332" t="str">
        <f t="shared" si="112"/>
        <v>N.A.</v>
      </c>
      <c r="AB208" s="1414"/>
      <c r="AD208" s="1350"/>
      <c r="AE208" s="1350"/>
      <c r="AF208" s="1315"/>
      <c r="AG208" s="1318"/>
      <c r="AH208" s="1315"/>
      <c r="AI208" s="1415" t="s">
        <v>1238</v>
      </c>
      <c r="AJ208" s="1416"/>
      <c r="AK208" s="1411">
        <f>AVERAGEIFS(AM66:AM87,AM66:AM87,"&lt;&gt;0",AM66:AM87,"&lt;&gt;#DIV/0!")</f>
        <v>2</v>
      </c>
      <c r="AL208" s="1411">
        <f>IF(E3="実施しない","N/A",AVERAGEIFS(AM66:AM87,AM66:AM87,"&lt;&gt;0",AM66:AM87,"&lt;&gt;#DIV/0!"))</f>
        <v>2</v>
      </c>
    </row>
    <row r="209" spans="17:38" hidden="1">
      <c r="Q209" s="1471"/>
      <c r="R209" s="1471"/>
      <c r="S209" s="1471"/>
      <c r="T209" s="1471"/>
      <c r="U209" s="1471"/>
      <c r="V209" s="1471"/>
      <c r="W209" s="1471"/>
      <c r="X209" s="1471"/>
      <c r="Y209" s="1471"/>
      <c r="Z209" s="1332" t="str">
        <f t="shared" si="112"/>
        <v>N.A.</v>
      </c>
      <c r="AB209" s="1414"/>
      <c r="AD209" s="1350"/>
      <c r="AE209" s="1350"/>
      <c r="AF209" s="1315"/>
      <c r="AG209" s="1318"/>
      <c r="AH209" s="1318"/>
      <c r="AI209" s="1415" t="s">
        <v>1239</v>
      </c>
      <c r="AJ209" s="1416"/>
      <c r="AK209" s="1411">
        <f>AVERAGEIFS(AM88:AM100,AM88:AM100,"&lt;&gt;0",AM88:AM100,"&lt;&gt;#DIV/0!")</f>
        <v>1.75</v>
      </c>
      <c r="AL209" s="1411">
        <f>IF(E3="実施しない","N/A",AVERAGEIFS(AM88:AM100,AM88:AM100,"&lt;&gt;0",AM88:AM100,"&lt;&gt;#DIV/0!"))</f>
        <v>1.75</v>
      </c>
    </row>
    <row r="210" spans="17:38" hidden="1">
      <c r="Q210" s="1471"/>
      <c r="R210" s="1471"/>
      <c r="S210" s="1471"/>
      <c r="T210" s="1471"/>
      <c r="U210" s="1471"/>
      <c r="V210" s="1471"/>
      <c r="W210" s="1471"/>
      <c r="X210" s="1471"/>
      <c r="Y210" s="1471"/>
      <c r="Z210" s="1332" t="str">
        <f t="shared" si="112"/>
        <v>N.A.</v>
      </c>
      <c r="AB210" s="1414"/>
      <c r="AD210" s="1350"/>
      <c r="AE210" s="1350"/>
      <c r="AF210" s="1315"/>
      <c r="AG210" s="1318"/>
      <c r="AH210" s="1315"/>
      <c r="AI210" s="1415" t="s">
        <v>1240</v>
      </c>
      <c r="AJ210" s="1416"/>
      <c r="AK210" s="1411">
        <f>AVERAGEIFS(AM102:AM137,AM102:AM137,"&lt;&gt;0",AM102:AM137,"&lt;&gt;#DIV/0!")</f>
        <v>1.8833333333333333</v>
      </c>
      <c r="AL210" s="1411">
        <f>IF(E3="実施しない","N/A",AVERAGEIFS(AM102:AM137,AM102:AM137,"&lt;&gt;0",AM102:AM137,"&lt;&gt;#DIV/0!"))</f>
        <v>1.8833333333333333</v>
      </c>
    </row>
    <row r="211" spans="17:38" hidden="1">
      <c r="Q211" s="1471"/>
      <c r="R211" s="1471"/>
      <c r="S211" s="1471"/>
      <c r="T211" s="1471"/>
      <c r="U211" s="1471"/>
      <c r="V211" s="1471"/>
      <c r="W211" s="1471"/>
      <c r="X211" s="1471"/>
      <c r="Y211" s="1471"/>
      <c r="Z211" s="1332" t="str">
        <f t="shared" si="112"/>
        <v>N.A.</v>
      </c>
      <c r="AB211" s="1414"/>
      <c r="AD211" s="1350"/>
      <c r="AE211" s="1350"/>
      <c r="AF211" s="1315"/>
      <c r="AG211" s="1318"/>
      <c r="AH211" s="1318"/>
      <c r="AI211" s="1415" t="s">
        <v>1241</v>
      </c>
      <c r="AJ211" s="1416"/>
      <c r="AK211" s="1411" t="e">
        <f>AVERAGEIFS(AM138:AM169,AM138:AM169,"&lt;&gt;0",AM138:AM169,"&lt;&gt;#DIV/0!")</f>
        <v>#VALUE!</v>
      </c>
      <c r="AL211" s="1411" t="e">
        <f>IF(E3="実施しない","N/A",AVERAGEIFS(AM138:AM169,AM138:AM169,"&lt;&gt;0",AM138:AM169,"&lt;&gt;#DIV/0!"))</f>
        <v>#VALUE!</v>
      </c>
    </row>
    <row r="212" spans="17:38" hidden="1">
      <c r="Q212" s="1471"/>
      <c r="R212" s="1471"/>
      <c r="S212" s="1471"/>
      <c r="T212" s="1471"/>
      <c r="U212" s="1471"/>
      <c r="V212" s="1471"/>
      <c r="W212" s="1471"/>
      <c r="X212" s="1471"/>
      <c r="Y212" s="1471"/>
      <c r="Z212" s="1332" t="str">
        <f t="shared" si="112"/>
        <v>N.A.</v>
      </c>
      <c r="AB212" s="1414"/>
      <c r="AD212" s="1350"/>
      <c r="AE212" s="1350"/>
      <c r="AF212" s="1315"/>
      <c r="AG212" s="1318"/>
      <c r="AH212" s="1315"/>
      <c r="AI212" s="1415" t="s">
        <v>1242</v>
      </c>
      <c r="AJ212" s="1416"/>
      <c r="AK212" s="1411" t="e">
        <f>AVERAGEIFS(AM170:AM183,AM170:AM183,"&lt;&gt;0",AM170:AM183,"&lt;&gt;#DIV/0!")</f>
        <v>#VALUE!</v>
      </c>
      <c r="AL212" s="1411" t="e">
        <f>IF(E3="実施しない","N/A",AVERAGEIFS(AM170:AM183,AM170:AM183,"&lt;&gt;0",AM170:AM183,"&lt;&gt;#DIV/0!"))</f>
        <v>#VALUE!</v>
      </c>
    </row>
    <row r="213" spans="17:38" hidden="1">
      <c r="Q213" s="1471"/>
      <c r="R213" s="1471"/>
      <c r="S213" s="1471"/>
      <c r="T213" s="1471"/>
      <c r="U213" s="1471"/>
      <c r="V213" s="1471"/>
      <c r="W213" s="1471"/>
      <c r="X213" s="1471"/>
      <c r="Y213" s="1471"/>
      <c r="Z213" s="1332" t="str">
        <f t="shared" si="112"/>
        <v>N.A.</v>
      </c>
      <c r="AB213" s="1414"/>
      <c r="AD213" s="1350"/>
      <c r="AE213" s="1350"/>
      <c r="AF213" s="1315"/>
      <c r="AG213" s="1318"/>
      <c r="AH213" s="1318"/>
      <c r="AI213" s="1415" t="s">
        <v>1243</v>
      </c>
      <c r="AJ213" s="1416"/>
      <c r="AK213" s="1411">
        <f>AVERAGEIFS(AM185:AM189,AM185:AM189,"&lt;&gt;0",AM185:AM189,"&lt;&gt;#DIV/0!")</f>
        <v>1.375</v>
      </c>
      <c r="AL213" s="1411">
        <f>IF(E3="実施しない","N/A",AVERAGEIFS(AM185:AM189,AM185:AM189,"&lt;&gt;0",AM185:AM189,"&lt;&gt;#DIV/0!"))</f>
        <v>1.375</v>
      </c>
    </row>
    <row r="214" spans="17:38" hidden="1">
      <c r="Q214" s="1471"/>
      <c r="R214" s="1471"/>
      <c r="S214" s="1471"/>
      <c r="T214" s="1471"/>
      <c r="U214" s="1471"/>
      <c r="V214" s="1471"/>
      <c r="W214" s="1471"/>
      <c r="X214" s="1471"/>
      <c r="Y214" s="1471"/>
      <c r="Z214" s="1332" t="str">
        <f t="shared" si="112"/>
        <v>N.A.</v>
      </c>
      <c r="AB214" s="1414"/>
      <c r="AD214" s="1350"/>
      <c r="AE214" s="1350"/>
      <c r="AF214" s="1315"/>
      <c r="AG214" s="1318"/>
      <c r="AH214" s="1315"/>
      <c r="AI214" s="1415" t="s">
        <v>1244</v>
      </c>
      <c r="AJ214" s="1416"/>
      <c r="AK214" s="1411">
        <f>AVERAGEIFS(AM191:AM197,AM191:AM197,"&lt;&gt;0",AM191:AM197,"&lt;&gt;#DIV/0!")</f>
        <v>2.1666666666666665</v>
      </c>
      <c r="AL214" s="1411">
        <f>IF(E3="実施しない","N/A",AVERAGEIFS(AM191:AM197,AM191:AM197,"&lt;&gt;0",AM191:AM197,"&lt;&gt;#DIV/0!"))</f>
        <v>2.1666666666666665</v>
      </c>
    </row>
    <row r="1191" spans="28:28" hidden="1">
      <c r="AB1191" s="1274">
        <v>3</v>
      </c>
    </row>
  </sheetData>
  <sheetProtection algorithmName="SHA-512" hashValue="8IxWHChuld2/SlDTfKEfafKGDHNIdcp0xxeIeY7EEbUy0i7RykQ8byzI5ZMiJPZ1hpDZIcsVgQj6Fmi3dEFfjg==" saltValue="B4E4lYWT3Nu48tmZy74Deg==" spinCount="100000" sheet="1" selectLockedCells="1"/>
  <mergeCells count="128">
    <mergeCell ref="C193:C194"/>
    <mergeCell ref="C174:C177"/>
    <mergeCell ref="E176:E177"/>
    <mergeCell ref="C178:C183"/>
    <mergeCell ref="C187:C188"/>
    <mergeCell ref="C191:C192"/>
    <mergeCell ref="C148:C153"/>
    <mergeCell ref="C154:C159"/>
    <mergeCell ref="C160:C163"/>
    <mergeCell ref="C164:C167"/>
    <mergeCell ref="C172:C173"/>
    <mergeCell ref="D176:D177"/>
    <mergeCell ref="C73:C78"/>
    <mergeCell ref="C125:C132"/>
    <mergeCell ref="E125:E127"/>
    <mergeCell ref="E128:E129"/>
    <mergeCell ref="C138:C145"/>
    <mergeCell ref="C146:C147"/>
    <mergeCell ref="C93:C98"/>
    <mergeCell ref="C102:C108"/>
    <mergeCell ref="E102:E107"/>
    <mergeCell ref="C111:C114"/>
    <mergeCell ref="C115:C120"/>
    <mergeCell ref="C79:C86"/>
    <mergeCell ref="C88:C89"/>
    <mergeCell ref="C90:C91"/>
    <mergeCell ref="D125:D127"/>
    <mergeCell ref="D102:D107"/>
    <mergeCell ref="D128:D129"/>
    <mergeCell ref="M176:M177"/>
    <mergeCell ref="N176:N177"/>
    <mergeCell ref="AI5:AJ6"/>
    <mergeCell ref="N125:N127"/>
    <mergeCell ref="L125:L127"/>
    <mergeCell ref="L5:L6"/>
    <mergeCell ref="L28:L29"/>
    <mergeCell ref="L128:L129"/>
    <mergeCell ref="N128:N129"/>
    <mergeCell ref="L176:L177"/>
    <mergeCell ref="Q5:Y5"/>
    <mergeCell ref="Z5:Z6"/>
    <mergeCell ref="N5:N6"/>
    <mergeCell ref="M5:M6"/>
    <mergeCell ref="C34:C39"/>
    <mergeCell ref="C40:C41"/>
    <mergeCell ref="C44:C45"/>
    <mergeCell ref="C50:C51"/>
    <mergeCell ref="C56:C58"/>
    <mergeCell ref="C67:C72"/>
    <mergeCell ref="F5:F6"/>
    <mergeCell ref="K5:K6"/>
    <mergeCell ref="G5:G6"/>
    <mergeCell ref="J5:J6"/>
    <mergeCell ref="H5:H6"/>
    <mergeCell ref="I5:I6"/>
    <mergeCell ref="AM5:AM6"/>
    <mergeCell ref="AB25:AB27"/>
    <mergeCell ref="N11:N12"/>
    <mergeCell ref="L25:L27"/>
    <mergeCell ref="N25:N27"/>
    <mergeCell ref="L102:L107"/>
    <mergeCell ref="M102:M107"/>
    <mergeCell ref="N102:N107"/>
    <mergeCell ref="AB28:AB29"/>
    <mergeCell ref="AB4:AB5"/>
    <mergeCell ref="N28:N29"/>
    <mergeCell ref="L11:L12"/>
    <mergeCell ref="M11:M12"/>
    <mergeCell ref="AD4:AG4"/>
    <mergeCell ref="AL5:AL6"/>
    <mergeCell ref="AK5:AK6"/>
    <mergeCell ref="B164:B167"/>
    <mergeCell ref="B172:B173"/>
    <mergeCell ref="B138:B145"/>
    <mergeCell ref="B115:B120"/>
    <mergeCell ref="B125:B132"/>
    <mergeCell ref="A138:A169"/>
    <mergeCell ref="A170:A183"/>
    <mergeCell ref="B193:B194"/>
    <mergeCell ref="A88:A100"/>
    <mergeCell ref="B187:B188"/>
    <mergeCell ref="A185:A189"/>
    <mergeCell ref="B191:B192"/>
    <mergeCell ref="A102:A137"/>
    <mergeCell ref="B111:B114"/>
    <mergeCell ref="A191:A197"/>
    <mergeCell ref="B102:B108"/>
    <mergeCell ref="B148:B153"/>
    <mergeCell ref="B174:B177"/>
    <mergeCell ref="B178:B183"/>
    <mergeCell ref="B146:B147"/>
    <mergeCell ref="B154:B159"/>
    <mergeCell ref="B160:B163"/>
    <mergeCell ref="B93:B98"/>
    <mergeCell ref="B79:B86"/>
    <mergeCell ref="B88:B89"/>
    <mergeCell ref="B50:B51"/>
    <mergeCell ref="B56:B58"/>
    <mergeCell ref="B67:B72"/>
    <mergeCell ref="A66:A87"/>
    <mergeCell ref="B44:B45"/>
    <mergeCell ref="B90:B91"/>
    <mergeCell ref="A33:A42"/>
    <mergeCell ref="A43:A47"/>
    <mergeCell ref="A48:A55"/>
    <mergeCell ref="A56:A65"/>
    <mergeCell ref="B73:B78"/>
    <mergeCell ref="B40:B41"/>
    <mergeCell ref="B34:B39"/>
    <mergeCell ref="A5:A6"/>
    <mergeCell ref="B5:E5"/>
    <mergeCell ref="B6:C6"/>
    <mergeCell ref="D6:E6"/>
    <mergeCell ref="A9:A32"/>
    <mergeCell ref="B9:B12"/>
    <mergeCell ref="D11:D12"/>
    <mergeCell ref="B13:B17"/>
    <mergeCell ref="D25:D27"/>
    <mergeCell ref="D28:D29"/>
    <mergeCell ref="B18:B20"/>
    <mergeCell ref="B25:B32"/>
    <mergeCell ref="C9:C12"/>
    <mergeCell ref="E11:E12"/>
    <mergeCell ref="C13:C17"/>
    <mergeCell ref="C18:C20"/>
    <mergeCell ref="C25:C32"/>
    <mergeCell ref="E25:E27"/>
    <mergeCell ref="E28:E29"/>
  </mergeCells>
  <phoneticPr fontId="181"/>
  <conditionalFormatting sqref="D9:N100">
    <cfRule type="expression" dxfId="10" priority="1">
      <formula>$N9="N.A."</formula>
    </cfRule>
  </conditionalFormatting>
  <conditionalFormatting sqref="F9:K197">
    <cfRule type="expression" dxfId="9" priority="2">
      <formula>$Z9="N.A."</formula>
    </cfRule>
  </conditionalFormatting>
  <dataValidations count="1">
    <dataValidation type="list" allowBlank="1" showInputMessage="1" showErrorMessage="1" sqref="E3" xr:uid="{00000000-0002-0000-1000-000000000000}">
      <formula1>$Q$2:$Q$3</formula1>
    </dataValidation>
  </dataValidations>
  <printOptions horizontalCentered="1"/>
  <pageMargins left="0.59055118110236227" right="0.59055118110236227" top="0.78740157480314965" bottom="0.59055118110236227" header="0.51181102362204722" footer="0.51181102362204722"/>
  <pageSetup paperSize="9" scale="39" fitToHeight="0" orientation="portrait" r:id="rId1"/>
  <rowBreaks count="5" manualBreakCount="5">
    <brk id="32" max="14" man="1"/>
    <brk id="66" max="14" man="1"/>
    <brk id="100" max="14" man="1"/>
    <brk id="137" max="14" man="1"/>
    <brk id="169" max="14" man="1"/>
  </rowBreaks>
  <colBreaks count="1" manualBreakCount="1">
    <brk id="15" max="1048575" man="1"/>
  </colBreaks>
  <drawing r:id="rId2"/>
  <legacyDrawing r:id="rId3"/>
  <mc:AlternateContent xmlns:mc="http://schemas.openxmlformats.org/markup-compatibility/2006">
    <mc:Choice Requires="x14">
      <controls>
        <mc:AlternateContent xmlns:mc="http://schemas.openxmlformats.org/markup-compatibility/2006">
          <mc:Choice Requires="x14">
            <control shapeId="59394" r:id="rId4" name="Check Box 2">
              <controlPr defaultSize="0" autoFill="0" autoLine="0" autoPict="0">
                <anchor moveWithCells="1">
                  <from>
                    <xdr:col>12</xdr:col>
                    <xdr:colOff>76200</xdr:colOff>
                    <xdr:row>8</xdr:row>
                    <xdr:rowOff>66675</xdr:rowOff>
                  </from>
                  <to>
                    <xdr:col>12</xdr:col>
                    <xdr:colOff>323850</xdr:colOff>
                    <xdr:row>8</xdr:row>
                    <xdr:rowOff>333375</xdr:rowOff>
                  </to>
                </anchor>
              </controlPr>
            </control>
          </mc:Choice>
        </mc:AlternateContent>
        <mc:AlternateContent xmlns:mc="http://schemas.openxmlformats.org/markup-compatibility/2006">
          <mc:Choice Requires="x14">
            <control shapeId="59395" r:id="rId5" name="Check Box 3">
              <controlPr defaultSize="0" autoFill="0" autoLine="0" autoPict="0">
                <anchor moveWithCells="1">
                  <from>
                    <xdr:col>12</xdr:col>
                    <xdr:colOff>76200</xdr:colOff>
                    <xdr:row>9</xdr:row>
                    <xdr:rowOff>66675</xdr:rowOff>
                  </from>
                  <to>
                    <xdr:col>12</xdr:col>
                    <xdr:colOff>323850</xdr:colOff>
                    <xdr:row>9</xdr:row>
                    <xdr:rowOff>333375</xdr:rowOff>
                  </to>
                </anchor>
              </controlPr>
            </control>
          </mc:Choice>
        </mc:AlternateContent>
        <mc:AlternateContent xmlns:mc="http://schemas.openxmlformats.org/markup-compatibility/2006">
          <mc:Choice Requires="x14">
            <control shapeId="59396" r:id="rId6" name="Check Box 4">
              <controlPr defaultSize="0" autoFill="0" autoLine="0" autoPict="0">
                <anchor moveWithCells="1">
                  <from>
                    <xdr:col>12</xdr:col>
                    <xdr:colOff>76200</xdr:colOff>
                    <xdr:row>10</xdr:row>
                    <xdr:rowOff>266700</xdr:rowOff>
                  </from>
                  <to>
                    <xdr:col>12</xdr:col>
                    <xdr:colOff>323850</xdr:colOff>
                    <xdr:row>11</xdr:row>
                    <xdr:rowOff>142875</xdr:rowOff>
                  </to>
                </anchor>
              </controlPr>
            </control>
          </mc:Choice>
        </mc:AlternateContent>
        <mc:AlternateContent xmlns:mc="http://schemas.openxmlformats.org/markup-compatibility/2006">
          <mc:Choice Requires="x14">
            <control shapeId="59397" r:id="rId7" name="Check Box 5">
              <controlPr defaultSize="0" autoFill="0" autoLine="0" autoPict="0">
                <anchor moveWithCells="1">
                  <from>
                    <xdr:col>12</xdr:col>
                    <xdr:colOff>76200</xdr:colOff>
                    <xdr:row>17</xdr:row>
                    <xdr:rowOff>85725</xdr:rowOff>
                  </from>
                  <to>
                    <xdr:col>12</xdr:col>
                    <xdr:colOff>323850</xdr:colOff>
                    <xdr:row>17</xdr:row>
                    <xdr:rowOff>352425</xdr:rowOff>
                  </to>
                </anchor>
              </controlPr>
            </control>
          </mc:Choice>
        </mc:AlternateContent>
        <mc:AlternateContent xmlns:mc="http://schemas.openxmlformats.org/markup-compatibility/2006">
          <mc:Choice Requires="x14">
            <control shapeId="59398" r:id="rId8" name="Check Box 6">
              <controlPr defaultSize="0" autoFill="0" autoLine="0" autoPict="0">
                <anchor moveWithCells="1">
                  <from>
                    <xdr:col>12</xdr:col>
                    <xdr:colOff>76200</xdr:colOff>
                    <xdr:row>18</xdr:row>
                    <xdr:rowOff>76200</xdr:rowOff>
                  </from>
                  <to>
                    <xdr:col>12</xdr:col>
                    <xdr:colOff>323850</xdr:colOff>
                    <xdr:row>18</xdr:row>
                    <xdr:rowOff>342900</xdr:rowOff>
                  </to>
                </anchor>
              </controlPr>
            </control>
          </mc:Choice>
        </mc:AlternateContent>
        <mc:AlternateContent xmlns:mc="http://schemas.openxmlformats.org/markup-compatibility/2006">
          <mc:Choice Requires="x14">
            <control shapeId="59399" r:id="rId9" name="Check Box 7">
              <controlPr defaultSize="0" autoFill="0" autoLine="0" autoPict="0">
                <anchor moveWithCells="1">
                  <from>
                    <xdr:col>12</xdr:col>
                    <xdr:colOff>76200</xdr:colOff>
                    <xdr:row>19</xdr:row>
                    <xdr:rowOff>66675</xdr:rowOff>
                  </from>
                  <to>
                    <xdr:col>12</xdr:col>
                    <xdr:colOff>323850</xdr:colOff>
                    <xdr:row>19</xdr:row>
                    <xdr:rowOff>333375</xdr:rowOff>
                  </to>
                </anchor>
              </controlPr>
            </control>
          </mc:Choice>
        </mc:AlternateContent>
        <mc:AlternateContent xmlns:mc="http://schemas.openxmlformats.org/markup-compatibility/2006">
          <mc:Choice Requires="x14">
            <control shapeId="59405" r:id="rId10" name="Check Box 13">
              <controlPr defaultSize="0" autoFill="0" autoLine="0" autoPict="0">
                <anchor moveWithCells="1">
                  <from>
                    <xdr:col>12</xdr:col>
                    <xdr:colOff>76200</xdr:colOff>
                    <xdr:row>20</xdr:row>
                    <xdr:rowOff>66675</xdr:rowOff>
                  </from>
                  <to>
                    <xdr:col>12</xdr:col>
                    <xdr:colOff>323850</xdr:colOff>
                    <xdr:row>20</xdr:row>
                    <xdr:rowOff>333375</xdr:rowOff>
                  </to>
                </anchor>
              </controlPr>
            </control>
          </mc:Choice>
        </mc:AlternateContent>
        <mc:AlternateContent xmlns:mc="http://schemas.openxmlformats.org/markup-compatibility/2006">
          <mc:Choice Requires="x14">
            <control shapeId="59406" r:id="rId11" name="Check Box 14">
              <controlPr defaultSize="0" autoFill="0" autoLine="0" autoPict="0">
                <anchor moveWithCells="1">
                  <from>
                    <xdr:col>12</xdr:col>
                    <xdr:colOff>76200</xdr:colOff>
                    <xdr:row>21</xdr:row>
                    <xdr:rowOff>504825</xdr:rowOff>
                  </from>
                  <to>
                    <xdr:col>12</xdr:col>
                    <xdr:colOff>323850</xdr:colOff>
                    <xdr:row>21</xdr:row>
                    <xdr:rowOff>771525</xdr:rowOff>
                  </to>
                </anchor>
              </controlPr>
            </control>
          </mc:Choice>
        </mc:AlternateContent>
        <mc:AlternateContent xmlns:mc="http://schemas.openxmlformats.org/markup-compatibility/2006">
          <mc:Choice Requires="x14">
            <control shapeId="59407" r:id="rId12" name="Check Box 15">
              <controlPr defaultSize="0" autoFill="0" autoLine="0" autoPict="0">
                <anchor moveWithCells="1">
                  <from>
                    <xdr:col>12</xdr:col>
                    <xdr:colOff>76200</xdr:colOff>
                    <xdr:row>22</xdr:row>
                    <xdr:rowOff>66675</xdr:rowOff>
                  </from>
                  <to>
                    <xdr:col>12</xdr:col>
                    <xdr:colOff>323850</xdr:colOff>
                    <xdr:row>22</xdr:row>
                    <xdr:rowOff>333375</xdr:rowOff>
                  </to>
                </anchor>
              </controlPr>
            </control>
          </mc:Choice>
        </mc:AlternateContent>
        <mc:AlternateContent xmlns:mc="http://schemas.openxmlformats.org/markup-compatibility/2006">
          <mc:Choice Requires="x14">
            <control shapeId="59408" r:id="rId13" name="Check Box 16">
              <controlPr defaultSize="0" autoFill="0" autoLine="0" autoPict="0">
                <anchor moveWithCells="1">
                  <from>
                    <xdr:col>12</xdr:col>
                    <xdr:colOff>76200</xdr:colOff>
                    <xdr:row>23</xdr:row>
                    <xdr:rowOff>400050</xdr:rowOff>
                  </from>
                  <to>
                    <xdr:col>12</xdr:col>
                    <xdr:colOff>323850</xdr:colOff>
                    <xdr:row>23</xdr:row>
                    <xdr:rowOff>666750</xdr:rowOff>
                  </to>
                </anchor>
              </controlPr>
            </control>
          </mc:Choice>
        </mc:AlternateContent>
        <mc:AlternateContent xmlns:mc="http://schemas.openxmlformats.org/markup-compatibility/2006">
          <mc:Choice Requires="x14">
            <control shapeId="59409" r:id="rId14" name="Check Box 17">
              <controlPr defaultSize="0" autoFill="0" autoLine="0" autoPict="0">
                <anchor moveWithCells="1">
                  <from>
                    <xdr:col>12</xdr:col>
                    <xdr:colOff>76200</xdr:colOff>
                    <xdr:row>25</xdr:row>
                    <xdr:rowOff>76200</xdr:rowOff>
                  </from>
                  <to>
                    <xdr:col>12</xdr:col>
                    <xdr:colOff>323850</xdr:colOff>
                    <xdr:row>25</xdr:row>
                    <xdr:rowOff>342900</xdr:rowOff>
                  </to>
                </anchor>
              </controlPr>
            </control>
          </mc:Choice>
        </mc:AlternateContent>
        <mc:AlternateContent xmlns:mc="http://schemas.openxmlformats.org/markup-compatibility/2006">
          <mc:Choice Requires="x14">
            <control shapeId="59410" r:id="rId15" name="Check Box 18">
              <controlPr defaultSize="0" autoFill="0" autoLine="0" autoPict="0">
                <anchor moveWithCells="1">
                  <from>
                    <xdr:col>12</xdr:col>
                    <xdr:colOff>76200</xdr:colOff>
                    <xdr:row>27</xdr:row>
                    <xdr:rowOff>276225</xdr:rowOff>
                  </from>
                  <to>
                    <xdr:col>12</xdr:col>
                    <xdr:colOff>323850</xdr:colOff>
                    <xdr:row>28</xdr:row>
                    <xdr:rowOff>161925</xdr:rowOff>
                  </to>
                </anchor>
              </controlPr>
            </control>
          </mc:Choice>
        </mc:AlternateContent>
        <mc:AlternateContent xmlns:mc="http://schemas.openxmlformats.org/markup-compatibility/2006">
          <mc:Choice Requires="x14">
            <control shapeId="59411" r:id="rId16" name="Check Box 19">
              <controlPr defaultSize="0" autoFill="0" autoLine="0" autoPict="0">
                <anchor moveWithCells="1">
                  <from>
                    <xdr:col>12</xdr:col>
                    <xdr:colOff>76200</xdr:colOff>
                    <xdr:row>29</xdr:row>
                    <xdr:rowOff>66675</xdr:rowOff>
                  </from>
                  <to>
                    <xdr:col>12</xdr:col>
                    <xdr:colOff>323850</xdr:colOff>
                    <xdr:row>29</xdr:row>
                    <xdr:rowOff>333375</xdr:rowOff>
                  </to>
                </anchor>
              </controlPr>
            </control>
          </mc:Choice>
        </mc:AlternateContent>
        <mc:AlternateContent xmlns:mc="http://schemas.openxmlformats.org/markup-compatibility/2006">
          <mc:Choice Requires="x14">
            <control shapeId="59412" r:id="rId17" name="Check Box 20">
              <controlPr defaultSize="0" autoFill="0" autoLine="0" autoPict="0">
                <anchor moveWithCells="1">
                  <from>
                    <xdr:col>12</xdr:col>
                    <xdr:colOff>76200</xdr:colOff>
                    <xdr:row>30</xdr:row>
                    <xdr:rowOff>66675</xdr:rowOff>
                  </from>
                  <to>
                    <xdr:col>12</xdr:col>
                    <xdr:colOff>323850</xdr:colOff>
                    <xdr:row>30</xdr:row>
                    <xdr:rowOff>333375</xdr:rowOff>
                  </to>
                </anchor>
              </controlPr>
            </control>
          </mc:Choice>
        </mc:AlternateContent>
        <mc:AlternateContent xmlns:mc="http://schemas.openxmlformats.org/markup-compatibility/2006">
          <mc:Choice Requires="x14">
            <control shapeId="59413" r:id="rId18" name="Check Box 21">
              <controlPr defaultSize="0" autoFill="0" autoLine="0" autoPict="0">
                <anchor moveWithCells="1">
                  <from>
                    <xdr:col>12</xdr:col>
                    <xdr:colOff>76200</xdr:colOff>
                    <xdr:row>31</xdr:row>
                    <xdr:rowOff>85725</xdr:rowOff>
                  </from>
                  <to>
                    <xdr:col>12</xdr:col>
                    <xdr:colOff>323850</xdr:colOff>
                    <xdr:row>31</xdr:row>
                    <xdr:rowOff>352425</xdr:rowOff>
                  </to>
                </anchor>
              </controlPr>
            </control>
          </mc:Choice>
        </mc:AlternateContent>
        <mc:AlternateContent xmlns:mc="http://schemas.openxmlformats.org/markup-compatibility/2006">
          <mc:Choice Requires="x14">
            <control shapeId="59414" r:id="rId19" name="Check Box 22">
              <controlPr defaultSize="0" autoFill="0" autoLine="0" autoPict="0">
                <anchor moveWithCells="1">
                  <from>
                    <xdr:col>12</xdr:col>
                    <xdr:colOff>76200</xdr:colOff>
                    <xdr:row>32</xdr:row>
                    <xdr:rowOff>561975</xdr:rowOff>
                  </from>
                  <to>
                    <xdr:col>12</xdr:col>
                    <xdr:colOff>323850</xdr:colOff>
                    <xdr:row>32</xdr:row>
                    <xdr:rowOff>828675</xdr:rowOff>
                  </to>
                </anchor>
              </controlPr>
            </control>
          </mc:Choice>
        </mc:AlternateContent>
        <mc:AlternateContent xmlns:mc="http://schemas.openxmlformats.org/markup-compatibility/2006">
          <mc:Choice Requires="x14">
            <control shapeId="59415" r:id="rId20" name="Check Box 23">
              <controlPr defaultSize="0" autoFill="0" autoLine="0" autoPict="0">
                <anchor moveWithCells="1">
                  <from>
                    <xdr:col>12</xdr:col>
                    <xdr:colOff>76200</xdr:colOff>
                    <xdr:row>33</xdr:row>
                    <xdr:rowOff>19050</xdr:rowOff>
                  </from>
                  <to>
                    <xdr:col>12</xdr:col>
                    <xdr:colOff>323850</xdr:colOff>
                    <xdr:row>33</xdr:row>
                    <xdr:rowOff>285750</xdr:rowOff>
                  </to>
                </anchor>
              </controlPr>
            </control>
          </mc:Choice>
        </mc:AlternateContent>
        <mc:AlternateContent xmlns:mc="http://schemas.openxmlformats.org/markup-compatibility/2006">
          <mc:Choice Requires="x14">
            <control shapeId="59416" r:id="rId21" name="Check Box 24">
              <controlPr defaultSize="0" autoFill="0" autoLine="0" autoPict="0">
                <anchor moveWithCells="1">
                  <from>
                    <xdr:col>12</xdr:col>
                    <xdr:colOff>76200</xdr:colOff>
                    <xdr:row>34</xdr:row>
                    <xdr:rowOff>19050</xdr:rowOff>
                  </from>
                  <to>
                    <xdr:col>12</xdr:col>
                    <xdr:colOff>323850</xdr:colOff>
                    <xdr:row>34</xdr:row>
                    <xdr:rowOff>285750</xdr:rowOff>
                  </to>
                </anchor>
              </controlPr>
            </control>
          </mc:Choice>
        </mc:AlternateContent>
        <mc:AlternateContent xmlns:mc="http://schemas.openxmlformats.org/markup-compatibility/2006">
          <mc:Choice Requires="x14">
            <control shapeId="59417" r:id="rId22" name="Check Box 25">
              <controlPr defaultSize="0" autoFill="0" autoLine="0" autoPict="0">
                <anchor moveWithCells="1">
                  <from>
                    <xdr:col>12</xdr:col>
                    <xdr:colOff>76200</xdr:colOff>
                    <xdr:row>35</xdr:row>
                    <xdr:rowOff>19050</xdr:rowOff>
                  </from>
                  <to>
                    <xdr:col>12</xdr:col>
                    <xdr:colOff>323850</xdr:colOff>
                    <xdr:row>35</xdr:row>
                    <xdr:rowOff>285750</xdr:rowOff>
                  </to>
                </anchor>
              </controlPr>
            </control>
          </mc:Choice>
        </mc:AlternateContent>
        <mc:AlternateContent xmlns:mc="http://schemas.openxmlformats.org/markup-compatibility/2006">
          <mc:Choice Requires="x14">
            <control shapeId="59418" r:id="rId23" name="Check Box 26">
              <controlPr defaultSize="0" autoFill="0" autoLine="0" autoPict="0">
                <anchor moveWithCells="1">
                  <from>
                    <xdr:col>12</xdr:col>
                    <xdr:colOff>76200</xdr:colOff>
                    <xdr:row>36</xdr:row>
                    <xdr:rowOff>38100</xdr:rowOff>
                  </from>
                  <to>
                    <xdr:col>12</xdr:col>
                    <xdr:colOff>323850</xdr:colOff>
                    <xdr:row>36</xdr:row>
                    <xdr:rowOff>304800</xdr:rowOff>
                  </to>
                </anchor>
              </controlPr>
            </control>
          </mc:Choice>
        </mc:AlternateContent>
        <mc:AlternateContent xmlns:mc="http://schemas.openxmlformats.org/markup-compatibility/2006">
          <mc:Choice Requires="x14">
            <control shapeId="59419" r:id="rId24" name="Check Box 27">
              <controlPr defaultSize="0" autoFill="0" autoLine="0" autoPict="0">
                <anchor moveWithCells="1">
                  <from>
                    <xdr:col>12</xdr:col>
                    <xdr:colOff>76200</xdr:colOff>
                    <xdr:row>37</xdr:row>
                    <xdr:rowOff>38100</xdr:rowOff>
                  </from>
                  <to>
                    <xdr:col>12</xdr:col>
                    <xdr:colOff>323850</xdr:colOff>
                    <xdr:row>37</xdr:row>
                    <xdr:rowOff>304800</xdr:rowOff>
                  </to>
                </anchor>
              </controlPr>
            </control>
          </mc:Choice>
        </mc:AlternateContent>
        <mc:AlternateContent xmlns:mc="http://schemas.openxmlformats.org/markup-compatibility/2006">
          <mc:Choice Requires="x14">
            <control shapeId="59420" r:id="rId25" name="Check Box 28">
              <controlPr defaultSize="0" autoFill="0" autoLine="0" autoPict="0">
                <anchor moveWithCells="1">
                  <from>
                    <xdr:col>12</xdr:col>
                    <xdr:colOff>76200</xdr:colOff>
                    <xdr:row>38</xdr:row>
                    <xdr:rowOff>38100</xdr:rowOff>
                  </from>
                  <to>
                    <xdr:col>12</xdr:col>
                    <xdr:colOff>323850</xdr:colOff>
                    <xdr:row>38</xdr:row>
                    <xdr:rowOff>304800</xdr:rowOff>
                  </to>
                </anchor>
              </controlPr>
            </control>
          </mc:Choice>
        </mc:AlternateContent>
        <mc:AlternateContent xmlns:mc="http://schemas.openxmlformats.org/markup-compatibility/2006">
          <mc:Choice Requires="x14">
            <control shapeId="59421" r:id="rId26" name="Check Box 29">
              <controlPr defaultSize="0" autoFill="0" autoLine="0" autoPict="0">
                <anchor moveWithCells="1">
                  <from>
                    <xdr:col>12</xdr:col>
                    <xdr:colOff>76200</xdr:colOff>
                    <xdr:row>39</xdr:row>
                    <xdr:rowOff>152400</xdr:rowOff>
                  </from>
                  <to>
                    <xdr:col>12</xdr:col>
                    <xdr:colOff>323850</xdr:colOff>
                    <xdr:row>39</xdr:row>
                    <xdr:rowOff>419100</xdr:rowOff>
                  </to>
                </anchor>
              </controlPr>
            </control>
          </mc:Choice>
        </mc:AlternateContent>
        <mc:AlternateContent xmlns:mc="http://schemas.openxmlformats.org/markup-compatibility/2006">
          <mc:Choice Requires="x14">
            <control shapeId="59422" r:id="rId27" name="Check Box 30">
              <controlPr defaultSize="0" autoFill="0" autoLine="0" autoPict="0">
                <anchor moveWithCells="1">
                  <from>
                    <xdr:col>12</xdr:col>
                    <xdr:colOff>76200</xdr:colOff>
                    <xdr:row>40</xdr:row>
                    <xdr:rowOff>828675</xdr:rowOff>
                  </from>
                  <to>
                    <xdr:col>12</xdr:col>
                    <xdr:colOff>323850</xdr:colOff>
                    <xdr:row>40</xdr:row>
                    <xdr:rowOff>1095375</xdr:rowOff>
                  </to>
                </anchor>
              </controlPr>
            </control>
          </mc:Choice>
        </mc:AlternateContent>
        <mc:AlternateContent xmlns:mc="http://schemas.openxmlformats.org/markup-compatibility/2006">
          <mc:Choice Requires="x14">
            <control shapeId="59424" r:id="rId28" name="Check Box 32">
              <controlPr defaultSize="0" autoFill="0" autoLine="0" autoPict="0">
                <anchor moveWithCells="1">
                  <from>
                    <xdr:col>12</xdr:col>
                    <xdr:colOff>76200</xdr:colOff>
                    <xdr:row>41</xdr:row>
                    <xdr:rowOff>600075</xdr:rowOff>
                  </from>
                  <to>
                    <xdr:col>12</xdr:col>
                    <xdr:colOff>323850</xdr:colOff>
                    <xdr:row>41</xdr:row>
                    <xdr:rowOff>866775</xdr:rowOff>
                  </to>
                </anchor>
              </controlPr>
            </control>
          </mc:Choice>
        </mc:AlternateContent>
        <mc:AlternateContent xmlns:mc="http://schemas.openxmlformats.org/markup-compatibility/2006">
          <mc:Choice Requires="x14">
            <control shapeId="59426" r:id="rId29" name="Check Box 34">
              <controlPr defaultSize="0" autoFill="0" autoLine="0" autoPict="0">
                <anchor moveWithCells="1">
                  <from>
                    <xdr:col>12</xdr:col>
                    <xdr:colOff>76200</xdr:colOff>
                    <xdr:row>41</xdr:row>
                    <xdr:rowOff>1485900</xdr:rowOff>
                  </from>
                  <to>
                    <xdr:col>12</xdr:col>
                    <xdr:colOff>323850</xdr:colOff>
                    <xdr:row>42</xdr:row>
                    <xdr:rowOff>247650</xdr:rowOff>
                  </to>
                </anchor>
              </controlPr>
            </control>
          </mc:Choice>
        </mc:AlternateContent>
        <mc:AlternateContent xmlns:mc="http://schemas.openxmlformats.org/markup-compatibility/2006">
          <mc:Choice Requires="x14">
            <control shapeId="59428" r:id="rId30" name="Check Box 36">
              <controlPr defaultSize="0" autoFill="0" autoLine="0" autoPict="0">
                <anchor moveWithCells="1">
                  <from>
                    <xdr:col>12</xdr:col>
                    <xdr:colOff>76200</xdr:colOff>
                    <xdr:row>43</xdr:row>
                    <xdr:rowOff>381000</xdr:rowOff>
                  </from>
                  <to>
                    <xdr:col>12</xdr:col>
                    <xdr:colOff>323850</xdr:colOff>
                    <xdr:row>43</xdr:row>
                    <xdr:rowOff>647700</xdr:rowOff>
                  </to>
                </anchor>
              </controlPr>
            </control>
          </mc:Choice>
        </mc:AlternateContent>
        <mc:AlternateContent xmlns:mc="http://schemas.openxmlformats.org/markup-compatibility/2006">
          <mc:Choice Requires="x14">
            <control shapeId="59429" r:id="rId31" name="Check Box 37">
              <controlPr defaultSize="0" autoFill="0" autoLine="0" autoPict="0">
                <anchor moveWithCells="1">
                  <from>
                    <xdr:col>12</xdr:col>
                    <xdr:colOff>76200</xdr:colOff>
                    <xdr:row>46</xdr:row>
                    <xdr:rowOff>171450</xdr:rowOff>
                  </from>
                  <to>
                    <xdr:col>12</xdr:col>
                    <xdr:colOff>323850</xdr:colOff>
                    <xdr:row>46</xdr:row>
                    <xdr:rowOff>438150</xdr:rowOff>
                  </to>
                </anchor>
              </controlPr>
            </control>
          </mc:Choice>
        </mc:AlternateContent>
        <mc:AlternateContent xmlns:mc="http://schemas.openxmlformats.org/markup-compatibility/2006">
          <mc:Choice Requires="x14">
            <control shapeId="59431" r:id="rId32" name="Check Box 39">
              <controlPr defaultSize="0" autoFill="0" autoLine="0" autoPict="0">
                <anchor moveWithCells="1">
                  <from>
                    <xdr:col>12</xdr:col>
                    <xdr:colOff>76200</xdr:colOff>
                    <xdr:row>47</xdr:row>
                    <xdr:rowOff>28575</xdr:rowOff>
                  </from>
                  <to>
                    <xdr:col>12</xdr:col>
                    <xdr:colOff>323850</xdr:colOff>
                    <xdr:row>47</xdr:row>
                    <xdr:rowOff>295275</xdr:rowOff>
                  </to>
                </anchor>
              </controlPr>
            </control>
          </mc:Choice>
        </mc:AlternateContent>
        <mc:AlternateContent xmlns:mc="http://schemas.openxmlformats.org/markup-compatibility/2006">
          <mc:Choice Requires="x14">
            <control shapeId="59432" r:id="rId33" name="Check Box 40">
              <controlPr defaultSize="0" autoFill="0" autoLine="0" autoPict="0">
                <anchor moveWithCells="1">
                  <from>
                    <xdr:col>12</xdr:col>
                    <xdr:colOff>76200</xdr:colOff>
                    <xdr:row>48</xdr:row>
                    <xdr:rowOff>19050</xdr:rowOff>
                  </from>
                  <to>
                    <xdr:col>12</xdr:col>
                    <xdr:colOff>323850</xdr:colOff>
                    <xdr:row>48</xdr:row>
                    <xdr:rowOff>285750</xdr:rowOff>
                  </to>
                </anchor>
              </controlPr>
            </control>
          </mc:Choice>
        </mc:AlternateContent>
        <mc:AlternateContent xmlns:mc="http://schemas.openxmlformats.org/markup-compatibility/2006">
          <mc:Choice Requires="x14">
            <control shapeId="59434" r:id="rId34" name="Check Box 42">
              <controlPr defaultSize="0" autoFill="0" autoLine="0" autoPict="0">
                <anchor moveWithCells="1">
                  <from>
                    <xdr:col>12</xdr:col>
                    <xdr:colOff>76200</xdr:colOff>
                    <xdr:row>49</xdr:row>
                    <xdr:rowOff>38100</xdr:rowOff>
                  </from>
                  <to>
                    <xdr:col>12</xdr:col>
                    <xdr:colOff>323850</xdr:colOff>
                    <xdr:row>49</xdr:row>
                    <xdr:rowOff>304800</xdr:rowOff>
                  </to>
                </anchor>
              </controlPr>
            </control>
          </mc:Choice>
        </mc:AlternateContent>
        <mc:AlternateContent xmlns:mc="http://schemas.openxmlformats.org/markup-compatibility/2006">
          <mc:Choice Requires="x14">
            <control shapeId="59436" r:id="rId35" name="Check Box 44">
              <controlPr defaultSize="0" autoFill="0" autoLine="0" autoPict="0">
                <anchor moveWithCells="1">
                  <from>
                    <xdr:col>12</xdr:col>
                    <xdr:colOff>76200</xdr:colOff>
                    <xdr:row>52</xdr:row>
                    <xdr:rowOff>47625</xdr:rowOff>
                  </from>
                  <to>
                    <xdr:col>12</xdr:col>
                    <xdr:colOff>323850</xdr:colOff>
                    <xdr:row>52</xdr:row>
                    <xdr:rowOff>314325</xdr:rowOff>
                  </to>
                </anchor>
              </controlPr>
            </control>
          </mc:Choice>
        </mc:AlternateContent>
        <mc:AlternateContent xmlns:mc="http://schemas.openxmlformats.org/markup-compatibility/2006">
          <mc:Choice Requires="x14">
            <control shapeId="59437" r:id="rId36" name="Check Box 45">
              <controlPr defaultSize="0" autoFill="0" autoLine="0" autoPict="0">
                <anchor moveWithCells="1">
                  <from>
                    <xdr:col>12</xdr:col>
                    <xdr:colOff>76200</xdr:colOff>
                    <xdr:row>53</xdr:row>
                    <xdr:rowOff>104775</xdr:rowOff>
                  </from>
                  <to>
                    <xdr:col>12</xdr:col>
                    <xdr:colOff>323850</xdr:colOff>
                    <xdr:row>53</xdr:row>
                    <xdr:rowOff>371475</xdr:rowOff>
                  </to>
                </anchor>
              </controlPr>
            </control>
          </mc:Choice>
        </mc:AlternateContent>
        <mc:AlternateContent xmlns:mc="http://schemas.openxmlformats.org/markup-compatibility/2006">
          <mc:Choice Requires="x14">
            <control shapeId="59438" r:id="rId37" name="Check Box 46">
              <controlPr defaultSize="0" autoFill="0" autoLine="0" autoPict="0">
                <anchor moveWithCells="1">
                  <from>
                    <xdr:col>12</xdr:col>
                    <xdr:colOff>76200</xdr:colOff>
                    <xdr:row>54</xdr:row>
                    <xdr:rowOff>85725</xdr:rowOff>
                  </from>
                  <to>
                    <xdr:col>12</xdr:col>
                    <xdr:colOff>323850</xdr:colOff>
                    <xdr:row>54</xdr:row>
                    <xdr:rowOff>352425</xdr:rowOff>
                  </to>
                </anchor>
              </controlPr>
            </control>
          </mc:Choice>
        </mc:AlternateContent>
        <mc:AlternateContent xmlns:mc="http://schemas.openxmlformats.org/markup-compatibility/2006">
          <mc:Choice Requires="x14">
            <control shapeId="59439" r:id="rId38" name="Check Box 47">
              <controlPr defaultSize="0" autoFill="0" autoLine="0" autoPict="0">
                <anchor moveWithCells="1">
                  <from>
                    <xdr:col>12</xdr:col>
                    <xdr:colOff>76200</xdr:colOff>
                    <xdr:row>55</xdr:row>
                    <xdr:rowOff>28575</xdr:rowOff>
                  </from>
                  <to>
                    <xdr:col>12</xdr:col>
                    <xdr:colOff>323850</xdr:colOff>
                    <xdr:row>55</xdr:row>
                    <xdr:rowOff>295275</xdr:rowOff>
                  </to>
                </anchor>
              </controlPr>
            </control>
          </mc:Choice>
        </mc:AlternateContent>
        <mc:AlternateContent xmlns:mc="http://schemas.openxmlformats.org/markup-compatibility/2006">
          <mc:Choice Requires="x14">
            <control shapeId="59440" r:id="rId39" name="Check Box 48">
              <controlPr defaultSize="0" autoFill="0" autoLine="0" autoPict="0">
                <anchor moveWithCells="1">
                  <from>
                    <xdr:col>12</xdr:col>
                    <xdr:colOff>76200</xdr:colOff>
                    <xdr:row>56</xdr:row>
                    <xdr:rowOff>76200</xdr:rowOff>
                  </from>
                  <to>
                    <xdr:col>12</xdr:col>
                    <xdr:colOff>323850</xdr:colOff>
                    <xdr:row>56</xdr:row>
                    <xdr:rowOff>342900</xdr:rowOff>
                  </to>
                </anchor>
              </controlPr>
            </control>
          </mc:Choice>
        </mc:AlternateContent>
        <mc:AlternateContent xmlns:mc="http://schemas.openxmlformats.org/markup-compatibility/2006">
          <mc:Choice Requires="x14">
            <control shapeId="59441" r:id="rId40" name="Check Box 49">
              <controlPr defaultSize="0" autoFill="0" autoLine="0" autoPict="0">
                <anchor moveWithCells="1">
                  <from>
                    <xdr:col>12</xdr:col>
                    <xdr:colOff>76200</xdr:colOff>
                    <xdr:row>57</xdr:row>
                    <xdr:rowOff>38100</xdr:rowOff>
                  </from>
                  <to>
                    <xdr:col>12</xdr:col>
                    <xdr:colOff>323850</xdr:colOff>
                    <xdr:row>57</xdr:row>
                    <xdr:rowOff>304800</xdr:rowOff>
                  </to>
                </anchor>
              </controlPr>
            </control>
          </mc:Choice>
        </mc:AlternateContent>
        <mc:AlternateContent xmlns:mc="http://schemas.openxmlformats.org/markup-compatibility/2006">
          <mc:Choice Requires="x14">
            <control shapeId="59442" r:id="rId41" name="Check Box 50">
              <controlPr defaultSize="0" autoFill="0" autoLine="0" autoPict="0">
                <anchor moveWithCells="1">
                  <from>
                    <xdr:col>12</xdr:col>
                    <xdr:colOff>76200</xdr:colOff>
                    <xdr:row>58</xdr:row>
                    <xdr:rowOff>495300</xdr:rowOff>
                  </from>
                  <to>
                    <xdr:col>12</xdr:col>
                    <xdr:colOff>323850</xdr:colOff>
                    <xdr:row>58</xdr:row>
                    <xdr:rowOff>762000</xdr:rowOff>
                  </to>
                </anchor>
              </controlPr>
            </control>
          </mc:Choice>
        </mc:AlternateContent>
        <mc:AlternateContent xmlns:mc="http://schemas.openxmlformats.org/markup-compatibility/2006">
          <mc:Choice Requires="x14">
            <control shapeId="59443" r:id="rId42" name="Check Box 51">
              <controlPr defaultSize="0" autoFill="0" autoLine="0" autoPict="0">
                <anchor moveWithCells="1">
                  <from>
                    <xdr:col>12</xdr:col>
                    <xdr:colOff>76200</xdr:colOff>
                    <xdr:row>59</xdr:row>
                    <xdr:rowOff>123825</xdr:rowOff>
                  </from>
                  <to>
                    <xdr:col>12</xdr:col>
                    <xdr:colOff>323850</xdr:colOff>
                    <xdr:row>59</xdr:row>
                    <xdr:rowOff>390525</xdr:rowOff>
                  </to>
                </anchor>
              </controlPr>
            </control>
          </mc:Choice>
        </mc:AlternateContent>
        <mc:AlternateContent xmlns:mc="http://schemas.openxmlformats.org/markup-compatibility/2006">
          <mc:Choice Requires="x14">
            <control shapeId="59444" r:id="rId43" name="Check Box 52">
              <controlPr defaultSize="0" autoFill="0" autoLine="0" autoPict="0">
                <anchor moveWithCells="1">
                  <from>
                    <xdr:col>12</xdr:col>
                    <xdr:colOff>76200</xdr:colOff>
                    <xdr:row>60</xdr:row>
                    <xdr:rowOff>485775</xdr:rowOff>
                  </from>
                  <to>
                    <xdr:col>12</xdr:col>
                    <xdr:colOff>323850</xdr:colOff>
                    <xdr:row>60</xdr:row>
                    <xdr:rowOff>752475</xdr:rowOff>
                  </to>
                </anchor>
              </controlPr>
            </control>
          </mc:Choice>
        </mc:AlternateContent>
        <mc:AlternateContent xmlns:mc="http://schemas.openxmlformats.org/markup-compatibility/2006">
          <mc:Choice Requires="x14">
            <control shapeId="59445" r:id="rId44" name="Check Box 53">
              <controlPr defaultSize="0" autoFill="0" autoLine="0" autoPict="0">
                <anchor moveWithCells="1">
                  <from>
                    <xdr:col>12</xdr:col>
                    <xdr:colOff>76200</xdr:colOff>
                    <xdr:row>61</xdr:row>
                    <xdr:rowOff>47625</xdr:rowOff>
                  </from>
                  <to>
                    <xdr:col>12</xdr:col>
                    <xdr:colOff>323850</xdr:colOff>
                    <xdr:row>61</xdr:row>
                    <xdr:rowOff>314325</xdr:rowOff>
                  </to>
                </anchor>
              </controlPr>
            </control>
          </mc:Choice>
        </mc:AlternateContent>
        <mc:AlternateContent xmlns:mc="http://schemas.openxmlformats.org/markup-compatibility/2006">
          <mc:Choice Requires="x14">
            <control shapeId="59446" r:id="rId45" name="Check Box 54">
              <controlPr defaultSize="0" autoFill="0" autoLine="0" autoPict="0">
                <anchor moveWithCells="1">
                  <from>
                    <xdr:col>12</xdr:col>
                    <xdr:colOff>76200</xdr:colOff>
                    <xdr:row>62</xdr:row>
                    <xdr:rowOff>57150</xdr:rowOff>
                  </from>
                  <to>
                    <xdr:col>12</xdr:col>
                    <xdr:colOff>323850</xdr:colOff>
                    <xdr:row>62</xdr:row>
                    <xdr:rowOff>323850</xdr:rowOff>
                  </to>
                </anchor>
              </controlPr>
            </control>
          </mc:Choice>
        </mc:AlternateContent>
        <mc:AlternateContent xmlns:mc="http://schemas.openxmlformats.org/markup-compatibility/2006">
          <mc:Choice Requires="x14">
            <control shapeId="59447" r:id="rId46" name="Check Box 55">
              <controlPr defaultSize="0" autoFill="0" autoLine="0" autoPict="0">
                <anchor moveWithCells="1">
                  <from>
                    <xdr:col>12</xdr:col>
                    <xdr:colOff>76200</xdr:colOff>
                    <xdr:row>64</xdr:row>
                    <xdr:rowOff>238125</xdr:rowOff>
                  </from>
                  <to>
                    <xdr:col>12</xdr:col>
                    <xdr:colOff>323850</xdr:colOff>
                    <xdr:row>64</xdr:row>
                    <xdr:rowOff>504825</xdr:rowOff>
                  </to>
                </anchor>
              </controlPr>
            </control>
          </mc:Choice>
        </mc:AlternateContent>
        <mc:AlternateContent xmlns:mc="http://schemas.openxmlformats.org/markup-compatibility/2006">
          <mc:Choice Requires="x14">
            <control shapeId="59448" r:id="rId47" name="Check Box 56">
              <controlPr defaultSize="0" autoFill="0" autoLine="0" autoPict="0">
                <anchor moveWithCells="1">
                  <from>
                    <xdr:col>12</xdr:col>
                    <xdr:colOff>76200</xdr:colOff>
                    <xdr:row>66</xdr:row>
                    <xdr:rowOff>57150</xdr:rowOff>
                  </from>
                  <to>
                    <xdr:col>12</xdr:col>
                    <xdr:colOff>323850</xdr:colOff>
                    <xdr:row>66</xdr:row>
                    <xdr:rowOff>323850</xdr:rowOff>
                  </to>
                </anchor>
              </controlPr>
            </control>
          </mc:Choice>
        </mc:AlternateContent>
        <mc:AlternateContent xmlns:mc="http://schemas.openxmlformats.org/markup-compatibility/2006">
          <mc:Choice Requires="x14">
            <control shapeId="59449" r:id="rId48" name="Check Box 57">
              <controlPr defaultSize="0" autoFill="0" autoLine="0" autoPict="0">
                <anchor moveWithCells="1">
                  <from>
                    <xdr:col>12</xdr:col>
                    <xdr:colOff>76200</xdr:colOff>
                    <xdr:row>67</xdr:row>
                    <xdr:rowOff>47625</xdr:rowOff>
                  </from>
                  <to>
                    <xdr:col>12</xdr:col>
                    <xdr:colOff>323850</xdr:colOff>
                    <xdr:row>67</xdr:row>
                    <xdr:rowOff>314325</xdr:rowOff>
                  </to>
                </anchor>
              </controlPr>
            </control>
          </mc:Choice>
        </mc:AlternateContent>
        <mc:AlternateContent xmlns:mc="http://schemas.openxmlformats.org/markup-compatibility/2006">
          <mc:Choice Requires="x14">
            <control shapeId="59450" r:id="rId49" name="Check Box 58">
              <controlPr defaultSize="0" autoFill="0" autoLine="0" autoPict="0">
                <anchor moveWithCells="1">
                  <from>
                    <xdr:col>12</xdr:col>
                    <xdr:colOff>76200</xdr:colOff>
                    <xdr:row>68</xdr:row>
                    <xdr:rowOff>57150</xdr:rowOff>
                  </from>
                  <to>
                    <xdr:col>12</xdr:col>
                    <xdr:colOff>323850</xdr:colOff>
                    <xdr:row>68</xdr:row>
                    <xdr:rowOff>323850</xdr:rowOff>
                  </to>
                </anchor>
              </controlPr>
            </control>
          </mc:Choice>
        </mc:AlternateContent>
        <mc:AlternateContent xmlns:mc="http://schemas.openxmlformats.org/markup-compatibility/2006">
          <mc:Choice Requires="x14">
            <control shapeId="59451" r:id="rId50" name="Check Box 59">
              <controlPr defaultSize="0" autoFill="0" autoLine="0" autoPict="0">
                <anchor moveWithCells="1">
                  <from>
                    <xdr:col>12</xdr:col>
                    <xdr:colOff>76200</xdr:colOff>
                    <xdr:row>69</xdr:row>
                    <xdr:rowOff>57150</xdr:rowOff>
                  </from>
                  <to>
                    <xdr:col>12</xdr:col>
                    <xdr:colOff>323850</xdr:colOff>
                    <xdr:row>69</xdr:row>
                    <xdr:rowOff>323850</xdr:rowOff>
                  </to>
                </anchor>
              </controlPr>
            </control>
          </mc:Choice>
        </mc:AlternateContent>
        <mc:AlternateContent xmlns:mc="http://schemas.openxmlformats.org/markup-compatibility/2006">
          <mc:Choice Requires="x14">
            <control shapeId="59452" r:id="rId51" name="Check Box 60">
              <controlPr defaultSize="0" autoFill="0" autoLine="0" autoPict="0">
                <anchor moveWithCells="1">
                  <from>
                    <xdr:col>12</xdr:col>
                    <xdr:colOff>76200</xdr:colOff>
                    <xdr:row>70</xdr:row>
                    <xdr:rowOff>57150</xdr:rowOff>
                  </from>
                  <to>
                    <xdr:col>12</xdr:col>
                    <xdr:colOff>323850</xdr:colOff>
                    <xdr:row>70</xdr:row>
                    <xdr:rowOff>323850</xdr:rowOff>
                  </to>
                </anchor>
              </controlPr>
            </control>
          </mc:Choice>
        </mc:AlternateContent>
        <mc:AlternateContent xmlns:mc="http://schemas.openxmlformats.org/markup-compatibility/2006">
          <mc:Choice Requires="x14">
            <control shapeId="59453" r:id="rId52" name="Check Box 61">
              <controlPr defaultSize="0" autoFill="0" autoLine="0" autoPict="0">
                <anchor moveWithCells="1">
                  <from>
                    <xdr:col>12</xdr:col>
                    <xdr:colOff>76200</xdr:colOff>
                    <xdr:row>71</xdr:row>
                    <xdr:rowOff>57150</xdr:rowOff>
                  </from>
                  <to>
                    <xdr:col>12</xdr:col>
                    <xdr:colOff>323850</xdr:colOff>
                    <xdr:row>71</xdr:row>
                    <xdr:rowOff>323850</xdr:rowOff>
                  </to>
                </anchor>
              </controlPr>
            </control>
          </mc:Choice>
        </mc:AlternateContent>
        <mc:AlternateContent xmlns:mc="http://schemas.openxmlformats.org/markup-compatibility/2006">
          <mc:Choice Requires="x14">
            <control shapeId="59455" r:id="rId53" name="Check Box 63">
              <controlPr defaultSize="0" autoFill="0" autoLine="0" autoPict="0">
                <anchor moveWithCells="1">
                  <from>
                    <xdr:col>12</xdr:col>
                    <xdr:colOff>76200</xdr:colOff>
                    <xdr:row>72</xdr:row>
                    <xdr:rowOff>47625</xdr:rowOff>
                  </from>
                  <to>
                    <xdr:col>12</xdr:col>
                    <xdr:colOff>323850</xdr:colOff>
                    <xdr:row>72</xdr:row>
                    <xdr:rowOff>314325</xdr:rowOff>
                  </to>
                </anchor>
              </controlPr>
            </control>
          </mc:Choice>
        </mc:AlternateContent>
        <mc:AlternateContent xmlns:mc="http://schemas.openxmlformats.org/markup-compatibility/2006">
          <mc:Choice Requires="x14">
            <control shapeId="59456" r:id="rId54" name="Check Box 64">
              <controlPr defaultSize="0" autoFill="0" autoLine="0" autoPict="0">
                <anchor moveWithCells="1">
                  <from>
                    <xdr:col>12</xdr:col>
                    <xdr:colOff>76200</xdr:colOff>
                    <xdr:row>73</xdr:row>
                    <xdr:rowOff>47625</xdr:rowOff>
                  </from>
                  <to>
                    <xdr:col>12</xdr:col>
                    <xdr:colOff>323850</xdr:colOff>
                    <xdr:row>73</xdr:row>
                    <xdr:rowOff>314325</xdr:rowOff>
                  </to>
                </anchor>
              </controlPr>
            </control>
          </mc:Choice>
        </mc:AlternateContent>
        <mc:AlternateContent xmlns:mc="http://schemas.openxmlformats.org/markup-compatibility/2006">
          <mc:Choice Requires="x14">
            <control shapeId="59457" r:id="rId55" name="Check Box 65">
              <controlPr defaultSize="0" autoFill="0" autoLine="0" autoPict="0">
                <anchor moveWithCells="1">
                  <from>
                    <xdr:col>12</xdr:col>
                    <xdr:colOff>76200</xdr:colOff>
                    <xdr:row>74</xdr:row>
                    <xdr:rowOff>57150</xdr:rowOff>
                  </from>
                  <to>
                    <xdr:col>12</xdr:col>
                    <xdr:colOff>323850</xdr:colOff>
                    <xdr:row>74</xdr:row>
                    <xdr:rowOff>323850</xdr:rowOff>
                  </to>
                </anchor>
              </controlPr>
            </control>
          </mc:Choice>
        </mc:AlternateContent>
        <mc:AlternateContent xmlns:mc="http://schemas.openxmlformats.org/markup-compatibility/2006">
          <mc:Choice Requires="x14">
            <control shapeId="59458" r:id="rId56" name="Check Box 66">
              <controlPr defaultSize="0" autoFill="0" autoLine="0" autoPict="0">
                <anchor moveWithCells="1">
                  <from>
                    <xdr:col>12</xdr:col>
                    <xdr:colOff>76200</xdr:colOff>
                    <xdr:row>75</xdr:row>
                    <xdr:rowOff>47625</xdr:rowOff>
                  </from>
                  <to>
                    <xdr:col>12</xdr:col>
                    <xdr:colOff>323850</xdr:colOff>
                    <xdr:row>75</xdr:row>
                    <xdr:rowOff>314325</xdr:rowOff>
                  </to>
                </anchor>
              </controlPr>
            </control>
          </mc:Choice>
        </mc:AlternateContent>
        <mc:AlternateContent xmlns:mc="http://schemas.openxmlformats.org/markup-compatibility/2006">
          <mc:Choice Requires="x14">
            <control shapeId="59459" r:id="rId57" name="Check Box 67">
              <controlPr defaultSize="0" autoFill="0" autoLine="0" autoPict="0">
                <anchor moveWithCells="1">
                  <from>
                    <xdr:col>12</xdr:col>
                    <xdr:colOff>76200</xdr:colOff>
                    <xdr:row>76</xdr:row>
                    <xdr:rowOff>57150</xdr:rowOff>
                  </from>
                  <to>
                    <xdr:col>12</xdr:col>
                    <xdr:colOff>323850</xdr:colOff>
                    <xdr:row>76</xdr:row>
                    <xdr:rowOff>323850</xdr:rowOff>
                  </to>
                </anchor>
              </controlPr>
            </control>
          </mc:Choice>
        </mc:AlternateContent>
        <mc:AlternateContent xmlns:mc="http://schemas.openxmlformats.org/markup-compatibility/2006">
          <mc:Choice Requires="x14">
            <control shapeId="59460" r:id="rId58" name="Check Box 68">
              <controlPr defaultSize="0" autoFill="0" autoLine="0" autoPict="0">
                <anchor moveWithCells="1">
                  <from>
                    <xdr:col>12</xdr:col>
                    <xdr:colOff>76200</xdr:colOff>
                    <xdr:row>77</xdr:row>
                    <xdr:rowOff>57150</xdr:rowOff>
                  </from>
                  <to>
                    <xdr:col>12</xdr:col>
                    <xdr:colOff>323850</xdr:colOff>
                    <xdr:row>77</xdr:row>
                    <xdr:rowOff>323850</xdr:rowOff>
                  </to>
                </anchor>
              </controlPr>
            </control>
          </mc:Choice>
        </mc:AlternateContent>
        <mc:AlternateContent xmlns:mc="http://schemas.openxmlformats.org/markup-compatibility/2006">
          <mc:Choice Requires="x14">
            <control shapeId="59461" r:id="rId59" name="Check Box 69">
              <controlPr defaultSize="0" autoFill="0" autoLine="0" autoPict="0">
                <anchor moveWithCells="1">
                  <from>
                    <xdr:col>12</xdr:col>
                    <xdr:colOff>76200</xdr:colOff>
                    <xdr:row>78</xdr:row>
                    <xdr:rowOff>57150</xdr:rowOff>
                  </from>
                  <to>
                    <xdr:col>12</xdr:col>
                    <xdr:colOff>323850</xdr:colOff>
                    <xdr:row>78</xdr:row>
                    <xdr:rowOff>323850</xdr:rowOff>
                  </to>
                </anchor>
              </controlPr>
            </control>
          </mc:Choice>
        </mc:AlternateContent>
        <mc:AlternateContent xmlns:mc="http://schemas.openxmlformats.org/markup-compatibility/2006">
          <mc:Choice Requires="x14">
            <control shapeId="59462" r:id="rId60" name="Check Box 70">
              <controlPr defaultSize="0" autoFill="0" autoLine="0" autoPict="0">
                <anchor moveWithCells="1">
                  <from>
                    <xdr:col>12</xdr:col>
                    <xdr:colOff>76200</xdr:colOff>
                    <xdr:row>79</xdr:row>
                    <xdr:rowOff>66675</xdr:rowOff>
                  </from>
                  <to>
                    <xdr:col>12</xdr:col>
                    <xdr:colOff>323850</xdr:colOff>
                    <xdr:row>79</xdr:row>
                    <xdr:rowOff>333375</xdr:rowOff>
                  </to>
                </anchor>
              </controlPr>
            </control>
          </mc:Choice>
        </mc:AlternateContent>
        <mc:AlternateContent xmlns:mc="http://schemas.openxmlformats.org/markup-compatibility/2006">
          <mc:Choice Requires="x14">
            <control shapeId="59463" r:id="rId61" name="Check Box 71">
              <controlPr defaultSize="0" autoFill="0" autoLine="0" autoPict="0">
                <anchor moveWithCells="1">
                  <from>
                    <xdr:col>12</xdr:col>
                    <xdr:colOff>76200</xdr:colOff>
                    <xdr:row>80</xdr:row>
                    <xdr:rowOff>47625</xdr:rowOff>
                  </from>
                  <to>
                    <xdr:col>12</xdr:col>
                    <xdr:colOff>323850</xdr:colOff>
                    <xdr:row>80</xdr:row>
                    <xdr:rowOff>314325</xdr:rowOff>
                  </to>
                </anchor>
              </controlPr>
            </control>
          </mc:Choice>
        </mc:AlternateContent>
        <mc:AlternateContent xmlns:mc="http://schemas.openxmlformats.org/markup-compatibility/2006">
          <mc:Choice Requires="x14">
            <control shapeId="59464" r:id="rId62" name="Check Box 72">
              <controlPr defaultSize="0" autoFill="0" autoLine="0" autoPict="0">
                <anchor moveWithCells="1">
                  <from>
                    <xdr:col>12</xdr:col>
                    <xdr:colOff>76200</xdr:colOff>
                    <xdr:row>84</xdr:row>
                    <xdr:rowOff>295275</xdr:rowOff>
                  </from>
                  <to>
                    <xdr:col>12</xdr:col>
                    <xdr:colOff>323850</xdr:colOff>
                    <xdr:row>84</xdr:row>
                    <xdr:rowOff>561975</xdr:rowOff>
                  </to>
                </anchor>
              </controlPr>
            </control>
          </mc:Choice>
        </mc:AlternateContent>
        <mc:AlternateContent xmlns:mc="http://schemas.openxmlformats.org/markup-compatibility/2006">
          <mc:Choice Requires="x14">
            <control shapeId="59465" r:id="rId63" name="Check Box 73">
              <controlPr defaultSize="0" autoFill="0" autoLine="0" autoPict="0">
                <anchor moveWithCells="1">
                  <from>
                    <xdr:col>12</xdr:col>
                    <xdr:colOff>76200</xdr:colOff>
                    <xdr:row>85</xdr:row>
                    <xdr:rowOff>152400</xdr:rowOff>
                  </from>
                  <to>
                    <xdr:col>12</xdr:col>
                    <xdr:colOff>323850</xdr:colOff>
                    <xdr:row>85</xdr:row>
                    <xdr:rowOff>419100</xdr:rowOff>
                  </to>
                </anchor>
              </controlPr>
            </control>
          </mc:Choice>
        </mc:AlternateContent>
        <mc:AlternateContent xmlns:mc="http://schemas.openxmlformats.org/markup-compatibility/2006">
          <mc:Choice Requires="x14">
            <control shapeId="59466" r:id="rId64" name="Check Box 74">
              <controlPr defaultSize="0" autoFill="0" autoLine="0" autoPict="0">
                <anchor moveWithCells="1">
                  <from>
                    <xdr:col>12</xdr:col>
                    <xdr:colOff>76200</xdr:colOff>
                    <xdr:row>86</xdr:row>
                    <xdr:rowOff>38100</xdr:rowOff>
                  </from>
                  <to>
                    <xdr:col>12</xdr:col>
                    <xdr:colOff>323850</xdr:colOff>
                    <xdr:row>86</xdr:row>
                    <xdr:rowOff>304800</xdr:rowOff>
                  </to>
                </anchor>
              </controlPr>
            </control>
          </mc:Choice>
        </mc:AlternateContent>
        <mc:AlternateContent xmlns:mc="http://schemas.openxmlformats.org/markup-compatibility/2006">
          <mc:Choice Requires="x14">
            <control shapeId="59467" r:id="rId65" name="Check Box 75">
              <controlPr defaultSize="0" autoFill="0" autoLine="0" autoPict="0">
                <anchor moveWithCells="1">
                  <from>
                    <xdr:col>12</xdr:col>
                    <xdr:colOff>76200</xdr:colOff>
                    <xdr:row>87</xdr:row>
                    <xdr:rowOff>476250</xdr:rowOff>
                  </from>
                  <to>
                    <xdr:col>12</xdr:col>
                    <xdr:colOff>323850</xdr:colOff>
                    <xdr:row>87</xdr:row>
                    <xdr:rowOff>742950</xdr:rowOff>
                  </to>
                </anchor>
              </controlPr>
            </control>
          </mc:Choice>
        </mc:AlternateContent>
        <mc:AlternateContent xmlns:mc="http://schemas.openxmlformats.org/markup-compatibility/2006">
          <mc:Choice Requires="x14">
            <control shapeId="59468" r:id="rId66" name="Check Box 76">
              <controlPr defaultSize="0" autoFill="0" autoLine="0" autoPict="0">
                <anchor moveWithCells="1">
                  <from>
                    <xdr:col>12</xdr:col>
                    <xdr:colOff>76200</xdr:colOff>
                    <xdr:row>88</xdr:row>
                    <xdr:rowOff>381000</xdr:rowOff>
                  </from>
                  <to>
                    <xdr:col>12</xdr:col>
                    <xdr:colOff>323850</xdr:colOff>
                    <xdr:row>88</xdr:row>
                    <xdr:rowOff>647700</xdr:rowOff>
                  </to>
                </anchor>
              </controlPr>
            </control>
          </mc:Choice>
        </mc:AlternateContent>
        <mc:AlternateContent xmlns:mc="http://schemas.openxmlformats.org/markup-compatibility/2006">
          <mc:Choice Requires="x14">
            <control shapeId="59469" r:id="rId67" name="Check Box 77">
              <controlPr defaultSize="0" autoFill="0" autoLine="0" autoPict="0">
                <anchor moveWithCells="1">
                  <from>
                    <xdr:col>12</xdr:col>
                    <xdr:colOff>76200</xdr:colOff>
                    <xdr:row>89</xdr:row>
                    <xdr:rowOff>57150</xdr:rowOff>
                  </from>
                  <to>
                    <xdr:col>12</xdr:col>
                    <xdr:colOff>323850</xdr:colOff>
                    <xdr:row>89</xdr:row>
                    <xdr:rowOff>323850</xdr:rowOff>
                  </to>
                </anchor>
              </controlPr>
            </control>
          </mc:Choice>
        </mc:AlternateContent>
        <mc:AlternateContent xmlns:mc="http://schemas.openxmlformats.org/markup-compatibility/2006">
          <mc:Choice Requires="x14">
            <control shapeId="59471" r:id="rId68" name="Check Box 79">
              <controlPr defaultSize="0" autoFill="0" autoLine="0" autoPict="0">
                <anchor moveWithCells="1">
                  <from>
                    <xdr:col>12</xdr:col>
                    <xdr:colOff>76200</xdr:colOff>
                    <xdr:row>92</xdr:row>
                    <xdr:rowOff>38100</xdr:rowOff>
                  </from>
                  <to>
                    <xdr:col>12</xdr:col>
                    <xdr:colOff>323850</xdr:colOff>
                    <xdr:row>92</xdr:row>
                    <xdr:rowOff>304800</xdr:rowOff>
                  </to>
                </anchor>
              </controlPr>
            </control>
          </mc:Choice>
        </mc:AlternateContent>
        <mc:AlternateContent xmlns:mc="http://schemas.openxmlformats.org/markup-compatibility/2006">
          <mc:Choice Requires="x14">
            <control shapeId="59472" r:id="rId69" name="Check Box 80">
              <controlPr defaultSize="0" autoFill="0" autoLine="0" autoPict="0">
                <anchor moveWithCells="1">
                  <from>
                    <xdr:col>12</xdr:col>
                    <xdr:colOff>76200</xdr:colOff>
                    <xdr:row>93</xdr:row>
                    <xdr:rowOff>47625</xdr:rowOff>
                  </from>
                  <to>
                    <xdr:col>12</xdr:col>
                    <xdr:colOff>323850</xdr:colOff>
                    <xdr:row>93</xdr:row>
                    <xdr:rowOff>314325</xdr:rowOff>
                  </to>
                </anchor>
              </controlPr>
            </control>
          </mc:Choice>
        </mc:AlternateContent>
        <mc:AlternateContent xmlns:mc="http://schemas.openxmlformats.org/markup-compatibility/2006">
          <mc:Choice Requires="x14">
            <control shapeId="59473" r:id="rId70" name="Check Box 81">
              <controlPr defaultSize="0" autoFill="0" autoLine="0" autoPict="0">
                <anchor moveWithCells="1">
                  <from>
                    <xdr:col>12</xdr:col>
                    <xdr:colOff>76200</xdr:colOff>
                    <xdr:row>94</xdr:row>
                    <xdr:rowOff>38100</xdr:rowOff>
                  </from>
                  <to>
                    <xdr:col>12</xdr:col>
                    <xdr:colOff>323850</xdr:colOff>
                    <xdr:row>94</xdr:row>
                    <xdr:rowOff>304800</xdr:rowOff>
                  </to>
                </anchor>
              </controlPr>
            </control>
          </mc:Choice>
        </mc:AlternateContent>
        <mc:AlternateContent xmlns:mc="http://schemas.openxmlformats.org/markup-compatibility/2006">
          <mc:Choice Requires="x14">
            <control shapeId="59474" r:id="rId71" name="Check Box 82">
              <controlPr defaultSize="0" autoFill="0" autoLine="0" autoPict="0">
                <anchor moveWithCells="1">
                  <from>
                    <xdr:col>12</xdr:col>
                    <xdr:colOff>76200</xdr:colOff>
                    <xdr:row>95</xdr:row>
                    <xdr:rowOff>57150</xdr:rowOff>
                  </from>
                  <to>
                    <xdr:col>12</xdr:col>
                    <xdr:colOff>323850</xdr:colOff>
                    <xdr:row>95</xdr:row>
                    <xdr:rowOff>323850</xdr:rowOff>
                  </to>
                </anchor>
              </controlPr>
            </control>
          </mc:Choice>
        </mc:AlternateContent>
        <mc:AlternateContent xmlns:mc="http://schemas.openxmlformats.org/markup-compatibility/2006">
          <mc:Choice Requires="x14">
            <control shapeId="59475" r:id="rId72" name="Check Box 83">
              <controlPr defaultSize="0" autoFill="0" autoLine="0" autoPict="0">
                <anchor moveWithCells="1">
                  <from>
                    <xdr:col>12</xdr:col>
                    <xdr:colOff>76200</xdr:colOff>
                    <xdr:row>96</xdr:row>
                    <xdr:rowOff>57150</xdr:rowOff>
                  </from>
                  <to>
                    <xdr:col>12</xdr:col>
                    <xdr:colOff>323850</xdr:colOff>
                    <xdr:row>96</xdr:row>
                    <xdr:rowOff>323850</xdr:rowOff>
                  </to>
                </anchor>
              </controlPr>
            </control>
          </mc:Choice>
        </mc:AlternateContent>
        <mc:AlternateContent xmlns:mc="http://schemas.openxmlformats.org/markup-compatibility/2006">
          <mc:Choice Requires="x14">
            <control shapeId="59476" r:id="rId73" name="Check Box 84">
              <controlPr defaultSize="0" autoFill="0" autoLine="0" autoPict="0">
                <anchor moveWithCells="1">
                  <from>
                    <xdr:col>12</xdr:col>
                    <xdr:colOff>76200</xdr:colOff>
                    <xdr:row>97</xdr:row>
                    <xdr:rowOff>57150</xdr:rowOff>
                  </from>
                  <to>
                    <xdr:col>12</xdr:col>
                    <xdr:colOff>323850</xdr:colOff>
                    <xdr:row>97</xdr:row>
                    <xdr:rowOff>323850</xdr:rowOff>
                  </to>
                </anchor>
              </controlPr>
            </control>
          </mc:Choice>
        </mc:AlternateContent>
        <mc:AlternateContent xmlns:mc="http://schemas.openxmlformats.org/markup-compatibility/2006">
          <mc:Choice Requires="x14">
            <control shapeId="59477" r:id="rId74" name="Check Box 85">
              <controlPr defaultSize="0" autoFill="0" autoLine="0" autoPict="0">
                <anchor moveWithCells="1">
                  <from>
                    <xdr:col>12</xdr:col>
                    <xdr:colOff>76200</xdr:colOff>
                    <xdr:row>98</xdr:row>
                    <xdr:rowOff>295275</xdr:rowOff>
                  </from>
                  <to>
                    <xdr:col>12</xdr:col>
                    <xdr:colOff>323850</xdr:colOff>
                    <xdr:row>98</xdr:row>
                    <xdr:rowOff>561975</xdr:rowOff>
                  </to>
                </anchor>
              </controlPr>
            </control>
          </mc:Choice>
        </mc:AlternateContent>
        <mc:AlternateContent xmlns:mc="http://schemas.openxmlformats.org/markup-compatibility/2006">
          <mc:Choice Requires="x14">
            <control shapeId="59478" r:id="rId75" name="Check Box 86">
              <controlPr defaultSize="0" autoFill="0" autoLine="0" autoPict="0">
                <anchor moveWithCells="1">
                  <from>
                    <xdr:col>12</xdr:col>
                    <xdr:colOff>76200</xdr:colOff>
                    <xdr:row>99</xdr:row>
                    <xdr:rowOff>476250</xdr:rowOff>
                  </from>
                  <to>
                    <xdr:col>12</xdr:col>
                    <xdr:colOff>323850</xdr:colOff>
                    <xdr:row>99</xdr:row>
                    <xdr:rowOff>742950</xdr:rowOff>
                  </to>
                </anchor>
              </controlPr>
            </control>
          </mc:Choice>
        </mc:AlternateContent>
        <mc:AlternateContent xmlns:mc="http://schemas.openxmlformats.org/markup-compatibility/2006">
          <mc:Choice Requires="x14">
            <control shapeId="59479" r:id="rId76" name="Check Box 87">
              <controlPr defaultSize="0" autoFill="0" autoLine="0" autoPict="0">
                <anchor moveWithCells="1">
                  <from>
                    <xdr:col>12</xdr:col>
                    <xdr:colOff>76200</xdr:colOff>
                    <xdr:row>103</xdr:row>
                    <xdr:rowOff>247650</xdr:rowOff>
                  </from>
                  <to>
                    <xdr:col>12</xdr:col>
                    <xdr:colOff>323850</xdr:colOff>
                    <xdr:row>104</xdr:row>
                    <xdr:rowOff>133350</xdr:rowOff>
                  </to>
                </anchor>
              </controlPr>
            </control>
          </mc:Choice>
        </mc:AlternateContent>
        <mc:AlternateContent xmlns:mc="http://schemas.openxmlformats.org/markup-compatibility/2006">
          <mc:Choice Requires="x14">
            <control shapeId="59480" r:id="rId77" name="Check Box 88">
              <controlPr defaultSize="0" autoFill="0" autoLine="0" autoPict="0">
                <anchor moveWithCells="1">
                  <from>
                    <xdr:col>12</xdr:col>
                    <xdr:colOff>76200</xdr:colOff>
                    <xdr:row>108</xdr:row>
                    <xdr:rowOff>57150</xdr:rowOff>
                  </from>
                  <to>
                    <xdr:col>12</xdr:col>
                    <xdr:colOff>323850</xdr:colOff>
                    <xdr:row>108</xdr:row>
                    <xdr:rowOff>323850</xdr:rowOff>
                  </to>
                </anchor>
              </controlPr>
            </control>
          </mc:Choice>
        </mc:AlternateContent>
        <mc:AlternateContent xmlns:mc="http://schemas.openxmlformats.org/markup-compatibility/2006">
          <mc:Choice Requires="x14">
            <control shapeId="59481" r:id="rId78" name="Check Box 89">
              <controlPr defaultSize="0" autoFill="0" autoLine="0" autoPict="0">
                <anchor moveWithCells="1">
                  <from>
                    <xdr:col>12</xdr:col>
                    <xdr:colOff>76200</xdr:colOff>
                    <xdr:row>109</xdr:row>
                    <xdr:rowOff>38100</xdr:rowOff>
                  </from>
                  <to>
                    <xdr:col>12</xdr:col>
                    <xdr:colOff>323850</xdr:colOff>
                    <xdr:row>109</xdr:row>
                    <xdr:rowOff>304800</xdr:rowOff>
                  </to>
                </anchor>
              </controlPr>
            </control>
          </mc:Choice>
        </mc:AlternateContent>
        <mc:AlternateContent xmlns:mc="http://schemas.openxmlformats.org/markup-compatibility/2006">
          <mc:Choice Requires="x14">
            <control shapeId="59482" r:id="rId79" name="Check Box 90">
              <controlPr defaultSize="0" autoFill="0" autoLine="0" autoPict="0">
                <anchor moveWithCells="1">
                  <from>
                    <xdr:col>12</xdr:col>
                    <xdr:colOff>76200</xdr:colOff>
                    <xdr:row>110</xdr:row>
                    <xdr:rowOff>47625</xdr:rowOff>
                  </from>
                  <to>
                    <xdr:col>12</xdr:col>
                    <xdr:colOff>323850</xdr:colOff>
                    <xdr:row>110</xdr:row>
                    <xdr:rowOff>314325</xdr:rowOff>
                  </to>
                </anchor>
              </controlPr>
            </control>
          </mc:Choice>
        </mc:AlternateContent>
        <mc:AlternateContent xmlns:mc="http://schemas.openxmlformats.org/markup-compatibility/2006">
          <mc:Choice Requires="x14">
            <control shapeId="59483" r:id="rId80" name="Check Box 91">
              <controlPr defaultSize="0" autoFill="0" autoLine="0" autoPict="0">
                <anchor moveWithCells="1">
                  <from>
                    <xdr:col>12</xdr:col>
                    <xdr:colOff>76200</xdr:colOff>
                    <xdr:row>111</xdr:row>
                    <xdr:rowOff>57150</xdr:rowOff>
                  </from>
                  <to>
                    <xdr:col>12</xdr:col>
                    <xdr:colOff>323850</xdr:colOff>
                    <xdr:row>111</xdr:row>
                    <xdr:rowOff>323850</xdr:rowOff>
                  </to>
                </anchor>
              </controlPr>
            </control>
          </mc:Choice>
        </mc:AlternateContent>
        <mc:AlternateContent xmlns:mc="http://schemas.openxmlformats.org/markup-compatibility/2006">
          <mc:Choice Requires="x14">
            <control shapeId="59484" r:id="rId81" name="Check Box 92">
              <controlPr defaultSize="0" autoFill="0" autoLine="0" autoPict="0">
                <anchor moveWithCells="1">
                  <from>
                    <xdr:col>12</xdr:col>
                    <xdr:colOff>76200</xdr:colOff>
                    <xdr:row>112</xdr:row>
                    <xdr:rowOff>38100</xdr:rowOff>
                  </from>
                  <to>
                    <xdr:col>12</xdr:col>
                    <xdr:colOff>323850</xdr:colOff>
                    <xdr:row>112</xdr:row>
                    <xdr:rowOff>304800</xdr:rowOff>
                  </to>
                </anchor>
              </controlPr>
            </control>
          </mc:Choice>
        </mc:AlternateContent>
        <mc:AlternateContent xmlns:mc="http://schemas.openxmlformats.org/markup-compatibility/2006">
          <mc:Choice Requires="x14">
            <control shapeId="59485" r:id="rId82" name="Check Box 93">
              <controlPr defaultSize="0" autoFill="0" autoLine="0" autoPict="0">
                <anchor moveWithCells="1">
                  <from>
                    <xdr:col>12</xdr:col>
                    <xdr:colOff>76200</xdr:colOff>
                    <xdr:row>113</xdr:row>
                    <xdr:rowOff>228600</xdr:rowOff>
                  </from>
                  <to>
                    <xdr:col>12</xdr:col>
                    <xdr:colOff>323850</xdr:colOff>
                    <xdr:row>113</xdr:row>
                    <xdr:rowOff>495300</xdr:rowOff>
                  </to>
                </anchor>
              </controlPr>
            </control>
          </mc:Choice>
        </mc:AlternateContent>
        <mc:AlternateContent xmlns:mc="http://schemas.openxmlformats.org/markup-compatibility/2006">
          <mc:Choice Requires="x14">
            <control shapeId="59486" r:id="rId83" name="Check Box 94">
              <controlPr defaultSize="0" autoFill="0" autoLine="0" autoPict="0">
                <anchor moveWithCells="1">
                  <from>
                    <xdr:col>12</xdr:col>
                    <xdr:colOff>76200</xdr:colOff>
                    <xdr:row>114</xdr:row>
                    <xdr:rowOff>47625</xdr:rowOff>
                  </from>
                  <to>
                    <xdr:col>12</xdr:col>
                    <xdr:colOff>323850</xdr:colOff>
                    <xdr:row>114</xdr:row>
                    <xdr:rowOff>314325</xdr:rowOff>
                  </to>
                </anchor>
              </controlPr>
            </control>
          </mc:Choice>
        </mc:AlternateContent>
        <mc:AlternateContent xmlns:mc="http://schemas.openxmlformats.org/markup-compatibility/2006">
          <mc:Choice Requires="x14">
            <control shapeId="59487" r:id="rId84" name="Check Box 95">
              <controlPr defaultSize="0" autoFill="0" autoLine="0" autoPict="0">
                <anchor moveWithCells="1">
                  <from>
                    <xdr:col>12</xdr:col>
                    <xdr:colOff>76200</xdr:colOff>
                    <xdr:row>115</xdr:row>
                    <xdr:rowOff>38100</xdr:rowOff>
                  </from>
                  <to>
                    <xdr:col>12</xdr:col>
                    <xdr:colOff>323850</xdr:colOff>
                    <xdr:row>115</xdr:row>
                    <xdr:rowOff>304800</xdr:rowOff>
                  </to>
                </anchor>
              </controlPr>
            </control>
          </mc:Choice>
        </mc:AlternateContent>
        <mc:AlternateContent xmlns:mc="http://schemas.openxmlformats.org/markup-compatibility/2006">
          <mc:Choice Requires="x14">
            <control shapeId="59488" r:id="rId85" name="Check Box 96">
              <controlPr defaultSize="0" autoFill="0" autoLine="0" autoPict="0">
                <anchor moveWithCells="1">
                  <from>
                    <xdr:col>12</xdr:col>
                    <xdr:colOff>76200</xdr:colOff>
                    <xdr:row>116</xdr:row>
                    <xdr:rowOff>38100</xdr:rowOff>
                  </from>
                  <to>
                    <xdr:col>12</xdr:col>
                    <xdr:colOff>323850</xdr:colOff>
                    <xdr:row>116</xdr:row>
                    <xdr:rowOff>304800</xdr:rowOff>
                  </to>
                </anchor>
              </controlPr>
            </control>
          </mc:Choice>
        </mc:AlternateContent>
        <mc:AlternateContent xmlns:mc="http://schemas.openxmlformats.org/markup-compatibility/2006">
          <mc:Choice Requires="x14">
            <control shapeId="59489" r:id="rId86" name="Check Box 97">
              <controlPr defaultSize="0" autoFill="0" autoLine="0" autoPict="0">
                <anchor moveWithCells="1">
                  <from>
                    <xdr:col>12</xdr:col>
                    <xdr:colOff>76200</xdr:colOff>
                    <xdr:row>117</xdr:row>
                    <xdr:rowOff>47625</xdr:rowOff>
                  </from>
                  <to>
                    <xdr:col>12</xdr:col>
                    <xdr:colOff>323850</xdr:colOff>
                    <xdr:row>117</xdr:row>
                    <xdr:rowOff>314325</xdr:rowOff>
                  </to>
                </anchor>
              </controlPr>
            </control>
          </mc:Choice>
        </mc:AlternateContent>
        <mc:AlternateContent xmlns:mc="http://schemas.openxmlformats.org/markup-compatibility/2006">
          <mc:Choice Requires="x14">
            <control shapeId="59490" r:id="rId87" name="Check Box 98">
              <controlPr defaultSize="0" autoFill="0" autoLine="0" autoPict="0">
                <anchor moveWithCells="1">
                  <from>
                    <xdr:col>12</xdr:col>
                    <xdr:colOff>76200</xdr:colOff>
                    <xdr:row>118</xdr:row>
                    <xdr:rowOff>47625</xdr:rowOff>
                  </from>
                  <to>
                    <xdr:col>12</xdr:col>
                    <xdr:colOff>323850</xdr:colOff>
                    <xdr:row>118</xdr:row>
                    <xdr:rowOff>314325</xdr:rowOff>
                  </to>
                </anchor>
              </controlPr>
            </control>
          </mc:Choice>
        </mc:AlternateContent>
        <mc:AlternateContent xmlns:mc="http://schemas.openxmlformats.org/markup-compatibility/2006">
          <mc:Choice Requires="x14">
            <control shapeId="59491" r:id="rId88" name="Check Box 99">
              <controlPr defaultSize="0" autoFill="0" autoLine="0" autoPict="0">
                <anchor moveWithCells="1">
                  <from>
                    <xdr:col>12</xdr:col>
                    <xdr:colOff>76200</xdr:colOff>
                    <xdr:row>119</xdr:row>
                    <xdr:rowOff>47625</xdr:rowOff>
                  </from>
                  <to>
                    <xdr:col>12</xdr:col>
                    <xdr:colOff>323850</xdr:colOff>
                    <xdr:row>119</xdr:row>
                    <xdr:rowOff>314325</xdr:rowOff>
                  </to>
                </anchor>
              </controlPr>
            </control>
          </mc:Choice>
        </mc:AlternateContent>
        <mc:AlternateContent xmlns:mc="http://schemas.openxmlformats.org/markup-compatibility/2006">
          <mc:Choice Requires="x14">
            <control shapeId="59492" r:id="rId89" name="Check Box 100">
              <controlPr defaultSize="0" autoFill="0" autoLine="0" autoPict="0">
                <anchor moveWithCells="1">
                  <from>
                    <xdr:col>12</xdr:col>
                    <xdr:colOff>76200</xdr:colOff>
                    <xdr:row>120</xdr:row>
                    <xdr:rowOff>123825</xdr:rowOff>
                  </from>
                  <to>
                    <xdr:col>12</xdr:col>
                    <xdr:colOff>323850</xdr:colOff>
                    <xdr:row>120</xdr:row>
                    <xdr:rowOff>390525</xdr:rowOff>
                  </to>
                </anchor>
              </controlPr>
            </control>
          </mc:Choice>
        </mc:AlternateContent>
        <mc:AlternateContent xmlns:mc="http://schemas.openxmlformats.org/markup-compatibility/2006">
          <mc:Choice Requires="x14">
            <control shapeId="59493" r:id="rId90" name="Check Box 101">
              <controlPr defaultSize="0" autoFill="0" autoLine="0" autoPict="0">
                <anchor moveWithCells="1">
                  <from>
                    <xdr:col>12</xdr:col>
                    <xdr:colOff>76200</xdr:colOff>
                    <xdr:row>121</xdr:row>
                    <xdr:rowOff>47625</xdr:rowOff>
                  </from>
                  <to>
                    <xdr:col>12</xdr:col>
                    <xdr:colOff>323850</xdr:colOff>
                    <xdr:row>121</xdr:row>
                    <xdr:rowOff>314325</xdr:rowOff>
                  </to>
                </anchor>
              </controlPr>
            </control>
          </mc:Choice>
        </mc:AlternateContent>
        <mc:AlternateContent xmlns:mc="http://schemas.openxmlformats.org/markup-compatibility/2006">
          <mc:Choice Requires="x14">
            <control shapeId="59494" r:id="rId91" name="Check Box 102">
              <controlPr defaultSize="0" autoFill="0" autoLine="0" autoPict="0">
                <anchor moveWithCells="1">
                  <from>
                    <xdr:col>12</xdr:col>
                    <xdr:colOff>76200</xdr:colOff>
                    <xdr:row>122</xdr:row>
                    <xdr:rowOff>66675</xdr:rowOff>
                  </from>
                  <to>
                    <xdr:col>12</xdr:col>
                    <xdr:colOff>323850</xdr:colOff>
                    <xdr:row>122</xdr:row>
                    <xdr:rowOff>333375</xdr:rowOff>
                  </to>
                </anchor>
              </controlPr>
            </control>
          </mc:Choice>
        </mc:AlternateContent>
        <mc:AlternateContent xmlns:mc="http://schemas.openxmlformats.org/markup-compatibility/2006">
          <mc:Choice Requires="x14">
            <control shapeId="59495" r:id="rId92" name="Check Box 103">
              <controlPr defaultSize="0" autoFill="0" autoLine="0" autoPict="0">
                <anchor moveWithCells="1">
                  <from>
                    <xdr:col>12</xdr:col>
                    <xdr:colOff>76200</xdr:colOff>
                    <xdr:row>123</xdr:row>
                    <xdr:rowOff>180975</xdr:rowOff>
                  </from>
                  <to>
                    <xdr:col>12</xdr:col>
                    <xdr:colOff>323850</xdr:colOff>
                    <xdr:row>123</xdr:row>
                    <xdr:rowOff>447675</xdr:rowOff>
                  </to>
                </anchor>
              </controlPr>
            </control>
          </mc:Choice>
        </mc:AlternateContent>
        <mc:AlternateContent xmlns:mc="http://schemas.openxmlformats.org/markup-compatibility/2006">
          <mc:Choice Requires="x14">
            <control shapeId="59496" r:id="rId93" name="Check Box 104">
              <controlPr defaultSize="0" autoFill="0" autoLine="0" autoPict="0">
                <anchor moveWithCells="1">
                  <from>
                    <xdr:col>12</xdr:col>
                    <xdr:colOff>76200</xdr:colOff>
                    <xdr:row>125</xdr:row>
                    <xdr:rowOff>66675</xdr:rowOff>
                  </from>
                  <to>
                    <xdr:col>12</xdr:col>
                    <xdr:colOff>323850</xdr:colOff>
                    <xdr:row>125</xdr:row>
                    <xdr:rowOff>333375</xdr:rowOff>
                  </to>
                </anchor>
              </controlPr>
            </control>
          </mc:Choice>
        </mc:AlternateContent>
        <mc:AlternateContent xmlns:mc="http://schemas.openxmlformats.org/markup-compatibility/2006">
          <mc:Choice Requires="x14">
            <control shapeId="59497" r:id="rId94" name="Check Box 105">
              <controlPr defaultSize="0" autoFill="0" autoLine="0" autoPict="0">
                <anchor moveWithCells="1">
                  <from>
                    <xdr:col>12</xdr:col>
                    <xdr:colOff>76200</xdr:colOff>
                    <xdr:row>127</xdr:row>
                    <xdr:rowOff>257175</xdr:rowOff>
                  </from>
                  <to>
                    <xdr:col>12</xdr:col>
                    <xdr:colOff>323850</xdr:colOff>
                    <xdr:row>128</xdr:row>
                    <xdr:rowOff>142875</xdr:rowOff>
                  </to>
                </anchor>
              </controlPr>
            </control>
          </mc:Choice>
        </mc:AlternateContent>
        <mc:AlternateContent xmlns:mc="http://schemas.openxmlformats.org/markup-compatibility/2006">
          <mc:Choice Requires="x14">
            <control shapeId="59498" r:id="rId95" name="Check Box 106">
              <controlPr defaultSize="0" autoFill="0" autoLine="0" autoPict="0">
                <anchor moveWithCells="1">
                  <from>
                    <xdr:col>12</xdr:col>
                    <xdr:colOff>76200</xdr:colOff>
                    <xdr:row>129</xdr:row>
                    <xdr:rowOff>38100</xdr:rowOff>
                  </from>
                  <to>
                    <xdr:col>12</xdr:col>
                    <xdr:colOff>323850</xdr:colOff>
                    <xdr:row>129</xdr:row>
                    <xdr:rowOff>304800</xdr:rowOff>
                  </to>
                </anchor>
              </controlPr>
            </control>
          </mc:Choice>
        </mc:AlternateContent>
        <mc:AlternateContent xmlns:mc="http://schemas.openxmlformats.org/markup-compatibility/2006">
          <mc:Choice Requires="x14">
            <control shapeId="59499" r:id="rId96" name="Check Box 107">
              <controlPr defaultSize="0" autoFill="0" autoLine="0" autoPict="0">
                <anchor moveWithCells="1">
                  <from>
                    <xdr:col>12</xdr:col>
                    <xdr:colOff>76200</xdr:colOff>
                    <xdr:row>130</xdr:row>
                    <xdr:rowOff>38100</xdr:rowOff>
                  </from>
                  <to>
                    <xdr:col>12</xdr:col>
                    <xdr:colOff>323850</xdr:colOff>
                    <xdr:row>130</xdr:row>
                    <xdr:rowOff>304800</xdr:rowOff>
                  </to>
                </anchor>
              </controlPr>
            </control>
          </mc:Choice>
        </mc:AlternateContent>
        <mc:AlternateContent xmlns:mc="http://schemas.openxmlformats.org/markup-compatibility/2006">
          <mc:Choice Requires="x14">
            <control shapeId="59500" r:id="rId97" name="Check Box 108">
              <controlPr defaultSize="0" autoFill="0" autoLine="0" autoPict="0">
                <anchor moveWithCells="1">
                  <from>
                    <xdr:col>12</xdr:col>
                    <xdr:colOff>76200</xdr:colOff>
                    <xdr:row>132</xdr:row>
                    <xdr:rowOff>38100</xdr:rowOff>
                  </from>
                  <to>
                    <xdr:col>12</xdr:col>
                    <xdr:colOff>323850</xdr:colOff>
                    <xdr:row>132</xdr:row>
                    <xdr:rowOff>304800</xdr:rowOff>
                  </to>
                </anchor>
              </controlPr>
            </control>
          </mc:Choice>
        </mc:AlternateContent>
        <mc:AlternateContent xmlns:mc="http://schemas.openxmlformats.org/markup-compatibility/2006">
          <mc:Choice Requires="x14">
            <control shapeId="59501" r:id="rId98" name="Check Box 109">
              <controlPr defaultSize="0" autoFill="0" autoLine="0" autoPict="0">
                <anchor moveWithCells="1">
                  <from>
                    <xdr:col>12</xdr:col>
                    <xdr:colOff>76200</xdr:colOff>
                    <xdr:row>133</xdr:row>
                    <xdr:rowOff>371475</xdr:rowOff>
                  </from>
                  <to>
                    <xdr:col>12</xdr:col>
                    <xdr:colOff>323850</xdr:colOff>
                    <xdr:row>133</xdr:row>
                    <xdr:rowOff>638175</xdr:rowOff>
                  </to>
                </anchor>
              </controlPr>
            </control>
          </mc:Choice>
        </mc:AlternateContent>
        <mc:AlternateContent xmlns:mc="http://schemas.openxmlformats.org/markup-compatibility/2006">
          <mc:Choice Requires="x14">
            <control shapeId="59502" r:id="rId99" name="Check Box 110">
              <controlPr defaultSize="0" autoFill="0" autoLine="0" autoPict="0">
                <anchor moveWithCells="1">
                  <from>
                    <xdr:col>12</xdr:col>
                    <xdr:colOff>76200</xdr:colOff>
                    <xdr:row>134</xdr:row>
                    <xdr:rowOff>38100</xdr:rowOff>
                  </from>
                  <to>
                    <xdr:col>12</xdr:col>
                    <xdr:colOff>323850</xdr:colOff>
                    <xdr:row>134</xdr:row>
                    <xdr:rowOff>304800</xdr:rowOff>
                  </to>
                </anchor>
              </controlPr>
            </control>
          </mc:Choice>
        </mc:AlternateContent>
        <mc:AlternateContent xmlns:mc="http://schemas.openxmlformats.org/markup-compatibility/2006">
          <mc:Choice Requires="x14">
            <control shapeId="59503" r:id="rId100" name="Check Box 111">
              <controlPr defaultSize="0" autoFill="0" autoLine="0" autoPict="0">
                <anchor moveWithCells="1">
                  <from>
                    <xdr:col>12</xdr:col>
                    <xdr:colOff>76200</xdr:colOff>
                    <xdr:row>135</xdr:row>
                    <xdr:rowOff>161925</xdr:rowOff>
                  </from>
                  <to>
                    <xdr:col>12</xdr:col>
                    <xdr:colOff>323850</xdr:colOff>
                    <xdr:row>135</xdr:row>
                    <xdr:rowOff>428625</xdr:rowOff>
                  </to>
                </anchor>
              </controlPr>
            </control>
          </mc:Choice>
        </mc:AlternateContent>
        <mc:AlternateContent xmlns:mc="http://schemas.openxmlformats.org/markup-compatibility/2006">
          <mc:Choice Requires="x14">
            <control shapeId="59504" r:id="rId101" name="Check Box 112">
              <controlPr defaultSize="0" autoFill="0" autoLine="0" autoPict="0">
                <anchor moveWithCells="1">
                  <from>
                    <xdr:col>12</xdr:col>
                    <xdr:colOff>76200</xdr:colOff>
                    <xdr:row>137</xdr:row>
                    <xdr:rowOff>28575</xdr:rowOff>
                  </from>
                  <to>
                    <xdr:col>12</xdr:col>
                    <xdr:colOff>323850</xdr:colOff>
                    <xdr:row>137</xdr:row>
                    <xdr:rowOff>295275</xdr:rowOff>
                  </to>
                </anchor>
              </controlPr>
            </control>
          </mc:Choice>
        </mc:AlternateContent>
        <mc:AlternateContent xmlns:mc="http://schemas.openxmlformats.org/markup-compatibility/2006">
          <mc:Choice Requires="x14">
            <control shapeId="59505" r:id="rId102" name="Check Box 113">
              <controlPr defaultSize="0" autoFill="0" autoLine="0" autoPict="0">
                <anchor moveWithCells="1">
                  <from>
                    <xdr:col>12</xdr:col>
                    <xdr:colOff>76200</xdr:colOff>
                    <xdr:row>138</xdr:row>
                    <xdr:rowOff>38100</xdr:rowOff>
                  </from>
                  <to>
                    <xdr:col>12</xdr:col>
                    <xdr:colOff>323850</xdr:colOff>
                    <xdr:row>138</xdr:row>
                    <xdr:rowOff>304800</xdr:rowOff>
                  </to>
                </anchor>
              </controlPr>
            </control>
          </mc:Choice>
        </mc:AlternateContent>
        <mc:AlternateContent xmlns:mc="http://schemas.openxmlformats.org/markup-compatibility/2006">
          <mc:Choice Requires="x14">
            <control shapeId="59506" r:id="rId103" name="Check Box 114">
              <controlPr defaultSize="0" autoFill="0" autoLine="0" autoPict="0">
                <anchor moveWithCells="1">
                  <from>
                    <xdr:col>12</xdr:col>
                    <xdr:colOff>76200</xdr:colOff>
                    <xdr:row>139</xdr:row>
                    <xdr:rowOff>38100</xdr:rowOff>
                  </from>
                  <to>
                    <xdr:col>12</xdr:col>
                    <xdr:colOff>323850</xdr:colOff>
                    <xdr:row>139</xdr:row>
                    <xdr:rowOff>304800</xdr:rowOff>
                  </to>
                </anchor>
              </controlPr>
            </control>
          </mc:Choice>
        </mc:AlternateContent>
        <mc:AlternateContent xmlns:mc="http://schemas.openxmlformats.org/markup-compatibility/2006">
          <mc:Choice Requires="x14">
            <control shapeId="59507" r:id="rId104" name="Check Box 115">
              <controlPr defaultSize="0" autoFill="0" autoLine="0" autoPict="0">
                <anchor moveWithCells="1">
                  <from>
                    <xdr:col>12</xdr:col>
                    <xdr:colOff>76200</xdr:colOff>
                    <xdr:row>140</xdr:row>
                    <xdr:rowOff>57150</xdr:rowOff>
                  </from>
                  <to>
                    <xdr:col>12</xdr:col>
                    <xdr:colOff>323850</xdr:colOff>
                    <xdr:row>140</xdr:row>
                    <xdr:rowOff>323850</xdr:rowOff>
                  </to>
                </anchor>
              </controlPr>
            </control>
          </mc:Choice>
        </mc:AlternateContent>
        <mc:AlternateContent xmlns:mc="http://schemas.openxmlformats.org/markup-compatibility/2006">
          <mc:Choice Requires="x14">
            <control shapeId="59508" r:id="rId105" name="Check Box 116">
              <controlPr defaultSize="0" autoFill="0" autoLine="0" autoPict="0">
                <anchor moveWithCells="1">
                  <from>
                    <xdr:col>12</xdr:col>
                    <xdr:colOff>76200</xdr:colOff>
                    <xdr:row>141</xdr:row>
                    <xdr:rowOff>47625</xdr:rowOff>
                  </from>
                  <to>
                    <xdr:col>12</xdr:col>
                    <xdr:colOff>323850</xdr:colOff>
                    <xdr:row>141</xdr:row>
                    <xdr:rowOff>314325</xdr:rowOff>
                  </to>
                </anchor>
              </controlPr>
            </control>
          </mc:Choice>
        </mc:AlternateContent>
        <mc:AlternateContent xmlns:mc="http://schemas.openxmlformats.org/markup-compatibility/2006">
          <mc:Choice Requires="x14">
            <control shapeId="59509" r:id="rId106" name="Check Box 117">
              <controlPr defaultSize="0" autoFill="0" autoLine="0" autoPict="0">
                <anchor moveWithCells="1">
                  <from>
                    <xdr:col>12</xdr:col>
                    <xdr:colOff>76200</xdr:colOff>
                    <xdr:row>142</xdr:row>
                    <xdr:rowOff>38100</xdr:rowOff>
                  </from>
                  <to>
                    <xdr:col>12</xdr:col>
                    <xdr:colOff>323850</xdr:colOff>
                    <xdr:row>142</xdr:row>
                    <xdr:rowOff>304800</xdr:rowOff>
                  </to>
                </anchor>
              </controlPr>
            </control>
          </mc:Choice>
        </mc:AlternateContent>
        <mc:AlternateContent xmlns:mc="http://schemas.openxmlformats.org/markup-compatibility/2006">
          <mc:Choice Requires="x14">
            <control shapeId="59510" r:id="rId107" name="Check Box 118">
              <controlPr defaultSize="0" autoFill="0" autoLine="0" autoPict="0">
                <anchor moveWithCells="1">
                  <from>
                    <xdr:col>12</xdr:col>
                    <xdr:colOff>76200</xdr:colOff>
                    <xdr:row>143</xdr:row>
                    <xdr:rowOff>238125</xdr:rowOff>
                  </from>
                  <to>
                    <xdr:col>12</xdr:col>
                    <xdr:colOff>323850</xdr:colOff>
                    <xdr:row>143</xdr:row>
                    <xdr:rowOff>504825</xdr:rowOff>
                  </to>
                </anchor>
              </controlPr>
            </control>
          </mc:Choice>
        </mc:AlternateContent>
        <mc:AlternateContent xmlns:mc="http://schemas.openxmlformats.org/markup-compatibility/2006">
          <mc:Choice Requires="x14">
            <control shapeId="59511" r:id="rId108" name="Check Box 119">
              <controlPr defaultSize="0" autoFill="0" autoLine="0" autoPict="0">
                <anchor moveWithCells="1">
                  <from>
                    <xdr:col>12</xdr:col>
                    <xdr:colOff>76200</xdr:colOff>
                    <xdr:row>144</xdr:row>
                    <xdr:rowOff>47625</xdr:rowOff>
                  </from>
                  <to>
                    <xdr:col>12</xdr:col>
                    <xdr:colOff>323850</xdr:colOff>
                    <xdr:row>144</xdr:row>
                    <xdr:rowOff>314325</xdr:rowOff>
                  </to>
                </anchor>
              </controlPr>
            </control>
          </mc:Choice>
        </mc:AlternateContent>
        <mc:AlternateContent xmlns:mc="http://schemas.openxmlformats.org/markup-compatibility/2006">
          <mc:Choice Requires="x14">
            <control shapeId="59513" r:id="rId109" name="Check Box 121">
              <controlPr defaultSize="0" autoFill="0" autoLine="0" autoPict="0">
                <anchor moveWithCells="1">
                  <from>
                    <xdr:col>12</xdr:col>
                    <xdr:colOff>76200</xdr:colOff>
                    <xdr:row>147</xdr:row>
                    <xdr:rowOff>85725</xdr:rowOff>
                  </from>
                  <to>
                    <xdr:col>12</xdr:col>
                    <xdr:colOff>323850</xdr:colOff>
                    <xdr:row>147</xdr:row>
                    <xdr:rowOff>314325</xdr:rowOff>
                  </to>
                </anchor>
              </controlPr>
            </control>
          </mc:Choice>
        </mc:AlternateContent>
        <mc:AlternateContent xmlns:mc="http://schemas.openxmlformats.org/markup-compatibility/2006">
          <mc:Choice Requires="x14">
            <control shapeId="59514" r:id="rId110" name="Check Box 122">
              <controlPr defaultSize="0" autoFill="0" autoLine="0" autoPict="0">
                <anchor moveWithCells="1">
                  <from>
                    <xdr:col>12</xdr:col>
                    <xdr:colOff>76200</xdr:colOff>
                    <xdr:row>148</xdr:row>
                    <xdr:rowOff>38100</xdr:rowOff>
                  </from>
                  <to>
                    <xdr:col>12</xdr:col>
                    <xdr:colOff>323850</xdr:colOff>
                    <xdr:row>148</xdr:row>
                    <xdr:rowOff>304800</xdr:rowOff>
                  </to>
                </anchor>
              </controlPr>
            </control>
          </mc:Choice>
        </mc:AlternateContent>
        <mc:AlternateContent xmlns:mc="http://schemas.openxmlformats.org/markup-compatibility/2006">
          <mc:Choice Requires="x14">
            <control shapeId="59515" r:id="rId111" name="Check Box 123">
              <controlPr defaultSize="0" autoFill="0" autoLine="0" autoPict="0">
                <anchor moveWithCells="1">
                  <from>
                    <xdr:col>12</xdr:col>
                    <xdr:colOff>76200</xdr:colOff>
                    <xdr:row>149</xdr:row>
                    <xdr:rowOff>38100</xdr:rowOff>
                  </from>
                  <to>
                    <xdr:col>12</xdr:col>
                    <xdr:colOff>323850</xdr:colOff>
                    <xdr:row>149</xdr:row>
                    <xdr:rowOff>304800</xdr:rowOff>
                  </to>
                </anchor>
              </controlPr>
            </control>
          </mc:Choice>
        </mc:AlternateContent>
        <mc:AlternateContent xmlns:mc="http://schemas.openxmlformats.org/markup-compatibility/2006">
          <mc:Choice Requires="x14">
            <control shapeId="59516" r:id="rId112" name="Check Box 124">
              <controlPr defaultSize="0" autoFill="0" autoLine="0" autoPict="0">
                <anchor moveWithCells="1">
                  <from>
                    <xdr:col>12</xdr:col>
                    <xdr:colOff>76200</xdr:colOff>
                    <xdr:row>150</xdr:row>
                    <xdr:rowOff>38100</xdr:rowOff>
                  </from>
                  <to>
                    <xdr:col>12</xdr:col>
                    <xdr:colOff>323850</xdr:colOff>
                    <xdr:row>150</xdr:row>
                    <xdr:rowOff>304800</xdr:rowOff>
                  </to>
                </anchor>
              </controlPr>
            </control>
          </mc:Choice>
        </mc:AlternateContent>
        <mc:AlternateContent xmlns:mc="http://schemas.openxmlformats.org/markup-compatibility/2006">
          <mc:Choice Requires="x14">
            <control shapeId="59517" r:id="rId113" name="Check Box 125">
              <controlPr defaultSize="0" autoFill="0" autoLine="0" autoPict="0">
                <anchor moveWithCells="1">
                  <from>
                    <xdr:col>12</xdr:col>
                    <xdr:colOff>76200</xdr:colOff>
                    <xdr:row>151</xdr:row>
                    <xdr:rowOff>38100</xdr:rowOff>
                  </from>
                  <to>
                    <xdr:col>12</xdr:col>
                    <xdr:colOff>323850</xdr:colOff>
                    <xdr:row>151</xdr:row>
                    <xdr:rowOff>304800</xdr:rowOff>
                  </to>
                </anchor>
              </controlPr>
            </control>
          </mc:Choice>
        </mc:AlternateContent>
        <mc:AlternateContent xmlns:mc="http://schemas.openxmlformats.org/markup-compatibility/2006">
          <mc:Choice Requires="x14">
            <control shapeId="59518" r:id="rId114" name="Check Box 126">
              <controlPr defaultSize="0" autoFill="0" autoLine="0" autoPict="0">
                <anchor moveWithCells="1">
                  <from>
                    <xdr:col>12</xdr:col>
                    <xdr:colOff>76200</xdr:colOff>
                    <xdr:row>152</xdr:row>
                    <xdr:rowOff>38100</xdr:rowOff>
                  </from>
                  <to>
                    <xdr:col>12</xdr:col>
                    <xdr:colOff>323850</xdr:colOff>
                    <xdr:row>152</xdr:row>
                    <xdr:rowOff>304800</xdr:rowOff>
                  </to>
                </anchor>
              </controlPr>
            </control>
          </mc:Choice>
        </mc:AlternateContent>
        <mc:AlternateContent xmlns:mc="http://schemas.openxmlformats.org/markup-compatibility/2006">
          <mc:Choice Requires="x14">
            <control shapeId="59519" r:id="rId115" name="Check Box 127">
              <controlPr defaultSize="0" autoFill="0" autoLine="0" autoPict="0">
                <anchor moveWithCells="1">
                  <from>
                    <xdr:col>12</xdr:col>
                    <xdr:colOff>76200</xdr:colOff>
                    <xdr:row>163</xdr:row>
                    <xdr:rowOff>47625</xdr:rowOff>
                  </from>
                  <to>
                    <xdr:col>12</xdr:col>
                    <xdr:colOff>323850</xdr:colOff>
                    <xdr:row>163</xdr:row>
                    <xdr:rowOff>314325</xdr:rowOff>
                  </to>
                </anchor>
              </controlPr>
            </control>
          </mc:Choice>
        </mc:AlternateContent>
        <mc:AlternateContent xmlns:mc="http://schemas.openxmlformats.org/markup-compatibility/2006">
          <mc:Choice Requires="x14">
            <control shapeId="59520" r:id="rId116" name="Check Box 128">
              <controlPr defaultSize="0" autoFill="0" autoLine="0" autoPict="0">
                <anchor moveWithCells="1">
                  <from>
                    <xdr:col>12</xdr:col>
                    <xdr:colOff>76200</xdr:colOff>
                    <xdr:row>164</xdr:row>
                    <xdr:rowOff>38100</xdr:rowOff>
                  </from>
                  <to>
                    <xdr:col>12</xdr:col>
                    <xdr:colOff>323850</xdr:colOff>
                    <xdr:row>164</xdr:row>
                    <xdr:rowOff>304800</xdr:rowOff>
                  </to>
                </anchor>
              </controlPr>
            </control>
          </mc:Choice>
        </mc:AlternateContent>
        <mc:AlternateContent xmlns:mc="http://schemas.openxmlformats.org/markup-compatibility/2006">
          <mc:Choice Requires="x14">
            <control shapeId="59521" r:id="rId117" name="Check Box 129">
              <controlPr defaultSize="0" autoFill="0" autoLine="0" autoPict="0">
                <anchor moveWithCells="1">
                  <from>
                    <xdr:col>12</xdr:col>
                    <xdr:colOff>76200</xdr:colOff>
                    <xdr:row>165</xdr:row>
                    <xdr:rowOff>190500</xdr:rowOff>
                  </from>
                  <to>
                    <xdr:col>12</xdr:col>
                    <xdr:colOff>323850</xdr:colOff>
                    <xdr:row>165</xdr:row>
                    <xdr:rowOff>457200</xdr:rowOff>
                  </to>
                </anchor>
              </controlPr>
            </control>
          </mc:Choice>
        </mc:AlternateContent>
        <mc:AlternateContent xmlns:mc="http://schemas.openxmlformats.org/markup-compatibility/2006">
          <mc:Choice Requires="x14">
            <control shapeId="59522" r:id="rId118" name="Check Box 130">
              <controlPr defaultSize="0" autoFill="0" autoLine="0" autoPict="0">
                <anchor moveWithCells="1">
                  <from>
                    <xdr:col>12</xdr:col>
                    <xdr:colOff>76200</xdr:colOff>
                    <xdr:row>153</xdr:row>
                    <xdr:rowOff>152400</xdr:rowOff>
                  </from>
                  <to>
                    <xdr:col>12</xdr:col>
                    <xdr:colOff>323850</xdr:colOff>
                    <xdr:row>153</xdr:row>
                    <xdr:rowOff>419100</xdr:rowOff>
                  </to>
                </anchor>
              </controlPr>
            </control>
          </mc:Choice>
        </mc:AlternateContent>
        <mc:AlternateContent xmlns:mc="http://schemas.openxmlformats.org/markup-compatibility/2006">
          <mc:Choice Requires="x14">
            <control shapeId="59523" r:id="rId119" name="Check Box 131">
              <controlPr defaultSize="0" autoFill="0" autoLine="0" autoPict="0">
                <anchor moveWithCells="1">
                  <from>
                    <xdr:col>12</xdr:col>
                    <xdr:colOff>76200</xdr:colOff>
                    <xdr:row>154</xdr:row>
                    <xdr:rowOff>38100</xdr:rowOff>
                  </from>
                  <to>
                    <xdr:col>12</xdr:col>
                    <xdr:colOff>323850</xdr:colOff>
                    <xdr:row>154</xdr:row>
                    <xdr:rowOff>304800</xdr:rowOff>
                  </to>
                </anchor>
              </controlPr>
            </control>
          </mc:Choice>
        </mc:AlternateContent>
        <mc:AlternateContent xmlns:mc="http://schemas.openxmlformats.org/markup-compatibility/2006">
          <mc:Choice Requires="x14">
            <control shapeId="59524" r:id="rId120" name="Check Box 132">
              <controlPr defaultSize="0" autoFill="0" autoLine="0" autoPict="0">
                <anchor moveWithCells="1">
                  <from>
                    <xdr:col>12</xdr:col>
                    <xdr:colOff>76200</xdr:colOff>
                    <xdr:row>155</xdr:row>
                    <xdr:rowOff>38100</xdr:rowOff>
                  </from>
                  <to>
                    <xdr:col>12</xdr:col>
                    <xdr:colOff>323850</xdr:colOff>
                    <xdr:row>155</xdr:row>
                    <xdr:rowOff>304800</xdr:rowOff>
                  </to>
                </anchor>
              </controlPr>
            </control>
          </mc:Choice>
        </mc:AlternateContent>
        <mc:AlternateContent xmlns:mc="http://schemas.openxmlformats.org/markup-compatibility/2006">
          <mc:Choice Requires="x14">
            <control shapeId="59525" r:id="rId121" name="Check Box 133">
              <controlPr defaultSize="0" autoFill="0" autoLine="0" autoPict="0">
                <anchor moveWithCells="1">
                  <from>
                    <xdr:col>12</xdr:col>
                    <xdr:colOff>76200</xdr:colOff>
                    <xdr:row>156</xdr:row>
                    <xdr:rowOff>47625</xdr:rowOff>
                  </from>
                  <to>
                    <xdr:col>12</xdr:col>
                    <xdr:colOff>323850</xdr:colOff>
                    <xdr:row>156</xdr:row>
                    <xdr:rowOff>314325</xdr:rowOff>
                  </to>
                </anchor>
              </controlPr>
            </control>
          </mc:Choice>
        </mc:AlternateContent>
        <mc:AlternateContent xmlns:mc="http://schemas.openxmlformats.org/markup-compatibility/2006">
          <mc:Choice Requires="x14">
            <control shapeId="59526" r:id="rId122" name="Check Box 134">
              <controlPr defaultSize="0" autoFill="0" autoLine="0" autoPict="0">
                <anchor moveWithCells="1">
                  <from>
                    <xdr:col>12</xdr:col>
                    <xdr:colOff>76200</xdr:colOff>
                    <xdr:row>157</xdr:row>
                    <xdr:rowOff>38100</xdr:rowOff>
                  </from>
                  <to>
                    <xdr:col>12</xdr:col>
                    <xdr:colOff>323850</xdr:colOff>
                    <xdr:row>157</xdr:row>
                    <xdr:rowOff>304800</xdr:rowOff>
                  </to>
                </anchor>
              </controlPr>
            </control>
          </mc:Choice>
        </mc:AlternateContent>
        <mc:AlternateContent xmlns:mc="http://schemas.openxmlformats.org/markup-compatibility/2006">
          <mc:Choice Requires="x14">
            <control shapeId="59527" r:id="rId123" name="Check Box 135">
              <controlPr defaultSize="0" autoFill="0" autoLine="0" autoPict="0">
                <anchor moveWithCells="1">
                  <from>
                    <xdr:col>12</xdr:col>
                    <xdr:colOff>76200</xdr:colOff>
                    <xdr:row>158</xdr:row>
                    <xdr:rowOff>38100</xdr:rowOff>
                  </from>
                  <to>
                    <xdr:col>12</xdr:col>
                    <xdr:colOff>323850</xdr:colOff>
                    <xdr:row>158</xdr:row>
                    <xdr:rowOff>304800</xdr:rowOff>
                  </to>
                </anchor>
              </controlPr>
            </control>
          </mc:Choice>
        </mc:AlternateContent>
        <mc:AlternateContent xmlns:mc="http://schemas.openxmlformats.org/markup-compatibility/2006">
          <mc:Choice Requires="x14">
            <control shapeId="59528" r:id="rId124" name="Check Box 136">
              <controlPr defaultSize="0" autoFill="0" autoLine="0" autoPict="0">
                <anchor moveWithCells="1">
                  <from>
                    <xdr:col>12</xdr:col>
                    <xdr:colOff>76200</xdr:colOff>
                    <xdr:row>159</xdr:row>
                    <xdr:rowOff>38100</xdr:rowOff>
                  </from>
                  <to>
                    <xdr:col>12</xdr:col>
                    <xdr:colOff>323850</xdr:colOff>
                    <xdr:row>159</xdr:row>
                    <xdr:rowOff>304800</xdr:rowOff>
                  </to>
                </anchor>
              </controlPr>
            </control>
          </mc:Choice>
        </mc:AlternateContent>
        <mc:AlternateContent xmlns:mc="http://schemas.openxmlformats.org/markup-compatibility/2006">
          <mc:Choice Requires="x14">
            <control shapeId="59529" r:id="rId125" name="Check Box 137">
              <controlPr defaultSize="0" autoFill="0" autoLine="0" autoPict="0">
                <anchor moveWithCells="1">
                  <from>
                    <xdr:col>12</xdr:col>
                    <xdr:colOff>76200</xdr:colOff>
                    <xdr:row>160</xdr:row>
                    <xdr:rowOff>38100</xdr:rowOff>
                  </from>
                  <to>
                    <xdr:col>12</xdr:col>
                    <xdr:colOff>323850</xdr:colOff>
                    <xdr:row>160</xdr:row>
                    <xdr:rowOff>304800</xdr:rowOff>
                  </to>
                </anchor>
              </controlPr>
            </control>
          </mc:Choice>
        </mc:AlternateContent>
        <mc:AlternateContent xmlns:mc="http://schemas.openxmlformats.org/markup-compatibility/2006">
          <mc:Choice Requires="x14">
            <control shapeId="59530" r:id="rId126" name="Check Box 138">
              <controlPr defaultSize="0" autoFill="0" autoLine="0" autoPict="0">
                <anchor moveWithCells="1">
                  <from>
                    <xdr:col>12</xdr:col>
                    <xdr:colOff>76200</xdr:colOff>
                    <xdr:row>161</xdr:row>
                    <xdr:rowOff>9525</xdr:rowOff>
                  </from>
                  <to>
                    <xdr:col>12</xdr:col>
                    <xdr:colOff>323850</xdr:colOff>
                    <xdr:row>162</xdr:row>
                    <xdr:rowOff>0</xdr:rowOff>
                  </to>
                </anchor>
              </controlPr>
            </control>
          </mc:Choice>
        </mc:AlternateContent>
        <mc:AlternateContent xmlns:mc="http://schemas.openxmlformats.org/markup-compatibility/2006">
          <mc:Choice Requires="x14">
            <control shapeId="59531" r:id="rId127" name="Check Box 139">
              <controlPr defaultSize="0" autoFill="0" autoLine="0" autoPict="0">
                <anchor moveWithCells="1">
                  <from>
                    <xdr:col>12</xdr:col>
                    <xdr:colOff>76200</xdr:colOff>
                    <xdr:row>162</xdr:row>
                    <xdr:rowOff>47625</xdr:rowOff>
                  </from>
                  <to>
                    <xdr:col>12</xdr:col>
                    <xdr:colOff>323850</xdr:colOff>
                    <xdr:row>162</xdr:row>
                    <xdr:rowOff>314325</xdr:rowOff>
                  </to>
                </anchor>
              </controlPr>
            </control>
          </mc:Choice>
        </mc:AlternateContent>
        <mc:AlternateContent xmlns:mc="http://schemas.openxmlformats.org/markup-compatibility/2006">
          <mc:Choice Requires="x14">
            <control shapeId="59532" r:id="rId128" name="Check Box 140">
              <controlPr defaultSize="0" autoFill="0" autoLine="0" autoPict="0">
                <anchor moveWithCells="1">
                  <from>
                    <xdr:col>12</xdr:col>
                    <xdr:colOff>76200</xdr:colOff>
                    <xdr:row>166</xdr:row>
                    <xdr:rowOff>38100</xdr:rowOff>
                  </from>
                  <to>
                    <xdr:col>12</xdr:col>
                    <xdr:colOff>323850</xdr:colOff>
                    <xdr:row>166</xdr:row>
                    <xdr:rowOff>304800</xdr:rowOff>
                  </to>
                </anchor>
              </controlPr>
            </control>
          </mc:Choice>
        </mc:AlternateContent>
        <mc:AlternateContent xmlns:mc="http://schemas.openxmlformats.org/markup-compatibility/2006">
          <mc:Choice Requires="x14">
            <control shapeId="59533" r:id="rId129" name="Check Box 141">
              <controlPr defaultSize="0" autoFill="0" autoLine="0" autoPict="0">
                <anchor moveWithCells="1">
                  <from>
                    <xdr:col>12</xdr:col>
                    <xdr:colOff>76200</xdr:colOff>
                    <xdr:row>167</xdr:row>
                    <xdr:rowOff>76200</xdr:rowOff>
                  </from>
                  <to>
                    <xdr:col>12</xdr:col>
                    <xdr:colOff>323850</xdr:colOff>
                    <xdr:row>167</xdr:row>
                    <xdr:rowOff>342900</xdr:rowOff>
                  </to>
                </anchor>
              </controlPr>
            </control>
          </mc:Choice>
        </mc:AlternateContent>
        <mc:AlternateContent xmlns:mc="http://schemas.openxmlformats.org/markup-compatibility/2006">
          <mc:Choice Requires="x14">
            <control shapeId="59535" r:id="rId130" name="Check Box 143">
              <controlPr defaultSize="0" autoFill="0" autoLine="0" autoPict="0">
                <anchor moveWithCells="1">
                  <from>
                    <xdr:col>12</xdr:col>
                    <xdr:colOff>76200</xdr:colOff>
                    <xdr:row>169</xdr:row>
                    <xdr:rowOff>76200</xdr:rowOff>
                  </from>
                  <to>
                    <xdr:col>12</xdr:col>
                    <xdr:colOff>323850</xdr:colOff>
                    <xdr:row>169</xdr:row>
                    <xdr:rowOff>342900</xdr:rowOff>
                  </to>
                </anchor>
              </controlPr>
            </control>
          </mc:Choice>
        </mc:AlternateContent>
        <mc:AlternateContent xmlns:mc="http://schemas.openxmlformats.org/markup-compatibility/2006">
          <mc:Choice Requires="x14">
            <control shapeId="59537" r:id="rId131" name="Check Box 145">
              <controlPr defaultSize="0" autoFill="0" autoLine="0" autoPict="0">
                <anchor moveWithCells="1">
                  <from>
                    <xdr:col>12</xdr:col>
                    <xdr:colOff>76200</xdr:colOff>
                    <xdr:row>170</xdr:row>
                    <xdr:rowOff>85725</xdr:rowOff>
                  </from>
                  <to>
                    <xdr:col>12</xdr:col>
                    <xdr:colOff>323850</xdr:colOff>
                    <xdr:row>170</xdr:row>
                    <xdr:rowOff>352425</xdr:rowOff>
                  </to>
                </anchor>
              </controlPr>
            </control>
          </mc:Choice>
        </mc:AlternateContent>
        <mc:AlternateContent xmlns:mc="http://schemas.openxmlformats.org/markup-compatibility/2006">
          <mc:Choice Requires="x14">
            <control shapeId="59538" r:id="rId132" name="Check Box 146">
              <controlPr defaultSize="0" autoFill="0" autoLine="0" autoPict="0">
                <anchor moveWithCells="1">
                  <from>
                    <xdr:col>12</xdr:col>
                    <xdr:colOff>76200</xdr:colOff>
                    <xdr:row>173</xdr:row>
                    <xdr:rowOff>38100</xdr:rowOff>
                  </from>
                  <to>
                    <xdr:col>12</xdr:col>
                    <xdr:colOff>323850</xdr:colOff>
                    <xdr:row>173</xdr:row>
                    <xdr:rowOff>304800</xdr:rowOff>
                  </to>
                </anchor>
              </controlPr>
            </control>
          </mc:Choice>
        </mc:AlternateContent>
        <mc:AlternateContent xmlns:mc="http://schemas.openxmlformats.org/markup-compatibility/2006">
          <mc:Choice Requires="x14">
            <control shapeId="59539" r:id="rId133" name="Check Box 147">
              <controlPr defaultSize="0" autoFill="0" autoLine="0" autoPict="0">
                <anchor moveWithCells="1">
                  <from>
                    <xdr:col>12</xdr:col>
                    <xdr:colOff>76200</xdr:colOff>
                    <xdr:row>174</xdr:row>
                    <xdr:rowOff>47625</xdr:rowOff>
                  </from>
                  <to>
                    <xdr:col>12</xdr:col>
                    <xdr:colOff>323850</xdr:colOff>
                    <xdr:row>174</xdr:row>
                    <xdr:rowOff>314325</xdr:rowOff>
                  </to>
                </anchor>
              </controlPr>
            </control>
          </mc:Choice>
        </mc:AlternateContent>
        <mc:AlternateContent xmlns:mc="http://schemas.openxmlformats.org/markup-compatibility/2006">
          <mc:Choice Requires="x14">
            <control shapeId="59540" r:id="rId134" name="Check Box 148">
              <controlPr defaultSize="0" autoFill="0" autoLine="0" autoPict="0">
                <anchor moveWithCells="1">
                  <from>
                    <xdr:col>12</xdr:col>
                    <xdr:colOff>76200</xdr:colOff>
                    <xdr:row>175</xdr:row>
                    <xdr:rowOff>209550</xdr:rowOff>
                  </from>
                  <to>
                    <xdr:col>12</xdr:col>
                    <xdr:colOff>323850</xdr:colOff>
                    <xdr:row>176</xdr:row>
                    <xdr:rowOff>95250</xdr:rowOff>
                  </to>
                </anchor>
              </controlPr>
            </control>
          </mc:Choice>
        </mc:AlternateContent>
        <mc:AlternateContent xmlns:mc="http://schemas.openxmlformats.org/markup-compatibility/2006">
          <mc:Choice Requires="x14">
            <control shapeId="59542" r:id="rId135" name="Check Box 150">
              <controlPr defaultSize="0" autoFill="0" autoLine="0" autoPict="0">
                <anchor moveWithCells="1">
                  <from>
                    <xdr:col>12</xdr:col>
                    <xdr:colOff>76200</xdr:colOff>
                    <xdr:row>177</xdr:row>
                    <xdr:rowOff>38100</xdr:rowOff>
                  </from>
                  <to>
                    <xdr:col>12</xdr:col>
                    <xdr:colOff>323850</xdr:colOff>
                    <xdr:row>177</xdr:row>
                    <xdr:rowOff>304800</xdr:rowOff>
                  </to>
                </anchor>
              </controlPr>
            </control>
          </mc:Choice>
        </mc:AlternateContent>
        <mc:AlternateContent xmlns:mc="http://schemas.openxmlformats.org/markup-compatibility/2006">
          <mc:Choice Requires="x14">
            <control shapeId="59543" r:id="rId136" name="Check Box 151">
              <controlPr defaultSize="0" autoFill="0" autoLine="0" autoPict="0">
                <anchor moveWithCells="1">
                  <from>
                    <xdr:col>12</xdr:col>
                    <xdr:colOff>76200</xdr:colOff>
                    <xdr:row>178</xdr:row>
                    <xdr:rowOff>38100</xdr:rowOff>
                  </from>
                  <to>
                    <xdr:col>12</xdr:col>
                    <xdr:colOff>323850</xdr:colOff>
                    <xdr:row>178</xdr:row>
                    <xdr:rowOff>304800</xdr:rowOff>
                  </to>
                </anchor>
              </controlPr>
            </control>
          </mc:Choice>
        </mc:AlternateContent>
        <mc:AlternateContent xmlns:mc="http://schemas.openxmlformats.org/markup-compatibility/2006">
          <mc:Choice Requires="x14">
            <control shapeId="59544" r:id="rId137" name="Check Box 152">
              <controlPr defaultSize="0" autoFill="0" autoLine="0" autoPict="0">
                <anchor moveWithCells="1">
                  <from>
                    <xdr:col>12</xdr:col>
                    <xdr:colOff>76200</xdr:colOff>
                    <xdr:row>179</xdr:row>
                    <xdr:rowOff>38100</xdr:rowOff>
                  </from>
                  <to>
                    <xdr:col>12</xdr:col>
                    <xdr:colOff>323850</xdr:colOff>
                    <xdr:row>179</xdr:row>
                    <xdr:rowOff>304800</xdr:rowOff>
                  </to>
                </anchor>
              </controlPr>
            </control>
          </mc:Choice>
        </mc:AlternateContent>
        <mc:AlternateContent xmlns:mc="http://schemas.openxmlformats.org/markup-compatibility/2006">
          <mc:Choice Requires="x14">
            <control shapeId="59545" r:id="rId138" name="Check Box 153">
              <controlPr defaultSize="0" autoFill="0" autoLine="0" autoPict="0">
                <anchor moveWithCells="1">
                  <from>
                    <xdr:col>12</xdr:col>
                    <xdr:colOff>76200</xdr:colOff>
                    <xdr:row>180</xdr:row>
                    <xdr:rowOff>38100</xdr:rowOff>
                  </from>
                  <to>
                    <xdr:col>12</xdr:col>
                    <xdr:colOff>323850</xdr:colOff>
                    <xdr:row>180</xdr:row>
                    <xdr:rowOff>304800</xdr:rowOff>
                  </to>
                </anchor>
              </controlPr>
            </control>
          </mc:Choice>
        </mc:AlternateContent>
        <mc:AlternateContent xmlns:mc="http://schemas.openxmlformats.org/markup-compatibility/2006">
          <mc:Choice Requires="x14">
            <control shapeId="59546" r:id="rId139" name="Check Box 154">
              <controlPr defaultSize="0" autoFill="0" autoLine="0" autoPict="0">
                <anchor moveWithCells="1">
                  <from>
                    <xdr:col>12</xdr:col>
                    <xdr:colOff>76200</xdr:colOff>
                    <xdr:row>181</xdr:row>
                    <xdr:rowOff>57150</xdr:rowOff>
                  </from>
                  <to>
                    <xdr:col>12</xdr:col>
                    <xdr:colOff>323850</xdr:colOff>
                    <xdr:row>181</xdr:row>
                    <xdr:rowOff>323850</xdr:rowOff>
                  </to>
                </anchor>
              </controlPr>
            </control>
          </mc:Choice>
        </mc:AlternateContent>
        <mc:AlternateContent xmlns:mc="http://schemas.openxmlformats.org/markup-compatibility/2006">
          <mc:Choice Requires="x14">
            <control shapeId="59547" r:id="rId140" name="Check Box 155">
              <controlPr defaultSize="0" autoFill="0" autoLine="0" autoPict="0">
                <anchor moveWithCells="1">
                  <from>
                    <xdr:col>12</xdr:col>
                    <xdr:colOff>76200</xdr:colOff>
                    <xdr:row>182</xdr:row>
                    <xdr:rowOff>38100</xdr:rowOff>
                  </from>
                  <to>
                    <xdr:col>12</xdr:col>
                    <xdr:colOff>323850</xdr:colOff>
                    <xdr:row>182</xdr:row>
                    <xdr:rowOff>304800</xdr:rowOff>
                  </to>
                </anchor>
              </controlPr>
            </control>
          </mc:Choice>
        </mc:AlternateContent>
        <mc:AlternateContent xmlns:mc="http://schemas.openxmlformats.org/markup-compatibility/2006">
          <mc:Choice Requires="x14">
            <control shapeId="59548" r:id="rId141" name="Check Box 156">
              <controlPr defaultSize="0" autoFill="0" autoLine="0" autoPict="0">
                <anchor moveWithCells="1">
                  <from>
                    <xdr:col>12</xdr:col>
                    <xdr:colOff>76200</xdr:colOff>
                    <xdr:row>172</xdr:row>
                    <xdr:rowOff>152400</xdr:rowOff>
                  </from>
                  <to>
                    <xdr:col>12</xdr:col>
                    <xdr:colOff>323850</xdr:colOff>
                    <xdr:row>172</xdr:row>
                    <xdr:rowOff>600075</xdr:rowOff>
                  </to>
                </anchor>
              </controlPr>
            </control>
          </mc:Choice>
        </mc:AlternateContent>
        <mc:AlternateContent xmlns:mc="http://schemas.openxmlformats.org/markup-compatibility/2006">
          <mc:Choice Requires="x14">
            <control shapeId="59549" r:id="rId142" name="Check Box 157">
              <controlPr defaultSize="0" autoFill="0" autoLine="0" autoPict="0">
                <anchor moveWithCells="1">
                  <from>
                    <xdr:col>12</xdr:col>
                    <xdr:colOff>76200</xdr:colOff>
                    <xdr:row>184</xdr:row>
                    <xdr:rowOff>247650</xdr:rowOff>
                  </from>
                  <to>
                    <xdr:col>12</xdr:col>
                    <xdr:colOff>323850</xdr:colOff>
                    <xdr:row>184</xdr:row>
                    <xdr:rowOff>476250</xdr:rowOff>
                  </to>
                </anchor>
              </controlPr>
            </control>
          </mc:Choice>
        </mc:AlternateContent>
        <mc:AlternateContent xmlns:mc="http://schemas.openxmlformats.org/markup-compatibility/2006">
          <mc:Choice Requires="x14">
            <control shapeId="59550" r:id="rId143" name="Check Box 158">
              <controlPr defaultSize="0" autoFill="0" autoLine="0" autoPict="0">
                <anchor moveWithCells="1">
                  <from>
                    <xdr:col>12</xdr:col>
                    <xdr:colOff>76200</xdr:colOff>
                    <xdr:row>185</xdr:row>
                    <xdr:rowOff>257175</xdr:rowOff>
                  </from>
                  <to>
                    <xdr:col>12</xdr:col>
                    <xdr:colOff>323850</xdr:colOff>
                    <xdr:row>185</xdr:row>
                    <xdr:rowOff>523875</xdr:rowOff>
                  </to>
                </anchor>
              </controlPr>
            </control>
          </mc:Choice>
        </mc:AlternateContent>
        <mc:AlternateContent xmlns:mc="http://schemas.openxmlformats.org/markup-compatibility/2006">
          <mc:Choice Requires="x14">
            <control shapeId="59551" r:id="rId144" name="Check Box 159">
              <controlPr defaultSize="0" autoFill="0" autoLine="0" autoPict="0">
                <anchor moveWithCells="1">
                  <from>
                    <xdr:col>12</xdr:col>
                    <xdr:colOff>76200</xdr:colOff>
                    <xdr:row>186</xdr:row>
                    <xdr:rowOff>38100</xdr:rowOff>
                  </from>
                  <to>
                    <xdr:col>12</xdr:col>
                    <xdr:colOff>323850</xdr:colOff>
                    <xdr:row>186</xdr:row>
                    <xdr:rowOff>304800</xdr:rowOff>
                  </to>
                </anchor>
              </controlPr>
            </control>
          </mc:Choice>
        </mc:AlternateContent>
        <mc:AlternateContent xmlns:mc="http://schemas.openxmlformats.org/markup-compatibility/2006">
          <mc:Choice Requires="x14">
            <control shapeId="59552" r:id="rId145" name="Check Box 160">
              <controlPr defaultSize="0" autoFill="0" autoLine="0" autoPict="0">
                <anchor moveWithCells="1">
                  <from>
                    <xdr:col>12</xdr:col>
                    <xdr:colOff>76200</xdr:colOff>
                    <xdr:row>188</xdr:row>
                    <xdr:rowOff>57150</xdr:rowOff>
                  </from>
                  <to>
                    <xdr:col>12</xdr:col>
                    <xdr:colOff>323850</xdr:colOff>
                    <xdr:row>188</xdr:row>
                    <xdr:rowOff>323850</xdr:rowOff>
                  </to>
                </anchor>
              </controlPr>
            </control>
          </mc:Choice>
        </mc:AlternateContent>
        <mc:AlternateContent xmlns:mc="http://schemas.openxmlformats.org/markup-compatibility/2006">
          <mc:Choice Requires="x14">
            <control shapeId="59557" r:id="rId146" name="Check Box 165">
              <controlPr defaultSize="0" autoFill="0" autoLine="0" autoPict="0">
                <anchor moveWithCells="1">
                  <from>
                    <xdr:col>12</xdr:col>
                    <xdr:colOff>76200</xdr:colOff>
                    <xdr:row>192</xdr:row>
                    <xdr:rowOff>76200</xdr:rowOff>
                  </from>
                  <to>
                    <xdr:col>12</xdr:col>
                    <xdr:colOff>323850</xdr:colOff>
                    <xdr:row>192</xdr:row>
                    <xdr:rowOff>342900</xdr:rowOff>
                  </to>
                </anchor>
              </controlPr>
            </control>
          </mc:Choice>
        </mc:AlternateContent>
        <mc:AlternateContent xmlns:mc="http://schemas.openxmlformats.org/markup-compatibility/2006">
          <mc:Choice Requires="x14">
            <control shapeId="59559" r:id="rId147" name="Option Button 167">
              <controlPr defaultSize="0" autoFill="0" autoLine="0" autoPict="0">
                <anchor moveWithCells="1">
                  <from>
                    <xdr:col>8</xdr:col>
                    <xdr:colOff>238125</xdr:colOff>
                    <xdr:row>21</xdr:row>
                    <xdr:rowOff>523875</xdr:rowOff>
                  </from>
                  <to>
                    <xdr:col>8</xdr:col>
                    <xdr:colOff>485775</xdr:colOff>
                    <xdr:row>21</xdr:row>
                    <xdr:rowOff>742950</xdr:rowOff>
                  </to>
                </anchor>
              </controlPr>
            </control>
          </mc:Choice>
        </mc:AlternateContent>
        <mc:AlternateContent xmlns:mc="http://schemas.openxmlformats.org/markup-compatibility/2006">
          <mc:Choice Requires="x14">
            <control shapeId="59560" r:id="rId148" name="Option Button 168">
              <controlPr defaultSize="0" autoFill="0" autoLine="0" autoPict="0">
                <anchor moveWithCells="1">
                  <from>
                    <xdr:col>9</xdr:col>
                    <xdr:colOff>238125</xdr:colOff>
                    <xdr:row>21</xdr:row>
                    <xdr:rowOff>523875</xdr:rowOff>
                  </from>
                  <to>
                    <xdr:col>9</xdr:col>
                    <xdr:colOff>485775</xdr:colOff>
                    <xdr:row>21</xdr:row>
                    <xdr:rowOff>742950</xdr:rowOff>
                  </to>
                </anchor>
              </controlPr>
            </control>
          </mc:Choice>
        </mc:AlternateContent>
        <mc:AlternateContent xmlns:mc="http://schemas.openxmlformats.org/markup-compatibility/2006">
          <mc:Choice Requires="x14">
            <control shapeId="59561" r:id="rId149" name="Option Button 169">
              <controlPr defaultSize="0" autoFill="0" autoLine="0" autoPict="0">
                <anchor moveWithCells="1">
                  <from>
                    <xdr:col>10</xdr:col>
                    <xdr:colOff>238125</xdr:colOff>
                    <xdr:row>21</xdr:row>
                    <xdr:rowOff>523875</xdr:rowOff>
                  </from>
                  <to>
                    <xdr:col>10</xdr:col>
                    <xdr:colOff>485775</xdr:colOff>
                    <xdr:row>21</xdr:row>
                    <xdr:rowOff>742950</xdr:rowOff>
                  </to>
                </anchor>
              </controlPr>
            </control>
          </mc:Choice>
        </mc:AlternateContent>
        <mc:AlternateContent xmlns:mc="http://schemas.openxmlformats.org/markup-compatibility/2006">
          <mc:Choice Requires="x14">
            <control shapeId="59562" r:id="rId150" name="Group Box 170">
              <controlPr defaultSize="0" autoFill="0" autoPict="0">
                <anchor moveWithCells="1">
                  <from>
                    <xdr:col>8</xdr:col>
                    <xdr:colOff>66675</xdr:colOff>
                    <xdr:row>21</xdr:row>
                    <xdr:rowOff>504825</xdr:rowOff>
                  </from>
                  <to>
                    <xdr:col>11</xdr:col>
                    <xdr:colOff>0</xdr:colOff>
                    <xdr:row>21</xdr:row>
                    <xdr:rowOff>762000</xdr:rowOff>
                  </to>
                </anchor>
              </controlPr>
            </control>
          </mc:Choice>
        </mc:AlternateContent>
        <mc:AlternateContent xmlns:mc="http://schemas.openxmlformats.org/markup-compatibility/2006">
          <mc:Choice Requires="x14">
            <control shapeId="59563" r:id="rId151" name="Option Button 171">
              <controlPr defaultSize="0" autoFill="0" autoLine="0" autoPict="0">
                <anchor moveWithCells="1">
                  <from>
                    <xdr:col>8</xdr:col>
                    <xdr:colOff>238125</xdr:colOff>
                    <xdr:row>23</xdr:row>
                    <xdr:rowOff>419100</xdr:rowOff>
                  </from>
                  <to>
                    <xdr:col>8</xdr:col>
                    <xdr:colOff>485775</xdr:colOff>
                    <xdr:row>23</xdr:row>
                    <xdr:rowOff>638175</xdr:rowOff>
                  </to>
                </anchor>
              </controlPr>
            </control>
          </mc:Choice>
        </mc:AlternateContent>
        <mc:AlternateContent xmlns:mc="http://schemas.openxmlformats.org/markup-compatibility/2006">
          <mc:Choice Requires="x14">
            <control shapeId="59564" r:id="rId152" name="Option Button 172">
              <controlPr defaultSize="0" autoFill="0" autoLine="0" autoPict="0">
                <anchor moveWithCells="1">
                  <from>
                    <xdr:col>9</xdr:col>
                    <xdr:colOff>238125</xdr:colOff>
                    <xdr:row>23</xdr:row>
                    <xdr:rowOff>419100</xdr:rowOff>
                  </from>
                  <to>
                    <xdr:col>9</xdr:col>
                    <xdr:colOff>485775</xdr:colOff>
                    <xdr:row>23</xdr:row>
                    <xdr:rowOff>638175</xdr:rowOff>
                  </to>
                </anchor>
              </controlPr>
            </control>
          </mc:Choice>
        </mc:AlternateContent>
        <mc:AlternateContent xmlns:mc="http://schemas.openxmlformats.org/markup-compatibility/2006">
          <mc:Choice Requires="x14">
            <control shapeId="59565" r:id="rId153" name="Option Button 173">
              <controlPr defaultSize="0" autoFill="0" autoLine="0" autoPict="0">
                <anchor moveWithCells="1">
                  <from>
                    <xdr:col>10</xdr:col>
                    <xdr:colOff>238125</xdr:colOff>
                    <xdr:row>23</xdr:row>
                    <xdr:rowOff>419100</xdr:rowOff>
                  </from>
                  <to>
                    <xdr:col>10</xdr:col>
                    <xdr:colOff>485775</xdr:colOff>
                    <xdr:row>23</xdr:row>
                    <xdr:rowOff>638175</xdr:rowOff>
                  </to>
                </anchor>
              </controlPr>
            </control>
          </mc:Choice>
        </mc:AlternateContent>
        <mc:AlternateContent xmlns:mc="http://schemas.openxmlformats.org/markup-compatibility/2006">
          <mc:Choice Requires="x14">
            <control shapeId="59566" r:id="rId154" name="Group Box 174">
              <controlPr defaultSize="0" autoFill="0" autoPict="0">
                <anchor moveWithCells="1">
                  <from>
                    <xdr:col>8</xdr:col>
                    <xdr:colOff>66675</xdr:colOff>
                    <xdr:row>23</xdr:row>
                    <xdr:rowOff>400050</xdr:rowOff>
                  </from>
                  <to>
                    <xdr:col>11</xdr:col>
                    <xdr:colOff>0</xdr:colOff>
                    <xdr:row>23</xdr:row>
                    <xdr:rowOff>647700</xdr:rowOff>
                  </to>
                </anchor>
              </controlPr>
            </control>
          </mc:Choice>
        </mc:AlternateContent>
        <mc:AlternateContent xmlns:mc="http://schemas.openxmlformats.org/markup-compatibility/2006">
          <mc:Choice Requires="x14">
            <control shapeId="59567" r:id="rId155" name="Option Button 175">
              <controlPr defaultSize="0" autoFill="0" autoLine="0" autoPict="0">
                <anchor moveWithCells="1">
                  <from>
                    <xdr:col>8</xdr:col>
                    <xdr:colOff>238125</xdr:colOff>
                    <xdr:row>32</xdr:row>
                    <xdr:rowOff>609600</xdr:rowOff>
                  </from>
                  <to>
                    <xdr:col>8</xdr:col>
                    <xdr:colOff>485775</xdr:colOff>
                    <xdr:row>32</xdr:row>
                    <xdr:rowOff>828675</xdr:rowOff>
                  </to>
                </anchor>
              </controlPr>
            </control>
          </mc:Choice>
        </mc:AlternateContent>
        <mc:AlternateContent xmlns:mc="http://schemas.openxmlformats.org/markup-compatibility/2006">
          <mc:Choice Requires="x14">
            <control shapeId="59568" r:id="rId156" name="Option Button 176">
              <controlPr defaultSize="0" autoFill="0" autoLine="0" autoPict="0">
                <anchor moveWithCells="1">
                  <from>
                    <xdr:col>9</xdr:col>
                    <xdr:colOff>238125</xdr:colOff>
                    <xdr:row>32</xdr:row>
                    <xdr:rowOff>609600</xdr:rowOff>
                  </from>
                  <to>
                    <xdr:col>9</xdr:col>
                    <xdr:colOff>485775</xdr:colOff>
                    <xdr:row>32</xdr:row>
                    <xdr:rowOff>828675</xdr:rowOff>
                  </to>
                </anchor>
              </controlPr>
            </control>
          </mc:Choice>
        </mc:AlternateContent>
        <mc:AlternateContent xmlns:mc="http://schemas.openxmlformats.org/markup-compatibility/2006">
          <mc:Choice Requires="x14">
            <control shapeId="59569" r:id="rId157" name="Option Button 177">
              <controlPr defaultSize="0" autoFill="0" autoLine="0" autoPict="0">
                <anchor moveWithCells="1">
                  <from>
                    <xdr:col>10</xdr:col>
                    <xdr:colOff>238125</xdr:colOff>
                    <xdr:row>32</xdr:row>
                    <xdr:rowOff>609600</xdr:rowOff>
                  </from>
                  <to>
                    <xdr:col>10</xdr:col>
                    <xdr:colOff>485775</xdr:colOff>
                    <xdr:row>32</xdr:row>
                    <xdr:rowOff>828675</xdr:rowOff>
                  </to>
                </anchor>
              </controlPr>
            </control>
          </mc:Choice>
        </mc:AlternateContent>
        <mc:AlternateContent xmlns:mc="http://schemas.openxmlformats.org/markup-compatibility/2006">
          <mc:Choice Requires="x14">
            <control shapeId="59570" r:id="rId158" name="Group Box 178">
              <controlPr defaultSize="0" autoFill="0" autoPict="0">
                <anchor moveWithCells="1">
                  <from>
                    <xdr:col>8</xdr:col>
                    <xdr:colOff>66675</xdr:colOff>
                    <xdr:row>32</xdr:row>
                    <xdr:rowOff>590550</xdr:rowOff>
                  </from>
                  <to>
                    <xdr:col>11</xdr:col>
                    <xdr:colOff>0</xdr:colOff>
                    <xdr:row>32</xdr:row>
                    <xdr:rowOff>838200</xdr:rowOff>
                  </to>
                </anchor>
              </controlPr>
            </control>
          </mc:Choice>
        </mc:AlternateContent>
        <mc:AlternateContent xmlns:mc="http://schemas.openxmlformats.org/markup-compatibility/2006">
          <mc:Choice Requires="x14">
            <control shapeId="59571" r:id="rId159" name="Option Button 179">
              <controlPr defaultSize="0" autoFill="0" autoLine="0" autoPict="0">
                <anchor moveWithCells="1">
                  <from>
                    <xdr:col>8</xdr:col>
                    <xdr:colOff>238125</xdr:colOff>
                    <xdr:row>39</xdr:row>
                    <xdr:rowOff>200025</xdr:rowOff>
                  </from>
                  <to>
                    <xdr:col>8</xdr:col>
                    <xdr:colOff>485775</xdr:colOff>
                    <xdr:row>39</xdr:row>
                    <xdr:rowOff>419100</xdr:rowOff>
                  </to>
                </anchor>
              </controlPr>
            </control>
          </mc:Choice>
        </mc:AlternateContent>
        <mc:AlternateContent xmlns:mc="http://schemas.openxmlformats.org/markup-compatibility/2006">
          <mc:Choice Requires="x14">
            <control shapeId="59572" r:id="rId160" name="Option Button 180">
              <controlPr defaultSize="0" autoFill="0" autoLine="0" autoPict="0">
                <anchor moveWithCells="1">
                  <from>
                    <xdr:col>9</xdr:col>
                    <xdr:colOff>238125</xdr:colOff>
                    <xdr:row>39</xdr:row>
                    <xdr:rowOff>200025</xdr:rowOff>
                  </from>
                  <to>
                    <xdr:col>9</xdr:col>
                    <xdr:colOff>485775</xdr:colOff>
                    <xdr:row>39</xdr:row>
                    <xdr:rowOff>419100</xdr:rowOff>
                  </to>
                </anchor>
              </controlPr>
            </control>
          </mc:Choice>
        </mc:AlternateContent>
        <mc:AlternateContent xmlns:mc="http://schemas.openxmlformats.org/markup-compatibility/2006">
          <mc:Choice Requires="x14">
            <control shapeId="59573" r:id="rId161" name="Option Button 181">
              <controlPr defaultSize="0" autoFill="0" autoLine="0" autoPict="0">
                <anchor moveWithCells="1">
                  <from>
                    <xdr:col>10</xdr:col>
                    <xdr:colOff>238125</xdr:colOff>
                    <xdr:row>39</xdr:row>
                    <xdr:rowOff>200025</xdr:rowOff>
                  </from>
                  <to>
                    <xdr:col>10</xdr:col>
                    <xdr:colOff>485775</xdr:colOff>
                    <xdr:row>39</xdr:row>
                    <xdr:rowOff>419100</xdr:rowOff>
                  </to>
                </anchor>
              </controlPr>
            </control>
          </mc:Choice>
        </mc:AlternateContent>
        <mc:AlternateContent xmlns:mc="http://schemas.openxmlformats.org/markup-compatibility/2006">
          <mc:Choice Requires="x14">
            <control shapeId="59574" r:id="rId162" name="Group Box 182">
              <controlPr defaultSize="0" autoFill="0" autoPict="0">
                <anchor moveWithCells="1">
                  <from>
                    <xdr:col>8</xdr:col>
                    <xdr:colOff>66675</xdr:colOff>
                    <xdr:row>39</xdr:row>
                    <xdr:rowOff>180975</xdr:rowOff>
                  </from>
                  <to>
                    <xdr:col>11</xdr:col>
                    <xdr:colOff>0</xdr:colOff>
                    <xdr:row>39</xdr:row>
                    <xdr:rowOff>438150</xdr:rowOff>
                  </to>
                </anchor>
              </controlPr>
            </control>
          </mc:Choice>
        </mc:AlternateContent>
        <mc:AlternateContent xmlns:mc="http://schemas.openxmlformats.org/markup-compatibility/2006">
          <mc:Choice Requires="x14">
            <control shapeId="59575" r:id="rId163" name="Option Button 183">
              <controlPr defaultSize="0" autoFill="0" autoLine="0" autoPict="0">
                <anchor moveWithCells="1">
                  <from>
                    <xdr:col>8</xdr:col>
                    <xdr:colOff>238125</xdr:colOff>
                    <xdr:row>40</xdr:row>
                    <xdr:rowOff>838200</xdr:rowOff>
                  </from>
                  <to>
                    <xdr:col>8</xdr:col>
                    <xdr:colOff>485775</xdr:colOff>
                    <xdr:row>40</xdr:row>
                    <xdr:rowOff>1057275</xdr:rowOff>
                  </to>
                </anchor>
              </controlPr>
            </control>
          </mc:Choice>
        </mc:AlternateContent>
        <mc:AlternateContent xmlns:mc="http://schemas.openxmlformats.org/markup-compatibility/2006">
          <mc:Choice Requires="x14">
            <control shapeId="59576" r:id="rId164" name="Option Button 184">
              <controlPr defaultSize="0" autoFill="0" autoLine="0" autoPict="0">
                <anchor moveWithCells="1">
                  <from>
                    <xdr:col>9</xdr:col>
                    <xdr:colOff>238125</xdr:colOff>
                    <xdr:row>40</xdr:row>
                    <xdr:rowOff>838200</xdr:rowOff>
                  </from>
                  <to>
                    <xdr:col>9</xdr:col>
                    <xdr:colOff>485775</xdr:colOff>
                    <xdr:row>40</xdr:row>
                    <xdr:rowOff>1057275</xdr:rowOff>
                  </to>
                </anchor>
              </controlPr>
            </control>
          </mc:Choice>
        </mc:AlternateContent>
        <mc:AlternateContent xmlns:mc="http://schemas.openxmlformats.org/markup-compatibility/2006">
          <mc:Choice Requires="x14">
            <control shapeId="59577" r:id="rId165" name="Option Button 185">
              <controlPr defaultSize="0" autoFill="0" autoLine="0" autoPict="0">
                <anchor moveWithCells="1">
                  <from>
                    <xdr:col>10</xdr:col>
                    <xdr:colOff>238125</xdr:colOff>
                    <xdr:row>40</xdr:row>
                    <xdr:rowOff>838200</xdr:rowOff>
                  </from>
                  <to>
                    <xdr:col>10</xdr:col>
                    <xdr:colOff>485775</xdr:colOff>
                    <xdr:row>40</xdr:row>
                    <xdr:rowOff>1057275</xdr:rowOff>
                  </to>
                </anchor>
              </controlPr>
            </control>
          </mc:Choice>
        </mc:AlternateContent>
        <mc:AlternateContent xmlns:mc="http://schemas.openxmlformats.org/markup-compatibility/2006">
          <mc:Choice Requires="x14">
            <control shapeId="59578" r:id="rId166" name="Group Box 186">
              <controlPr defaultSize="0" autoFill="0" autoPict="0">
                <anchor moveWithCells="1">
                  <from>
                    <xdr:col>8</xdr:col>
                    <xdr:colOff>66675</xdr:colOff>
                    <xdr:row>40</xdr:row>
                    <xdr:rowOff>819150</xdr:rowOff>
                  </from>
                  <to>
                    <xdr:col>11</xdr:col>
                    <xdr:colOff>0</xdr:colOff>
                    <xdr:row>40</xdr:row>
                    <xdr:rowOff>1076325</xdr:rowOff>
                  </to>
                </anchor>
              </controlPr>
            </control>
          </mc:Choice>
        </mc:AlternateContent>
        <mc:AlternateContent xmlns:mc="http://schemas.openxmlformats.org/markup-compatibility/2006">
          <mc:Choice Requires="x14">
            <control shapeId="59582" r:id="rId167" name="Group Box 190">
              <controlPr defaultSize="0" autoFill="0" autoPict="0">
                <anchor moveWithCells="1">
                  <from>
                    <xdr:col>8</xdr:col>
                    <xdr:colOff>66675</xdr:colOff>
                    <xdr:row>41</xdr:row>
                    <xdr:rowOff>0</xdr:rowOff>
                  </from>
                  <to>
                    <xdr:col>11</xdr:col>
                    <xdr:colOff>0</xdr:colOff>
                    <xdr:row>41</xdr:row>
                    <xdr:rowOff>247650</xdr:rowOff>
                  </to>
                </anchor>
              </controlPr>
            </control>
          </mc:Choice>
        </mc:AlternateContent>
        <mc:AlternateContent xmlns:mc="http://schemas.openxmlformats.org/markup-compatibility/2006">
          <mc:Choice Requires="x14">
            <control shapeId="59583" r:id="rId168" name="Option Button 191">
              <controlPr defaultSize="0" autoFill="0" autoLine="0" autoPict="0">
                <anchor moveWithCells="1">
                  <from>
                    <xdr:col>8</xdr:col>
                    <xdr:colOff>238125</xdr:colOff>
                    <xdr:row>41</xdr:row>
                    <xdr:rowOff>609600</xdr:rowOff>
                  </from>
                  <to>
                    <xdr:col>8</xdr:col>
                    <xdr:colOff>485775</xdr:colOff>
                    <xdr:row>41</xdr:row>
                    <xdr:rowOff>828675</xdr:rowOff>
                  </to>
                </anchor>
              </controlPr>
            </control>
          </mc:Choice>
        </mc:AlternateContent>
        <mc:AlternateContent xmlns:mc="http://schemas.openxmlformats.org/markup-compatibility/2006">
          <mc:Choice Requires="x14">
            <control shapeId="59584" r:id="rId169" name="Option Button 192">
              <controlPr defaultSize="0" autoFill="0" autoLine="0" autoPict="0">
                <anchor moveWithCells="1">
                  <from>
                    <xdr:col>9</xdr:col>
                    <xdr:colOff>238125</xdr:colOff>
                    <xdr:row>41</xdr:row>
                    <xdr:rowOff>609600</xdr:rowOff>
                  </from>
                  <to>
                    <xdr:col>9</xdr:col>
                    <xdr:colOff>485775</xdr:colOff>
                    <xdr:row>41</xdr:row>
                    <xdr:rowOff>828675</xdr:rowOff>
                  </to>
                </anchor>
              </controlPr>
            </control>
          </mc:Choice>
        </mc:AlternateContent>
        <mc:AlternateContent xmlns:mc="http://schemas.openxmlformats.org/markup-compatibility/2006">
          <mc:Choice Requires="x14">
            <control shapeId="59585" r:id="rId170" name="Option Button 193">
              <controlPr defaultSize="0" autoFill="0" autoLine="0" autoPict="0">
                <anchor moveWithCells="1">
                  <from>
                    <xdr:col>10</xdr:col>
                    <xdr:colOff>238125</xdr:colOff>
                    <xdr:row>41</xdr:row>
                    <xdr:rowOff>609600</xdr:rowOff>
                  </from>
                  <to>
                    <xdr:col>10</xdr:col>
                    <xdr:colOff>485775</xdr:colOff>
                    <xdr:row>41</xdr:row>
                    <xdr:rowOff>828675</xdr:rowOff>
                  </to>
                </anchor>
              </controlPr>
            </control>
          </mc:Choice>
        </mc:AlternateContent>
        <mc:AlternateContent xmlns:mc="http://schemas.openxmlformats.org/markup-compatibility/2006">
          <mc:Choice Requires="x14">
            <control shapeId="59586" r:id="rId171" name="Group Box 194">
              <controlPr defaultSize="0" autoFill="0" autoPict="0">
                <anchor moveWithCells="1">
                  <from>
                    <xdr:col>8</xdr:col>
                    <xdr:colOff>66675</xdr:colOff>
                    <xdr:row>41</xdr:row>
                    <xdr:rowOff>590550</xdr:rowOff>
                  </from>
                  <to>
                    <xdr:col>11</xdr:col>
                    <xdr:colOff>0</xdr:colOff>
                    <xdr:row>41</xdr:row>
                    <xdr:rowOff>838200</xdr:rowOff>
                  </to>
                </anchor>
              </controlPr>
            </control>
          </mc:Choice>
        </mc:AlternateContent>
        <mc:AlternateContent xmlns:mc="http://schemas.openxmlformats.org/markup-compatibility/2006">
          <mc:Choice Requires="x14">
            <control shapeId="59591" r:id="rId172" name="Option Button 199">
              <controlPr defaultSize="0" autoFill="0" autoLine="0" autoPict="0">
                <anchor moveWithCells="1">
                  <from>
                    <xdr:col>8</xdr:col>
                    <xdr:colOff>238125</xdr:colOff>
                    <xdr:row>43</xdr:row>
                    <xdr:rowOff>390525</xdr:rowOff>
                  </from>
                  <to>
                    <xdr:col>8</xdr:col>
                    <xdr:colOff>485775</xdr:colOff>
                    <xdr:row>43</xdr:row>
                    <xdr:rowOff>609600</xdr:rowOff>
                  </to>
                </anchor>
              </controlPr>
            </control>
          </mc:Choice>
        </mc:AlternateContent>
        <mc:AlternateContent xmlns:mc="http://schemas.openxmlformats.org/markup-compatibility/2006">
          <mc:Choice Requires="x14">
            <control shapeId="59592" r:id="rId173" name="Option Button 200">
              <controlPr defaultSize="0" autoFill="0" autoLine="0" autoPict="0">
                <anchor moveWithCells="1">
                  <from>
                    <xdr:col>9</xdr:col>
                    <xdr:colOff>238125</xdr:colOff>
                    <xdr:row>43</xdr:row>
                    <xdr:rowOff>390525</xdr:rowOff>
                  </from>
                  <to>
                    <xdr:col>9</xdr:col>
                    <xdr:colOff>485775</xdr:colOff>
                    <xdr:row>43</xdr:row>
                    <xdr:rowOff>609600</xdr:rowOff>
                  </to>
                </anchor>
              </controlPr>
            </control>
          </mc:Choice>
        </mc:AlternateContent>
        <mc:AlternateContent xmlns:mc="http://schemas.openxmlformats.org/markup-compatibility/2006">
          <mc:Choice Requires="x14">
            <control shapeId="59593" r:id="rId174" name="Option Button 201">
              <controlPr defaultSize="0" autoFill="0" autoLine="0" autoPict="0">
                <anchor moveWithCells="1">
                  <from>
                    <xdr:col>10</xdr:col>
                    <xdr:colOff>238125</xdr:colOff>
                    <xdr:row>43</xdr:row>
                    <xdr:rowOff>390525</xdr:rowOff>
                  </from>
                  <to>
                    <xdr:col>10</xdr:col>
                    <xdr:colOff>485775</xdr:colOff>
                    <xdr:row>43</xdr:row>
                    <xdr:rowOff>609600</xdr:rowOff>
                  </to>
                </anchor>
              </controlPr>
            </control>
          </mc:Choice>
        </mc:AlternateContent>
        <mc:AlternateContent xmlns:mc="http://schemas.openxmlformats.org/markup-compatibility/2006">
          <mc:Choice Requires="x14">
            <control shapeId="59594" r:id="rId175" name="Group Box 202">
              <controlPr defaultSize="0" autoFill="0" autoPict="0">
                <anchor moveWithCells="1">
                  <from>
                    <xdr:col>8</xdr:col>
                    <xdr:colOff>66675</xdr:colOff>
                    <xdr:row>43</xdr:row>
                    <xdr:rowOff>371475</xdr:rowOff>
                  </from>
                  <to>
                    <xdr:col>11</xdr:col>
                    <xdr:colOff>0</xdr:colOff>
                    <xdr:row>43</xdr:row>
                    <xdr:rowOff>628650</xdr:rowOff>
                  </to>
                </anchor>
              </controlPr>
            </control>
          </mc:Choice>
        </mc:AlternateContent>
        <mc:AlternateContent xmlns:mc="http://schemas.openxmlformats.org/markup-compatibility/2006">
          <mc:Choice Requires="x14">
            <control shapeId="59595" r:id="rId176" name="Option Button 203">
              <controlPr defaultSize="0" autoFill="0" autoLine="0" autoPict="0">
                <anchor moveWithCells="1">
                  <from>
                    <xdr:col>8</xdr:col>
                    <xdr:colOff>238125</xdr:colOff>
                    <xdr:row>46</xdr:row>
                    <xdr:rowOff>200025</xdr:rowOff>
                  </from>
                  <to>
                    <xdr:col>8</xdr:col>
                    <xdr:colOff>485775</xdr:colOff>
                    <xdr:row>46</xdr:row>
                    <xdr:rowOff>419100</xdr:rowOff>
                  </to>
                </anchor>
              </controlPr>
            </control>
          </mc:Choice>
        </mc:AlternateContent>
        <mc:AlternateContent xmlns:mc="http://schemas.openxmlformats.org/markup-compatibility/2006">
          <mc:Choice Requires="x14">
            <control shapeId="59596" r:id="rId177" name="Option Button 204">
              <controlPr defaultSize="0" autoFill="0" autoLine="0" autoPict="0">
                <anchor moveWithCells="1">
                  <from>
                    <xdr:col>9</xdr:col>
                    <xdr:colOff>238125</xdr:colOff>
                    <xdr:row>46</xdr:row>
                    <xdr:rowOff>200025</xdr:rowOff>
                  </from>
                  <to>
                    <xdr:col>9</xdr:col>
                    <xdr:colOff>485775</xdr:colOff>
                    <xdr:row>46</xdr:row>
                    <xdr:rowOff>419100</xdr:rowOff>
                  </to>
                </anchor>
              </controlPr>
            </control>
          </mc:Choice>
        </mc:AlternateContent>
        <mc:AlternateContent xmlns:mc="http://schemas.openxmlformats.org/markup-compatibility/2006">
          <mc:Choice Requires="x14">
            <control shapeId="59597" r:id="rId178" name="Option Button 205">
              <controlPr defaultSize="0" autoFill="0" autoLine="0" autoPict="0">
                <anchor moveWithCells="1">
                  <from>
                    <xdr:col>10</xdr:col>
                    <xdr:colOff>238125</xdr:colOff>
                    <xdr:row>46</xdr:row>
                    <xdr:rowOff>200025</xdr:rowOff>
                  </from>
                  <to>
                    <xdr:col>10</xdr:col>
                    <xdr:colOff>485775</xdr:colOff>
                    <xdr:row>46</xdr:row>
                    <xdr:rowOff>419100</xdr:rowOff>
                  </to>
                </anchor>
              </controlPr>
            </control>
          </mc:Choice>
        </mc:AlternateContent>
        <mc:AlternateContent xmlns:mc="http://schemas.openxmlformats.org/markup-compatibility/2006">
          <mc:Choice Requires="x14">
            <control shapeId="59598" r:id="rId179" name="Group Box 206">
              <controlPr defaultSize="0" autoFill="0" autoPict="0">
                <anchor moveWithCells="1">
                  <from>
                    <xdr:col>8</xdr:col>
                    <xdr:colOff>66675</xdr:colOff>
                    <xdr:row>46</xdr:row>
                    <xdr:rowOff>180975</xdr:rowOff>
                  </from>
                  <to>
                    <xdr:col>11</xdr:col>
                    <xdr:colOff>0</xdr:colOff>
                    <xdr:row>46</xdr:row>
                    <xdr:rowOff>438150</xdr:rowOff>
                  </to>
                </anchor>
              </controlPr>
            </control>
          </mc:Choice>
        </mc:AlternateContent>
        <mc:AlternateContent xmlns:mc="http://schemas.openxmlformats.org/markup-compatibility/2006">
          <mc:Choice Requires="x14">
            <control shapeId="59611" r:id="rId180" name="Option Button 219">
              <controlPr defaultSize="0" autoFill="0" autoLine="0" autoPict="0">
                <anchor moveWithCells="1">
                  <from>
                    <xdr:col>8</xdr:col>
                    <xdr:colOff>238125</xdr:colOff>
                    <xdr:row>58</xdr:row>
                    <xdr:rowOff>523875</xdr:rowOff>
                  </from>
                  <to>
                    <xdr:col>8</xdr:col>
                    <xdr:colOff>485775</xdr:colOff>
                    <xdr:row>58</xdr:row>
                    <xdr:rowOff>742950</xdr:rowOff>
                  </to>
                </anchor>
              </controlPr>
            </control>
          </mc:Choice>
        </mc:AlternateContent>
        <mc:AlternateContent xmlns:mc="http://schemas.openxmlformats.org/markup-compatibility/2006">
          <mc:Choice Requires="x14">
            <control shapeId="59612" r:id="rId181" name="Option Button 220">
              <controlPr defaultSize="0" autoFill="0" autoLine="0" autoPict="0">
                <anchor moveWithCells="1">
                  <from>
                    <xdr:col>9</xdr:col>
                    <xdr:colOff>238125</xdr:colOff>
                    <xdr:row>58</xdr:row>
                    <xdr:rowOff>523875</xdr:rowOff>
                  </from>
                  <to>
                    <xdr:col>9</xdr:col>
                    <xdr:colOff>485775</xdr:colOff>
                    <xdr:row>58</xdr:row>
                    <xdr:rowOff>742950</xdr:rowOff>
                  </to>
                </anchor>
              </controlPr>
            </control>
          </mc:Choice>
        </mc:AlternateContent>
        <mc:AlternateContent xmlns:mc="http://schemas.openxmlformats.org/markup-compatibility/2006">
          <mc:Choice Requires="x14">
            <control shapeId="59613" r:id="rId182" name="Option Button 221">
              <controlPr defaultSize="0" autoFill="0" autoLine="0" autoPict="0">
                <anchor moveWithCells="1">
                  <from>
                    <xdr:col>10</xdr:col>
                    <xdr:colOff>238125</xdr:colOff>
                    <xdr:row>58</xdr:row>
                    <xdr:rowOff>523875</xdr:rowOff>
                  </from>
                  <to>
                    <xdr:col>10</xdr:col>
                    <xdr:colOff>485775</xdr:colOff>
                    <xdr:row>58</xdr:row>
                    <xdr:rowOff>742950</xdr:rowOff>
                  </to>
                </anchor>
              </controlPr>
            </control>
          </mc:Choice>
        </mc:AlternateContent>
        <mc:AlternateContent xmlns:mc="http://schemas.openxmlformats.org/markup-compatibility/2006">
          <mc:Choice Requires="x14">
            <control shapeId="59614" r:id="rId183" name="Group Box 222">
              <controlPr defaultSize="0" autoFill="0" autoPict="0">
                <anchor moveWithCells="1">
                  <from>
                    <xdr:col>8</xdr:col>
                    <xdr:colOff>66675</xdr:colOff>
                    <xdr:row>58</xdr:row>
                    <xdr:rowOff>504825</xdr:rowOff>
                  </from>
                  <to>
                    <xdr:col>11</xdr:col>
                    <xdr:colOff>0</xdr:colOff>
                    <xdr:row>58</xdr:row>
                    <xdr:rowOff>762000</xdr:rowOff>
                  </to>
                </anchor>
              </controlPr>
            </control>
          </mc:Choice>
        </mc:AlternateContent>
        <mc:AlternateContent xmlns:mc="http://schemas.openxmlformats.org/markup-compatibility/2006">
          <mc:Choice Requires="x14">
            <control shapeId="59618" r:id="rId184" name="Group Box 226">
              <controlPr defaultSize="0" autoFill="0" autoPict="0">
                <anchor moveWithCells="1">
                  <from>
                    <xdr:col>8</xdr:col>
                    <xdr:colOff>66675</xdr:colOff>
                    <xdr:row>59</xdr:row>
                    <xdr:rowOff>371475</xdr:rowOff>
                  </from>
                  <to>
                    <xdr:col>11</xdr:col>
                    <xdr:colOff>0</xdr:colOff>
                    <xdr:row>60</xdr:row>
                    <xdr:rowOff>133350</xdr:rowOff>
                  </to>
                </anchor>
              </controlPr>
            </control>
          </mc:Choice>
        </mc:AlternateContent>
        <mc:AlternateContent xmlns:mc="http://schemas.openxmlformats.org/markup-compatibility/2006">
          <mc:Choice Requires="x14">
            <control shapeId="59619" r:id="rId185" name="Option Button 227">
              <controlPr defaultSize="0" autoFill="0" autoLine="0" autoPict="0">
                <anchor moveWithCells="1">
                  <from>
                    <xdr:col>8</xdr:col>
                    <xdr:colOff>238125</xdr:colOff>
                    <xdr:row>60</xdr:row>
                    <xdr:rowOff>514350</xdr:rowOff>
                  </from>
                  <to>
                    <xdr:col>8</xdr:col>
                    <xdr:colOff>485775</xdr:colOff>
                    <xdr:row>60</xdr:row>
                    <xdr:rowOff>733425</xdr:rowOff>
                  </to>
                </anchor>
              </controlPr>
            </control>
          </mc:Choice>
        </mc:AlternateContent>
        <mc:AlternateContent xmlns:mc="http://schemas.openxmlformats.org/markup-compatibility/2006">
          <mc:Choice Requires="x14">
            <control shapeId="59620" r:id="rId186" name="Option Button 228">
              <controlPr defaultSize="0" autoFill="0" autoLine="0" autoPict="0">
                <anchor moveWithCells="1">
                  <from>
                    <xdr:col>9</xdr:col>
                    <xdr:colOff>238125</xdr:colOff>
                    <xdr:row>60</xdr:row>
                    <xdr:rowOff>514350</xdr:rowOff>
                  </from>
                  <to>
                    <xdr:col>9</xdr:col>
                    <xdr:colOff>485775</xdr:colOff>
                    <xdr:row>60</xdr:row>
                    <xdr:rowOff>733425</xdr:rowOff>
                  </to>
                </anchor>
              </controlPr>
            </control>
          </mc:Choice>
        </mc:AlternateContent>
        <mc:AlternateContent xmlns:mc="http://schemas.openxmlformats.org/markup-compatibility/2006">
          <mc:Choice Requires="x14">
            <control shapeId="59621" r:id="rId187" name="Option Button 229">
              <controlPr defaultSize="0" autoFill="0" autoLine="0" autoPict="0">
                <anchor moveWithCells="1">
                  <from>
                    <xdr:col>10</xdr:col>
                    <xdr:colOff>238125</xdr:colOff>
                    <xdr:row>60</xdr:row>
                    <xdr:rowOff>514350</xdr:rowOff>
                  </from>
                  <to>
                    <xdr:col>10</xdr:col>
                    <xdr:colOff>485775</xdr:colOff>
                    <xdr:row>60</xdr:row>
                    <xdr:rowOff>733425</xdr:rowOff>
                  </to>
                </anchor>
              </controlPr>
            </control>
          </mc:Choice>
        </mc:AlternateContent>
        <mc:AlternateContent xmlns:mc="http://schemas.openxmlformats.org/markup-compatibility/2006">
          <mc:Choice Requires="x14">
            <control shapeId="59622" r:id="rId188" name="Group Box 230">
              <controlPr defaultSize="0" autoFill="0" autoPict="0">
                <anchor moveWithCells="1">
                  <from>
                    <xdr:col>8</xdr:col>
                    <xdr:colOff>66675</xdr:colOff>
                    <xdr:row>60</xdr:row>
                    <xdr:rowOff>495300</xdr:rowOff>
                  </from>
                  <to>
                    <xdr:col>11</xdr:col>
                    <xdr:colOff>0</xdr:colOff>
                    <xdr:row>60</xdr:row>
                    <xdr:rowOff>742950</xdr:rowOff>
                  </to>
                </anchor>
              </controlPr>
            </control>
          </mc:Choice>
        </mc:AlternateContent>
        <mc:AlternateContent xmlns:mc="http://schemas.openxmlformats.org/markup-compatibility/2006">
          <mc:Choice Requires="x14">
            <control shapeId="59627" r:id="rId189" name="Option Button 235">
              <controlPr defaultSize="0" autoFill="0" autoLine="0" autoPict="0">
                <anchor moveWithCells="1">
                  <from>
                    <xdr:col>8</xdr:col>
                    <xdr:colOff>238125</xdr:colOff>
                    <xdr:row>84</xdr:row>
                    <xdr:rowOff>323850</xdr:rowOff>
                  </from>
                  <to>
                    <xdr:col>8</xdr:col>
                    <xdr:colOff>485775</xdr:colOff>
                    <xdr:row>84</xdr:row>
                    <xdr:rowOff>542925</xdr:rowOff>
                  </to>
                </anchor>
              </controlPr>
            </control>
          </mc:Choice>
        </mc:AlternateContent>
        <mc:AlternateContent xmlns:mc="http://schemas.openxmlformats.org/markup-compatibility/2006">
          <mc:Choice Requires="x14">
            <control shapeId="59628" r:id="rId190" name="Option Button 236">
              <controlPr defaultSize="0" autoFill="0" autoLine="0" autoPict="0">
                <anchor moveWithCells="1">
                  <from>
                    <xdr:col>9</xdr:col>
                    <xdr:colOff>238125</xdr:colOff>
                    <xdr:row>84</xdr:row>
                    <xdr:rowOff>323850</xdr:rowOff>
                  </from>
                  <to>
                    <xdr:col>9</xdr:col>
                    <xdr:colOff>485775</xdr:colOff>
                    <xdr:row>84</xdr:row>
                    <xdr:rowOff>542925</xdr:rowOff>
                  </to>
                </anchor>
              </controlPr>
            </control>
          </mc:Choice>
        </mc:AlternateContent>
        <mc:AlternateContent xmlns:mc="http://schemas.openxmlformats.org/markup-compatibility/2006">
          <mc:Choice Requires="x14">
            <control shapeId="59629" r:id="rId191" name="Option Button 237">
              <controlPr defaultSize="0" autoFill="0" autoLine="0" autoPict="0">
                <anchor moveWithCells="1">
                  <from>
                    <xdr:col>10</xdr:col>
                    <xdr:colOff>238125</xdr:colOff>
                    <xdr:row>84</xdr:row>
                    <xdr:rowOff>323850</xdr:rowOff>
                  </from>
                  <to>
                    <xdr:col>10</xdr:col>
                    <xdr:colOff>485775</xdr:colOff>
                    <xdr:row>84</xdr:row>
                    <xdr:rowOff>542925</xdr:rowOff>
                  </to>
                </anchor>
              </controlPr>
            </control>
          </mc:Choice>
        </mc:AlternateContent>
        <mc:AlternateContent xmlns:mc="http://schemas.openxmlformats.org/markup-compatibility/2006">
          <mc:Choice Requires="x14">
            <control shapeId="59630" r:id="rId192" name="Group Box 238">
              <controlPr defaultSize="0" autoFill="0" autoPict="0">
                <anchor moveWithCells="1">
                  <from>
                    <xdr:col>8</xdr:col>
                    <xdr:colOff>66675</xdr:colOff>
                    <xdr:row>84</xdr:row>
                    <xdr:rowOff>304800</xdr:rowOff>
                  </from>
                  <to>
                    <xdr:col>11</xdr:col>
                    <xdr:colOff>0</xdr:colOff>
                    <xdr:row>84</xdr:row>
                    <xdr:rowOff>552450</xdr:rowOff>
                  </to>
                </anchor>
              </controlPr>
            </control>
          </mc:Choice>
        </mc:AlternateContent>
        <mc:AlternateContent xmlns:mc="http://schemas.openxmlformats.org/markup-compatibility/2006">
          <mc:Choice Requires="x14">
            <control shapeId="59631" r:id="rId193" name="Option Button 239">
              <controlPr defaultSize="0" autoFill="0" autoLine="0" autoPict="0">
                <anchor moveWithCells="1">
                  <from>
                    <xdr:col>8</xdr:col>
                    <xdr:colOff>238125</xdr:colOff>
                    <xdr:row>85</xdr:row>
                    <xdr:rowOff>190500</xdr:rowOff>
                  </from>
                  <to>
                    <xdr:col>8</xdr:col>
                    <xdr:colOff>485775</xdr:colOff>
                    <xdr:row>85</xdr:row>
                    <xdr:rowOff>400050</xdr:rowOff>
                  </to>
                </anchor>
              </controlPr>
            </control>
          </mc:Choice>
        </mc:AlternateContent>
        <mc:AlternateContent xmlns:mc="http://schemas.openxmlformats.org/markup-compatibility/2006">
          <mc:Choice Requires="x14">
            <control shapeId="59632" r:id="rId194" name="Option Button 240">
              <controlPr defaultSize="0" autoFill="0" autoLine="0" autoPict="0">
                <anchor moveWithCells="1">
                  <from>
                    <xdr:col>9</xdr:col>
                    <xdr:colOff>238125</xdr:colOff>
                    <xdr:row>85</xdr:row>
                    <xdr:rowOff>190500</xdr:rowOff>
                  </from>
                  <to>
                    <xdr:col>9</xdr:col>
                    <xdr:colOff>485775</xdr:colOff>
                    <xdr:row>85</xdr:row>
                    <xdr:rowOff>400050</xdr:rowOff>
                  </to>
                </anchor>
              </controlPr>
            </control>
          </mc:Choice>
        </mc:AlternateContent>
        <mc:AlternateContent xmlns:mc="http://schemas.openxmlformats.org/markup-compatibility/2006">
          <mc:Choice Requires="x14">
            <control shapeId="59633" r:id="rId195" name="Option Button 241">
              <controlPr defaultSize="0" autoFill="0" autoLine="0" autoPict="0">
                <anchor moveWithCells="1">
                  <from>
                    <xdr:col>10</xdr:col>
                    <xdr:colOff>238125</xdr:colOff>
                    <xdr:row>85</xdr:row>
                    <xdr:rowOff>190500</xdr:rowOff>
                  </from>
                  <to>
                    <xdr:col>10</xdr:col>
                    <xdr:colOff>485775</xdr:colOff>
                    <xdr:row>85</xdr:row>
                    <xdr:rowOff>400050</xdr:rowOff>
                  </to>
                </anchor>
              </controlPr>
            </control>
          </mc:Choice>
        </mc:AlternateContent>
        <mc:AlternateContent xmlns:mc="http://schemas.openxmlformats.org/markup-compatibility/2006">
          <mc:Choice Requires="x14">
            <control shapeId="59634" r:id="rId196" name="Group Box 242">
              <controlPr defaultSize="0" autoFill="0" autoPict="0">
                <anchor moveWithCells="1">
                  <from>
                    <xdr:col>8</xdr:col>
                    <xdr:colOff>66675</xdr:colOff>
                    <xdr:row>85</xdr:row>
                    <xdr:rowOff>171450</xdr:rowOff>
                  </from>
                  <to>
                    <xdr:col>11</xdr:col>
                    <xdr:colOff>0</xdr:colOff>
                    <xdr:row>85</xdr:row>
                    <xdr:rowOff>419100</xdr:rowOff>
                  </to>
                </anchor>
              </controlPr>
            </control>
          </mc:Choice>
        </mc:AlternateContent>
        <mc:AlternateContent xmlns:mc="http://schemas.openxmlformats.org/markup-compatibility/2006">
          <mc:Choice Requires="x14">
            <control shapeId="59635" r:id="rId197" name="Option Button 243">
              <controlPr defaultSize="0" autoFill="0" autoLine="0" autoPict="0">
                <anchor moveWithCells="1">
                  <from>
                    <xdr:col>8</xdr:col>
                    <xdr:colOff>238125</xdr:colOff>
                    <xdr:row>87</xdr:row>
                    <xdr:rowOff>514350</xdr:rowOff>
                  </from>
                  <to>
                    <xdr:col>8</xdr:col>
                    <xdr:colOff>485775</xdr:colOff>
                    <xdr:row>87</xdr:row>
                    <xdr:rowOff>733425</xdr:rowOff>
                  </to>
                </anchor>
              </controlPr>
            </control>
          </mc:Choice>
        </mc:AlternateContent>
        <mc:AlternateContent xmlns:mc="http://schemas.openxmlformats.org/markup-compatibility/2006">
          <mc:Choice Requires="x14">
            <control shapeId="59636" r:id="rId198" name="Option Button 244">
              <controlPr defaultSize="0" autoFill="0" autoLine="0" autoPict="0">
                <anchor moveWithCells="1">
                  <from>
                    <xdr:col>9</xdr:col>
                    <xdr:colOff>238125</xdr:colOff>
                    <xdr:row>87</xdr:row>
                    <xdr:rowOff>514350</xdr:rowOff>
                  </from>
                  <to>
                    <xdr:col>9</xdr:col>
                    <xdr:colOff>485775</xdr:colOff>
                    <xdr:row>87</xdr:row>
                    <xdr:rowOff>733425</xdr:rowOff>
                  </to>
                </anchor>
              </controlPr>
            </control>
          </mc:Choice>
        </mc:AlternateContent>
        <mc:AlternateContent xmlns:mc="http://schemas.openxmlformats.org/markup-compatibility/2006">
          <mc:Choice Requires="x14">
            <control shapeId="59637" r:id="rId199" name="Option Button 245">
              <controlPr defaultSize="0" autoFill="0" autoLine="0" autoPict="0">
                <anchor moveWithCells="1">
                  <from>
                    <xdr:col>10</xdr:col>
                    <xdr:colOff>238125</xdr:colOff>
                    <xdr:row>87</xdr:row>
                    <xdr:rowOff>514350</xdr:rowOff>
                  </from>
                  <to>
                    <xdr:col>10</xdr:col>
                    <xdr:colOff>485775</xdr:colOff>
                    <xdr:row>87</xdr:row>
                    <xdr:rowOff>733425</xdr:rowOff>
                  </to>
                </anchor>
              </controlPr>
            </control>
          </mc:Choice>
        </mc:AlternateContent>
        <mc:AlternateContent xmlns:mc="http://schemas.openxmlformats.org/markup-compatibility/2006">
          <mc:Choice Requires="x14">
            <control shapeId="59638" r:id="rId200" name="Group Box 246">
              <controlPr defaultSize="0" autoFill="0" autoPict="0">
                <anchor moveWithCells="1">
                  <from>
                    <xdr:col>8</xdr:col>
                    <xdr:colOff>66675</xdr:colOff>
                    <xdr:row>87</xdr:row>
                    <xdr:rowOff>495300</xdr:rowOff>
                  </from>
                  <to>
                    <xdr:col>11</xdr:col>
                    <xdr:colOff>0</xdr:colOff>
                    <xdr:row>87</xdr:row>
                    <xdr:rowOff>742950</xdr:rowOff>
                  </to>
                </anchor>
              </controlPr>
            </control>
          </mc:Choice>
        </mc:AlternateContent>
        <mc:AlternateContent xmlns:mc="http://schemas.openxmlformats.org/markup-compatibility/2006">
          <mc:Choice Requires="x14">
            <control shapeId="59639" r:id="rId201" name="Option Button 247">
              <controlPr defaultSize="0" autoFill="0" autoLine="0" autoPict="0">
                <anchor moveWithCells="1">
                  <from>
                    <xdr:col>8</xdr:col>
                    <xdr:colOff>238125</xdr:colOff>
                    <xdr:row>88</xdr:row>
                    <xdr:rowOff>419100</xdr:rowOff>
                  </from>
                  <to>
                    <xdr:col>8</xdr:col>
                    <xdr:colOff>485775</xdr:colOff>
                    <xdr:row>88</xdr:row>
                    <xdr:rowOff>638175</xdr:rowOff>
                  </to>
                </anchor>
              </controlPr>
            </control>
          </mc:Choice>
        </mc:AlternateContent>
        <mc:AlternateContent xmlns:mc="http://schemas.openxmlformats.org/markup-compatibility/2006">
          <mc:Choice Requires="x14">
            <control shapeId="59640" r:id="rId202" name="Option Button 248">
              <controlPr defaultSize="0" autoFill="0" autoLine="0" autoPict="0">
                <anchor moveWithCells="1">
                  <from>
                    <xdr:col>9</xdr:col>
                    <xdr:colOff>238125</xdr:colOff>
                    <xdr:row>88</xdr:row>
                    <xdr:rowOff>419100</xdr:rowOff>
                  </from>
                  <to>
                    <xdr:col>9</xdr:col>
                    <xdr:colOff>485775</xdr:colOff>
                    <xdr:row>88</xdr:row>
                    <xdr:rowOff>638175</xdr:rowOff>
                  </to>
                </anchor>
              </controlPr>
            </control>
          </mc:Choice>
        </mc:AlternateContent>
        <mc:AlternateContent xmlns:mc="http://schemas.openxmlformats.org/markup-compatibility/2006">
          <mc:Choice Requires="x14">
            <control shapeId="59641" r:id="rId203" name="Option Button 249">
              <controlPr defaultSize="0" autoFill="0" autoLine="0" autoPict="0">
                <anchor moveWithCells="1">
                  <from>
                    <xdr:col>10</xdr:col>
                    <xdr:colOff>238125</xdr:colOff>
                    <xdr:row>88</xdr:row>
                    <xdr:rowOff>419100</xdr:rowOff>
                  </from>
                  <to>
                    <xdr:col>10</xdr:col>
                    <xdr:colOff>485775</xdr:colOff>
                    <xdr:row>88</xdr:row>
                    <xdr:rowOff>638175</xdr:rowOff>
                  </to>
                </anchor>
              </controlPr>
            </control>
          </mc:Choice>
        </mc:AlternateContent>
        <mc:AlternateContent xmlns:mc="http://schemas.openxmlformats.org/markup-compatibility/2006">
          <mc:Choice Requires="x14">
            <control shapeId="59642" r:id="rId204" name="Group Box 250">
              <controlPr defaultSize="0" autoFill="0" autoPict="0">
                <anchor moveWithCells="1">
                  <from>
                    <xdr:col>8</xdr:col>
                    <xdr:colOff>66675</xdr:colOff>
                    <xdr:row>88</xdr:row>
                    <xdr:rowOff>400050</xdr:rowOff>
                  </from>
                  <to>
                    <xdr:col>11</xdr:col>
                    <xdr:colOff>0</xdr:colOff>
                    <xdr:row>88</xdr:row>
                    <xdr:rowOff>647700</xdr:rowOff>
                  </to>
                </anchor>
              </controlPr>
            </control>
          </mc:Choice>
        </mc:AlternateContent>
        <mc:AlternateContent xmlns:mc="http://schemas.openxmlformats.org/markup-compatibility/2006">
          <mc:Choice Requires="x14">
            <control shapeId="59647" r:id="rId205" name="Option Button 255">
              <controlPr defaultSize="0" autoFill="0" autoLine="0" autoPict="0">
                <anchor moveWithCells="1">
                  <from>
                    <xdr:col>8</xdr:col>
                    <xdr:colOff>238125</xdr:colOff>
                    <xdr:row>99</xdr:row>
                    <xdr:rowOff>542925</xdr:rowOff>
                  </from>
                  <to>
                    <xdr:col>8</xdr:col>
                    <xdr:colOff>485775</xdr:colOff>
                    <xdr:row>99</xdr:row>
                    <xdr:rowOff>752475</xdr:rowOff>
                  </to>
                </anchor>
              </controlPr>
            </control>
          </mc:Choice>
        </mc:AlternateContent>
        <mc:AlternateContent xmlns:mc="http://schemas.openxmlformats.org/markup-compatibility/2006">
          <mc:Choice Requires="x14">
            <control shapeId="59648" r:id="rId206" name="Option Button 256">
              <controlPr defaultSize="0" autoFill="0" autoLine="0" autoPict="0">
                <anchor moveWithCells="1">
                  <from>
                    <xdr:col>9</xdr:col>
                    <xdr:colOff>238125</xdr:colOff>
                    <xdr:row>99</xdr:row>
                    <xdr:rowOff>542925</xdr:rowOff>
                  </from>
                  <to>
                    <xdr:col>9</xdr:col>
                    <xdr:colOff>485775</xdr:colOff>
                    <xdr:row>99</xdr:row>
                    <xdr:rowOff>752475</xdr:rowOff>
                  </to>
                </anchor>
              </controlPr>
            </control>
          </mc:Choice>
        </mc:AlternateContent>
        <mc:AlternateContent xmlns:mc="http://schemas.openxmlformats.org/markup-compatibility/2006">
          <mc:Choice Requires="x14">
            <control shapeId="59649" r:id="rId207" name="Option Button 257">
              <controlPr defaultSize="0" autoFill="0" autoLine="0" autoPict="0">
                <anchor moveWithCells="1">
                  <from>
                    <xdr:col>10</xdr:col>
                    <xdr:colOff>238125</xdr:colOff>
                    <xdr:row>99</xdr:row>
                    <xdr:rowOff>542925</xdr:rowOff>
                  </from>
                  <to>
                    <xdr:col>10</xdr:col>
                    <xdr:colOff>485775</xdr:colOff>
                    <xdr:row>99</xdr:row>
                    <xdr:rowOff>752475</xdr:rowOff>
                  </to>
                </anchor>
              </controlPr>
            </control>
          </mc:Choice>
        </mc:AlternateContent>
        <mc:AlternateContent xmlns:mc="http://schemas.openxmlformats.org/markup-compatibility/2006">
          <mc:Choice Requires="x14">
            <control shapeId="59650" r:id="rId208" name="Group Box 258">
              <controlPr defaultSize="0" autoFill="0" autoPict="0">
                <anchor moveWithCells="1">
                  <from>
                    <xdr:col>8</xdr:col>
                    <xdr:colOff>66675</xdr:colOff>
                    <xdr:row>99</xdr:row>
                    <xdr:rowOff>523875</xdr:rowOff>
                  </from>
                  <to>
                    <xdr:col>11</xdr:col>
                    <xdr:colOff>0</xdr:colOff>
                    <xdr:row>99</xdr:row>
                    <xdr:rowOff>771525</xdr:rowOff>
                  </to>
                </anchor>
              </controlPr>
            </control>
          </mc:Choice>
        </mc:AlternateContent>
        <mc:AlternateContent xmlns:mc="http://schemas.openxmlformats.org/markup-compatibility/2006">
          <mc:Choice Requires="x14">
            <control shapeId="59655" r:id="rId209" name="Option Button 263">
              <controlPr defaultSize="0" autoFill="0" autoLine="0" autoPict="0">
                <anchor moveWithCells="1">
                  <from>
                    <xdr:col>8</xdr:col>
                    <xdr:colOff>238125</xdr:colOff>
                    <xdr:row>135</xdr:row>
                    <xdr:rowOff>228600</xdr:rowOff>
                  </from>
                  <to>
                    <xdr:col>8</xdr:col>
                    <xdr:colOff>485775</xdr:colOff>
                    <xdr:row>135</xdr:row>
                    <xdr:rowOff>447675</xdr:rowOff>
                  </to>
                </anchor>
              </controlPr>
            </control>
          </mc:Choice>
        </mc:AlternateContent>
        <mc:AlternateContent xmlns:mc="http://schemas.openxmlformats.org/markup-compatibility/2006">
          <mc:Choice Requires="x14">
            <control shapeId="59656" r:id="rId210" name="Option Button 264">
              <controlPr defaultSize="0" autoFill="0" autoLine="0" autoPict="0">
                <anchor moveWithCells="1">
                  <from>
                    <xdr:col>9</xdr:col>
                    <xdr:colOff>238125</xdr:colOff>
                    <xdr:row>135</xdr:row>
                    <xdr:rowOff>228600</xdr:rowOff>
                  </from>
                  <to>
                    <xdr:col>9</xdr:col>
                    <xdr:colOff>485775</xdr:colOff>
                    <xdr:row>135</xdr:row>
                    <xdr:rowOff>447675</xdr:rowOff>
                  </to>
                </anchor>
              </controlPr>
            </control>
          </mc:Choice>
        </mc:AlternateContent>
        <mc:AlternateContent xmlns:mc="http://schemas.openxmlformats.org/markup-compatibility/2006">
          <mc:Choice Requires="x14">
            <control shapeId="59657" r:id="rId211" name="Option Button 265">
              <controlPr defaultSize="0" autoFill="0" autoLine="0" autoPict="0">
                <anchor moveWithCells="1">
                  <from>
                    <xdr:col>10</xdr:col>
                    <xdr:colOff>238125</xdr:colOff>
                    <xdr:row>135</xdr:row>
                    <xdr:rowOff>228600</xdr:rowOff>
                  </from>
                  <to>
                    <xdr:col>10</xdr:col>
                    <xdr:colOff>485775</xdr:colOff>
                    <xdr:row>135</xdr:row>
                    <xdr:rowOff>447675</xdr:rowOff>
                  </to>
                </anchor>
              </controlPr>
            </control>
          </mc:Choice>
        </mc:AlternateContent>
        <mc:AlternateContent xmlns:mc="http://schemas.openxmlformats.org/markup-compatibility/2006">
          <mc:Choice Requires="x14">
            <control shapeId="59658" r:id="rId212" name="Group Box 266">
              <controlPr defaultSize="0" autoFill="0" autoPict="0">
                <anchor moveWithCells="1">
                  <from>
                    <xdr:col>8</xdr:col>
                    <xdr:colOff>66675</xdr:colOff>
                    <xdr:row>135</xdr:row>
                    <xdr:rowOff>209550</xdr:rowOff>
                  </from>
                  <to>
                    <xdr:col>11</xdr:col>
                    <xdr:colOff>0</xdr:colOff>
                    <xdr:row>135</xdr:row>
                    <xdr:rowOff>457200</xdr:rowOff>
                  </to>
                </anchor>
              </controlPr>
            </control>
          </mc:Choice>
        </mc:AlternateContent>
        <mc:AlternateContent xmlns:mc="http://schemas.openxmlformats.org/markup-compatibility/2006">
          <mc:Choice Requires="x14">
            <control shapeId="59663" r:id="rId213" name="Option Button 271">
              <controlPr defaultSize="0" autoFill="0" autoLine="0" autoPict="0">
                <anchor moveWithCells="1">
                  <from>
                    <xdr:col>8</xdr:col>
                    <xdr:colOff>238125</xdr:colOff>
                    <xdr:row>153</xdr:row>
                    <xdr:rowOff>200025</xdr:rowOff>
                  </from>
                  <to>
                    <xdr:col>8</xdr:col>
                    <xdr:colOff>485775</xdr:colOff>
                    <xdr:row>153</xdr:row>
                    <xdr:rowOff>419100</xdr:rowOff>
                  </to>
                </anchor>
              </controlPr>
            </control>
          </mc:Choice>
        </mc:AlternateContent>
        <mc:AlternateContent xmlns:mc="http://schemas.openxmlformats.org/markup-compatibility/2006">
          <mc:Choice Requires="x14">
            <control shapeId="59664" r:id="rId214" name="Option Button 272">
              <controlPr defaultSize="0" autoFill="0" autoLine="0" autoPict="0">
                <anchor moveWithCells="1">
                  <from>
                    <xdr:col>9</xdr:col>
                    <xdr:colOff>238125</xdr:colOff>
                    <xdr:row>153</xdr:row>
                    <xdr:rowOff>200025</xdr:rowOff>
                  </from>
                  <to>
                    <xdr:col>9</xdr:col>
                    <xdr:colOff>485775</xdr:colOff>
                    <xdr:row>153</xdr:row>
                    <xdr:rowOff>419100</xdr:rowOff>
                  </to>
                </anchor>
              </controlPr>
            </control>
          </mc:Choice>
        </mc:AlternateContent>
        <mc:AlternateContent xmlns:mc="http://schemas.openxmlformats.org/markup-compatibility/2006">
          <mc:Choice Requires="x14">
            <control shapeId="59665" r:id="rId215" name="Option Button 273">
              <controlPr defaultSize="0" autoFill="0" autoLine="0" autoPict="0">
                <anchor moveWithCells="1">
                  <from>
                    <xdr:col>10</xdr:col>
                    <xdr:colOff>238125</xdr:colOff>
                    <xdr:row>153</xdr:row>
                    <xdr:rowOff>200025</xdr:rowOff>
                  </from>
                  <to>
                    <xdr:col>10</xdr:col>
                    <xdr:colOff>485775</xdr:colOff>
                    <xdr:row>153</xdr:row>
                    <xdr:rowOff>419100</xdr:rowOff>
                  </to>
                </anchor>
              </controlPr>
            </control>
          </mc:Choice>
        </mc:AlternateContent>
        <mc:AlternateContent xmlns:mc="http://schemas.openxmlformats.org/markup-compatibility/2006">
          <mc:Choice Requires="x14">
            <control shapeId="59666" r:id="rId216" name="Group Box 274">
              <controlPr defaultSize="0" autoFill="0" autoPict="0">
                <anchor moveWithCells="1">
                  <from>
                    <xdr:col>8</xdr:col>
                    <xdr:colOff>66675</xdr:colOff>
                    <xdr:row>153</xdr:row>
                    <xdr:rowOff>180975</xdr:rowOff>
                  </from>
                  <to>
                    <xdr:col>11</xdr:col>
                    <xdr:colOff>0</xdr:colOff>
                    <xdr:row>153</xdr:row>
                    <xdr:rowOff>438150</xdr:rowOff>
                  </to>
                </anchor>
              </controlPr>
            </control>
          </mc:Choice>
        </mc:AlternateContent>
        <mc:AlternateContent xmlns:mc="http://schemas.openxmlformats.org/markup-compatibility/2006">
          <mc:Choice Requires="x14">
            <control shapeId="59675" r:id="rId217" name="Option Button 283">
              <controlPr defaultSize="0" autoFill="0" autoLine="0" autoPict="0">
                <anchor moveWithCells="1">
                  <from>
                    <xdr:col>8</xdr:col>
                    <xdr:colOff>238125</xdr:colOff>
                    <xdr:row>188</xdr:row>
                    <xdr:rowOff>95250</xdr:rowOff>
                  </from>
                  <to>
                    <xdr:col>8</xdr:col>
                    <xdr:colOff>485775</xdr:colOff>
                    <xdr:row>188</xdr:row>
                    <xdr:rowOff>304800</xdr:rowOff>
                  </to>
                </anchor>
              </controlPr>
            </control>
          </mc:Choice>
        </mc:AlternateContent>
        <mc:AlternateContent xmlns:mc="http://schemas.openxmlformats.org/markup-compatibility/2006">
          <mc:Choice Requires="x14">
            <control shapeId="59676" r:id="rId218" name="Option Button 284">
              <controlPr defaultSize="0" autoFill="0" autoLine="0" autoPict="0">
                <anchor moveWithCells="1">
                  <from>
                    <xdr:col>9</xdr:col>
                    <xdr:colOff>238125</xdr:colOff>
                    <xdr:row>188</xdr:row>
                    <xdr:rowOff>95250</xdr:rowOff>
                  </from>
                  <to>
                    <xdr:col>9</xdr:col>
                    <xdr:colOff>485775</xdr:colOff>
                    <xdr:row>188</xdr:row>
                    <xdr:rowOff>304800</xdr:rowOff>
                  </to>
                </anchor>
              </controlPr>
            </control>
          </mc:Choice>
        </mc:AlternateContent>
        <mc:AlternateContent xmlns:mc="http://schemas.openxmlformats.org/markup-compatibility/2006">
          <mc:Choice Requires="x14">
            <control shapeId="59677" r:id="rId219" name="Option Button 285">
              <controlPr defaultSize="0" autoFill="0" autoLine="0" autoPict="0">
                <anchor moveWithCells="1">
                  <from>
                    <xdr:col>10</xdr:col>
                    <xdr:colOff>238125</xdr:colOff>
                    <xdr:row>188</xdr:row>
                    <xdr:rowOff>95250</xdr:rowOff>
                  </from>
                  <to>
                    <xdr:col>10</xdr:col>
                    <xdr:colOff>485775</xdr:colOff>
                    <xdr:row>188</xdr:row>
                    <xdr:rowOff>304800</xdr:rowOff>
                  </to>
                </anchor>
              </controlPr>
            </control>
          </mc:Choice>
        </mc:AlternateContent>
        <mc:AlternateContent xmlns:mc="http://schemas.openxmlformats.org/markup-compatibility/2006">
          <mc:Choice Requires="x14">
            <control shapeId="59678" r:id="rId220" name="Group Box 286">
              <controlPr defaultSize="0" autoFill="0" autoPict="0">
                <anchor moveWithCells="1">
                  <from>
                    <xdr:col>8</xdr:col>
                    <xdr:colOff>66675</xdr:colOff>
                    <xdr:row>188</xdr:row>
                    <xdr:rowOff>76200</xdr:rowOff>
                  </from>
                  <to>
                    <xdr:col>11</xdr:col>
                    <xdr:colOff>0</xdr:colOff>
                    <xdr:row>188</xdr:row>
                    <xdr:rowOff>323850</xdr:rowOff>
                  </to>
                </anchor>
              </controlPr>
            </control>
          </mc:Choice>
        </mc:AlternateContent>
        <mc:AlternateContent xmlns:mc="http://schemas.openxmlformats.org/markup-compatibility/2006">
          <mc:Choice Requires="x14">
            <control shapeId="59701" r:id="rId221" name="Check Box 309">
              <controlPr defaultSize="0" autoFill="0" autoLine="0" autoPict="0">
                <anchor moveWithCells="1">
                  <from>
                    <xdr:col>12</xdr:col>
                    <xdr:colOff>76200</xdr:colOff>
                    <xdr:row>12</xdr:row>
                    <xdr:rowOff>66675</xdr:rowOff>
                  </from>
                  <to>
                    <xdr:col>12</xdr:col>
                    <xdr:colOff>323850</xdr:colOff>
                    <xdr:row>12</xdr:row>
                    <xdr:rowOff>342900</xdr:rowOff>
                  </to>
                </anchor>
              </controlPr>
            </control>
          </mc:Choice>
        </mc:AlternateContent>
        <mc:AlternateContent xmlns:mc="http://schemas.openxmlformats.org/markup-compatibility/2006">
          <mc:Choice Requires="x14">
            <control shapeId="59702" r:id="rId222" name="Check Box 310">
              <controlPr defaultSize="0" autoFill="0" autoLine="0" autoPict="0">
                <anchor moveWithCells="1">
                  <from>
                    <xdr:col>12</xdr:col>
                    <xdr:colOff>76200</xdr:colOff>
                    <xdr:row>13</xdr:row>
                    <xdr:rowOff>85725</xdr:rowOff>
                  </from>
                  <to>
                    <xdr:col>12</xdr:col>
                    <xdr:colOff>323850</xdr:colOff>
                    <xdr:row>13</xdr:row>
                    <xdr:rowOff>352425</xdr:rowOff>
                  </to>
                </anchor>
              </controlPr>
            </control>
          </mc:Choice>
        </mc:AlternateContent>
        <mc:AlternateContent xmlns:mc="http://schemas.openxmlformats.org/markup-compatibility/2006">
          <mc:Choice Requires="x14">
            <control shapeId="59703" r:id="rId223" name="Check Box 311">
              <controlPr defaultSize="0" autoFill="0" autoLine="0" autoPict="0">
                <anchor moveWithCells="1">
                  <from>
                    <xdr:col>12</xdr:col>
                    <xdr:colOff>76200</xdr:colOff>
                    <xdr:row>14</xdr:row>
                    <xdr:rowOff>85725</xdr:rowOff>
                  </from>
                  <to>
                    <xdr:col>12</xdr:col>
                    <xdr:colOff>323850</xdr:colOff>
                    <xdr:row>14</xdr:row>
                    <xdr:rowOff>352425</xdr:rowOff>
                  </to>
                </anchor>
              </controlPr>
            </control>
          </mc:Choice>
        </mc:AlternateContent>
        <mc:AlternateContent xmlns:mc="http://schemas.openxmlformats.org/markup-compatibility/2006">
          <mc:Choice Requires="x14">
            <control shapeId="59704" r:id="rId224" name="Check Box 312">
              <controlPr defaultSize="0" autoFill="0" autoLine="0" autoPict="0">
                <anchor moveWithCells="1">
                  <from>
                    <xdr:col>12</xdr:col>
                    <xdr:colOff>76200</xdr:colOff>
                    <xdr:row>15</xdr:row>
                    <xdr:rowOff>66675</xdr:rowOff>
                  </from>
                  <to>
                    <xdr:col>12</xdr:col>
                    <xdr:colOff>323850</xdr:colOff>
                    <xdr:row>15</xdr:row>
                    <xdr:rowOff>342900</xdr:rowOff>
                  </to>
                </anchor>
              </controlPr>
            </control>
          </mc:Choice>
        </mc:AlternateContent>
        <mc:AlternateContent xmlns:mc="http://schemas.openxmlformats.org/markup-compatibility/2006">
          <mc:Choice Requires="x14">
            <control shapeId="59705" r:id="rId225" name="Check Box 313">
              <controlPr defaultSize="0" autoFill="0" autoLine="0" autoPict="0">
                <anchor moveWithCells="1">
                  <from>
                    <xdr:col>12</xdr:col>
                    <xdr:colOff>76200</xdr:colOff>
                    <xdr:row>16</xdr:row>
                    <xdr:rowOff>66675</xdr:rowOff>
                  </from>
                  <to>
                    <xdr:col>12</xdr:col>
                    <xdr:colOff>323850</xdr:colOff>
                    <xdr:row>16</xdr:row>
                    <xdr:rowOff>342900</xdr:rowOff>
                  </to>
                </anchor>
              </controlPr>
            </control>
          </mc:Choice>
        </mc:AlternateContent>
        <mc:AlternateContent xmlns:mc="http://schemas.openxmlformats.org/markup-compatibility/2006">
          <mc:Choice Requires="x14">
            <control shapeId="59706" r:id="rId226" name="Check Box 314">
              <controlPr defaultSize="0" autoFill="0" autoLine="0" autoPict="0">
                <anchor moveWithCells="1">
                  <from>
                    <xdr:col>12</xdr:col>
                    <xdr:colOff>76200</xdr:colOff>
                    <xdr:row>44</xdr:row>
                    <xdr:rowOff>47625</xdr:rowOff>
                  </from>
                  <to>
                    <xdr:col>12</xdr:col>
                    <xdr:colOff>323850</xdr:colOff>
                    <xdr:row>44</xdr:row>
                    <xdr:rowOff>314325</xdr:rowOff>
                  </to>
                </anchor>
              </controlPr>
            </control>
          </mc:Choice>
        </mc:AlternateContent>
        <mc:AlternateContent xmlns:mc="http://schemas.openxmlformats.org/markup-compatibility/2006">
          <mc:Choice Requires="x14">
            <control shapeId="59707" r:id="rId227" name="Check Box 315">
              <controlPr defaultSize="0" autoFill="0" autoLine="0" autoPict="0">
                <anchor moveWithCells="1">
                  <from>
                    <xdr:col>12</xdr:col>
                    <xdr:colOff>76200</xdr:colOff>
                    <xdr:row>45</xdr:row>
                    <xdr:rowOff>285750</xdr:rowOff>
                  </from>
                  <to>
                    <xdr:col>12</xdr:col>
                    <xdr:colOff>323850</xdr:colOff>
                    <xdr:row>45</xdr:row>
                    <xdr:rowOff>552450</xdr:rowOff>
                  </to>
                </anchor>
              </controlPr>
            </control>
          </mc:Choice>
        </mc:AlternateContent>
        <mc:AlternateContent xmlns:mc="http://schemas.openxmlformats.org/markup-compatibility/2006">
          <mc:Choice Requires="x14">
            <control shapeId="59708" r:id="rId228" name="Option Button 316">
              <controlPr defaultSize="0" autoFill="0" autoLine="0" autoPict="0">
                <anchor moveWithCells="1">
                  <from>
                    <xdr:col>8</xdr:col>
                    <xdr:colOff>238125</xdr:colOff>
                    <xdr:row>45</xdr:row>
                    <xdr:rowOff>295275</xdr:rowOff>
                  </from>
                  <to>
                    <xdr:col>8</xdr:col>
                    <xdr:colOff>485775</xdr:colOff>
                    <xdr:row>45</xdr:row>
                    <xdr:rowOff>514350</xdr:rowOff>
                  </to>
                </anchor>
              </controlPr>
            </control>
          </mc:Choice>
        </mc:AlternateContent>
        <mc:AlternateContent xmlns:mc="http://schemas.openxmlformats.org/markup-compatibility/2006">
          <mc:Choice Requires="x14">
            <control shapeId="59709" r:id="rId229" name="Option Button 317">
              <controlPr defaultSize="0" autoFill="0" autoLine="0" autoPict="0">
                <anchor moveWithCells="1">
                  <from>
                    <xdr:col>9</xdr:col>
                    <xdr:colOff>238125</xdr:colOff>
                    <xdr:row>45</xdr:row>
                    <xdr:rowOff>295275</xdr:rowOff>
                  </from>
                  <to>
                    <xdr:col>9</xdr:col>
                    <xdr:colOff>485775</xdr:colOff>
                    <xdr:row>45</xdr:row>
                    <xdr:rowOff>514350</xdr:rowOff>
                  </to>
                </anchor>
              </controlPr>
            </control>
          </mc:Choice>
        </mc:AlternateContent>
        <mc:AlternateContent xmlns:mc="http://schemas.openxmlformats.org/markup-compatibility/2006">
          <mc:Choice Requires="x14">
            <control shapeId="59710" r:id="rId230" name="Option Button 318">
              <controlPr defaultSize="0" autoFill="0" autoLine="0" autoPict="0">
                <anchor moveWithCells="1">
                  <from>
                    <xdr:col>10</xdr:col>
                    <xdr:colOff>238125</xdr:colOff>
                    <xdr:row>45</xdr:row>
                    <xdr:rowOff>295275</xdr:rowOff>
                  </from>
                  <to>
                    <xdr:col>10</xdr:col>
                    <xdr:colOff>485775</xdr:colOff>
                    <xdr:row>45</xdr:row>
                    <xdr:rowOff>514350</xdr:rowOff>
                  </to>
                </anchor>
              </controlPr>
            </control>
          </mc:Choice>
        </mc:AlternateContent>
        <mc:AlternateContent xmlns:mc="http://schemas.openxmlformats.org/markup-compatibility/2006">
          <mc:Choice Requires="x14">
            <control shapeId="59711" r:id="rId231" name="Group Box 319">
              <controlPr defaultSize="0" autoFill="0" autoPict="0">
                <anchor moveWithCells="1">
                  <from>
                    <xdr:col>8</xdr:col>
                    <xdr:colOff>66675</xdr:colOff>
                    <xdr:row>45</xdr:row>
                    <xdr:rowOff>276225</xdr:rowOff>
                  </from>
                  <to>
                    <xdr:col>11</xdr:col>
                    <xdr:colOff>0</xdr:colOff>
                    <xdr:row>45</xdr:row>
                    <xdr:rowOff>533400</xdr:rowOff>
                  </to>
                </anchor>
              </controlPr>
            </control>
          </mc:Choice>
        </mc:AlternateContent>
        <mc:AlternateContent xmlns:mc="http://schemas.openxmlformats.org/markup-compatibility/2006">
          <mc:Choice Requires="x14">
            <control shapeId="59741" r:id="rId232" name="Check Box 349">
              <controlPr defaultSize="0" autoFill="0" autoLine="0" autoPict="0">
                <anchor moveWithCells="1">
                  <from>
                    <xdr:col>12</xdr:col>
                    <xdr:colOff>76200</xdr:colOff>
                    <xdr:row>52</xdr:row>
                    <xdr:rowOff>47625</xdr:rowOff>
                  </from>
                  <to>
                    <xdr:col>12</xdr:col>
                    <xdr:colOff>323850</xdr:colOff>
                    <xdr:row>52</xdr:row>
                    <xdr:rowOff>314325</xdr:rowOff>
                  </to>
                </anchor>
              </controlPr>
            </control>
          </mc:Choice>
        </mc:AlternateContent>
        <mc:AlternateContent xmlns:mc="http://schemas.openxmlformats.org/markup-compatibility/2006">
          <mc:Choice Requires="x14">
            <control shapeId="59742" r:id="rId233" name="Check Box 350">
              <controlPr defaultSize="0" autoFill="0" autoLine="0" autoPict="0">
                <anchor moveWithCells="1">
                  <from>
                    <xdr:col>12</xdr:col>
                    <xdr:colOff>76200</xdr:colOff>
                    <xdr:row>52</xdr:row>
                    <xdr:rowOff>47625</xdr:rowOff>
                  </from>
                  <to>
                    <xdr:col>12</xdr:col>
                    <xdr:colOff>323850</xdr:colOff>
                    <xdr:row>52</xdr:row>
                    <xdr:rowOff>314325</xdr:rowOff>
                  </to>
                </anchor>
              </controlPr>
            </control>
          </mc:Choice>
        </mc:AlternateContent>
        <mc:AlternateContent xmlns:mc="http://schemas.openxmlformats.org/markup-compatibility/2006">
          <mc:Choice Requires="x14">
            <control shapeId="59748" r:id="rId234" name="Check Box 356">
              <controlPr defaultSize="0" autoFill="0" autoLine="0" autoPict="0">
                <anchor moveWithCells="1">
                  <from>
                    <xdr:col>12</xdr:col>
                    <xdr:colOff>76200</xdr:colOff>
                    <xdr:row>50</xdr:row>
                    <xdr:rowOff>171450</xdr:rowOff>
                  </from>
                  <to>
                    <xdr:col>12</xdr:col>
                    <xdr:colOff>323850</xdr:colOff>
                    <xdr:row>50</xdr:row>
                    <xdr:rowOff>438150</xdr:rowOff>
                  </to>
                </anchor>
              </controlPr>
            </control>
          </mc:Choice>
        </mc:AlternateContent>
        <mc:AlternateContent xmlns:mc="http://schemas.openxmlformats.org/markup-compatibility/2006">
          <mc:Choice Requires="x14">
            <control shapeId="59749" r:id="rId235" name="Option Button 357">
              <controlPr defaultSize="0" autoFill="0" autoLine="0" autoPict="0">
                <anchor moveWithCells="1">
                  <from>
                    <xdr:col>8</xdr:col>
                    <xdr:colOff>238125</xdr:colOff>
                    <xdr:row>50</xdr:row>
                    <xdr:rowOff>200025</xdr:rowOff>
                  </from>
                  <to>
                    <xdr:col>8</xdr:col>
                    <xdr:colOff>485775</xdr:colOff>
                    <xdr:row>50</xdr:row>
                    <xdr:rowOff>419100</xdr:rowOff>
                  </to>
                </anchor>
              </controlPr>
            </control>
          </mc:Choice>
        </mc:AlternateContent>
        <mc:AlternateContent xmlns:mc="http://schemas.openxmlformats.org/markup-compatibility/2006">
          <mc:Choice Requires="x14">
            <control shapeId="59750" r:id="rId236" name="Option Button 358">
              <controlPr defaultSize="0" autoFill="0" autoLine="0" autoPict="0">
                <anchor moveWithCells="1">
                  <from>
                    <xdr:col>9</xdr:col>
                    <xdr:colOff>238125</xdr:colOff>
                    <xdr:row>50</xdr:row>
                    <xdr:rowOff>200025</xdr:rowOff>
                  </from>
                  <to>
                    <xdr:col>9</xdr:col>
                    <xdr:colOff>485775</xdr:colOff>
                    <xdr:row>50</xdr:row>
                    <xdr:rowOff>419100</xdr:rowOff>
                  </to>
                </anchor>
              </controlPr>
            </control>
          </mc:Choice>
        </mc:AlternateContent>
        <mc:AlternateContent xmlns:mc="http://schemas.openxmlformats.org/markup-compatibility/2006">
          <mc:Choice Requires="x14">
            <control shapeId="59751" r:id="rId237" name="Option Button 359">
              <controlPr defaultSize="0" autoFill="0" autoLine="0" autoPict="0">
                <anchor moveWithCells="1">
                  <from>
                    <xdr:col>10</xdr:col>
                    <xdr:colOff>238125</xdr:colOff>
                    <xdr:row>50</xdr:row>
                    <xdr:rowOff>200025</xdr:rowOff>
                  </from>
                  <to>
                    <xdr:col>10</xdr:col>
                    <xdr:colOff>485775</xdr:colOff>
                    <xdr:row>50</xdr:row>
                    <xdr:rowOff>419100</xdr:rowOff>
                  </to>
                </anchor>
              </controlPr>
            </control>
          </mc:Choice>
        </mc:AlternateContent>
        <mc:AlternateContent xmlns:mc="http://schemas.openxmlformats.org/markup-compatibility/2006">
          <mc:Choice Requires="x14">
            <control shapeId="59752" r:id="rId238" name="Group Box 360">
              <controlPr defaultSize="0" autoFill="0" autoPict="0">
                <anchor moveWithCells="1">
                  <from>
                    <xdr:col>8</xdr:col>
                    <xdr:colOff>66675</xdr:colOff>
                    <xdr:row>50</xdr:row>
                    <xdr:rowOff>180975</xdr:rowOff>
                  </from>
                  <to>
                    <xdr:col>11</xdr:col>
                    <xdr:colOff>0</xdr:colOff>
                    <xdr:row>50</xdr:row>
                    <xdr:rowOff>438150</xdr:rowOff>
                  </to>
                </anchor>
              </controlPr>
            </control>
          </mc:Choice>
        </mc:AlternateContent>
        <mc:AlternateContent xmlns:mc="http://schemas.openxmlformats.org/markup-compatibility/2006">
          <mc:Choice Requires="x14">
            <control shapeId="59753" r:id="rId239" name="Check Box 361">
              <controlPr defaultSize="0" autoFill="0" autoLine="0" autoPict="0">
                <anchor moveWithCells="1">
                  <from>
                    <xdr:col>12</xdr:col>
                    <xdr:colOff>76200</xdr:colOff>
                    <xdr:row>52</xdr:row>
                    <xdr:rowOff>47625</xdr:rowOff>
                  </from>
                  <to>
                    <xdr:col>12</xdr:col>
                    <xdr:colOff>323850</xdr:colOff>
                    <xdr:row>52</xdr:row>
                    <xdr:rowOff>314325</xdr:rowOff>
                  </to>
                </anchor>
              </controlPr>
            </control>
          </mc:Choice>
        </mc:AlternateContent>
        <mc:AlternateContent xmlns:mc="http://schemas.openxmlformats.org/markup-compatibility/2006">
          <mc:Choice Requires="x14">
            <control shapeId="59799" r:id="rId240" name="Check Box 407">
              <controlPr defaultSize="0" autoFill="0" autoLine="0" autoPict="0">
                <anchor moveWithCells="1">
                  <from>
                    <xdr:col>12</xdr:col>
                    <xdr:colOff>76200</xdr:colOff>
                    <xdr:row>51</xdr:row>
                    <xdr:rowOff>161925</xdr:rowOff>
                  </from>
                  <to>
                    <xdr:col>12</xdr:col>
                    <xdr:colOff>323850</xdr:colOff>
                    <xdr:row>51</xdr:row>
                    <xdr:rowOff>428625</xdr:rowOff>
                  </to>
                </anchor>
              </controlPr>
            </control>
          </mc:Choice>
        </mc:AlternateContent>
        <mc:AlternateContent xmlns:mc="http://schemas.openxmlformats.org/markup-compatibility/2006">
          <mc:Choice Requires="x14">
            <control shapeId="59800" r:id="rId241" name="Option Button 408">
              <controlPr defaultSize="0" autoFill="0" autoLine="0" autoPict="0">
                <anchor moveWithCells="1">
                  <from>
                    <xdr:col>8</xdr:col>
                    <xdr:colOff>238125</xdr:colOff>
                    <xdr:row>51</xdr:row>
                    <xdr:rowOff>228600</xdr:rowOff>
                  </from>
                  <to>
                    <xdr:col>8</xdr:col>
                    <xdr:colOff>485775</xdr:colOff>
                    <xdr:row>51</xdr:row>
                    <xdr:rowOff>447675</xdr:rowOff>
                  </to>
                </anchor>
              </controlPr>
            </control>
          </mc:Choice>
        </mc:AlternateContent>
        <mc:AlternateContent xmlns:mc="http://schemas.openxmlformats.org/markup-compatibility/2006">
          <mc:Choice Requires="x14">
            <control shapeId="59801" r:id="rId242" name="Option Button 409">
              <controlPr defaultSize="0" autoFill="0" autoLine="0" autoPict="0">
                <anchor moveWithCells="1">
                  <from>
                    <xdr:col>9</xdr:col>
                    <xdr:colOff>238125</xdr:colOff>
                    <xdr:row>51</xdr:row>
                    <xdr:rowOff>228600</xdr:rowOff>
                  </from>
                  <to>
                    <xdr:col>9</xdr:col>
                    <xdr:colOff>485775</xdr:colOff>
                    <xdr:row>51</xdr:row>
                    <xdr:rowOff>447675</xdr:rowOff>
                  </to>
                </anchor>
              </controlPr>
            </control>
          </mc:Choice>
        </mc:AlternateContent>
        <mc:AlternateContent xmlns:mc="http://schemas.openxmlformats.org/markup-compatibility/2006">
          <mc:Choice Requires="x14">
            <control shapeId="59802" r:id="rId243" name="Option Button 410">
              <controlPr defaultSize="0" autoFill="0" autoLine="0" autoPict="0">
                <anchor moveWithCells="1">
                  <from>
                    <xdr:col>10</xdr:col>
                    <xdr:colOff>238125</xdr:colOff>
                    <xdr:row>51</xdr:row>
                    <xdr:rowOff>228600</xdr:rowOff>
                  </from>
                  <to>
                    <xdr:col>10</xdr:col>
                    <xdr:colOff>485775</xdr:colOff>
                    <xdr:row>51</xdr:row>
                    <xdr:rowOff>447675</xdr:rowOff>
                  </to>
                </anchor>
              </controlPr>
            </control>
          </mc:Choice>
        </mc:AlternateContent>
        <mc:AlternateContent xmlns:mc="http://schemas.openxmlformats.org/markup-compatibility/2006">
          <mc:Choice Requires="x14">
            <control shapeId="59803" r:id="rId244" name="Group Box 411">
              <controlPr defaultSize="0" autoFill="0" autoPict="0">
                <anchor moveWithCells="1">
                  <from>
                    <xdr:col>8</xdr:col>
                    <xdr:colOff>66675</xdr:colOff>
                    <xdr:row>51</xdr:row>
                    <xdr:rowOff>209550</xdr:rowOff>
                  </from>
                  <to>
                    <xdr:col>11</xdr:col>
                    <xdr:colOff>0</xdr:colOff>
                    <xdr:row>51</xdr:row>
                    <xdr:rowOff>457200</xdr:rowOff>
                  </to>
                </anchor>
              </controlPr>
            </control>
          </mc:Choice>
        </mc:AlternateContent>
        <mc:AlternateContent xmlns:mc="http://schemas.openxmlformats.org/markup-compatibility/2006">
          <mc:Choice Requires="x14">
            <control shapeId="59809" r:id="rId245" name="Check Box 417">
              <controlPr defaultSize="0" autoFill="0" autoLine="0" autoPict="0">
                <anchor moveWithCells="1">
                  <from>
                    <xdr:col>12</xdr:col>
                    <xdr:colOff>76200</xdr:colOff>
                    <xdr:row>65</xdr:row>
                    <xdr:rowOff>552450</xdr:rowOff>
                  </from>
                  <to>
                    <xdr:col>12</xdr:col>
                    <xdr:colOff>323850</xdr:colOff>
                    <xdr:row>65</xdr:row>
                    <xdr:rowOff>819150</xdr:rowOff>
                  </to>
                </anchor>
              </controlPr>
            </control>
          </mc:Choice>
        </mc:AlternateContent>
        <mc:AlternateContent xmlns:mc="http://schemas.openxmlformats.org/markup-compatibility/2006">
          <mc:Choice Requires="x14">
            <control shapeId="59810" r:id="rId246" name="Option Button 418">
              <controlPr defaultSize="0" autoFill="0" autoLine="0" autoPict="0">
                <anchor moveWithCells="1">
                  <from>
                    <xdr:col>8</xdr:col>
                    <xdr:colOff>238125</xdr:colOff>
                    <xdr:row>65</xdr:row>
                    <xdr:rowOff>590550</xdr:rowOff>
                  </from>
                  <to>
                    <xdr:col>8</xdr:col>
                    <xdr:colOff>485775</xdr:colOff>
                    <xdr:row>65</xdr:row>
                    <xdr:rowOff>809625</xdr:rowOff>
                  </to>
                </anchor>
              </controlPr>
            </control>
          </mc:Choice>
        </mc:AlternateContent>
        <mc:AlternateContent xmlns:mc="http://schemas.openxmlformats.org/markup-compatibility/2006">
          <mc:Choice Requires="x14">
            <control shapeId="59811" r:id="rId247" name="Option Button 419">
              <controlPr defaultSize="0" autoFill="0" autoLine="0" autoPict="0">
                <anchor moveWithCells="1">
                  <from>
                    <xdr:col>9</xdr:col>
                    <xdr:colOff>238125</xdr:colOff>
                    <xdr:row>65</xdr:row>
                    <xdr:rowOff>590550</xdr:rowOff>
                  </from>
                  <to>
                    <xdr:col>9</xdr:col>
                    <xdr:colOff>485775</xdr:colOff>
                    <xdr:row>65</xdr:row>
                    <xdr:rowOff>809625</xdr:rowOff>
                  </to>
                </anchor>
              </controlPr>
            </control>
          </mc:Choice>
        </mc:AlternateContent>
        <mc:AlternateContent xmlns:mc="http://schemas.openxmlformats.org/markup-compatibility/2006">
          <mc:Choice Requires="x14">
            <control shapeId="59812" r:id="rId248" name="Option Button 420">
              <controlPr defaultSize="0" autoFill="0" autoLine="0" autoPict="0">
                <anchor moveWithCells="1">
                  <from>
                    <xdr:col>10</xdr:col>
                    <xdr:colOff>238125</xdr:colOff>
                    <xdr:row>65</xdr:row>
                    <xdr:rowOff>590550</xdr:rowOff>
                  </from>
                  <to>
                    <xdr:col>10</xdr:col>
                    <xdr:colOff>485775</xdr:colOff>
                    <xdr:row>65</xdr:row>
                    <xdr:rowOff>809625</xdr:rowOff>
                  </to>
                </anchor>
              </controlPr>
            </control>
          </mc:Choice>
        </mc:AlternateContent>
        <mc:AlternateContent xmlns:mc="http://schemas.openxmlformats.org/markup-compatibility/2006">
          <mc:Choice Requires="x14">
            <control shapeId="59813" r:id="rId249" name="Group Box 421">
              <controlPr defaultSize="0" autoFill="0" autoPict="0">
                <anchor moveWithCells="1">
                  <from>
                    <xdr:col>8</xdr:col>
                    <xdr:colOff>66675</xdr:colOff>
                    <xdr:row>65</xdr:row>
                    <xdr:rowOff>581025</xdr:rowOff>
                  </from>
                  <to>
                    <xdr:col>11</xdr:col>
                    <xdr:colOff>0</xdr:colOff>
                    <xdr:row>65</xdr:row>
                    <xdr:rowOff>828675</xdr:rowOff>
                  </to>
                </anchor>
              </controlPr>
            </control>
          </mc:Choice>
        </mc:AlternateContent>
        <mc:AlternateContent xmlns:mc="http://schemas.openxmlformats.org/markup-compatibility/2006">
          <mc:Choice Requires="x14">
            <control shapeId="59814" r:id="rId250" name="Check Box 422">
              <controlPr defaultSize="0" autoFill="0" autoLine="0" autoPict="0">
                <anchor moveWithCells="1">
                  <from>
                    <xdr:col>12</xdr:col>
                    <xdr:colOff>76200</xdr:colOff>
                    <xdr:row>81</xdr:row>
                    <xdr:rowOff>57150</xdr:rowOff>
                  </from>
                  <to>
                    <xdr:col>12</xdr:col>
                    <xdr:colOff>323850</xdr:colOff>
                    <xdr:row>81</xdr:row>
                    <xdr:rowOff>323850</xdr:rowOff>
                  </to>
                </anchor>
              </controlPr>
            </control>
          </mc:Choice>
        </mc:AlternateContent>
        <mc:AlternateContent xmlns:mc="http://schemas.openxmlformats.org/markup-compatibility/2006">
          <mc:Choice Requires="x14">
            <control shapeId="59815" r:id="rId251" name="Check Box 423">
              <controlPr defaultSize="0" autoFill="0" autoLine="0" autoPict="0">
                <anchor moveWithCells="1">
                  <from>
                    <xdr:col>12</xdr:col>
                    <xdr:colOff>76200</xdr:colOff>
                    <xdr:row>82</xdr:row>
                    <xdr:rowOff>47625</xdr:rowOff>
                  </from>
                  <to>
                    <xdr:col>12</xdr:col>
                    <xdr:colOff>323850</xdr:colOff>
                    <xdr:row>82</xdr:row>
                    <xdr:rowOff>314325</xdr:rowOff>
                  </to>
                </anchor>
              </controlPr>
            </control>
          </mc:Choice>
        </mc:AlternateContent>
        <mc:AlternateContent xmlns:mc="http://schemas.openxmlformats.org/markup-compatibility/2006">
          <mc:Choice Requires="x14">
            <control shapeId="59816" r:id="rId252" name="Check Box 424">
              <controlPr defaultSize="0" autoFill="0" autoLine="0" autoPict="0">
                <anchor moveWithCells="1">
                  <from>
                    <xdr:col>12</xdr:col>
                    <xdr:colOff>76200</xdr:colOff>
                    <xdr:row>83</xdr:row>
                    <xdr:rowOff>38100</xdr:rowOff>
                  </from>
                  <to>
                    <xdr:col>12</xdr:col>
                    <xdr:colOff>323850</xdr:colOff>
                    <xdr:row>83</xdr:row>
                    <xdr:rowOff>304800</xdr:rowOff>
                  </to>
                </anchor>
              </controlPr>
            </control>
          </mc:Choice>
        </mc:AlternateContent>
        <mc:AlternateContent xmlns:mc="http://schemas.openxmlformats.org/markup-compatibility/2006">
          <mc:Choice Requires="x14">
            <control shapeId="59817" r:id="rId253" name="Check Box 425">
              <controlPr defaultSize="0" autoFill="0" autoLine="0" autoPict="0">
                <anchor moveWithCells="1">
                  <from>
                    <xdr:col>12</xdr:col>
                    <xdr:colOff>76200</xdr:colOff>
                    <xdr:row>91</xdr:row>
                    <xdr:rowOff>38100</xdr:rowOff>
                  </from>
                  <to>
                    <xdr:col>12</xdr:col>
                    <xdr:colOff>323850</xdr:colOff>
                    <xdr:row>91</xdr:row>
                    <xdr:rowOff>304800</xdr:rowOff>
                  </to>
                </anchor>
              </controlPr>
            </control>
          </mc:Choice>
        </mc:AlternateContent>
        <mc:AlternateContent xmlns:mc="http://schemas.openxmlformats.org/markup-compatibility/2006">
          <mc:Choice Requires="x14">
            <control shapeId="59829" r:id="rId254" name="Check Box 437">
              <controlPr defaultSize="0" autoFill="0" autoLine="0" autoPict="0">
                <anchor moveWithCells="1">
                  <from>
                    <xdr:col>12</xdr:col>
                    <xdr:colOff>76200</xdr:colOff>
                    <xdr:row>131</xdr:row>
                    <xdr:rowOff>85725</xdr:rowOff>
                  </from>
                  <to>
                    <xdr:col>12</xdr:col>
                    <xdr:colOff>323850</xdr:colOff>
                    <xdr:row>131</xdr:row>
                    <xdr:rowOff>352425</xdr:rowOff>
                  </to>
                </anchor>
              </controlPr>
            </control>
          </mc:Choice>
        </mc:AlternateContent>
        <mc:AlternateContent xmlns:mc="http://schemas.openxmlformats.org/markup-compatibility/2006">
          <mc:Choice Requires="x14">
            <control shapeId="59851" r:id="rId255" name="Check Box 459">
              <controlPr defaultSize="0" autoFill="0" autoLine="0" autoPict="0">
                <anchor moveWithCells="1">
                  <from>
                    <xdr:col>12</xdr:col>
                    <xdr:colOff>76200</xdr:colOff>
                    <xdr:row>145</xdr:row>
                    <xdr:rowOff>38100</xdr:rowOff>
                  </from>
                  <to>
                    <xdr:col>12</xdr:col>
                    <xdr:colOff>323850</xdr:colOff>
                    <xdr:row>145</xdr:row>
                    <xdr:rowOff>304800</xdr:rowOff>
                  </to>
                </anchor>
              </controlPr>
            </control>
          </mc:Choice>
        </mc:AlternateContent>
        <mc:AlternateContent xmlns:mc="http://schemas.openxmlformats.org/markup-compatibility/2006">
          <mc:Choice Requires="x14">
            <control shapeId="59852" r:id="rId256" name="Check Box 460">
              <controlPr defaultSize="0" autoFill="0" autoLine="0" autoPict="0">
                <anchor moveWithCells="1">
                  <from>
                    <xdr:col>12</xdr:col>
                    <xdr:colOff>76200</xdr:colOff>
                    <xdr:row>146</xdr:row>
                    <xdr:rowOff>57150</xdr:rowOff>
                  </from>
                  <to>
                    <xdr:col>12</xdr:col>
                    <xdr:colOff>323850</xdr:colOff>
                    <xdr:row>146</xdr:row>
                    <xdr:rowOff>323850</xdr:rowOff>
                  </to>
                </anchor>
              </controlPr>
            </control>
          </mc:Choice>
        </mc:AlternateContent>
        <mc:AlternateContent xmlns:mc="http://schemas.openxmlformats.org/markup-compatibility/2006">
          <mc:Choice Requires="x14">
            <control shapeId="59882" r:id="rId257" name="Check Box 490">
              <controlPr defaultSize="0" autoFill="0" autoLine="0" autoPict="0">
                <anchor moveWithCells="1">
                  <from>
                    <xdr:col>12</xdr:col>
                    <xdr:colOff>76200</xdr:colOff>
                    <xdr:row>90</xdr:row>
                    <xdr:rowOff>390525</xdr:rowOff>
                  </from>
                  <to>
                    <xdr:col>12</xdr:col>
                    <xdr:colOff>323850</xdr:colOff>
                    <xdr:row>90</xdr:row>
                    <xdr:rowOff>657225</xdr:rowOff>
                  </to>
                </anchor>
              </controlPr>
            </control>
          </mc:Choice>
        </mc:AlternateContent>
        <mc:AlternateContent xmlns:mc="http://schemas.openxmlformats.org/markup-compatibility/2006">
          <mc:Choice Requires="x14">
            <control shapeId="59897" r:id="rId258" name="Check Box 505">
              <controlPr defaultSize="0" autoFill="0" autoLine="0" autoPict="0">
                <anchor moveWithCells="1">
                  <from>
                    <xdr:col>12</xdr:col>
                    <xdr:colOff>76200</xdr:colOff>
                    <xdr:row>171</xdr:row>
                    <xdr:rowOff>800100</xdr:rowOff>
                  </from>
                  <to>
                    <xdr:col>12</xdr:col>
                    <xdr:colOff>323850</xdr:colOff>
                    <xdr:row>171</xdr:row>
                    <xdr:rowOff>1066800</xdr:rowOff>
                  </to>
                </anchor>
              </controlPr>
            </control>
          </mc:Choice>
        </mc:AlternateContent>
        <mc:AlternateContent xmlns:mc="http://schemas.openxmlformats.org/markup-compatibility/2006">
          <mc:Choice Requires="x14">
            <control shapeId="59932" r:id="rId259" name="Check Box 540">
              <controlPr defaultSize="0" autoFill="0" autoLine="0" autoPict="0">
                <anchor moveWithCells="1">
                  <from>
                    <xdr:col>12</xdr:col>
                    <xdr:colOff>76200</xdr:colOff>
                    <xdr:row>107</xdr:row>
                    <xdr:rowOff>428625</xdr:rowOff>
                  </from>
                  <to>
                    <xdr:col>12</xdr:col>
                    <xdr:colOff>323850</xdr:colOff>
                    <xdr:row>107</xdr:row>
                    <xdr:rowOff>695325</xdr:rowOff>
                  </to>
                </anchor>
              </controlPr>
            </control>
          </mc:Choice>
        </mc:AlternateContent>
        <mc:AlternateContent xmlns:mc="http://schemas.openxmlformats.org/markup-compatibility/2006">
          <mc:Choice Requires="x14">
            <control shapeId="59947" r:id="rId260" name="Check Box 555">
              <controlPr defaultSize="0" autoFill="0" autoLine="0" autoPict="0">
                <anchor moveWithCells="1">
                  <from>
                    <xdr:col>12</xdr:col>
                    <xdr:colOff>76200</xdr:colOff>
                    <xdr:row>63</xdr:row>
                    <xdr:rowOff>57150</xdr:rowOff>
                  </from>
                  <to>
                    <xdr:col>12</xdr:col>
                    <xdr:colOff>323850</xdr:colOff>
                    <xdr:row>63</xdr:row>
                    <xdr:rowOff>323850</xdr:rowOff>
                  </to>
                </anchor>
              </controlPr>
            </control>
          </mc:Choice>
        </mc:AlternateContent>
        <mc:AlternateContent xmlns:mc="http://schemas.openxmlformats.org/markup-compatibility/2006">
          <mc:Choice Requires="x14">
            <control shapeId="59952" r:id="rId261" name="Check Box 560">
              <controlPr defaultSize="0" autoFill="0" autoLine="0" autoPict="0">
                <anchor moveWithCells="1">
                  <from>
                    <xdr:col>12</xdr:col>
                    <xdr:colOff>76200</xdr:colOff>
                    <xdr:row>168</xdr:row>
                    <xdr:rowOff>457200</xdr:rowOff>
                  </from>
                  <to>
                    <xdr:col>12</xdr:col>
                    <xdr:colOff>323850</xdr:colOff>
                    <xdr:row>168</xdr:row>
                    <xdr:rowOff>723900</xdr:rowOff>
                  </to>
                </anchor>
              </controlPr>
            </control>
          </mc:Choice>
        </mc:AlternateContent>
        <mc:AlternateContent xmlns:mc="http://schemas.openxmlformats.org/markup-compatibility/2006">
          <mc:Choice Requires="x14">
            <control shapeId="59961" r:id="rId262" name="Check Box 569">
              <controlPr defaultSize="0" autoFill="0" autoLine="0" autoPict="0">
                <anchor moveWithCells="1">
                  <from>
                    <xdr:col>12</xdr:col>
                    <xdr:colOff>76200</xdr:colOff>
                    <xdr:row>190</xdr:row>
                    <xdr:rowOff>85725</xdr:rowOff>
                  </from>
                  <to>
                    <xdr:col>12</xdr:col>
                    <xdr:colOff>323850</xdr:colOff>
                    <xdr:row>190</xdr:row>
                    <xdr:rowOff>352425</xdr:rowOff>
                  </to>
                </anchor>
              </controlPr>
            </control>
          </mc:Choice>
        </mc:AlternateContent>
        <mc:AlternateContent xmlns:mc="http://schemas.openxmlformats.org/markup-compatibility/2006">
          <mc:Choice Requires="x14">
            <control shapeId="59971" r:id="rId263" name="Check Box 579">
              <controlPr defaultSize="0" autoFill="0" autoLine="0" autoPict="0">
                <anchor moveWithCells="1">
                  <from>
                    <xdr:col>12</xdr:col>
                    <xdr:colOff>76200</xdr:colOff>
                    <xdr:row>194</xdr:row>
                    <xdr:rowOff>295275</xdr:rowOff>
                  </from>
                  <to>
                    <xdr:col>12</xdr:col>
                    <xdr:colOff>323850</xdr:colOff>
                    <xdr:row>194</xdr:row>
                    <xdr:rowOff>561975</xdr:rowOff>
                  </to>
                </anchor>
              </controlPr>
            </control>
          </mc:Choice>
        </mc:AlternateContent>
        <mc:AlternateContent xmlns:mc="http://schemas.openxmlformats.org/markup-compatibility/2006">
          <mc:Choice Requires="x14">
            <control shapeId="59976" r:id="rId264" name="Check Box 584">
              <controlPr defaultSize="0" autoFill="0" autoLine="0" autoPict="0">
                <anchor moveWithCells="1">
                  <from>
                    <xdr:col>12</xdr:col>
                    <xdr:colOff>76200</xdr:colOff>
                    <xdr:row>195</xdr:row>
                    <xdr:rowOff>57150</xdr:rowOff>
                  </from>
                  <to>
                    <xdr:col>12</xdr:col>
                    <xdr:colOff>323850</xdr:colOff>
                    <xdr:row>195</xdr:row>
                    <xdr:rowOff>323850</xdr:rowOff>
                  </to>
                </anchor>
              </controlPr>
            </control>
          </mc:Choice>
        </mc:AlternateContent>
        <mc:AlternateContent xmlns:mc="http://schemas.openxmlformats.org/markup-compatibility/2006">
          <mc:Choice Requires="x14">
            <control shapeId="59977" r:id="rId265" name="Option Button 585">
              <controlPr defaultSize="0" autoFill="0" autoLine="0" autoPict="0">
                <anchor moveWithCells="1">
                  <from>
                    <xdr:col>8</xdr:col>
                    <xdr:colOff>238125</xdr:colOff>
                    <xdr:row>195</xdr:row>
                    <xdr:rowOff>95250</xdr:rowOff>
                  </from>
                  <to>
                    <xdr:col>8</xdr:col>
                    <xdr:colOff>485775</xdr:colOff>
                    <xdr:row>195</xdr:row>
                    <xdr:rowOff>304800</xdr:rowOff>
                  </to>
                </anchor>
              </controlPr>
            </control>
          </mc:Choice>
        </mc:AlternateContent>
        <mc:AlternateContent xmlns:mc="http://schemas.openxmlformats.org/markup-compatibility/2006">
          <mc:Choice Requires="x14">
            <control shapeId="59978" r:id="rId266" name="Option Button 586">
              <controlPr defaultSize="0" autoFill="0" autoLine="0" autoPict="0">
                <anchor moveWithCells="1">
                  <from>
                    <xdr:col>9</xdr:col>
                    <xdr:colOff>238125</xdr:colOff>
                    <xdr:row>195</xdr:row>
                    <xdr:rowOff>95250</xdr:rowOff>
                  </from>
                  <to>
                    <xdr:col>9</xdr:col>
                    <xdr:colOff>485775</xdr:colOff>
                    <xdr:row>195</xdr:row>
                    <xdr:rowOff>304800</xdr:rowOff>
                  </to>
                </anchor>
              </controlPr>
            </control>
          </mc:Choice>
        </mc:AlternateContent>
        <mc:AlternateContent xmlns:mc="http://schemas.openxmlformats.org/markup-compatibility/2006">
          <mc:Choice Requires="x14">
            <control shapeId="59979" r:id="rId267" name="Option Button 587">
              <controlPr defaultSize="0" autoFill="0" autoLine="0" autoPict="0">
                <anchor moveWithCells="1">
                  <from>
                    <xdr:col>10</xdr:col>
                    <xdr:colOff>238125</xdr:colOff>
                    <xdr:row>195</xdr:row>
                    <xdr:rowOff>95250</xdr:rowOff>
                  </from>
                  <to>
                    <xdr:col>10</xdr:col>
                    <xdr:colOff>485775</xdr:colOff>
                    <xdr:row>195</xdr:row>
                    <xdr:rowOff>304800</xdr:rowOff>
                  </to>
                </anchor>
              </controlPr>
            </control>
          </mc:Choice>
        </mc:AlternateContent>
        <mc:AlternateContent xmlns:mc="http://schemas.openxmlformats.org/markup-compatibility/2006">
          <mc:Choice Requires="x14">
            <control shapeId="59980" r:id="rId268" name="Group Box 588">
              <controlPr defaultSize="0" autoFill="0" autoPict="0">
                <anchor moveWithCells="1">
                  <from>
                    <xdr:col>8</xdr:col>
                    <xdr:colOff>66675</xdr:colOff>
                    <xdr:row>195</xdr:row>
                    <xdr:rowOff>76200</xdr:rowOff>
                  </from>
                  <to>
                    <xdr:col>11</xdr:col>
                    <xdr:colOff>0</xdr:colOff>
                    <xdr:row>195</xdr:row>
                    <xdr:rowOff>323850</xdr:rowOff>
                  </to>
                </anchor>
              </controlPr>
            </control>
          </mc:Choice>
        </mc:AlternateContent>
        <mc:AlternateContent xmlns:mc="http://schemas.openxmlformats.org/markup-compatibility/2006">
          <mc:Choice Requires="x14">
            <control shapeId="59981" r:id="rId269" name="Check Box 589">
              <controlPr defaultSize="0" autoFill="0" autoLine="0" autoPict="0">
                <anchor moveWithCells="1">
                  <from>
                    <xdr:col>12</xdr:col>
                    <xdr:colOff>76200</xdr:colOff>
                    <xdr:row>196</xdr:row>
                    <xdr:rowOff>228600</xdr:rowOff>
                  </from>
                  <to>
                    <xdr:col>12</xdr:col>
                    <xdr:colOff>323850</xdr:colOff>
                    <xdr:row>196</xdr:row>
                    <xdr:rowOff>495300</xdr:rowOff>
                  </to>
                </anchor>
              </controlPr>
            </control>
          </mc:Choice>
        </mc:AlternateContent>
        <mc:AlternateContent xmlns:mc="http://schemas.openxmlformats.org/markup-compatibility/2006">
          <mc:Choice Requires="x14">
            <control shapeId="59986" r:id="rId270" name="Option Button 594">
              <controlPr defaultSize="0" autoFill="0" autoLine="0" autoPict="0">
                <anchor moveWithCells="1">
                  <from>
                    <xdr:col>8</xdr:col>
                    <xdr:colOff>238125</xdr:colOff>
                    <xdr:row>196</xdr:row>
                    <xdr:rowOff>228600</xdr:rowOff>
                  </from>
                  <to>
                    <xdr:col>8</xdr:col>
                    <xdr:colOff>485775</xdr:colOff>
                    <xdr:row>196</xdr:row>
                    <xdr:rowOff>438150</xdr:rowOff>
                  </to>
                </anchor>
              </controlPr>
            </control>
          </mc:Choice>
        </mc:AlternateContent>
        <mc:AlternateContent xmlns:mc="http://schemas.openxmlformats.org/markup-compatibility/2006">
          <mc:Choice Requires="x14">
            <control shapeId="59987" r:id="rId271" name="Option Button 595">
              <controlPr defaultSize="0" autoFill="0" autoLine="0" autoPict="0">
                <anchor moveWithCells="1">
                  <from>
                    <xdr:col>9</xdr:col>
                    <xdr:colOff>238125</xdr:colOff>
                    <xdr:row>196</xdr:row>
                    <xdr:rowOff>228600</xdr:rowOff>
                  </from>
                  <to>
                    <xdr:col>9</xdr:col>
                    <xdr:colOff>485775</xdr:colOff>
                    <xdr:row>196</xdr:row>
                    <xdr:rowOff>438150</xdr:rowOff>
                  </to>
                </anchor>
              </controlPr>
            </control>
          </mc:Choice>
        </mc:AlternateContent>
        <mc:AlternateContent xmlns:mc="http://schemas.openxmlformats.org/markup-compatibility/2006">
          <mc:Choice Requires="x14">
            <control shapeId="59988" r:id="rId272" name="Option Button 596">
              <controlPr defaultSize="0" autoFill="0" autoLine="0" autoPict="0">
                <anchor moveWithCells="1">
                  <from>
                    <xdr:col>10</xdr:col>
                    <xdr:colOff>238125</xdr:colOff>
                    <xdr:row>196</xdr:row>
                    <xdr:rowOff>228600</xdr:rowOff>
                  </from>
                  <to>
                    <xdr:col>10</xdr:col>
                    <xdr:colOff>485775</xdr:colOff>
                    <xdr:row>196</xdr:row>
                    <xdr:rowOff>438150</xdr:rowOff>
                  </to>
                </anchor>
              </controlPr>
            </control>
          </mc:Choice>
        </mc:AlternateContent>
        <mc:AlternateContent xmlns:mc="http://schemas.openxmlformats.org/markup-compatibility/2006">
          <mc:Choice Requires="x14">
            <control shapeId="59989" r:id="rId273" name="Group Box 597">
              <controlPr defaultSize="0" autoFill="0" autoPict="0">
                <anchor moveWithCells="1">
                  <from>
                    <xdr:col>8</xdr:col>
                    <xdr:colOff>66675</xdr:colOff>
                    <xdr:row>196</xdr:row>
                    <xdr:rowOff>209550</xdr:rowOff>
                  </from>
                  <to>
                    <xdr:col>11</xdr:col>
                    <xdr:colOff>0</xdr:colOff>
                    <xdr:row>196</xdr:row>
                    <xdr:rowOff>457200</xdr:rowOff>
                  </to>
                </anchor>
              </controlPr>
            </control>
          </mc:Choice>
        </mc:AlternateContent>
        <mc:AlternateContent xmlns:mc="http://schemas.openxmlformats.org/markup-compatibility/2006">
          <mc:Choice Requires="x14">
            <control shapeId="59990" r:id="rId274" name="Option Button 598">
              <controlPr defaultSize="0" autoFill="0" autoLine="0" autoPict="0">
                <anchor moveWithCells="1">
                  <from>
                    <xdr:col>8</xdr:col>
                    <xdr:colOff>238125</xdr:colOff>
                    <xdr:row>194</xdr:row>
                    <xdr:rowOff>304800</xdr:rowOff>
                  </from>
                  <to>
                    <xdr:col>8</xdr:col>
                    <xdr:colOff>485775</xdr:colOff>
                    <xdr:row>194</xdr:row>
                    <xdr:rowOff>514350</xdr:rowOff>
                  </to>
                </anchor>
              </controlPr>
            </control>
          </mc:Choice>
        </mc:AlternateContent>
        <mc:AlternateContent xmlns:mc="http://schemas.openxmlformats.org/markup-compatibility/2006">
          <mc:Choice Requires="x14">
            <control shapeId="59991" r:id="rId275" name="Option Button 599">
              <controlPr defaultSize="0" autoFill="0" autoLine="0" autoPict="0">
                <anchor moveWithCells="1">
                  <from>
                    <xdr:col>9</xdr:col>
                    <xdr:colOff>238125</xdr:colOff>
                    <xdr:row>194</xdr:row>
                    <xdr:rowOff>304800</xdr:rowOff>
                  </from>
                  <to>
                    <xdr:col>9</xdr:col>
                    <xdr:colOff>485775</xdr:colOff>
                    <xdr:row>194</xdr:row>
                    <xdr:rowOff>514350</xdr:rowOff>
                  </to>
                </anchor>
              </controlPr>
            </control>
          </mc:Choice>
        </mc:AlternateContent>
        <mc:AlternateContent xmlns:mc="http://schemas.openxmlformats.org/markup-compatibility/2006">
          <mc:Choice Requires="x14">
            <control shapeId="59992" r:id="rId276" name="Option Button 600">
              <controlPr defaultSize="0" autoFill="0" autoLine="0" autoPict="0">
                <anchor moveWithCells="1">
                  <from>
                    <xdr:col>10</xdr:col>
                    <xdr:colOff>238125</xdr:colOff>
                    <xdr:row>194</xdr:row>
                    <xdr:rowOff>304800</xdr:rowOff>
                  </from>
                  <to>
                    <xdr:col>10</xdr:col>
                    <xdr:colOff>485775</xdr:colOff>
                    <xdr:row>194</xdr:row>
                    <xdr:rowOff>514350</xdr:rowOff>
                  </to>
                </anchor>
              </controlPr>
            </control>
          </mc:Choice>
        </mc:AlternateContent>
        <mc:AlternateContent xmlns:mc="http://schemas.openxmlformats.org/markup-compatibility/2006">
          <mc:Choice Requires="x14">
            <control shapeId="59993" r:id="rId277" name="Group Box 601">
              <controlPr defaultSize="0" autoFill="0" autoPict="0">
                <anchor moveWithCells="1">
                  <from>
                    <xdr:col>8</xdr:col>
                    <xdr:colOff>66675</xdr:colOff>
                    <xdr:row>194</xdr:row>
                    <xdr:rowOff>285750</xdr:rowOff>
                  </from>
                  <to>
                    <xdr:col>11</xdr:col>
                    <xdr:colOff>0</xdr:colOff>
                    <xdr:row>194</xdr:row>
                    <xdr:rowOff>533400</xdr:rowOff>
                  </to>
                </anchor>
              </controlPr>
            </control>
          </mc:Choice>
        </mc:AlternateContent>
        <mc:AlternateContent xmlns:mc="http://schemas.openxmlformats.org/markup-compatibility/2006">
          <mc:Choice Requires="x14">
            <control shapeId="59997" r:id="rId278" name="Group Box 605">
              <controlPr defaultSize="0" autoFill="0" autoPict="0">
                <anchor moveWithCells="1">
                  <from>
                    <xdr:col>8</xdr:col>
                    <xdr:colOff>66675</xdr:colOff>
                    <xdr:row>193</xdr:row>
                    <xdr:rowOff>571500</xdr:rowOff>
                  </from>
                  <to>
                    <xdr:col>11</xdr:col>
                    <xdr:colOff>0</xdr:colOff>
                    <xdr:row>194</xdr:row>
                    <xdr:rowOff>247650</xdr:rowOff>
                  </to>
                </anchor>
              </controlPr>
            </control>
          </mc:Choice>
        </mc:AlternateContent>
        <mc:AlternateContent xmlns:mc="http://schemas.openxmlformats.org/markup-compatibility/2006">
          <mc:Choice Requires="x14">
            <control shapeId="60001" r:id="rId279" name="Group Box 609">
              <controlPr defaultSize="0" autoFill="0" autoPict="0">
                <anchor moveWithCells="1">
                  <from>
                    <xdr:col>8</xdr:col>
                    <xdr:colOff>66675</xdr:colOff>
                    <xdr:row>190</xdr:row>
                    <xdr:rowOff>409575</xdr:rowOff>
                  </from>
                  <to>
                    <xdr:col>11</xdr:col>
                    <xdr:colOff>0</xdr:colOff>
                    <xdr:row>191</xdr:row>
                    <xdr:rowOff>247650</xdr:rowOff>
                  </to>
                </anchor>
              </controlPr>
            </control>
          </mc:Choice>
        </mc:AlternateContent>
        <mc:AlternateContent xmlns:mc="http://schemas.openxmlformats.org/markup-compatibility/2006">
          <mc:Choice Requires="x14">
            <control shapeId="60002" r:id="rId280" name="Option Button 610">
              <controlPr defaultSize="0" autoFill="0" autoLine="0" autoPict="0">
                <anchor moveWithCells="1">
                  <from>
                    <xdr:col>8</xdr:col>
                    <xdr:colOff>238125</xdr:colOff>
                    <xdr:row>171</xdr:row>
                    <xdr:rowOff>800100</xdr:rowOff>
                  </from>
                  <to>
                    <xdr:col>8</xdr:col>
                    <xdr:colOff>485775</xdr:colOff>
                    <xdr:row>171</xdr:row>
                    <xdr:rowOff>1009650</xdr:rowOff>
                  </to>
                </anchor>
              </controlPr>
            </control>
          </mc:Choice>
        </mc:AlternateContent>
        <mc:AlternateContent xmlns:mc="http://schemas.openxmlformats.org/markup-compatibility/2006">
          <mc:Choice Requires="x14">
            <control shapeId="60003" r:id="rId281" name="Option Button 611">
              <controlPr defaultSize="0" autoFill="0" autoLine="0" autoPict="0">
                <anchor moveWithCells="1">
                  <from>
                    <xdr:col>9</xdr:col>
                    <xdr:colOff>238125</xdr:colOff>
                    <xdr:row>171</xdr:row>
                    <xdr:rowOff>800100</xdr:rowOff>
                  </from>
                  <to>
                    <xdr:col>9</xdr:col>
                    <xdr:colOff>485775</xdr:colOff>
                    <xdr:row>171</xdr:row>
                    <xdr:rowOff>1009650</xdr:rowOff>
                  </to>
                </anchor>
              </controlPr>
            </control>
          </mc:Choice>
        </mc:AlternateContent>
        <mc:AlternateContent xmlns:mc="http://schemas.openxmlformats.org/markup-compatibility/2006">
          <mc:Choice Requires="x14">
            <control shapeId="60004" r:id="rId282" name="Option Button 612">
              <controlPr defaultSize="0" autoFill="0" autoLine="0" autoPict="0">
                <anchor moveWithCells="1">
                  <from>
                    <xdr:col>10</xdr:col>
                    <xdr:colOff>238125</xdr:colOff>
                    <xdr:row>171</xdr:row>
                    <xdr:rowOff>800100</xdr:rowOff>
                  </from>
                  <to>
                    <xdr:col>10</xdr:col>
                    <xdr:colOff>485775</xdr:colOff>
                    <xdr:row>171</xdr:row>
                    <xdr:rowOff>1009650</xdr:rowOff>
                  </to>
                </anchor>
              </controlPr>
            </control>
          </mc:Choice>
        </mc:AlternateContent>
        <mc:AlternateContent xmlns:mc="http://schemas.openxmlformats.org/markup-compatibility/2006">
          <mc:Choice Requires="x14">
            <control shapeId="60005" r:id="rId283" name="Group Box 613">
              <controlPr defaultSize="0" autoFill="0" autoPict="0">
                <anchor moveWithCells="1">
                  <from>
                    <xdr:col>8</xdr:col>
                    <xdr:colOff>66675</xdr:colOff>
                    <xdr:row>171</xdr:row>
                    <xdr:rowOff>781050</xdr:rowOff>
                  </from>
                  <to>
                    <xdr:col>11</xdr:col>
                    <xdr:colOff>0</xdr:colOff>
                    <xdr:row>171</xdr:row>
                    <xdr:rowOff>1028700</xdr:rowOff>
                  </to>
                </anchor>
              </controlPr>
            </control>
          </mc:Choice>
        </mc:AlternateContent>
        <mc:AlternateContent xmlns:mc="http://schemas.openxmlformats.org/markup-compatibility/2006">
          <mc:Choice Requires="x14">
            <control shapeId="60006" r:id="rId284" name="Option Button 614">
              <controlPr defaultSize="0" autoFill="0" autoLine="0" autoPict="0">
                <anchor moveWithCells="1">
                  <from>
                    <xdr:col>8</xdr:col>
                    <xdr:colOff>238125</xdr:colOff>
                    <xdr:row>168</xdr:row>
                    <xdr:rowOff>514350</xdr:rowOff>
                  </from>
                  <to>
                    <xdr:col>8</xdr:col>
                    <xdr:colOff>485775</xdr:colOff>
                    <xdr:row>168</xdr:row>
                    <xdr:rowOff>723900</xdr:rowOff>
                  </to>
                </anchor>
              </controlPr>
            </control>
          </mc:Choice>
        </mc:AlternateContent>
        <mc:AlternateContent xmlns:mc="http://schemas.openxmlformats.org/markup-compatibility/2006">
          <mc:Choice Requires="x14">
            <control shapeId="60007" r:id="rId285" name="Option Button 615">
              <controlPr defaultSize="0" autoFill="0" autoLine="0" autoPict="0">
                <anchor moveWithCells="1">
                  <from>
                    <xdr:col>9</xdr:col>
                    <xdr:colOff>238125</xdr:colOff>
                    <xdr:row>168</xdr:row>
                    <xdr:rowOff>514350</xdr:rowOff>
                  </from>
                  <to>
                    <xdr:col>9</xdr:col>
                    <xdr:colOff>485775</xdr:colOff>
                    <xdr:row>168</xdr:row>
                    <xdr:rowOff>723900</xdr:rowOff>
                  </to>
                </anchor>
              </controlPr>
            </control>
          </mc:Choice>
        </mc:AlternateContent>
        <mc:AlternateContent xmlns:mc="http://schemas.openxmlformats.org/markup-compatibility/2006">
          <mc:Choice Requires="x14">
            <control shapeId="60008" r:id="rId286" name="Option Button 616">
              <controlPr defaultSize="0" autoFill="0" autoLine="0" autoPict="0">
                <anchor moveWithCells="1">
                  <from>
                    <xdr:col>10</xdr:col>
                    <xdr:colOff>238125</xdr:colOff>
                    <xdr:row>168</xdr:row>
                    <xdr:rowOff>514350</xdr:rowOff>
                  </from>
                  <to>
                    <xdr:col>10</xdr:col>
                    <xdr:colOff>485775</xdr:colOff>
                    <xdr:row>168</xdr:row>
                    <xdr:rowOff>723900</xdr:rowOff>
                  </to>
                </anchor>
              </controlPr>
            </control>
          </mc:Choice>
        </mc:AlternateContent>
        <mc:AlternateContent xmlns:mc="http://schemas.openxmlformats.org/markup-compatibility/2006">
          <mc:Choice Requires="x14">
            <control shapeId="60009" r:id="rId287" name="Group Box 617">
              <controlPr defaultSize="0" autoFill="0" autoPict="0">
                <anchor moveWithCells="1">
                  <from>
                    <xdr:col>8</xdr:col>
                    <xdr:colOff>66675</xdr:colOff>
                    <xdr:row>168</xdr:row>
                    <xdr:rowOff>276225</xdr:rowOff>
                  </from>
                  <to>
                    <xdr:col>11</xdr:col>
                    <xdr:colOff>0</xdr:colOff>
                    <xdr:row>168</xdr:row>
                    <xdr:rowOff>523875</xdr:rowOff>
                  </to>
                </anchor>
              </controlPr>
            </control>
          </mc:Choice>
        </mc:AlternateContent>
        <mc:AlternateContent xmlns:mc="http://schemas.openxmlformats.org/markup-compatibility/2006">
          <mc:Choice Requires="x14">
            <control shapeId="60010" r:id="rId288" name="Option Button 618">
              <controlPr defaultSize="0" autoFill="0" autoLine="0" autoPict="0">
                <anchor moveWithCells="1">
                  <from>
                    <xdr:col>8</xdr:col>
                    <xdr:colOff>238125</xdr:colOff>
                    <xdr:row>107</xdr:row>
                    <xdr:rowOff>466725</xdr:rowOff>
                  </from>
                  <to>
                    <xdr:col>8</xdr:col>
                    <xdr:colOff>485775</xdr:colOff>
                    <xdr:row>107</xdr:row>
                    <xdr:rowOff>676275</xdr:rowOff>
                  </to>
                </anchor>
              </controlPr>
            </control>
          </mc:Choice>
        </mc:AlternateContent>
        <mc:AlternateContent xmlns:mc="http://schemas.openxmlformats.org/markup-compatibility/2006">
          <mc:Choice Requires="x14">
            <control shapeId="60011" r:id="rId289" name="Option Button 619">
              <controlPr defaultSize="0" autoFill="0" autoLine="0" autoPict="0">
                <anchor moveWithCells="1">
                  <from>
                    <xdr:col>9</xdr:col>
                    <xdr:colOff>238125</xdr:colOff>
                    <xdr:row>107</xdr:row>
                    <xdr:rowOff>466725</xdr:rowOff>
                  </from>
                  <to>
                    <xdr:col>9</xdr:col>
                    <xdr:colOff>485775</xdr:colOff>
                    <xdr:row>107</xdr:row>
                    <xdr:rowOff>676275</xdr:rowOff>
                  </to>
                </anchor>
              </controlPr>
            </control>
          </mc:Choice>
        </mc:AlternateContent>
        <mc:AlternateContent xmlns:mc="http://schemas.openxmlformats.org/markup-compatibility/2006">
          <mc:Choice Requires="x14">
            <control shapeId="60012" r:id="rId290" name="Option Button 620">
              <controlPr defaultSize="0" autoFill="0" autoLine="0" autoPict="0">
                <anchor moveWithCells="1">
                  <from>
                    <xdr:col>10</xdr:col>
                    <xdr:colOff>238125</xdr:colOff>
                    <xdr:row>107</xdr:row>
                    <xdr:rowOff>466725</xdr:rowOff>
                  </from>
                  <to>
                    <xdr:col>10</xdr:col>
                    <xdr:colOff>485775</xdr:colOff>
                    <xdr:row>107</xdr:row>
                    <xdr:rowOff>676275</xdr:rowOff>
                  </to>
                </anchor>
              </controlPr>
            </control>
          </mc:Choice>
        </mc:AlternateContent>
        <mc:AlternateContent xmlns:mc="http://schemas.openxmlformats.org/markup-compatibility/2006">
          <mc:Choice Requires="x14">
            <control shapeId="60013" r:id="rId291" name="Group Box 621">
              <controlPr defaultSize="0" autoFill="0" autoPict="0">
                <anchor moveWithCells="1">
                  <from>
                    <xdr:col>8</xdr:col>
                    <xdr:colOff>66675</xdr:colOff>
                    <xdr:row>107</xdr:row>
                    <xdr:rowOff>447675</xdr:rowOff>
                  </from>
                  <to>
                    <xdr:col>11</xdr:col>
                    <xdr:colOff>0</xdr:colOff>
                    <xdr:row>107</xdr:row>
                    <xdr:rowOff>695325</xdr:rowOff>
                  </to>
                </anchor>
              </controlPr>
            </control>
          </mc:Choice>
        </mc:AlternateContent>
        <mc:AlternateContent xmlns:mc="http://schemas.openxmlformats.org/markup-compatibility/2006">
          <mc:Choice Requires="x14">
            <control shapeId="60014" r:id="rId292" name="Group Box 622">
              <controlPr defaultSize="0" autoFill="0" autoPict="0">
                <anchor moveWithCells="1">
                  <from>
                    <xdr:col>8</xdr:col>
                    <xdr:colOff>219075</xdr:colOff>
                    <xdr:row>50</xdr:row>
                    <xdr:rowOff>333375</xdr:rowOff>
                  </from>
                  <to>
                    <xdr:col>11</xdr:col>
                    <xdr:colOff>104775</xdr:colOff>
                    <xdr:row>50</xdr:row>
                    <xdr:rowOff>590550</xdr:rowOff>
                  </to>
                </anchor>
              </controlPr>
            </control>
          </mc:Choice>
        </mc:AlternateContent>
        <mc:AlternateContent xmlns:mc="http://schemas.openxmlformats.org/markup-compatibility/2006">
          <mc:Choice Requires="x14">
            <control shapeId="60015" r:id="rId293" name="Check Box 623">
              <controlPr defaultSize="0" autoFill="0" autoLine="0" autoPict="0">
                <anchor moveWithCells="1">
                  <from>
                    <xdr:col>12</xdr:col>
                    <xdr:colOff>85725</xdr:colOff>
                    <xdr:row>187</xdr:row>
                    <xdr:rowOff>66675</xdr:rowOff>
                  </from>
                  <to>
                    <xdr:col>12</xdr:col>
                    <xdr:colOff>333375</xdr:colOff>
                    <xdr:row>187</xdr:row>
                    <xdr:rowOff>333375</xdr:rowOff>
                  </to>
                </anchor>
              </controlPr>
            </control>
          </mc:Choice>
        </mc:AlternateContent>
        <mc:AlternateContent xmlns:mc="http://schemas.openxmlformats.org/markup-compatibility/2006">
          <mc:Choice Requires="x14">
            <control shapeId="60017" r:id="rId294" name="Check Box 625">
              <controlPr defaultSize="0" autoFill="0" autoLine="0" autoPict="0">
                <anchor moveWithCells="1">
                  <from>
                    <xdr:col>12</xdr:col>
                    <xdr:colOff>76200</xdr:colOff>
                    <xdr:row>136</xdr:row>
                    <xdr:rowOff>66675</xdr:rowOff>
                  </from>
                  <to>
                    <xdr:col>12</xdr:col>
                    <xdr:colOff>323850</xdr:colOff>
                    <xdr:row>136</xdr:row>
                    <xdr:rowOff>323850</xdr:rowOff>
                  </to>
                </anchor>
              </controlPr>
            </control>
          </mc:Choice>
        </mc:AlternateContent>
        <mc:AlternateContent xmlns:mc="http://schemas.openxmlformats.org/markup-compatibility/2006">
          <mc:Choice Requires="x14">
            <control shapeId="60021" r:id="rId295" name="Check Box 629">
              <controlPr defaultSize="0" autoFill="0" autoLine="0" autoPict="0">
                <anchor moveWithCells="1">
                  <from>
                    <xdr:col>12</xdr:col>
                    <xdr:colOff>76200</xdr:colOff>
                    <xdr:row>191</xdr:row>
                    <xdr:rowOff>57150</xdr:rowOff>
                  </from>
                  <to>
                    <xdr:col>12</xdr:col>
                    <xdr:colOff>323850</xdr:colOff>
                    <xdr:row>191</xdr:row>
                    <xdr:rowOff>323850</xdr:rowOff>
                  </to>
                </anchor>
              </controlPr>
            </control>
          </mc:Choice>
        </mc:AlternateContent>
        <mc:AlternateContent xmlns:mc="http://schemas.openxmlformats.org/markup-compatibility/2006">
          <mc:Choice Requires="x14">
            <control shapeId="60029" r:id="rId296" name="Option Button 637">
              <controlPr defaultSize="0" autoFill="0" autoLine="0" autoPict="0">
                <anchor moveWithCells="1">
                  <from>
                    <xdr:col>8</xdr:col>
                    <xdr:colOff>238125</xdr:colOff>
                    <xdr:row>98</xdr:row>
                    <xdr:rowOff>333375</xdr:rowOff>
                  </from>
                  <to>
                    <xdr:col>8</xdr:col>
                    <xdr:colOff>485775</xdr:colOff>
                    <xdr:row>98</xdr:row>
                    <xdr:rowOff>542925</xdr:rowOff>
                  </to>
                </anchor>
              </controlPr>
            </control>
          </mc:Choice>
        </mc:AlternateContent>
        <mc:AlternateContent xmlns:mc="http://schemas.openxmlformats.org/markup-compatibility/2006">
          <mc:Choice Requires="x14">
            <control shapeId="60030" r:id="rId297" name="Option Button 638">
              <controlPr defaultSize="0" autoFill="0" autoLine="0" autoPict="0">
                <anchor moveWithCells="1">
                  <from>
                    <xdr:col>9</xdr:col>
                    <xdr:colOff>238125</xdr:colOff>
                    <xdr:row>98</xdr:row>
                    <xdr:rowOff>333375</xdr:rowOff>
                  </from>
                  <to>
                    <xdr:col>9</xdr:col>
                    <xdr:colOff>485775</xdr:colOff>
                    <xdr:row>98</xdr:row>
                    <xdr:rowOff>542925</xdr:rowOff>
                  </to>
                </anchor>
              </controlPr>
            </control>
          </mc:Choice>
        </mc:AlternateContent>
        <mc:AlternateContent xmlns:mc="http://schemas.openxmlformats.org/markup-compatibility/2006">
          <mc:Choice Requires="x14">
            <control shapeId="60031" r:id="rId298" name="Option Button 639">
              <controlPr defaultSize="0" autoFill="0" autoLine="0" autoPict="0">
                <anchor moveWithCells="1">
                  <from>
                    <xdr:col>10</xdr:col>
                    <xdr:colOff>238125</xdr:colOff>
                    <xdr:row>98</xdr:row>
                    <xdr:rowOff>333375</xdr:rowOff>
                  </from>
                  <to>
                    <xdr:col>10</xdr:col>
                    <xdr:colOff>485775</xdr:colOff>
                    <xdr:row>98</xdr:row>
                    <xdr:rowOff>542925</xdr:rowOff>
                  </to>
                </anchor>
              </controlPr>
            </control>
          </mc:Choice>
        </mc:AlternateContent>
        <mc:AlternateContent xmlns:mc="http://schemas.openxmlformats.org/markup-compatibility/2006">
          <mc:Choice Requires="x14">
            <control shapeId="60032" r:id="rId299" name="Group Box 640">
              <controlPr defaultSize="0" autoFill="0" autoPict="0">
                <anchor moveWithCells="1">
                  <from>
                    <xdr:col>8</xdr:col>
                    <xdr:colOff>66675</xdr:colOff>
                    <xdr:row>98</xdr:row>
                    <xdr:rowOff>314325</xdr:rowOff>
                  </from>
                  <to>
                    <xdr:col>11</xdr:col>
                    <xdr:colOff>0</xdr:colOff>
                    <xdr:row>98</xdr:row>
                    <xdr:rowOff>561975</xdr:rowOff>
                  </to>
                </anchor>
              </controlPr>
            </control>
          </mc:Choice>
        </mc:AlternateContent>
        <mc:AlternateContent xmlns:mc="http://schemas.openxmlformats.org/markup-compatibility/2006">
          <mc:Choice Requires="x14">
            <control shapeId="60033" r:id="rId300" name="Option Button 641">
              <controlPr defaultSize="0" autoFill="0" autoLine="0" autoPict="0">
                <anchor moveWithCells="1">
                  <from>
                    <xdr:col>8</xdr:col>
                    <xdr:colOff>238125</xdr:colOff>
                    <xdr:row>90</xdr:row>
                    <xdr:rowOff>390525</xdr:rowOff>
                  </from>
                  <to>
                    <xdr:col>8</xdr:col>
                    <xdr:colOff>485775</xdr:colOff>
                    <xdr:row>90</xdr:row>
                    <xdr:rowOff>600075</xdr:rowOff>
                  </to>
                </anchor>
              </controlPr>
            </control>
          </mc:Choice>
        </mc:AlternateContent>
        <mc:AlternateContent xmlns:mc="http://schemas.openxmlformats.org/markup-compatibility/2006">
          <mc:Choice Requires="x14">
            <control shapeId="60034" r:id="rId301" name="Option Button 642">
              <controlPr defaultSize="0" autoFill="0" autoLine="0" autoPict="0">
                <anchor moveWithCells="1">
                  <from>
                    <xdr:col>9</xdr:col>
                    <xdr:colOff>238125</xdr:colOff>
                    <xdr:row>90</xdr:row>
                    <xdr:rowOff>390525</xdr:rowOff>
                  </from>
                  <to>
                    <xdr:col>9</xdr:col>
                    <xdr:colOff>485775</xdr:colOff>
                    <xdr:row>90</xdr:row>
                    <xdr:rowOff>600075</xdr:rowOff>
                  </to>
                </anchor>
              </controlPr>
            </control>
          </mc:Choice>
        </mc:AlternateContent>
        <mc:AlternateContent xmlns:mc="http://schemas.openxmlformats.org/markup-compatibility/2006">
          <mc:Choice Requires="x14">
            <control shapeId="60035" r:id="rId302" name="Option Button 643">
              <controlPr defaultSize="0" autoFill="0" autoLine="0" autoPict="0">
                <anchor moveWithCells="1">
                  <from>
                    <xdr:col>10</xdr:col>
                    <xdr:colOff>238125</xdr:colOff>
                    <xdr:row>90</xdr:row>
                    <xdr:rowOff>390525</xdr:rowOff>
                  </from>
                  <to>
                    <xdr:col>10</xdr:col>
                    <xdr:colOff>485775</xdr:colOff>
                    <xdr:row>90</xdr:row>
                    <xdr:rowOff>600075</xdr:rowOff>
                  </to>
                </anchor>
              </controlPr>
            </control>
          </mc:Choice>
        </mc:AlternateContent>
        <mc:AlternateContent xmlns:mc="http://schemas.openxmlformats.org/markup-compatibility/2006">
          <mc:Choice Requires="x14">
            <control shapeId="60036" r:id="rId303" name="Group Box 644">
              <controlPr defaultSize="0" autoFill="0" autoPict="0">
                <anchor moveWithCells="1">
                  <from>
                    <xdr:col>8</xdr:col>
                    <xdr:colOff>66675</xdr:colOff>
                    <xdr:row>90</xdr:row>
                    <xdr:rowOff>371475</xdr:rowOff>
                  </from>
                  <to>
                    <xdr:col>11</xdr:col>
                    <xdr:colOff>0</xdr:colOff>
                    <xdr:row>90</xdr:row>
                    <xdr:rowOff>619125</xdr:rowOff>
                  </to>
                </anchor>
              </controlPr>
            </control>
          </mc:Choice>
        </mc:AlternateContent>
        <mc:AlternateContent xmlns:mc="http://schemas.openxmlformats.org/markup-compatibility/2006">
          <mc:Choice Requires="x14">
            <control shapeId="60037" r:id="rId304" name="Option Button 645">
              <controlPr defaultSize="0" autoFill="0" autoLine="0" autoPict="0">
                <anchor moveWithCells="1">
                  <from>
                    <xdr:col>8</xdr:col>
                    <xdr:colOff>238125</xdr:colOff>
                    <xdr:row>63</xdr:row>
                    <xdr:rowOff>95250</xdr:rowOff>
                  </from>
                  <to>
                    <xdr:col>8</xdr:col>
                    <xdr:colOff>485775</xdr:colOff>
                    <xdr:row>63</xdr:row>
                    <xdr:rowOff>304800</xdr:rowOff>
                  </to>
                </anchor>
              </controlPr>
            </control>
          </mc:Choice>
        </mc:AlternateContent>
        <mc:AlternateContent xmlns:mc="http://schemas.openxmlformats.org/markup-compatibility/2006">
          <mc:Choice Requires="x14">
            <control shapeId="60038" r:id="rId305" name="Option Button 646">
              <controlPr defaultSize="0" autoFill="0" autoLine="0" autoPict="0">
                <anchor moveWithCells="1">
                  <from>
                    <xdr:col>9</xdr:col>
                    <xdr:colOff>238125</xdr:colOff>
                    <xdr:row>63</xdr:row>
                    <xdr:rowOff>95250</xdr:rowOff>
                  </from>
                  <to>
                    <xdr:col>9</xdr:col>
                    <xdr:colOff>485775</xdr:colOff>
                    <xdr:row>63</xdr:row>
                    <xdr:rowOff>304800</xdr:rowOff>
                  </to>
                </anchor>
              </controlPr>
            </control>
          </mc:Choice>
        </mc:AlternateContent>
        <mc:AlternateContent xmlns:mc="http://schemas.openxmlformats.org/markup-compatibility/2006">
          <mc:Choice Requires="x14">
            <control shapeId="60039" r:id="rId306" name="Option Button 647">
              <controlPr defaultSize="0" autoFill="0" autoLine="0" autoPict="0">
                <anchor moveWithCells="1">
                  <from>
                    <xdr:col>10</xdr:col>
                    <xdr:colOff>238125</xdr:colOff>
                    <xdr:row>63</xdr:row>
                    <xdr:rowOff>95250</xdr:rowOff>
                  </from>
                  <to>
                    <xdr:col>10</xdr:col>
                    <xdr:colOff>485775</xdr:colOff>
                    <xdr:row>63</xdr:row>
                    <xdr:rowOff>304800</xdr:rowOff>
                  </to>
                </anchor>
              </controlPr>
            </control>
          </mc:Choice>
        </mc:AlternateContent>
        <mc:AlternateContent xmlns:mc="http://schemas.openxmlformats.org/markup-compatibility/2006">
          <mc:Choice Requires="x14">
            <control shapeId="60040" r:id="rId307" name="Group Box 648">
              <controlPr defaultSize="0" autoFill="0" autoPict="0">
                <anchor moveWithCells="1">
                  <from>
                    <xdr:col>8</xdr:col>
                    <xdr:colOff>66675</xdr:colOff>
                    <xdr:row>63</xdr:row>
                    <xdr:rowOff>76200</xdr:rowOff>
                  </from>
                  <to>
                    <xdr:col>11</xdr:col>
                    <xdr:colOff>0</xdr:colOff>
                    <xdr:row>63</xdr:row>
                    <xdr:rowOff>323850</xdr:rowOff>
                  </to>
                </anchor>
              </controlPr>
            </control>
          </mc:Choice>
        </mc:AlternateContent>
        <mc:AlternateContent xmlns:mc="http://schemas.openxmlformats.org/markup-compatibility/2006">
          <mc:Choice Requires="x14">
            <control shapeId="60042" r:id="rId308" name="Check Box 650">
              <controlPr defaultSize="0" autoFill="0" autoLine="0" autoPict="0">
                <anchor moveWithCells="1">
                  <from>
                    <xdr:col>12</xdr:col>
                    <xdr:colOff>76200</xdr:colOff>
                    <xdr:row>193</xdr:row>
                    <xdr:rowOff>57150</xdr:rowOff>
                  </from>
                  <to>
                    <xdr:col>12</xdr:col>
                    <xdr:colOff>323850</xdr:colOff>
                    <xdr:row>193</xdr:row>
                    <xdr:rowOff>323850</xdr:rowOff>
                  </to>
                </anchor>
              </controlPr>
            </control>
          </mc:Choice>
        </mc:AlternateContent>
      </controls>
    </mc:Choice>
  </mc:AlternateConten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6">
    <pageSetUpPr fitToPage="1"/>
  </sheetPr>
  <dimension ref="B1:F76"/>
  <sheetViews>
    <sheetView showGridLines="0" zoomScaleNormal="100" workbookViewId="0">
      <selection activeCell="C3" sqref="C3"/>
    </sheetView>
  </sheetViews>
  <sheetFormatPr defaultColWidth="0" defaultRowHeight="13.5" zeroHeight="1"/>
  <cols>
    <col min="1" max="1" width="2" customWidth="1"/>
    <col min="2" max="2" width="9.25" customWidth="1"/>
    <col min="3" max="3" width="20.5" customWidth="1"/>
    <col min="4" max="5" width="29.25" customWidth="1"/>
    <col min="6" max="6" width="16.125" customWidth="1"/>
    <col min="7" max="7" width="2" customWidth="1"/>
    <col min="8" max="16" width="0" hidden="1" customWidth="1"/>
  </cols>
  <sheetData>
    <row r="1" spans="2:6" ht="6" customHeight="1"/>
    <row r="2" spans="2:6" ht="15.75">
      <c r="B2" s="2040" t="s">
        <v>2160</v>
      </c>
      <c r="C2" s="413"/>
      <c r="D2" s="413"/>
      <c r="E2" s="2041" t="s">
        <v>2159</v>
      </c>
      <c r="F2" s="2041" t="str">
        <f>Main!C11</f>
        <v>XXX Building</v>
      </c>
    </row>
    <row r="3" spans="2:6" s="1105" customFormat="1" ht="16.5" customHeight="1">
      <c r="F3" s="2067" t="str">
        <f>Main!C5</f>
        <v>CASBEE-BD_NCe_2024_v1.21</v>
      </c>
    </row>
    <row r="4" spans="2:6" s="1105" customFormat="1" ht="14.25">
      <c r="B4" s="4428" t="s">
        <v>2162</v>
      </c>
      <c r="C4" s="4429"/>
      <c r="D4" s="2042" t="s">
        <v>2035</v>
      </c>
      <c r="E4" s="2043" t="s">
        <v>2034</v>
      </c>
      <c r="F4" s="2043" t="s">
        <v>2163</v>
      </c>
    </row>
    <row r="5" spans="2:6" s="1105" customFormat="1" ht="35.25" customHeight="1">
      <c r="B5" s="4430" t="s">
        <v>2164</v>
      </c>
      <c r="C5" s="2043" t="s">
        <v>1466</v>
      </c>
      <c r="D5" s="2042" t="str">
        <f>Main!C21</f>
        <v xml:space="preserve"> Offices,</v>
      </c>
      <c r="E5" s="2042" t="str">
        <f>D5</f>
        <v xml:space="preserve"> Offices,</v>
      </c>
      <c r="F5" s="2043"/>
    </row>
    <row r="6" spans="2:6" s="1105" customFormat="1" ht="14.25">
      <c r="B6" s="4431"/>
      <c r="C6" s="2043" t="s">
        <v>2165</v>
      </c>
      <c r="D6" s="2068">
        <f>Main!C19</f>
        <v>7000</v>
      </c>
      <c r="E6" s="2068">
        <f>D6</f>
        <v>7000</v>
      </c>
      <c r="F6" s="1741"/>
    </row>
    <row r="7" spans="2:6" s="1105" customFormat="1" ht="14.25">
      <c r="B7" s="4432"/>
      <c r="C7" s="2043" t="s">
        <v>1482</v>
      </c>
      <c r="D7" s="2043" t="str">
        <f>Main!C23</f>
        <v>RC</v>
      </c>
      <c r="E7" s="2043" t="str">
        <f>D7</f>
        <v>RC</v>
      </c>
      <c r="F7" s="1741"/>
    </row>
    <row r="8" spans="2:6" s="1105" customFormat="1" ht="31.5" customHeight="1">
      <c r="B8" s="2042" t="s">
        <v>2166</v>
      </c>
      <c r="C8" s="2045" t="s">
        <v>2167</v>
      </c>
      <c r="D8" s="2069" t="str">
        <f>WLC!O35</f>
        <v>60years(Office,)</v>
      </c>
      <c r="E8" s="2069" t="str">
        <f>WLC!L35</f>
        <v>60years(Office,)</v>
      </c>
      <c r="F8" s="1871"/>
    </row>
    <row r="9" spans="2:6" s="1105" customFormat="1" ht="19.5" customHeight="1">
      <c r="B9" s="2055"/>
      <c r="C9" s="2044" t="s">
        <v>2169</v>
      </c>
      <c r="D9" s="2070">
        <f>WLC!O152</f>
        <v>18.22</v>
      </c>
      <c r="E9" s="2070">
        <f>WLC!L152</f>
        <v>18.22</v>
      </c>
      <c r="F9" s="2064" t="s">
        <v>2204</v>
      </c>
    </row>
    <row r="10" spans="2:6" s="1105" customFormat="1" ht="19.5" customHeight="1">
      <c r="B10" s="2055"/>
      <c r="C10" s="2071" t="s">
        <v>2170</v>
      </c>
      <c r="D10" s="2072" t="s">
        <v>2218</v>
      </c>
      <c r="E10" s="2072">
        <f>WLC!L101+WLC!L102</f>
        <v>0</v>
      </c>
      <c r="F10" s="2065" t="s">
        <v>2204</v>
      </c>
    </row>
    <row r="11" spans="2:6" s="1105" customFormat="1" ht="40.15" customHeight="1">
      <c r="B11" s="4437" t="s">
        <v>2229</v>
      </c>
      <c r="C11" s="2042" t="s">
        <v>2171</v>
      </c>
      <c r="D11" s="2053" t="s">
        <v>2211</v>
      </c>
      <c r="E11" s="3802" t="s">
        <v>2210</v>
      </c>
      <c r="F11" s="1741"/>
    </row>
    <row r="12" spans="2:6" s="1105" customFormat="1" ht="40.15" customHeight="1">
      <c r="B12" s="4437"/>
      <c r="C12" s="2044" t="s">
        <v>2174</v>
      </c>
      <c r="D12" s="2053" t="s">
        <v>2209</v>
      </c>
      <c r="E12" s="2073" t="s">
        <v>2201</v>
      </c>
      <c r="F12" s="1741"/>
    </row>
    <row r="13" spans="2:6" s="1105" customFormat="1" ht="25.5">
      <c r="B13" s="4437"/>
      <c r="C13" s="2044" t="s">
        <v>2172</v>
      </c>
      <c r="D13" s="2074" t="s">
        <v>2212</v>
      </c>
      <c r="E13" s="2075" t="str">
        <f>$E$12</f>
        <v>See reference building</v>
      </c>
      <c r="F13" s="2076"/>
    </row>
    <row r="14" spans="2:6" s="1105" customFormat="1" ht="14.25">
      <c r="B14" s="4437"/>
      <c r="C14" s="2046" t="s">
        <v>2045</v>
      </c>
      <c r="D14" s="2078"/>
      <c r="E14" s="2079"/>
      <c r="F14" s="2080"/>
    </row>
    <row r="15" spans="2:6" s="1105" customFormat="1" ht="19.5" customHeight="1">
      <c r="B15" s="4437"/>
      <c r="C15" s="2047" t="str">
        <f>WLC!E93</f>
        <v>Regular concrete</v>
      </c>
      <c r="D15" s="2081">
        <f>WLC!O93</f>
        <v>0.69599999999999995</v>
      </c>
      <c r="E15" s="2082">
        <f>WLC!L93</f>
        <v>0.69599999999999995</v>
      </c>
      <c r="F15" s="2085" t="s">
        <v>2047</v>
      </c>
    </row>
    <row r="16" spans="2:6" s="1105" customFormat="1" ht="25.5">
      <c r="B16" s="4437"/>
      <c r="C16" s="2048" t="str">
        <f>WLC!E94</f>
        <v>Blast furnace cement concrete</v>
      </c>
      <c r="D16" s="2083">
        <f>WLC!O94</f>
        <v>0</v>
      </c>
      <c r="E16" s="2084">
        <f>WLC!L94</f>
        <v>0</v>
      </c>
      <c r="F16" s="2066" t="s">
        <v>2047</v>
      </c>
    </row>
    <row r="17" spans="2:6" s="1105" customFormat="1" ht="14.25">
      <c r="B17" s="4437"/>
      <c r="C17" s="2048" t="str">
        <f>WLC!E95</f>
        <v>Formwork</v>
      </c>
      <c r="D17" s="2083">
        <f>WLC!O95</f>
        <v>0.66749999999999998</v>
      </c>
      <c r="E17" s="2084">
        <f>WLC!L95</f>
        <v>0.66749999999999998</v>
      </c>
      <c r="F17" s="2066" t="s">
        <v>5021</v>
      </c>
    </row>
    <row r="18" spans="2:6" s="1105" customFormat="1" ht="14.25">
      <c r="B18" s="4437"/>
      <c r="C18" s="2048" t="str">
        <f>WLC!E96</f>
        <v>Reinforcing bars</v>
      </c>
      <c r="D18" s="2083">
        <f>WLC!O96</f>
        <v>7.8E-2</v>
      </c>
      <c r="E18" s="2084">
        <f>WLC!L96</f>
        <v>7.8E-2</v>
      </c>
      <c r="F18" s="2066" t="s">
        <v>2050</v>
      </c>
    </row>
    <row r="19" spans="2:6" s="1105" customFormat="1" ht="14.25">
      <c r="B19" s="4437"/>
      <c r="C19" s="2048" t="str">
        <f>WLC!E97</f>
        <v>Steel frame</v>
      </c>
      <c r="D19" s="2083">
        <f>WLC!O97</f>
        <v>0.1</v>
      </c>
      <c r="E19" s="2084">
        <f>WLC!L97</f>
        <v>0.1</v>
      </c>
      <c r="F19" s="2066" t="s">
        <v>2050</v>
      </c>
    </row>
    <row r="20" spans="2:6" s="1105" customFormat="1" ht="14.25">
      <c r="B20" s="4437"/>
      <c r="C20" s="2048" t="str">
        <f>WLC!E98</f>
        <v>Deck plate</v>
      </c>
      <c r="D20" s="2083">
        <f>WLC!O98</f>
        <v>0</v>
      </c>
      <c r="E20" s="2084">
        <f>WLC!L98</f>
        <v>0</v>
      </c>
      <c r="F20" s="2066" t="s">
        <v>5021</v>
      </c>
    </row>
    <row r="21" spans="2:6" s="1105" customFormat="1" ht="14.25">
      <c r="B21" s="4437"/>
      <c r="C21" s="2054" t="s">
        <v>2219</v>
      </c>
      <c r="D21" s="2054" t="s">
        <v>1072</v>
      </c>
      <c r="E21" s="2086" t="s">
        <v>2220</v>
      </c>
      <c r="F21" s="2087"/>
    </row>
    <row r="22" spans="2:6" s="1105" customFormat="1" ht="14.25">
      <c r="B22" s="4437"/>
      <c r="C22" s="2046" t="s">
        <v>2173</v>
      </c>
      <c r="D22" s="2078"/>
      <c r="E22" s="2079"/>
      <c r="F22" s="2080"/>
    </row>
    <row r="23" spans="2:6" s="1105" customFormat="1" ht="15.75">
      <c r="B23" s="4437"/>
      <c r="C23" s="2047" t="s">
        <v>2046</v>
      </c>
      <c r="D23" s="2081">
        <v>315.83999999999997</v>
      </c>
      <c r="E23" s="2082" t="str">
        <f>$E$12</f>
        <v>See reference building</v>
      </c>
      <c r="F23" s="2085" t="s">
        <v>2224</v>
      </c>
    </row>
    <row r="24" spans="2:6" s="1105" customFormat="1" ht="15.75">
      <c r="B24" s="4437"/>
      <c r="C24" s="2088" t="s">
        <v>2048</v>
      </c>
      <c r="D24" s="2083">
        <v>257.14</v>
      </c>
      <c r="E24" s="2084" t="str">
        <f t="shared" ref="E24:E29" si="0">$E$12</f>
        <v>See reference building</v>
      </c>
      <c r="F24" s="2066" t="s">
        <v>2224</v>
      </c>
    </row>
    <row r="25" spans="2:6" s="1105" customFormat="1" ht="15.75">
      <c r="B25" s="4437"/>
      <c r="C25" s="2048" t="s">
        <v>2178</v>
      </c>
      <c r="D25" s="2083">
        <v>1.41</v>
      </c>
      <c r="E25" s="2084" t="str">
        <f t="shared" si="0"/>
        <v>See reference building</v>
      </c>
      <c r="F25" s="2066" t="s">
        <v>2225</v>
      </c>
    </row>
    <row r="26" spans="2:6" s="1105" customFormat="1" ht="15.75">
      <c r="B26" s="4437"/>
      <c r="C26" s="2048" t="s">
        <v>2179</v>
      </c>
      <c r="D26" s="2083">
        <v>1.41</v>
      </c>
      <c r="E26" s="2084" t="str">
        <f t="shared" si="0"/>
        <v>See reference building</v>
      </c>
      <c r="F26" s="2066" t="s">
        <v>2225</v>
      </c>
    </row>
    <row r="27" spans="2:6" s="1105" customFormat="1" ht="15.75">
      <c r="B27" s="4437"/>
      <c r="C27" s="2048" t="s">
        <v>2175</v>
      </c>
      <c r="D27" s="2083">
        <v>1</v>
      </c>
      <c r="E27" s="2084" t="str">
        <f t="shared" si="0"/>
        <v>See reference building</v>
      </c>
      <c r="F27" s="2066" t="s">
        <v>2225</v>
      </c>
    </row>
    <row r="28" spans="2:6" s="1105" customFormat="1" ht="15.75">
      <c r="B28" s="4437"/>
      <c r="C28" s="2048" t="s">
        <v>2176</v>
      </c>
      <c r="D28" s="2083">
        <v>7.45</v>
      </c>
      <c r="E28" s="2084" t="str">
        <f t="shared" si="0"/>
        <v>See reference building</v>
      </c>
      <c r="F28" s="2066" t="s">
        <v>2226</v>
      </c>
    </row>
    <row r="29" spans="2:6" s="1105" customFormat="1" ht="15.75">
      <c r="B29" s="2097"/>
      <c r="C29" s="2054" t="s">
        <v>2177</v>
      </c>
      <c r="D29" s="2083">
        <v>37.64</v>
      </c>
      <c r="E29" s="2086" t="str">
        <f t="shared" si="0"/>
        <v>See reference building</v>
      </c>
      <c r="F29" s="2066" t="s">
        <v>2226</v>
      </c>
    </row>
    <row r="30" spans="2:6" s="1105" customFormat="1" ht="15" thickBot="1">
      <c r="B30" s="2121"/>
      <c r="C30" s="2046" t="s">
        <v>2180</v>
      </c>
      <c r="D30" s="2078"/>
      <c r="E30" s="2089"/>
      <c r="F30" s="2090"/>
    </row>
    <row r="31" spans="2:6" s="1105" customFormat="1" ht="29.25" customHeight="1">
      <c r="B31" s="2097"/>
      <c r="C31" s="2047" t="s">
        <v>3345</v>
      </c>
      <c r="D31" s="2091">
        <v>0</v>
      </c>
      <c r="E31" s="2092"/>
      <c r="F31" s="2093"/>
    </row>
    <row r="32" spans="2:6" s="1105" customFormat="1" ht="29.25" customHeight="1" thickBot="1">
      <c r="B32" s="2097"/>
      <c r="C32" s="2047" t="s">
        <v>2262</v>
      </c>
      <c r="D32" s="2091">
        <v>0</v>
      </c>
      <c r="E32" s="2094"/>
      <c r="F32" s="2095"/>
    </row>
    <row r="33" spans="2:6" s="1105" customFormat="1" ht="24" customHeight="1">
      <c r="B33" s="2097"/>
      <c r="C33" s="2048" t="s">
        <v>2181</v>
      </c>
      <c r="D33" s="2091">
        <v>0</v>
      </c>
      <c r="E33" s="2091">
        <v>0</v>
      </c>
      <c r="F33" s="2085"/>
    </row>
    <row r="34" spans="2:6" s="1105" customFormat="1" ht="24" customHeight="1">
      <c r="B34" s="2097"/>
      <c r="C34" s="2049" t="s">
        <v>2182</v>
      </c>
      <c r="D34" s="2096">
        <v>0</v>
      </c>
      <c r="E34" s="2096">
        <v>0</v>
      </c>
      <c r="F34" s="2097"/>
    </row>
    <row r="35" spans="2:6" s="1105" customFormat="1" ht="19.5" customHeight="1">
      <c r="B35" s="2044"/>
      <c r="C35" s="2044" t="s">
        <v>2169</v>
      </c>
      <c r="D35" s="2070">
        <f>WLC!O153</f>
        <v>20.11</v>
      </c>
      <c r="E35" s="2070">
        <f>WLC!L153</f>
        <v>20.11</v>
      </c>
      <c r="F35" s="2064" t="s">
        <v>2204</v>
      </c>
    </row>
    <row r="36" spans="2:6" s="1105" customFormat="1" ht="27.6" customHeight="1">
      <c r="B36" s="2098" t="s">
        <v>2514</v>
      </c>
      <c r="C36" s="2071" t="s">
        <v>2170</v>
      </c>
      <c r="D36" s="2072" t="s">
        <v>2218</v>
      </c>
      <c r="E36" s="2072">
        <f>WLC!L123+WLC!L124</f>
        <v>0</v>
      </c>
      <c r="F36" s="2065" t="s">
        <v>2204</v>
      </c>
    </row>
    <row r="37" spans="2:6" s="1105" customFormat="1" ht="14.25">
      <c r="B37" s="2077" t="s">
        <v>2515</v>
      </c>
      <c r="C37" s="2050" t="s">
        <v>2183</v>
      </c>
      <c r="D37" s="2099"/>
      <c r="E37" s="2099"/>
      <c r="F37" s="2080"/>
    </row>
    <row r="38" spans="2:6" s="1105" customFormat="1" ht="14.25">
      <c r="B38" s="2055" t="s">
        <v>2213</v>
      </c>
      <c r="C38" s="2051" t="str">
        <f>'GHG data'!D257</f>
        <v>Exterior</v>
      </c>
      <c r="D38" s="2100">
        <f>'GHG data'!I257</f>
        <v>25</v>
      </c>
      <c r="E38" s="2100">
        <f>'GHG data'!I257</f>
        <v>25</v>
      </c>
      <c r="F38" s="2097"/>
    </row>
    <row r="39" spans="2:6" s="1105" customFormat="1" ht="13.5" hidden="1" customHeight="1">
      <c r="B39" s="2055"/>
      <c r="C39" s="2052" t="str">
        <f>'GHG data'!D258</f>
        <v>Roof</v>
      </c>
      <c r="D39" s="2101"/>
      <c r="E39" s="2101"/>
      <c r="F39" s="2066"/>
    </row>
    <row r="40" spans="2:6" s="1105" customFormat="1" ht="14.25">
      <c r="B40" s="2055" t="s">
        <v>2214</v>
      </c>
      <c r="C40" s="2048" t="str">
        <f>'GHG data'!D259</f>
        <v>Interior</v>
      </c>
      <c r="D40" s="2101">
        <f>'GHG data'!I259</f>
        <v>18</v>
      </c>
      <c r="E40" s="2101">
        <f>'GHG data'!I259</f>
        <v>18</v>
      </c>
      <c r="F40" s="2066"/>
    </row>
    <row r="41" spans="2:6" s="1105" customFormat="1" ht="14.25">
      <c r="B41" s="2055"/>
      <c r="C41" s="2052" t="str">
        <f>'GHG data'!D260</f>
        <v>Building Service</v>
      </c>
      <c r="D41" s="2100">
        <f>'GHG data'!I260</f>
        <v>15</v>
      </c>
      <c r="E41" s="2100">
        <f>'GHG data'!I260</f>
        <v>15</v>
      </c>
      <c r="F41" s="2097"/>
    </row>
    <row r="42" spans="2:6" s="1105" customFormat="1" ht="14.25">
      <c r="B42" s="2077"/>
      <c r="C42" s="2046" t="s">
        <v>2184</v>
      </c>
      <c r="D42" s="2099"/>
      <c r="E42" s="2099"/>
      <c r="F42" s="2080"/>
    </row>
    <row r="43" spans="2:6" s="1105" customFormat="1" ht="14.25">
      <c r="B43" s="2055"/>
      <c r="C43" s="2051" t="str">
        <f>'GHG data'!D263</f>
        <v>Exterior</v>
      </c>
      <c r="D43" s="2102">
        <f>'GHG data'!I263</f>
        <v>0.01</v>
      </c>
      <c r="E43" s="2102">
        <f>'GHG data'!I263</f>
        <v>0.01</v>
      </c>
      <c r="F43" s="2103"/>
    </row>
    <row r="44" spans="2:6" s="1105" customFormat="1" ht="14.25">
      <c r="B44" s="2055"/>
      <c r="C44" s="2048" t="str">
        <f>'GHG data'!D264</f>
        <v>Interior</v>
      </c>
      <c r="D44" s="2104">
        <f>'GHG data'!I264</f>
        <v>0.01</v>
      </c>
      <c r="E44" s="2104">
        <f>'GHG data'!I264</f>
        <v>0.01</v>
      </c>
      <c r="F44" s="2105"/>
    </row>
    <row r="45" spans="2:6" s="1105" customFormat="1" ht="14.25">
      <c r="B45" s="2055"/>
      <c r="C45" s="2049" t="str">
        <f>'GHG data'!D265</f>
        <v>Building Service</v>
      </c>
      <c r="D45" s="2106">
        <f>'GHG data'!I265</f>
        <v>0.02</v>
      </c>
      <c r="E45" s="2106">
        <f>'GHG data'!I265</f>
        <v>0.02</v>
      </c>
      <c r="F45" s="2107"/>
    </row>
    <row r="46" spans="2:6" s="1105" customFormat="1" ht="29.25" customHeight="1">
      <c r="B46" s="2056"/>
      <c r="C46" s="2045" t="s">
        <v>2185</v>
      </c>
      <c r="D46" s="2053" t="s">
        <v>2186</v>
      </c>
      <c r="E46" s="2042" t="s">
        <v>2201</v>
      </c>
      <c r="F46" s="1741"/>
    </row>
    <row r="47" spans="2:6" s="1105" customFormat="1" ht="14.25">
      <c r="B47" s="2044"/>
      <c r="C47" s="2108" t="s">
        <v>2168</v>
      </c>
      <c r="D47" s="2078"/>
      <c r="E47" s="2109"/>
      <c r="F47" s="2110"/>
    </row>
    <row r="48" spans="2:6" s="1105" customFormat="1" ht="42.6" customHeight="1">
      <c r="B48" s="2055"/>
      <c r="C48" s="2042" t="s">
        <v>2187</v>
      </c>
      <c r="D48" s="2111" t="e">
        <f>WLC!O130</f>
        <v>#VALUE!</v>
      </c>
      <c r="E48" s="2111" t="e">
        <f>WLC!L130</f>
        <v>#VALUE!</v>
      </c>
      <c r="F48" s="2063" t="s">
        <v>2204</v>
      </c>
    </row>
    <row r="49" spans="2:6" s="1105" customFormat="1" ht="25.5">
      <c r="B49" s="2055"/>
      <c r="C49" s="2047" t="s">
        <v>2188</v>
      </c>
      <c r="D49" s="2112" t="s">
        <v>2218</v>
      </c>
      <c r="E49" s="2113" t="e">
        <f>WLC!L137</f>
        <v>#VALUE!</v>
      </c>
      <c r="F49" s="2064" t="s">
        <v>2204</v>
      </c>
    </row>
    <row r="50" spans="2:6" s="1105" customFormat="1" ht="15.6" hidden="1" customHeight="1">
      <c r="B50" s="2097"/>
      <c r="C50" s="2054"/>
      <c r="D50" s="2114" t="s">
        <v>2202</v>
      </c>
      <c r="E50" s="2115"/>
      <c r="F50" s="2066" t="s">
        <v>2204</v>
      </c>
    </row>
    <row r="51" spans="2:6" s="1105" customFormat="1" ht="15.75" hidden="1">
      <c r="B51" s="2097"/>
      <c r="C51" s="2055"/>
      <c r="D51" s="2116" t="s">
        <v>2234</v>
      </c>
      <c r="E51" s="2117" t="e">
        <f>Indiv.!E83</f>
        <v>#VALUE!</v>
      </c>
      <c r="F51" s="2066" t="s">
        <v>2204</v>
      </c>
    </row>
    <row r="52" spans="2:6" s="1105" customFormat="1" ht="15.75" hidden="1">
      <c r="B52" s="2097"/>
      <c r="C52" s="2055"/>
      <c r="D52" s="2118" t="s">
        <v>2235</v>
      </c>
      <c r="E52" s="2117" t="e">
        <f>Indiv.!E84</f>
        <v>#VALUE!</v>
      </c>
      <c r="F52" s="2066" t="s">
        <v>2204</v>
      </c>
    </row>
    <row r="53" spans="2:6" s="1105" customFormat="1" ht="14.25" hidden="1">
      <c r="B53" s="2097"/>
      <c r="C53" s="2056"/>
      <c r="D53" s="2119" t="s">
        <v>2203</v>
      </c>
      <c r="E53" s="2120" t="s">
        <v>2218</v>
      </c>
      <c r="F53" s="2065"/>
    </row>
    <row r="54" spans="2:6" s="1105" customFormat="1" ht="25.5">
      <c r="B54" s="2121" t="s">
        <v>2215</v>
      </c>
      <c r="C54" s="2051" t="s">
        <v>2189</v>
      </c>
      <c r="D54" s="2122" t="s">
        <v>2218</v>
      </c>
      <c r="E54" s="2070" t="e">
        <f>WLC!L145</f>
        <v>#VALUE!</v>
      </c>
      <c r="F54" s="2064" t="s">
        <v>2204</v>
      </c>
    </row>
    <row r="55" spans="2:6" s="1105" customFormat="1" ht="30" customHeight="1">
      <c r="B55" s="2097" t="s">
        <v>2216</v>
      </c>
      <c r="C55" s="2054" t="s">
        <v>2030</v>
      </c>
      <c r="D55" s="2057" t="s">
        <v>2190</v>
      </c>
      <c r="E55" s="2123" t="s">
        <v>2218</v>
      </c>
      <c r="F55" s="2066"/>
    </row>
    <row r="56" spans="2:6" s="1105" customFormat="1" ht="27.75" customHeight="1">
      <c r="B56" s="2097"/>
      <c r="C56" s="2055"/>
      <c r="D56" s="2057" t="s">
        <v>2191</v>
      </c>
      <c r="E56" s="2123" t="s">
        <v>2218</v>
      </c>
      <c r="F56" s="2066"/>
    </row>
    <row r="57" spans="2:6" s="1105" customFormat="1" ht="24" customHeight="1">
      <c r="B57" s="2097"/>
      <c r="C57" s="2055"/>
      <c r="D57" s="2057" t="s">
        <v>2192</v>
      </c>
      <c r="E57" s="2123" t="s">
        <v>2218</v>
      </c>
      <c r="F57" s="2066"/>
    </row>
    <row r="58" spans="2:6" s="1105" customFormat="1" ht="38.25">
      <c r="B58" s="2055"/>
      <c r="C58" s="2055"/>
      <c r="D58" s="2057" t="s">
        <v>3437</v>
      </c>
      <c r="E58" s="2123" t="s">
        <v>2218</v>
      </c>
      <c r="F58" s="2065"/>
    </row>
    <row r="59" spans="2:6" s="1105" customFormat="1" ht="14.25" hidden="1">
      <c r="B59" s="2055"/>
      <c r="C59" s="2056"/>
      <c r="D59" s="2124"/>
      <c r="E59" s="2120" t="s">
        <v>2218</v>
      </c>
      <c r="F59" s="2125"/>
    </row>
    <row r="60" spans="2:6" s="1105" customFormat="1" ht="15.75" hidden="1">
      <c r="B60" s="2055"/>
      <c r="C60" s="4430" t="s">
        <v>2221</v>
      </c>
      <c r="D60" s="2126" t="s">
        <v>2222</v>
      </c>
      <c r="E60" s="2120" t="e">
        <f>E9+E35+E49</f>
        <v>#VALUE!</v>
      </c>
      <c r="F60" s="1871" t="s">
        <v>2227</v>
      </c>
    </row>
    <row r="61" spans="2:6" s="1105" customFormat="1" ht="15.75" hidden="1">
      <c r="B61" s="2055"/>
      <c r="C61" s="4436"/>
      <c r="D61" s="2126" t="s">
        <v>2223</v>
      </c>
      <c r="E61" s="2120" t="e">
        <f>E9+E35+E54</f>
        <v>#VALUE!</v>
      </c>
      <c r="F61" s="1871" t="s">
        <v>2227</v>
      </c>
    </row>
    <row r="62" spans="2:6" s="1105" customFormat="1" ht="38.25">
      <c r="B62" s="4437"/>
      <c r="C62" s="2045" t="s">
        <v>2193</v>
      </c>
      <c r="D62" s="2053" t="s">
        <v>2194</v>
      </c>
      <c r="E62" s="2053" t="s">
        <v>2195</v>
      </c>
      <c r="F62" s="1741"/>
    </row>
    <row r="63" spans="2:6" s="1105" customFormat="1" ht="26.45" customHeight="1">
      <c r="B63" s="4437"/>
      <c r="C63" s="2058" t="s">
        <v>2196</v>
      </c>
      <c r="D63" s="2127">
        <f>WLC!H132+WLC!H135+WLC!H134</f>
        <v>10850</v>
      </c>
      <c r="E63" s="2127">
        <f>WLC!I139+WLC!I141+WLC!I140</f>
        <v>2712.5</v>
      </c>
      <c r="F63" s="2128" t="s">
        <v>2206</v>
      </c>
    </row>
    <row r="64" spans="2:6" s="1105" customFormat="1" ht="14.25">
      <c r="B64" s="4438"/>
      <c r="C64" s="1933" t="s">
        <v>3438</v>
      </c>
      <c r="D64" s="2099"/>
      <c r="E64" s="2099"/>
      <c r="F64" s="2110"/>
    </row>
    <row r="65" spans="2:6" s="1105" customFormat="1" ht="25.5">
      <c r="B65" s="4437"/>
      <c r="C65" s="2059" t="s">
        <v>2197</v>
      </c>
      <c r="D65" s="2129" t="e">
        <f>WLC!J132</f>
        <v>#VALUE!</v>
      </c>
      <c r="E65" s="2130" t="s">
        <v>2201</v>
      </c>
      <c r="F65" s="2131" t="s">
        <v>2094</v>
      </c>
    </row>
    <row r="66" spans="2:6" s="1105" customFormat="1" ht="38.25">
      <c r="B66" s="4437"/>
      <c r="C66" s="2059" t="s">
        <v>2217</v>
      </c>
      <c r="D66" s="2129" t="e">
        <f>WLC!J134</f>
        <v>#VALUE!</v>
      </c>
      <c r="E66" s="2130" t="s">
        <v>2201</v>
      </c>
      <c r="F66" s="2131" t="s">
        <v>2094</v>
      </c>
    </row>
    <row r="67" spans="2:6" s="1105" customFormat="1" ht="15.75">
      <c r="B67" s="4437"/>
      <c r="C67" s="2060" t="s">
        <v>2198</v>
      </c>
      <c r="D67" s="2130" t="e">
        <f>'GHG data'!I95</f>
        <v>#VALUE!</v>
      </c>
      <c r="E67" s="2130" t="s">
        <v>2201</v>
      </c>
      <c r="F67" s="2132" t="s">
        <v>2091</v>
      </c>
    </row>
    <row r="68" spans="2:6" s="1105" customFormat="1" ht="15.75">
      <c r="B68" s="4437"/>
      <c r="C68" s="2060" t="s">
        <v>2199</v>
      </c>
      <c r="D68" s="2130">
        <f>'GHG data'!I97</f>
        <v>4.5600000000000002E-2</v>
      </c>
      <c r="E68" s="2130" t="s">
        <v>2201</v>
      </c>
      <c r="F68" s="2131" t="s">
        <v>2094</v>
      </c>
    </row>
    <row r="69" spans="2:6" s="1105" customFormat="1" ht="25.5">
      <c r="B69" s="4437"/>
      <c r="C69" s="2061" t="s">
        <v>2228</v>
      </c>
      <c r="D69" s="2133" t="s">
        <v>1072</v>
      </c>
      <c r="E69" s="2133" t="s">
        <v>2201</v>
      </c>
      <c r="F69" s="2134" t="s">
        <v>2094</v>
      </c>
    </row>
    <row r="70" spans="2:6" s="1105" customFormat="1" ht="14.25">
      <c r="B70" s="2055"/>
      <c r="C70" s="2062" t="s">
        <v>2200</v>
      </c>
      <c r="D70" s="2135"/>
      <c r="E70" s="2135"/>
      <c r="F70" s="2136"/>
    </row>
    <row r="71" spans="2:6" s="1105" customFormat="1" ht="14.25">
      <c r="B71" s="2055"/>
      <c r="C71" s="2137"/>
      <c r="D71" s="2138" t="s">
        <v>2218</v>
      </c>
      <c r="E71" s="2138" t="s">
        <v>2218</v>
      </c>
      <c r="F71" s="2139" t="s">
        <v>2207</v>
      </c>
    </row>
    <row r="72" spans="2:6" s="1105" customFormat="1" ht="14.25">
      <c r="B72" s="4439" t="s">
        <v>1951</v>
      </c>
      <c r="C72" s="4433"/>
      <c r="D72" s="4433"/>
      <c r="E72" s="4433" t="s">
        <v>2208</v>
      </c>
      <c r="F72" s="4433"/>
    </row>
    <row r="73" spans="2:6" s="1105" customFormat="1" ht="14.25">
      <c r="B73" s="4439"/>
      <c r="C73" s="4434"/>
      <c r="D73" s="4434"/>
      <c r="E73" s="4434"/>
      <c r="F73" s="4434"/>
    </row>
    <row r="74" spans="2:6" s="1105" customFormat="1" ht="14.25">
      <c r="B74" s="4439"/>
      <c r="C74" s="4434"/>
      <c r="D74" s="4434"/>
      <c r="E74" s="4434"/>
      <c r="F74" s="4434"/>
    </row>
    <row r="75" spans="2:6" s="1105" customFormat="1" ht="14.25">
      <c r="B75" s="4439"/>
      <c r="C75" s="4435"/>
      <c r="D75" s="4435"/>
      <c r="E75" s="4435"/>
      <c r="F75" s="4435"/>
    </row>
    <row r="76" spans="2:6" s="1105" customFormat="1" ht="14.25"/>
  </sheetData>
  <sheetProtection algorithmName="SHA-512" hashValue="AA0eOq60g3UjueFx+WHw5Lws2VV27yiiakKTuUji8tBJyn28jaT6i/TOzpdKLxOOERylv+UWROqhjAHuQ/9V0g==" saltValue="8Ycud6Yi4mtxlNrAVQORkA==" spinCount="100000" sheet="1" objects="1" scenarios="1"/>
  <mergeCells count="10">
    <mergeCell ref="F72:F75"/>
    <mergeCell ref="B62:B69"/>
    <mergeCell ref="B72:B75"/>
    <mergeCell ref="C72:C75"/>
    <mergeCell ref="D72:D75"/>
    <mergeCell ref="B4:C4"/>
    <mergeCell ref="B5:B7"/>
    <mergeCell ref="E72:E75"/>
    <mergeCell ref="C60:C61"/>
    <mergeCell ref="B11:B28"/>
  </mergeCells>
  <phoneticPr fontId="26"/>
  <printOptions horizontalCentered="1"/>
  <pageMargins left="0.59055118110236227" right="0.59055118110236227" top="0.78740157480314965" bottom="0.7" header="0.51181102362204722" footer="0.51181102362204722"/>
  <pageSetup paperSize="9" scale="57" orientation="portrait" verticalDpi="300" r:id="rId1"/>
  <headerFooter alignWithMargins="0">
    <oddHeader>&amp;L&amp;F&amp;R&amp;A</oddHeader>
    <oddFooter>&amp;C&amp;P/&amp;N</oddFooter>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7">
    <pageSetUpPr fitToPage="1"/>
  </sheetPr>
  <dimension ref="B1:F94"/>
  <sheetViews>
    <sheetView showGridLines="0" zoomScaleNormal="100" workbookViewId="0"/>
  </sheetViews>
  <sheetFormatPr defaultColWidth="0" defaultRowHeight="13.5" zeroHeight="1"/>
  <cols>
    <col min="1" max="1" width="2" customWidth="1"/>
    <col min="2" max="2" width="9.5" customWidth="1"/>
    <col min="3" max="3" width="20.5" customWidth="1"/>
    <col min="4" max="4" width="30.25" customWidth="1"/>
    <col min="5" max="5" width="29.125" customWidth="1"/>
    <col min="6" max="6" width="17.875" customWidth="1"/>
    <col min="7" max="7" width="1.875" customWidth="1"/>
  </cols>
  <sheetData>
    <row r="1" spans="2:6" ht="6" customHeight="1"/>
    <row r="2" spans="2:6" ht="16.149999999999999" customHeight="1">
      <c r="B2" s="2040" t="s">
        <v>2161</v>
      </c>
      <c r="C2" s="413"/>
      <c r="D2" s="413"/>
      <c r="E2" s="2041" t="s">
        <v>2159</v>
      </c>
      <c r="F2" s="2041" t="str">
        <f>Main!C11</f>
        <v>XXX Building</v>
      </c>
    </row>
    <row r="3" spans="2:6" s="1105" customFormat="1" ht="15.75" customHeight="1">
      <c r="F3" s="2067" t="str">
        <f>Main!C5</f>
        <v>CASBEE-BD_NCe_2024_v1.21</v>
      </c>
    </row>
    <row r="4" spans="2:6" s="1105" customFormat="1" ht="14.25">
      <c r="B4" s="4428" t="str">
        <f>Std.!B4</f>
        <v>Items</v>
      </c>
      <c r="C4" s="4429">
        <f>Std.!C4</f>
        <v>0</v>
      </c>
      <c r="D4" s="2042" t="str">
        <f>Std.!D4</f>
        <v>Reference Building</v>
      </c>
      <c r="E4" s="2043" t="str">
        <f>Std.!E4</f>
        <v>Evaluated Building</v>
      </c>
      <c r="F4" s="2043" t="str">
        <f>Std.!F4</f>
        <v>Note</v>
      </c>
    </row>
    <row r="5" spans="2:6" s="1105" customFormat="1" ht="24" customHeight="1">
      <c r="B5" s="4430" t="str">
        <f>Std.!B5</f>
        <v>Building 
Overview</v>
      </c>
      <c r="C5" s="2043" t="str">
        <f>Std.!C5</f>
        <v>Building type</v>
      </c>
      <c r="D5" s="2042" t="str">
        <f>Main!C21</f>
        <v xml:space="preserve"> Offices,</v>
      </c>
      <c r="E5" s="2042" t="str">
        <f>D5</f>
        <v xml:space="preserve"> Offices,</v>
      </c>
      <c r="F5" s="2142"/>
    </row>
    <row r="6" spans="2:6" s="1105" customFormat="1" ht="14.25">
      <c r="B6" s="4437"/>
      <c r="C6" s="2043" t="str">
        <f>Std.!C6</f>
        <v>Gross floor area</v>
      </c>
      <c r="D6" s="2068">
        <f>Main!C19</f>
        <v>7000</v>
      </c>
      <c r="E6" s="2068">
        <f>D6</f>
        <v>7000</v>
      </c>
      <c r="F6" s="2143"/>
    </row>
    <row r="7" spans="2:6" s="1105" customFormat="1" ht="14.25">
      <c r="B7" s="4436"/>
      <c r="C7" s="2043" t="str">
        <f>Std.!C7</f>
        <v>Structure</v>
      </c>
      <c r="D7" s="2043" t="str">
        <f>Main!C23</f>
        <v>RC</v>
      </c>
      <c r="E7" s="2043" t="str">
        <f>D7</f>
        <v>RC</v>
      </c>
      <c r="F7" s="2143"/>
    </row>
    <row r="8" spans="2:6" s="1105" customFormat="1" ht="31.5" customHeight="1">
      <c r="B8" s="2042" t="str">
        <f>Std.!B8</f>
        <v>Life Cycle</v>
      </c>
      <c r="C8" s="2045" t="str">
        <f>Std.!C8</f>
        <v>Estimated service life</v>
      </c>
      <c r="D8" s="2144" t="s">
        <v>2248</v>
      </c>
      <c r="E8" s="2144" t="s">
        <v>2249</v>
      </c>
      <c r="F8" s="2145"/>
    </row>
    <row r="9" spans="2:6" s="1105" customFormat="1" ht="19.5" customHeight="1">
      <c r="B9" s="2055"/>
      <c r="C9" s="2044" t="str">
        <f>Std.!C9</f>
        <v>GHG emissions</v>
      </c>
      <c r="D9" s="2146">
        <v>35</v>
      </c>
      <c r="E9" s="2146">
        <v>30</v>
      </c>
      <c r="F9" s="2064" t="s">
        <v>2204</v>
      </c>
    </row>
    <row r="10" spans="2:6" s="1105" customFormat="1" ht="19.5" customHeight="1">
      <c r="B10" s="2055"/>
      <c r="C10" s="2071" t="str">
        <f>Std.!C10</f>
        <v>(Included GHG by installation of renewables)</v>
      </c>
      <c r="D10" s="2147" t="s">
        <v>2218</v>
      </c>
      <c r="E10" s="2147">
        <v>1</v>
      </c>
      <c r="F10" s="2065" t="s">
        <v>2204</v>
      </c>
    </row>
    <row r="11" spans="2:6" s="1105" customFormat="1" ht="29.25" customHeight="1">
      <c r="B11" s="4437" t="str">
        <f>Std.!B11</f>
        <v>Con-struction
Stage</v>
      </c>
      <c r="C11" s="2042" t="str">
        <f>Std.!C11</f>
        <v>Embodied carbon calculation method</v>
      </c>
      <c r="D11" s="2148" t="s">
        <v>2250</v>
      </c>
      <c r="E11" s="2149" t="s">
        <v>2250</v>
      </c>
      <c r="F11" s="1741"/>
    </row>
    <row r="12" spans="2:6" s="1105" customFormat="1" ht="29.25" customHeight="1">
      <c r="B12" s="4437">
        <f>Std.!B12</f>
        <v>0</v>
      </c>
      <c r="C12" s="2042" t="str">
        <f>Std.!C12</f>
        <v xml:space="preserve">Reference for GHG emission intensity </v>
      </c>
      <c r="D12" s="2148" t="s">
        <v>2250</v>
      </c>
      <c r="E12" s="2149" t="s">
        <v>2250</v>
      </c>
      <c r="F12" s="1741"/>
    </row>
    <row r="13" spans="2:6" s="1105" customFormat="1" ht="29.25" customHeight="1">
      <c r="B13" s="4437">
        <f>Std.!B13</f>
        <v>0</v>
      </c>
      <c r="C13" s="2042" t="str">
        <f>Std.!C13</f>
        <v>Boundary</v>
      </c>
      <c r="D13" s="2148" t="s">
        <v>2250</v>
      </c>
      <c r="E13" s="2149" t="s">
        <v>2250</v>
      </c>
      <c r="F13" s="2076"/>
    </row>
    <row r="14" spans="2:6" s="1105" customFormat="1" ht="14.25">
      <c r="B14" s="4437">
        <f>Std.!B14</f>
        <v>0</v>
      </c>
      <c r="C14" s="2046" t="str">
        <f>Std.!C14</f>
        <v>Quantities of Representative Materials</v>
      </c>
      <c r="D14" s="2078"/>
      <c r="E14" s="2079"/>
      <c r="F14" s="2080"/>
    </row>
    <row r="15" spans="2:6" s="1105" customFormat="1" ht="14.25">
      <c r="B15" s="4437">
        <f>Std.!B15</f>
        <v>0</v>
      </c>
      <c r="C15" s="2051" t="str">
        <f>Std.!C15</f>
        <v>Regular concrete</v>
      </c>
      <c r="D15" s="2150" t="s">
        <v>2249</v>
      </c>
      <c r="E15" s="2151" t="s">
        <v>2248</v>
      </c>
      <c r="F15" s="2085" t="s">
        <v>2047</v>
      </c>
    </row>
    <row r="16" spans="2:6" s="1105" customFormat="1" ht="14.25">
      <c r="B16" s="4437">
        <f>Std.!B16</f>
        <v>0</v>
      </c>
      <c r="C16" s="2088" t="str">
        <f>Std.!C16</f>
        <v>Blast furnace cement concrete</v>
      </c>
      <c r="D16" s="2152" t="s">
        <v>1072</v>
      </c>
      <c r="E16" s="2153" t="s">
        <v>2251</v>
      </c>
      <c r="F16" s="2066" t="s">
        <v>2047</v>
      </c>
    </row>
    <row r="17" spans="2:6" s="1105" customFormat="1" ht="14.25">
      <c r="B17" s="4437">
        <f>Std.!B17</f>
        <v>0</v>
      </c>
      <c r="C17" s="2048" t="str">
        <f>Std.!C17</f>
        <v>Formwork</v>
      </c>
      <c r="D17" s="2152" t="s">
        <v>1072</v>
      </c>
      <c r="E17" s="2153" t="s">
        <v>2251</v>
      </c>
      <c r="F17" s="2066" t="s">
        <v>5021</v>
      </c>
    </row>
    <row r="18" spans="2:6" s="1105" customFormat="1" ht="14.25">
      <c r="B18" s="4437">
        <f>Std.!B18</f>
        <v>0</v>
      </c>
      <c r="C18" s="2048" t="str">
        <f>Std.!C18</f>
        <v>Reinforcing bars</v>
      </c>
      <c r="D18" s="2152" t="s">
        <v>1072</v>
      </c>
      <c r="E18" s="2153" t="s">
        <v>2251</v>
      </c>
      <c r="F18" s="2066" t="s">
        <v>2050</v>
      </c>
    </row>
    <row r="19" spans="2:6" s="1105" customFormat="1" ht="14.25">
      <c r="B19" s="4437">
        <f>Std.!B19</f>
        <v>0</v>
      </c>
      <c r="C19" s="2048" t="str">
        <f>Std.!C19</f>
        <v>Steel frame</v>
      </c>
      <c r="D19" s="2152" t="s">
        <v>1072</v>
      </c>
      <c r="E19" s="2153" t="s">
        <v>2251</v>
      </c>
      <c r="F19" s="2066" t="s">
        <v>2050</v>
      </c>
    </row>
    <row r="20" spans="2:6" s="1105" customFormat="1" ht="14.25">
      <c r="B20" s="4437">
        <f>Std.!B20</f>
        <v>0</v>
      </c>
      <c r="C20" s="2152" t="str">
        <f>Std.!C20</f>
        <v>Deck plate</v>
      </c>
      <c r="D20" s="2152" t="s">
        <v>1072</v>
      </c>
      <c r="E20" s="2153" t="s">
        <v>2251</v>
      </c>
      <c r="F20" s="2154" t="s">
        <v>5021</v>
      </c>
    </row>
    <row r="21" spans="2:6" s="1105" customFormat="1" ht="14.25">
      <c r="B21" s="4437">
        <f>Std.!B21</f>
        <v>0</v>
      </c>
      <c r="C21" s="2155" t="str">
        <f>Std.!C21</f>
        <v>□　□</v>
      </c>
      <c r="D21" s="2155" t="s">
        <v>1072</v>
      </c>
      <c r="E21" s="2156" t="s">
        <v>2251</v>
      </c>
      <c r="F21" s="2157"/>
    </row>
    <row r="22" spans="2:6" s="1105" customFormat="1" ht="14.25">
      <c r="B22" s="4438">
        <f>Std.!B22</f>
        <v>0</v>
      </c>
      <c r="C22" s="2046" t="str">
        <f>Std.!C22</f>
        <v>GHG emission intensities of Representative Materials</v>
      </c>
      <c r="D22" s="2078"/>
      <c r="E22" s="2079"/>
      <c r="F22" s="2080"/>
    </row>
    <row r="23" spans="2:6" s="1105" customFormat="1" ht="15.75">
      <c r="B23" s="4437">
        <f>Std.!B23</f>
        <v>0</v>
      </c>
      <c r="C23" s="2047" t="str">
        <f>Std.!C23</f>
        <v>Regular concrete</v>
      </c>
      <c r="D23" s="2158" t="s">
        <v>2249</v>
      </c>
      <c r="E23" s="2159" t="s">
        <v>2201</v>
      </c>
      <c r="F23" s="2085" t="s">
        <v>2224</v>
      </c>
    </row>
    <row r="24" spans="2:6" s="1105" customFormat="1" ht="15.75">
      <c r="B24" s="4437">
        <f>Std.!B24</f>
        <v>0</v>
      </c>
      <c r="C24" s="2088" t="str">
        <f>Std.!C24</f>
        <v>Blast furnace cement concrete</v>
      </c>
      <c r="D24" s="2152" t="s">
        <v>1072</v>
      </c>
      <c r="E24" s="2153" t="s">
        <v>2201</v>
      </c>
      <c r="F24" s="2066" t="s">
        <v>2224</v>
      </c>
    </row>
    <row r="25" spans="2:6" s="1105" customFormat="1" ht="15.75">
      <c r="B25" s="4437">
        <f>Std.!B25</f>
        <v>0</v>
      </c>
      <c r="C25" s="2048" t="str">
        <f>Std.!C25</f>
        <v>Steel frame</v>
      </c>
      <c r="D25" s="2152" t="s">
        <v>1072</v>
      </c>
      <c r="E25" s="2153" t="s">
        <v>2201</v>
      </c>
      <c r="F25" s="2066" t="s">
        <v>2225</v>
      </c>
    </row>
    <row r="26" spans="2:6" s="1105" customFormat="1" ht="15.75">
      <c r="B26" s="4437">
        <f>Std.!B26</f>
        <v>0</v>
      </c>
      <c r="C26" s="2048" t="str">
        <f>Std.!C26</f>
        <v>Steel frame (blast furnace)</v>
      </c>
      <c r="D26" s="2152" t="s">
        <v>1072</v>
      </c>
      <c r="E26" s="2153" t="s">
        <v>2201</v>
      </c>
      <c r="F26" s="2066" t="s">
        <v>2225</v>
      </c>
    </row>
    <row r="27" spans="2:6" s="1105" customFormat="1" ht="15.75">
      <c r="B27" s="4437">
        <f>Std.!B27</f>
        <v>0</v>
      </c>
      <c r="C27" s="2048" t="str">
        <f>Std.!C27</f>
        <v>Reinforcing bars</v>
      </c>
      <c r="D27" s="2152" t="s">
        <v>1072</v>
      </c>
      <c r="E27" s="2153" t="s">
        <v>2201</v>
      </c>
      <c r="F27" s="2066" t="s">
        <v>2225</v>
      </c>
    </row>
    <row r="28" spans="2:6" s="1105" customFormat="1" ht="14.25">
      <c r="B28" s="4437">
        <f>Std.!B28</f>
        <v>0</v>
      </c>
      <c r="C28" s="2160" t="str">
        <f>Std.!C28</f>
        <v>Formwork</v>
      </c>
      <c r="D28" s="2152" t="s">
        <v>1072</v>
      </c>
      <c r="E28" s="2153" t="s">
        <v>2201</v>
      </c>
      <c r="F28" s="2154"/>
    </row>
    <row r="29" spans="2:6" s="1105" customFormat="1" ht="14.25">
      <c r="B29" s="4437">
        <f>Std.!B29</f>
        <v>0</v>
      </c>
      <c r="C29" s="2155" t="str">
        <f>Std.!C29</f>
        <v>Deck plate</v>
      </c>
      <c r="D29" s="2155" t="s">
        <v>1072</v>
      </c>
      <c r="E29" s="2156" t="s">
        <v>2201</v>
      </c>
      <c r="F29" s="2157"/>
    </row>
    <row r="30" spans="2:6" s="1105" customFormat="1" ht="14.25">
      <c r="B30" s="4438">
        <f>Std.!B30</f>
        <v>0</v>
      </c>
      <c r="C30" s="2046" t="str">
        <f>Std.!C30</f>
        <v>Main recycled materials and usage</v>
      </c>
      <c r="D30" s="2078"/>
      <c r="E30" s="2079"/>
      <c r="F30" s="2110"/>
    </row>
    <row r="31" spans="2:6" s="1105" customFormat="1" ht="29.25" customHeight="1">
      <c r="B31" s="4437">
        <f>Std.!B31</f>
        <v>0</v>
      </c>
      <c r="C31" s="2047" t="str">
        <f>Std.!C31</f>
        <v>Blast furnace cement (structural use)</v>
      </c>
      <c r="D31" s="2161" t="s">
        <v>1072</v>
      </c>
      <c r="E31" s="2161" t="s">
        <v>1072</v>
      </c>
      <c r="F31" s="2162"/>
    </row>
    <row r="32" spans="2:6" s="1105" customFormat="1" ht="29.25" customHeight="1">
      <c r="B32" s="4437">
        <f>Std.!B32</f>
        <v>0</v>
      </c>
      <c r="C32" s="2047" t="str">
        <f>Std.!C32</f>
        <v>Existing frame materials (structural use)</v>
      </c>
      <c r="D32" s="2161" t="s">
        <v>1072</v>
      </c>
      <c r="E32" s="2161" t="s">
        <v>1072</v>
      </c>
      <c r="F32" s="2162"/>
    </row>
    <row r="33" spans="2:6" s="1105" customFormat="1" ht="24" customHeight="1">
      <c r="B33" s="4437">
        <f>Std.!B33</f>
        <v>0</v>
      </c>
      <c r="C33" s="2048" t="str">
        <f>Std.!C33</f>
        <v>Electric furnace steel (reinforcement)</v>
      </c>
      <c r="D33" s="2161" t="s">
        <v>1072</v>
      </c>
      <c r="E33" s="2161" t="s">
        <v>1072</v>
      </c>
      <c r="F33" s="2154"/>
    </row>
    <row r="34" spans="2:6" s="1105" customFormat="1" ht="24" customHeight="1">
      <c r="B34" s="4437">
        <f>Std.!B34</f>
        <v>0</v>
      </c>
      <c r="C34" s="2049" t="str">
        <f>Std.!C34</f>
        <v>Electric furnace steel (steel materials)</v>
      </c>
      <c r="D34" s="2163" t="s">
        <v>1072</v>
      </c>
      <c r="E34" s="2163" t="s">
        <v>1072</v>
      </c>
      <c r="F34" s="2157"/>
    </row>
    <row r="35" spans="2:6" s="1105" customFormat="1" ht="19.5" customHeight="1">
      <c r="B35" s="2044"/>
      <c r="C35" s="2044" t="str">
        <f>Std.!C35</f>
        <v>GHG emissions</v>
      </c>
      <c r="D35" s="2146">
        <v>10</v>
      </c>
      <c r="E35" s="2146">
        <v>8</v>
      </c>
      <c r="F35" s="2064" t="s">
        <v>2204</v>
      </c>
    </row>
    <row r="36" spans="2:6" s="1105" customFormat="1" ht="25.15" customHeight="1">
      <c r="B36" s="2098" t="str">
        <f>Std.!B36</f>
        <v>Repair,</v>
      </c>
      <c r="C36" s="2071" t="str">
        <f>Std.!C36</f>
        <v>(Included GHG by installation of renewables)</v>
      </c>
      <c r="D36" s="2147" t="s">
        <v>2218</v>
      </c>
      <c r="E36" s="2147">
        <v>0.5</v>
      </c>
      <c r="F36" s="2065" t="s">
        <v>2204</v>
      </c>
    </row>
    <row r="37" spans="2:6" s="1105" customFormat="1" ht="13.9" customHeight="1">
      <c r="B37" s="2077" t="str">
        <f>Std.!B37</f>
        <v xml:space="preserve"> Renewal/</v>
      </c>
      <c r="C37" s="2108" t="str">
        <f>Std.!C37</f>
        <v>Upgrade period (year)</v>
      </c>
      <c r="D37" s="2099"/>
      <c r="E37" s="2099"/>
      <c r="F37" s="2080"/>
    </row>
    <row r="38" spans="2:6" s="1105" customFormat="1" ht="14.25">
      <c r="B38" s="2055" t="str">
        <f>Std.!B38</f>
        <v>Demolition</v>
      </c>
      <c r="C38" s="2051" t="str">
        <f>Std.!C38</f>
        <v>Exterior</v>
      </c>
      <c r="D38" s="2164" t="s">
        <v>2250</v>
      </c>
      <c r="E38" s="2164" t="s">
        <v>2252</v>
      </c>
      <c r="F38" s="2165"/>
    </row>
    <row r="39" spans="2:6" s="1105" customFormat="1" ht="14.25" hidden="1">
      <c r="B39" s="2055">
        <f>Std.!B39</f>
        <v>0</v>
      </c>
      <c r="C39" s="2048" t="str">
        <f>Std.!C39</f>
        <v>Roof</v>
      </c>
      <c r="D39" s="2166" t="s">
        <v>2252</v>
      </c>
      <c r="E39" s="2166" t="s">
        <v>2252</v>
      </c>
      <c r="F39" s="2167"/>
    </row>
    <row r="40" spans="2:6" s="1105" customFormat="1" ht="14.25">
      <c r="B40" s="2055" t="str">
        <f>Std.!B40</f>
        <v>Stage</v>
      </c>
      <c r="C40" s="2048" t="str">
        <f>Std.!C40</f>
        <v>Interior</v>
      </c>
      <c r="D40" s="2166" t="s">
        <v>2252</v>
      </c>
      <c r="E40" s="2166" t="s">
        <v>2252</v>
      </c>
      <c r="F40" s="2167"/>
    </row>
    <row r="41" spans="2:6" s="1105" customFormat="1" ht="14.25">
      <c r="B41" s="2055"/>
      <c r="C41" s="2049" t="str">
        <f>Std.!C41</f>
        <v>Building Service</v>
      </c>
      <c r="D41" s="2168" t="s">
        <v>2252</v>
      </c>
      <c r="E41" s="2168" t="s">
        <v>2252</v>
      </c>
      <c r="F41" s="2169"/>
    </row>
    <row r="42" spans="2:6" s="1105" customFormat="1" ht="14.25">
      <c r="B42" s="2077"/>
      <c r="C42" s="2046" t="str">
        <f>Std.!C42</f>
        <v xml:space="preserve"> Average repair rate (%/year)</v>
      </c>
      <c r="D42" s="2099"/>
      <c r="E42" s="2099"/>
      <c r="F42" s="2080"/>
    </row>
    <row r="43" spans="2:6" s="1105" customFormat="1" ht="14.25">
      <c r="B43" s="2055"/>
      <c r="C43" s="2051" t="str">
        <f>Std.!C43</f>
        <v>Exterior</v>
      </c>
      <c r="D43" s="2170" t="s">
        <v>2252</v>
      </c>
      <c r="E43" s="2170" t="s">
        <v>2252</v>
      </c>
      <c r="F43" s="2171"/>
    </row>
    <row r="44" spans="2:6" s="1105" customFormat="1" ht="14.25">
      <c r="B44" s="2055"/>
      <c r="C44" s="2048" t="str">
        <f>Std.!C44</f>
        <v>Interior</v>
      </c>
      <c r="D44" s="2172" t="s">
        <v>2252</v>
      </c>
      <c r="E44" s="2172" t="s">
        <v>2252</v>
      </c>
      <c r="F44" s="2154"/>
    </row>
    <row r="45" spans="2:6" s="1105" customFormat="1" ht="14.25">
      <c r="B45" s="2055"/>
      <c r="C45" s="2049" t="str">
        <f>Std.!C45</f>
        <v>Building Service</v>
      </c>
      <c r="D45" s="2173" t="s">
        <v>2252</v>
      </c>
      <c r="E45" s="2173" t="s">
        <v>2252</v>
      </c>
      <c r="F45" s="2157"/>
    </row>
    <row r="46" spans="2:6" s="1105" customFormat="1" ht="29.25" customHeight="1">
      <c r="B46" s="2056"/>
      <c r="C46" s="2045" t="str">
        <f>Std.!C46</f>
        <v>Calc method for
demolition-related GH</v>
      </c>
      <c r="D46" s="2148" t="s">
        <v>2252</v>
      </c>
      <c r="E46" s="2148" t="s">
        <v>2252</v>
      </c>
      <c r="F46" s="2143"/>
    </row>
    <row r="47" spans="2:6" s="1105" customFormat="1" ht="14.25">
      <c r="B47" s="2044"/>
      <c r="C47" s="2108" t="str">
        <f>Std.!C47</f>
        <v>GHG emissions</v>
      </c>
      <c r="D47" s="2078"/>
      <c r="E47" s="2109"/>
      <c r="F47" s="2110"/>
    </row>
    <row r="48" spans="2:6" s="1105" customFormat="1" ht="38.450000000000003" customHeight="1">
      <c r="B48" s="2055"/>
      <c r="C48" s="2042" t="str">
        <f>Std.!C48</f>
        <v>[1] Reference value/
[2] Building-related initiatives</v>
      </c>
      <c r="D48" s="2174">
        <v>30</v>
      </c>
      <c r="E48" s="2174">
        <v>20</v>
      </c>
      <c r="F48" s="2064" t="s">
        <v>2204</v>
      </c>
    </row>
    <row r="49" spans="2:6" s="1105" customFormat="1" ht="29.25" customHeight="1">
      <c r="B49" s="2055"/>
      <c r="C49" s="2047" t="str">
        <f>Std.!C49</f>
        <v>[3] Above + other on-site initiatives</v>
      </c>
      <c r="D49" s="2112" t="s">
        <v>2218</v>
      </c>
      <c r="E49" s="2175">
        <v>10</v>
      </c>
      <c r="F49" s="2064" t="s">
        <v>2204</v>
      </c>
    </row>
    <row r="50" spans="2:6" s="1105" customFormat="1" ht="18.75" customHeight="1">
      <c r="B50" s="2055"/>
      <c r="C50" s="2052"/>
      <c r="D50" s="2114" t="str">
        <f>Std.!D50</f>
        <v>Reduced GHG by PV</v>
      </c>
      <c r="E50" s="2176">
        <v>10</v>
      </c>
      <c r="F50" s="2177" t="s">
        <v>2204</v>
      </c>
    </row>
    <row r="51" spans="2:6" s="1105" customFormat="1" ht="18.75" customHeight="1">
      <c r="B51" s="2055"/>
      <c r="C51" s="2052"/>
      <c r="D51" s="2116" t="str">
        <f>Std.!D51</f>
        <v>(Breakdown) In-house consumption</v>
      </c>
      <c r="E51" s="2178">
        <v>5</v>
      </c>
      <c r="F51" s="2177" t="s">
        <v>2204</v>
      </c>
    </row>
    <row r="52" spans="2:6" s="1105" customFormat="1" ht="18.75" customHeight="1">
      <c r="B52" s="2055"/>
      <c r="C52" s="2052"/>
      <c r="D52" s="2118" t="str">
        <f>Std.!D52</f>
        <v>Excess power sold</v>
      </c>
      <c r="E52" s="2176">
        <v>5</v>
      </c>
      <c r="F52" s="2177" t="s">
        <v>2204</v>
      </c>
    </row>
    <row r="53" spans="2:6" s="1105" customFormat="1" ht="18.75" customHeight="1">
      <c r="B53" s="2055"/>
      <c r="C53" s="2056"/>
      <c r="D53" s="2119" t="str">
        <f>Std.!D53</f>
        <v>Other renewable energy</v>
      </c>
      <c r="E53" s="2147"/>
      <c r="F53" s="2179"/>
    </row>
    <row r="54" spans="2:6" s="1105" customFormat="1" ht="30.75" customHeight="1">
      <c r="B54" s="2055" t="str">
        <f>Std.!B54</f>
        <v>Operation</v>
      </c>
      <c r="C54" s="2052" t="str">
        <f>Std.!C54</f>
        <v>[4] Above + other off-site measures</v>
      </c>
      <c r="D54" s="2180" t="str">
        <f>Std.!D54</f>
        <v>－</v>
      </c>
      <c r="E54" s="2178">
        <v>5</v>
      </c>
      <c r="F54" s="2064" t="s">
        <v>2204</v>
      </c>
    </row>
    <row r="55" spans="2:6" s="1105" customFormat="1" ht="29.25" customHeight="1">
      <c r="B55" s="2055" t="str">
        <f>Std.!B55</f>
        <v>stage</v>
      </c>
      <c r="C55" s="2054" t="str">
        <f>Std.!C55</f>
        <v>Reference</v>
      </c>
      <c r="D55" s="2057" t="str">
        <f>Std.!D55</f>
        <v>(a) Carbon offsetting with renewable energy certificates</v>
      </c>
      <c r="E55" s="2176">
        <v>5</v>
      </c>
      <c r="F55" s="2177" t="s">
        <v>2204</v>
      </c>
    </row>
    <row r="56" spans="2:6" s="1105" customFormat="1" ht="29.25" customHeight="1">
      <c r="B56" s="2055"/>
      <c r="C56" s="2055"/>
      <c r="D56" s="2057" t="str">
        <f>Std.!D56</f>
        <v>(b) Carbon offsetting with green heat certificate</v>
      </c>
      <c r="E56" s="2176"/>
      <c r="F56" s="2177"/>
    </row>
    <row r="57" spans="2:6" s="1105" customFormat="1" ht="24" customHeight="1">
      <c r="B57" s="2055"/>
      <c r="C57" s="2055"/>
      <c r="D57" s="2057" t="str">
        <f>Std.!D57</f>
        <v>(c) Other carbon credit</v>
      </c>
      <c r="E57" s="2176"/>
      <c r="F57" s="2177"/>
    </row>
    <row r="58" spans="2:6" s="1105" customFormat="1" ht="43.9" customHeight="1">
      <c r="B58" s="2055"/>
      <c r="C58" s="2055"/>
      <c r="D58" s="2057" t="str">
        <f>Std.!D58</f>
        <v>(d) Difference between basic and adjusted emissions (obtained from the adjusted emission factor)</v>
      </c>
      <c r="E58" s="2176"/>
      <c r="F58" s="2177"/>
    </row>
    <row r="59" spans="2:6" s="1105" customFormat="1" ht="20.45" customHeight="1">
      <c r="B59" s="2055"/>
      <c r="C59" s="2056"/>
      <c r="D59" s="2181"/>
      <c r="E59" s="2182"/>
      <c r="F59" s="2183"/>
    </row>
    <row r="60" spans="2:6" s="1105" customFormat="1" ht="15.75" hidden="1">
      <c r="B60" s="2055"/>
      <c r="C60" s="4430" t="str">
        <f>Std.!C60</f>
        <v>棒グラフ</v>
      </c>
      <c r="D60" s="2126" t="s">
        <v>2222</v>
      </c>
      <c r="E60" s="2184">
        <f>E9+E10+E35+E36+E49</f>
        <v>49.5</v>
      </c>
      <c r="F60" s="1871" t="s">
        <v>2227</v>
      </c>
    </row>
    <row r="61" spans="2:6" s="1105" customFormat="1" ht="15.75" hidden="1">
      <c r="B61" s="2055"/>
      <c r="C61" s="4436">
        <f>Std.!C61</f>
        <v>0</v>
      </c>
      <c r="D61" s="2126" t="s">
        <v>2223</v>
      </c>
      <c r="E61" s="2184">
        <f>E9+E10+E35+E36+E54</f>
        <v>44.5</v>
      </c>
      <c r="F61" s="1871" t="s">
        <v>2227</v>
      </c>
    </row>
    <row r="62" spans="2:6" s="1105" customFormat="1" ht="26.45" customHeight="1">
      <c r="B62" s="2097"/>
      <c r="C62" s="2045" t="str">
        <f>Std.!C62</f>
        <v>Calculation method for energy consumption</v>
      </c>
      <c r="D62" s="2148" t="s">
        <v>2252</v>
      </c>
      <c r="E62" s="2148" t="s">
        <v>2252</v>
      </c>
      <c r="F62" s="2143"/>
    </row>
    <row r="63" spans="2:6" s="1105" customFormat="1" ht="26.45" customHeight="1">
      <c r="B63" s="2097"/>
      <c r="C63" s="2058" t="str">
        <f>Std.!C63</f>
        <v>Primary energy consumption</v>
      </c>
      <c r="D63" s="2185" t="s">
        <v>1072</v>
      </c>
      <c r="E63" s="2185" t="s">
        <v>1072</v>
      </c>
      <c r="F63" s="2128" t="s">
        <v>2253</v>
      </c>
    </row>
    <row r="64" spans="2:6" s="1105" customFormat="1" ht="14.25">
      <c r="B64" s="2097"/>
      <c r="C64" s="1933" t="str">
        <f>Std.!C64</f>
        <v>GHG emission factors for energy</v>
      </c>
      <c r="D64" s="2099"/>
      <c r="E64" s="2099"/>
      <c r="F64" s="2110"/>
    </row>
    <row r="65" spans="2:6" s="1105" customFormat="1" ht="25.5">
      <c r="B65" s="2097"/>
      <c r="C65" s="2186" t="str">
        <f>Std.!C65</f>
        <v>Primary energy
Non-residential buildings</v>
      </c>
      <c r="D65" s="2187" t="s">
        <v>1072</v>
      </c>
      <c r="E65" s="2187" t="s">
        <v>2201</v>
      </c>
      <c r="F65" s="2188" t="s">
        <v>2094</v>
      </c>
    </row>
    <row r="66" spans="2:6" s="1105" customFormat="1" ht="38.25">
      <c r="B66" s="2097"/>
      <c r="C66" s="2186" t="str">
        <f>Std.!C66</f>
        <v>Primary energy
Residential buildings  (Dwelling areas)</v>
      </c>
      <c r="D66" s="2189" t="s">
        <v>1072</v>
      </c>
      <c r="E66" s="2189" t="s">
        <v>2201</v>
      </c>
      <c r="F66" s="2188" t="s">
        <v>2094</v>
      </c>
    </row>
    <row r="67" spans="2:6" s="1105" customFormat="1" ht="15.75">
      <c r="B67" s="2097"/>
      <c r="C67" s="2060" t="str">
        <f>Std.!C67</f>
        <v>Electricity</v>
      </c>
      <c r="D67" s="2189" t="s">
        <v>1072</v>
      </c>
      <c r="E67" s="2189" t="s">
        <v>2201</v>
      </c>
      <c r="F67" s="2190" t="s">
        <v>2091</v>
      </c>
    </row>
    <row r="68" spans="2:6" s="1105" customFormat="1" ht="15.75">
      <c r="B68" s="2097"/>
      <c r="C68" s="2060" t="str">
        <f>Std.!C68</f>
        <v>Gas</v>
      </c>
      <c r="D68" s="2189" t="s">
        <v>1072</v>
      </c>
      <c r="E68" s="2189" t="s">
        <v>2201</v>
      </c>
      <c r="F68" s="2188" t="s">
        <v>2094</v>
      </c>
    </row>
    <row r="69" spans="2:6" s="1105" customFormat="1" ht="25.5">
      <c r="B69" s="2097"/>
      <c r="C69" s="2191" t="str">
        <f>Std.!C69</f>
        <v>Other fuels
(　　　)</v>
      </c>
      <c r="D69" s="2181" t="s">
        <v>1072</v>
      </c>
      <c r="E69" s="2181" t="s">
        <v>2201</v>
      </c>
      <c r="F69" s="2192" t="s">
        <v>2094</v>
      </c>
    </row>
    <row r="70" spans="2:6" s="1105" customFormat="1" ht="14.25">
      <c r="B70" s="2055"/>
      <c r="C70" s="2062" t="str">
        <f>Std.!C70</f>
        <v>Potable water</v>
      </c>
      <c r="D70" s="2135"/>
      <c r="E70" s="2135"/>
      <c r="F70" s="2136"/>
    </row>
    <row r="71" spans="2:6" s="1105" customFormat="1" ht="14.25">
      <c r="B71" s="2055"/>
      <c r="C71" s="2137"/>
      <c r="D71" s="2135"/>
      <c r="E71" s="2135"/>
      <c r="F71" s="2136"/>
    </row>
    <row r="72" spans="2:6" s="1105" customFormat="1" ht="14.25">
      <c r="B72" s="4439" t="str">
        <f>Std.!B72</f>
        <v>Other</v>
      </c>
      <c r="C72" s="4443"/>
      <c r="D72" s="4443"/>
      <c r="E72" s="4443"/>
      <c r="F72" s="4443"/>
    </row>
    <row r="73" spans="2:6" s="1105" customFormat="1" ht="14.25">
      <c r="B73" s="4439">
        <f>Std.!B73</f>
        <v>0</v>
      </c>
      <c r="C73" s="4444"/>
      <c r="D73" s="4444"/>
      <c r="E73" s="4444"/>
      <c r="F73" s="4444"/>
    </row>
    <row r="74" spans="2:6" s="1105" customFormat="1" ht="14.25">
      <c r="B74" s="4439">
        <f>Std.!B74</f>
        <v>0</v>
      </c>
      <c r="C74" s="4444"/>
      <c r="D74" s="4444"/>
      <c r="E74" s="4444"/>
      <c r="F74" s="4444"/>
    </row>
    <row r="75" spans="2:6" s="1105" customFormat="1" ht="14.25">
      <c r="B75" s="4439">
        <f>Std.!B75</f>
        <v>0</v>
      </c>
      <c r="C75" s="4445"/>
      <c r="D75" s="4445"/>
      <c r="E75" s="4445"/>
      <c r="F75" s="4445"/>
    </row>
    <row r="76" spans="2:6" s="1105" customFormat="1" ht="14.25"/>
    <row r="77" spans="2:6" s="1105" customFormat="1" ht="14.25">
      <c r="B77" s="1105" t="s">
        <v>2230</v>
      </c>
      <c r="E77" s="1959"/>
    </row>
    <row r="78" spans="2:6" s="1105" customFormat="1" ht="27.6" customHeight="1">
      <c r="B78" s="2044"/>
      <c r="C78" s="4440" t="s">
        <v>2263</v>
      </c>
      <c r="D78" s="4441"/>
      <c r="E78" s="4441"/>
      <c r="F78" s="4442"/>
    </row>
    <row r="79" spans="2:6" s="1105" customFormat="1" ht="14.25">
      <c r="B79" s="2055"/>
      <c r="C79" s="2054" t="s">
        <v>2231</v>
      </c>
      <c r="D79" s="2083" t="s">
        <v>1468</v>
      </c>
      <c r="E79" s="2193">
        <f>(WLC!I132-WLC!I139+ENcalc!N67/1000)/'GHG data'!$J$96*1000</f>
        <v>277920.08196721307</v>
      </c>
      <c r="F79" s="2066" t="s">
        <v>2244</v>
      </c>
    </row>
    <row r="80" spans="2:6" s="1105" customFormat="1" ht="14.25">
      <c r="B80" s="2055" t="s">
        <v>2215</v>
      </c>
      <c r="C80" s="2055"/>
      <c r="D80" s="2083" t="s">
        <v>2232</v>
      </c>
      <c r="E80" s="2193">
        <f>(WLC!I132-WLC!I139+(ENcalc!N63-ENcalc!N68)/1000)/'GHG data'!$J$96*1000</f>
        <v>277920.08196721307</v>
      </c>
      <c r="F80" s="2066" t="s">
        <v>2244</v>
      </c>
    </row>
    <row r="81" spans="2:6" s="1105" customFormat="1" ht="14.25">
      <c r="B81" s="2055" t="s">
        <v>2214</v>
      </c>
      <c r="C81" s="2047"/>
      <c r="D81" s="2083" t="s">
        <v>2233</v>
      </c>
      <c r="E81" s="2193">
        <f>E79-E80</f>
        <v>0</v>
      </c>
      <c r="F81" s="2066" t="s">
        <v>2244</v>
      </c>
    </row>
    <row r="82" spans="2:6" s="1105" customFormat="1" ht="15.75">
      <c r="B82" s="2055"/>
      <c r="C82" s="2054" t="s">
        <v>2245</v>
      </c>
      <c r="D82" s="2083" t="s">
        <v>2243</v>
      </c>
      <c r="E82" s="2084" t="e">
        <f>E79*E85/E$6</f>
        <v>#VALUE!</v>
      </c>
      <c r="F82" s="2194" t="s">
        <v>2260</v>
      </c>
    </row>
    <row r="83" spans="2:6" s="1105" customFormat="1" ht="15.75">
      <c r="B83" s="2055"/>
      <c r="C83" s="2055" t="s">
        <v>2246</v>
      </c>
      <c r="D83" s="2083" t="s">
        <v>2236</v>
      </c>
      <c r="E83" s="2084" t="e">
        <f>E82-E84</f>
        <v>#VALUE!</v>
      </c>
      <c r="F83" s="2194" t="s">
        <v>2260</v>
      </c>
    </row>
    <row r="84" spans="2:6" s="1105" customFormat="1" ht="15.75">
      <c r="B84" s="2055"/>
      <c r="C84" s="2047"/>
      <c r="D84" s="2083" t="s">
        <v>2235</v>
      </c>
      <c r="E84" s="2084" t="e">
        <f>E81*E86/E$6</f>
        <v>#VALUE!</v>
      </c>
      <c r="F84" s="2194" t="s">
        <v>2260</v>
      </c>
    </row>
    <row r="85" spans="2:6" s="1105" customFormat="1" ht="15.75" hidden="1">
      <c r="B85" s="2055"/>
      <c r="C85" s="2054" t="s">
        <v>2254</v>
      </c>
      <c r="D85" s="2083" t="s">
        <v>2255</v>
      </c>
      <c r="E85" s="2195" t="e">
        <f>'GHG data'!I95</f>
        <v>#VALUE!</v>
      </c>
      <c r="F85" s="2194" t="s">
        <v>2261</v>
      </c>
    </row>
    <row r="86" spans="2:6" s="1105" customFormat="1" ht="15.75" hidden="1">
      <c r="B86" s="2055"/>
      <c r="C86" s="2055"/>
      <c r="D86" s="2083" t="s">
        <v>2256</v>
      </c>
      <c r="E86" s="2195" t="e">
        <f>'GHG data'!I95</f>
        <v>#VALUE!</v>
      </c>
      <c r="F86" s="2194" t="s">
        <v>2261</v>
      </c>
    </row>
    <row r="87" spans="2:6" s="1105" customFormat="1" ht="14.25" hidden="1">
      <c r="B87" s="2055"/>
      <c r="C87" s="2047"/>
      <c r="D87" s="2083" t="s">
        <v>2257</v>
      </c>
      <c r="E87" s="2084" t="s">
        <v>2258</v>
      </c>
      <c r="F87" s="2066"/>
    </row>
    <row r="88" spans="2:6" s="1105" customFormat="1" ht="14.25">
      <c r="B88" s="2055"/>
      <c r="C88" s="2046" t="s">
        <v>2247</v>
      </c>
      <c r="D88" s="2078"/>
      <c r="E88" s="2079"/>
      <c r="F88" s="2080"/>
    </row>
    <row r="89" spans="2:6" s="1105" customFormat="1" ht="14.25">
      <c r="B89" s="2055"/>
      <c r="C89" s="2196" t="s">
        <v>2314</v>
      </c>
      <c r="D89" s="2081"/>
      <c r="E89" s="2197">
        <f>(WLC!I139*ENcalc!T83+WLC!I141*'GHG data'!N144+WLC!I140*'GHG data'!N143)/'GHG data'!J96*1000</f>
        <v>216777.66393442624</v>
      </c>
      <c r="F89" s="2085" t="s">
        <v>2244</v>
      </c>
    </row>
    <row r="90" spans="2:6" s="1105" customFormat="1" ht="15.75">
      <c r="B90" s="2055"/>
      <c r="C90" s="2054" t="s">
        <v>2241</v>
      </c>
      <c r="D90" s="2198" t="s">
        <v>2237</v>
      </c>
      <c r="E90" s="2199" t="e">
        <f>'GHG data'!I96</f>
        <v>#VALUE!</v>
      </c>
      <c r="F90" s="2200" t="s">
        <v>2261</v>
      </c>
    </row>
    <row r="91" spans="2:6" s="1105" customFormat="1" ht="15.75">
      <c r="B91" s="2055"/>
      <c r="C91" s="2047"/>
      <c r="D91" s="2198" t="s">
        <v>3426</v>
      </c>
      <c r="E91" s="2201">
        <v>0.04</v>
      </c>
      <c r="F91" s="2200" t="s">
        <v>2261</v>
      </c>
    </row>
    <row r="92" spans="2:6" s="1105" customFormat="1" ht="14.25">
      <c r="B92" s="2055"/>
      <c r="C92" s="2054" t="s">
        <v>2239</v>
      </c>
      <c r="D92" s="2140" t="s">
        <v>2238</v>
      </c>
      <c r="E92" s="2197" t="e">
        <f>E89*(E90-E91)</f>
        <v>#VALUE!</v>
      </c>
      <c r="F92" s="2194" t="s">
        <v>2259</v>
      </c>
    </row>
    <row r="93" spans="2:6" s="1105" customFormat="1" ht="15.75">
      <c r="B93" s="2056"/>
      <c r="C93" s="2056" t="s">
        <v>2240</v>
      </c>
      <c r="D93" s="2141" t="s">
        <v>2242</v>
      </c>
      <c r="E93" s="2202" t="e">
        <f>E92/E6</f>
        <v>#VALUE!</v>
      </c>
      <c r="F93" s="2134" t="s">
        <v>2260</v>
      </c>
    </row>
    <row r="94" spans="2:6" s="1105" customFormat="1" ht="14.25"/>
  </sheetData>
  <sheetProtection algorithmName="SHA-512" hashValue="5PKQ3uGgsnjsK6e73dGLtddxsIAcZjO0TfSmW7MEgDkOdHPYwuuip5VEJjx8Bf8Zec1lwEHvw9ejeUV9rReCkw==" saltValue="ds+Z62809+30AH2pGTcZbg==" spinCount="100000" sheet="1" objects="1" scenarios="1"/>
  <mergeCells count="10">
    <mergeCell ref="C78:F78"/>
    <mergeCell ref="D72:D75"/>
    <mergeCell ref="E72:E75"/>
    <mergeCell ref="F72:F75"/>
    <mergeCell ref="B4:C4"/>
    <mergeCell ref="B11:B34"/>
    <mergeCell ref="B72:B75"/>
    <mergeCell ref="C72:C75"/>
    <mergeCell ref="C60:C61"/>
    <mergeCell ref="B5:B7"/>
  </mergeCells>
  <phoneticPr fontId="26"/>
  <printOptions horizontalCentered="1"/>
  <pageMargins left="0.59055118110236227" right="0.59055118110236227" top="0.78740157480314965" bottom="0.59055118110236227" header="0.51181102362204722" footer="0.51181102362204722"/>
  <pageSetup paperSize="9" scale="83" fitToHeight="0" orientation="portrait" verticalDpi="300" r:id="rId1"/>
  <headerFooter alignWithMargins="0">
    <oddHeader>&amp;L&amp;F&amp;R&amp;A</oddHeader>
    <oddFooter>&amp;C&amp;P/&amp;N</oddFooter>
  </headerFooter>
  <rowBreaks count="1" manualBreakCount="1">
    <brk id="46" max="5"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18">
    <pageSetUpPr fitToPage="1"/>
  </sheetPr>
  <dimension ref="B1:AO371"/>
  <sheetViews>
    <sheetView showGridLines="0" zoomScaleNormal="100" workbookViewId="0">
      <selection activeCell="F9" sqref="F9"/>
    </sheetView>
  </sheetViews>
  <sheetFormatPr defaultColWidth="9" defaultRowHeight="14.25" zeroHeight="1"/>
  <cols>
    <col min="1" max="2" width="1.5" style="1105" customWidth="1"/>
    <col min="3" max="3" width="5.375" style="1105" customWidth="1"/>
    <col min="4" max="5" width="11" style="1105" customWidth="1"/>
    <col min="6" max="6" width="12.125" style="1105" customWidth="1"/>
    <col min="7" max="7" width="5.75" style="1105" hidden="1" customWidth="1"/>
    <col min="8" max="8" width="9.125" style="1105" hidden="1" customWidth="1"/>
    <col min="9" max="17" width="10.625" style="1105" customWidth="1"/>
    <col min="18" max="18" width="9.5" style="1105" customWidth="1"/>
    <col min="19" max="19" width="11.5" style="1105" customWidth="1"/>
    <col min="20" max="27" width="9.125" style="1105" hidden="1" customWidth="1"/>
    <col min="28" max="41" width="9" style="1105" hidden="1" customWidth="1"/>
    <col min="42" max="42" width="9" style="1105" customWidth="1"/>
    <col min="43" max="16384" width="9" style="1105"/>
  </cols>
  <sheetData>
    <row r="1" spans="2:17" ht="15.75">
      <c r="B1" s="1825" t="s">
        <v>1966</v>
      </c>
    </row>
    <row r="2" spans="2:17" ht="4.5" customHeight="1"/>
    <row r="3" spans="2:17" ht="15">
      <c r="C3" s="1826" t="s">
        <v>1967</v>
      </c>
      <c r="D3" s="1910"/>
      <c r="E3" s="1845"/>
      <c r="F3" s="1845"/>
      <c r="G3" s="1845"/>
      <c r="H3" s="1845"/>
      <c r="I3" s="1827" t="s">
        <v>1968</v>
      </c>
      <c r="J3" s="1828"/>
      <c r="K3" s="1828"/>
      <c r="L3" s="1829"/>
      <c r="M3" s="1829"/>
      <c r="N3" s="1829"/>
      <c r="O3" s="1829"/>
      <c r="P3" s="1829"/>
      <c r="Q3" s="1911"/>
    </row>
    <row r="4" spans="2:17" ht="15.75">
      <c r="C4" s="1866"/>
      <c r="D4" s="1844" t="s">
        <v>2085</v>
      </c>
      <c r="E4" s="1866"/>
      <c r="F4" s="1866"/>
      <c r="G4" s="1866"/>
      <c r="H4" s="1866"/>
      <c r="I4" s="1830" t="s">
        <v>144</v>
      </c>
      <c r="J4" s="1829" t="s">
        <v>1969</v>
      </c>
      <c r="K4" s="1831"/>
      <c r="L4" s="1830" t="s">
        <v>1970</v>
      </c>
      <c r="M4" s="1829"/>
      <c r="N4" s="1831"/>
      <c r="O4" s="1830" t="s">
        <v>1971</v>
      </c>
      <c r="P4" s="1829"/>
      <c r="Q4" s="1831"/>
    </row>
    <row r="5" spans="2:17">
      <c r="C5" s="1832" t="s">
        <v>1475</v>
      </c>
      <c r="D5" s="1833"/>
      <c r="E5" s="1834"/>
      <c r="F5" s="1835"/>
      <c r="G5" s="1836"/>
      <c r="H5" s="1836"/>
      <c r="I5" s="1837" t="s">
        <v>1972</v>
      </c>
      <c r="J5" s="1837" t="s">
        <v>1973</v>
      </c>
      <c r="K5" s="1837" t="s">
        <v>1974</v>
      </c>
      <c r="L5" s="1837" t="s">
        <v>1972</v>
      </c>
      <c r="M5" s="1837" t="s">
        <v>1973</v>
      </c>
      <c r="N5" s="1837" t="s">
        <v>1974</v>
      </c>
      <c r="O5" s="1837" t="s">
        <v>1972</v>
      </c>
      <c r="P5" s="1837" t="s">
        <v>1973</v>
      </c>
      <c r="Q5" s="1837" t="s">
        <v>1974</v>
      </c>
    </row>
    <row r="6" spans="2:17" hidden="1">
      <c r="C6" s="1869"/>
      <c r="D6" s="1912"/>
      <c r="E6" s="1869"/>
      <c r="F6" s="1869"/>
      <c r="G6" s="1913">
        <v>1</v>
      </c>
      <c r="H6" s="1913"/>
      <c r="I6" s="1836">
        <v>3</v>
      </c>
      <c r="J6" s="1836">
        <v>4</v>
      </c>
      <c r="K6" s="1836">
        <v>5</v>
      </c>
      <c r="L6" s="1836">
        <v>6</v>
      </c>
      <c r="M6" s="1836">
        <v>7</v>
      </c>
      <c r="N6" s="1836">
        <v>8</v>
      </c>
      <c r="O6" s="1836">
        <v>9</v>
      </c>
      <c r="P6" s="1836">
        <v>10</v>
      </c>
      <c r="Q6" s="1836">
        <v>11</v>
      </c>
    </row>
    <row r="7" spans="2:17" ht="22.15" customHeight="1">
      <c r="C7" s="1838" t="s">
        <v>1975</v>
      </c>
      <c r="D7" s="1914"/>
      <c r="E7" s="1834"/>
      <c r="F7" s="1835"/>
      <c r="G7" s="1913">
        <v>10</v>
      </c>
      <c r="H7" s="1913"/>
      <c r="I7" s="1915">
        <v>19.23</v>
      </c>
      <c r="J7" s="1915">
        <f>I7</f>
        <v>19.23</v>
      </c>
      <c r="K7" s="1915">
        <f t="shared" ref="K7:Q7" si="0">J7</f>
        <v>19.23</v>
      </c>
      <c r="L7" s="1915">
        <v>17.62</v>
      </c>
      <c r="M7" s="1915">
        <f t="shared" si="0"/>
        <v>17.62</v>
      </c>
      <c r="N7" s="1915">
        <f>M7</f>
        <v>17.62</v>
      </c>
      <c r="O7" s="1915">
        <v>18.22</v>
      </c>
      <c r="P7" s="1915">
        <f t="shared" si="0"/>
        <v>18.22</v>
      </c>
      <c r="Q7" s="1915">
        <f t="shared" si="0"/>
        <v>18.22</v>
      </c>
    </row>
    <row r="8" spans="2:17" ht="21" customHeight="1">
      <c r="C8" s="1839"/>
      <c r="D8" s="4148" t="s">
        <v>1983</v>
      </c>
      <c r="E8" s="3879"/>
      <c r="F8" s="1842">
        <v>1</v>
      </c>
      <c r="G8" s="1913">
        <v>11</v>
      </c>
      <c r="H8" s="1913"/>
      <c r="I8" s="1916">
        <v>8.0500000000000007</v>
      </c>
      <c r="J8" s="1916">
        <f t="shared" ref="J8:Q8" si="1">I8</f>
        <v>8.0500000000000007</v>
      </c>
      <c r="K8" s="1916">
        <f t="shared" si="1"/>
        <v>8.0500000000000007</v>
      </c>
      <c r="L8" s="1916">
        <v>8.09</v>
      </c>
      <c r="M8" s="1916">
        <f t="shared" si="1"/>
        <v>8.09</v>
      </c>
      <c r="N8" s="1916">
        <f>M8</f>
        <v>8.09</v>
      </c>
      <c r="O8" s="1916">
        <v>7.99</v>
      </c>
      <c r="P8" s="1916">
        <f t="shared" si="1"/>
        <v>7.99</v>
      </c>
      <c r="Q8" s="1916">
        <f t="shared" si="1"/>
        <v>7.99</v>
      </c>
    </row>
    <row r="9" spans="2:17" ht="21" customHeight="1">
      <c r="C9" s="1839"/>
      <c r="D9" s="3876" t="s">
        <v>1984</v>
      </c>
      <c r="E9" s="3877"/>
      <c r="F9" s="1842">
        <v>1</v>
      </c>
      <c r="G9" s="1917">
        <v>12</v>
      </c>
      <c r="H9" s="1917"/>
      <c r="I9" s="1916">
        <v>18.46</v>
      </c>
      <c r="J9" s="1916">
        <f t="shared" ref="J9:Q9" si="2">I9</f>
        <v>18.46</v>
      </c>
      <c r="K9" s="1916">
        <f t="shared" si="2"/>
        <v>18.46</v>
      </c>
      <c r="L9" s="1916">
        <v>16.559999999999999</v>
      </c>
      <c r="M9" s="1916">
        <f t="shared" si="2"/>
        <v>16.559999999999999</v>
      </c>
      <c r="N9" s="1916">
        <f t="shared" si="2"/>
        <v>16.559999999999999</v>
      </c>
      <c r="O9" s="1916">
        <v>17.28</v>
      </c>
      <c r="P9" s="1916">
        <f t="shared" si="2"/>
        <v>17.28</v>
      </c>
      <c r="Q9" s="1916">
        <f t="shared" si="2"/>
        <v>17.28</v>
      </c>
    </row>
    <row r="10" spans="2:17" ht="21" hidden="1" customHeight="1">
      <c r="C10" s="1840"/>
      <c r="D10" s="1918" t="s">
        <v>2086</v>
      </c>
      <c r="E10" s="1918"/>
      <c r="F10" s="1919"/>
      <c r="G10" s="1920">
        <v>13</v>
      </c>
      <c r="H10" s="1920">
        <f>WLC!$F$21</f>
        <v>0</v>
      </c>
      <c r="I10" s="1916">
        <f>(I7-I8)*$H10</f>
        <v>0</v>
      </c>
      <c r="J10" s="1916">
        <f t="shared" ref="J10:Q10" si="3">(J7-J8)*$H10</f>
        <v>0</v>
      </c>
      <c r="K10" s="1916">
        <f t="shared" si="3"/>
        <v>0</v>
      </c>
      <c r="L10" s="1916">
        <f t="shared" si="3"/>
        <v>0</v>
      </c>
      <c r="M10" s="1916">
        <f t="shared" si="3"/>
        <v>0</v>
      </c>
      <c r="N10" s="1916">
        <f t="shared" si="3"/>
        <v>0</v>
      </c>
      <c r="O10" s="1916">
        <f t="shared" si="3"/>
        <v>0</v>
      </c>
      <c r="P10" s="1916">
        <f t="shared" si="3"/>
        <v>0</v>
      </c>
      <c r="Q10" s="1916">
        <f t="shared" si="3"/>
        <v>0</v>
      </c>
    </row>
    <row r="11" spans="2:17" ht="21" hidden="1" customHeight="1">
      <c r="C11" s="1840"/>
      <c r="D11" s="1918" t="s">
        <v>2087</v>
      </c>
      <c r="E11" s="1918"/>
      <c r="F11" s="1919"/>
      <c r="G11" s="1921">
        <v>14</v>
      </c>
      <c r="H11" s="1920">
        <f>WLC!$F$22</f>
        <v>0</v>
      </c>
      <c r="I11" s="1916">
        <f t="shared" ref="I11:Q11" si="4">(I7-I9)*$H11</f>
        <v>0</v>
      </c>
      <c r="J11" s="1916">
        <f>(J7-J9)*$H11</f>
        <v>0</v>
      </c>
      <c r="K11" s="1916">
        <f t="shared" si="4"/>
        <v>0</v>
      </c>
      <c r="L11" s="1916">
        <f t="shared" si="4"/>
        <v>0</v>
      </c>
      <c r="M11" s="1916">
        <f t="shared" si="4"/>
        <v>0</v>
      </c>
      <c r="N11" s="1916">
        <f t="shared" si="4"/>
        <v>0</v>
      </c>
      <c r="O11" s="1916">
        <f t="shared" si="4"/>
        <v>0</v>
      </c>
      <c r="P11" s="1916">
        <f t="shared" si="4"/>
        <v>0</v>
      </c>
      <c r="Q11" s="1916">
        <f t="shared" si="4"/>
        <v>0</v>
      </c>
    </row>
    <row r="12" spans="2:17" ht="21" hidden="1" customHeight="1">
      <c r="C12" s="1841"/>
      <c r="D12" s="1918" t="s">
        <v>2088</v>
      </c>
      <c r="E12" s="1918"/>
      <c r="F12" s="1919"/>
      <c r="G12" s="1922">
        <v>15</v>
      </c>
      <c r="H12" s="1922"/>
      <c r="I12" s="1916">
        <f t="shared" ref="I12:Q12" si="5">I7-I10-I11</f>
        <v>19.23</v>
      </c>
      <c r="J12" s="1916">
        <f>J7-J10-J11</f>
        <v>19.23</v>
      </c>
      <c r="K12" s="1916">
        <f t="shared" si="5"/>
        <v>19.23</v>
      </c>
      <c r="L12" s="1916">
        <f t="shared" si="5"/>
        <v>17.62</v>
      </c>
      <c r="M12" s="1916">
        <f t="shared" si="5"/>
        <v>17.62</v>
      </c>
      <c r="N12" s="1916">
        <f t="shared" si="5"/>
        <v>17.62</v>
      </c>
      <c r="O12" s="1916">
        <f t="shared" si="5"/>
        <v>18.22</v>
      </c>
      <c r="P12" s="1916">
        <f t="shared" si="5"/>
        <v>18.22</v>
      </c>
      <c r="Q12" s="1916">
        <f t="shared" si="5"/>
        <v>18.22</v>
      </c>
    </row>
    <row r="13" spans="2:17" ht="21" customHeight="1">
      <c r="C13" s="1838" t="s">
        <v>1976</v>
      </c>
      <c r="D13" s="1834"/>
      <c r="E13" s="1834"/>
      <c r="F13" s="1835"/>
      <c r="G13" s="1913">
        <f t="shared" ref="G13:G60" si="6">G7+10</f>
        <v>20</v>
      </c>
      <c r="H13" s="1913"/>
      <c r="I13" s="1915">
        <v>14.38</v>
      </c>
      <c r="J13" s="1915">
        <f>I13</f>
        <v>14.38</v>
      </c>
      <c r="K13" s="1915">
        <f t="shared" ref="K13" si="7">J13</f>
        <v>14.38</v>
      </c>
      <c r="L13" s="1915">
        <v>16.100000000000001</v>
      </c>
      <c r="M13" s="1915">
        <f t="shared" ref="M13" si="8">L13</f>
        <v>16.100000000000001</v>
      </c>
      <c r="N13" s="1915">
        <f>M13</f>
        <v>16.100000000000001</v>
      </c>
      <c r="O13" s="1915">
        <v>18.59</v>
      </c>
      <c r="P13" s="1915">
        <f t="shared" ref="P13:Q13" si="9">O13</f>
        <v>18.59</v>
      </c>
      <c r="Q13" s="1915">
        <f t="shared" si="9"/>
        <v>18.59</v>
      </c>
    </row>
    <row r="14" spans="2:17" ht="21" customHeight="1">
      <c r="C14" s="1839"/>
      <c r="D14" s="4148" t="s">
        <v>1983</v>
      </c>
      <c r="E14" s="3879"/>
      <c r="F14" s="1842">
        <v>1</v>
      </c>
      <c r="G14" s="1913">
        <f t="shared" si="6"/>
        <v>21</v>
      </c>
      <c r="H14" s="1913"/>
      <c r="I14" s="1916">
        <v>6.41</v>
      </c>
      <c r="J14" s="1916">
        <f t="shared" ref="J14:K14" si="10">I14</f>
        <v>6.41</v>
      </c>
      <c r="K14" s="1916">
        <f t="shared" si="10"/>
        <v>6.41</v>
      </c>
      <c r="L14" s="1916">
        <v>6.56</v>
      </c>
      <c r="M14" s="1916">
        <f t="shared" ref="M14" si="11">L14</f>
        <v>6.56</v>
      </c>
      <c r="N14" s="1916">
        <f>M14</f>
        <v>6.56</v>
      </c>
      <c r="O14" s="1916">
        <v>6.37</v>
      </c>
      <c r="P14" s="1916">
        <f t="shared" ref="P14:Q14" si="12">O14</f>
        <v>6.37</v>
      </c>
      <c r="Q14" s="1916">
        <f t="shared" si="12"/>
        <v>6.37</v>
      </c>
    </row>
    <row r="15" spans="2:17" ht="21" customHeight="1">
      <c r="C15" s="1839"/>
      <c r="D15" s="3876" t="s">
        <v>1984</v>
      </c>
      <c r="E15" s="3877"/>
      <c r="F15" s="1842">
        <v>1</v>
      </c>
      <c r="G15" s="1913">
        <f t="shared" si="6"/>
        <v>22</v>
      </c>
      <c r="H15" s="1917"/>
      <c r="I15" s="1916">
        <v>13.9</v>
      </c>
      <c r="J15" s="1916">
        <f t="shared" ref="J15:K15" si="13">I15</f>
        <v>13.9</v>
      </c>
      <c r="K15" s="1916">
        <f t="shared" si="13"/>
        <v>13.9</v>
      </c>
      <c r="L15" s="1916">
        <v>14.89</v>
      </c>
      <c r="M15" s="1916">
        <f t="shared" ref="M15:N15" si="14">L15</f>
        <v>14.89</v>
      </c>
      <c r="N15" s="1916">
        <f t="shared" si="14"/>
        <v>14.89</v>
      </c>
      <c r="O15" s="1916">
        <v>17.29</v>
      </c>
      <c r="P15" s="1916">
        <f t="shared" ref="P15:Q15" si="15">O15</f>
        <v>17.29</v>
      </c>
      <c r="Q15" s="1916">
        <f t="shared" si="15"/>
        <v>17.29</v>
      </c>
    </row>
    <row r="16" spans="2:17" ht="21" hidden="1" customHeight="1">
      <c r="C16" s="1840"/>
      <c r="D16" s="1918" t="s">
        <v>2086</v>
      </c>
      <c r="E16" s="1918"/>
      <c r="F16" s="1919"/>
      <c r="G16" s="1913">
        <f t="shared" si="6"/>
        <v>23</v>
      </c>
      <c r="H16" s="1920">
        <f>WLC!$F$21</f>
        <v>0</v>
      </c>
      <c r="I16" s="1916">
        <f>(I13-I14)*$H16</f>
        <v>0</v>
      </c>
      <c r="J16" s="1916">
        <f t="shared" ref="J16:Q16" si="16">(J13-J14)*$H16</f>
        <v>0</v>
      </c>
      <c r="K16" s="1916">
        <f t="shared" si="16"/>
        <v>0</v>
      </c>
      <c r="L16" s="1916">
        <f t="shared" si="16"/>
        <v>0</v>
      </c>
      <c r="M16" s="1916">
        <f t="shared" si="16"/>
        <v>0</v>
      </c>
      <c r="N16" s="1916">
        <f t="shared" si="16"/>
        <v>0</v>
      </c>
      <c r="O16" s="1916">
        <f t="shared" si="16"/>
        <v>0</v>
      </c>
      <c r="P16" s="1916">
        <f t="shared" si="16"/>
        <v>0</v>
      </c>
      <c r="Q16" s="1916">
        <f t="shared" si="16"/>
        <v>0</v>
      </c>
    </row>
    <row r="17" spans="3:18" ht="21" hidden="1" customHeight="1">
      <c r="C17" s="1840"/>
      <c r="D17" s="1918" t="s">
        <v>2087</v>
      </c>
      <c r="E17" s="1918"/>
      <c r="F17" s="1919"/>
      <c r="G17" s="1913">
        <f t="shared" si="6"/>
        <v>24</v>
      </c>
      <c r="H17" s="1920">
        <f>WLC!$F$22</f>
        <v>0</v>
      </c>
      <c r="I17" s="1916">
        <f t="shared" ref="I17:Q17" si="17">(I13-I15)*$H17</f>
        <v>0</v>
      </c>
      <c r="J17" s="1916">
        <f t="shared" si="17"/>
        <v>0</v>
      </c>
      <c r="K17" s="1916">
        <f t="shared" si="17"/>
        <v>0</v>
      </c>
      <c r="L17" s="1916">
        <f t="shared" si="17"/>
        <v>0</v>
      </c>
      <c r="M17" s="1916">
        <f t="shared" si="17"/>
        <v>0</v>
      </c>
      <c r="N17" s="1916">
        <f t="shared" si="17"/>
        <v>0</v>
      </c>
      <c r="O17" s="1916">
        <f t="shared" si="17"/>
        <v>0</v>
      </c>
      <c r="P17" s="1916">
        <f t="shared" si="17"/>
        <v>0</v>
      </c>
      <c r="Q17" s="1916">
        <f t="shared" si="17"/>
        <v>0</v>
      </c>
    </row>
    <row r="18" spans="3:18" ht="21" hidden="1" customHeight="1">
      <c r="C18" s="1841"/>
      <c r="D18" s="1918" t="s">
        <v>2088</v>
      </c>
      <c r="E18" s="1918"/>
      <c r="F18" s="1919"/>
      <c r="G18" s="1913">
        <f t="shared" si="6"/>
        <v>25</v>
      </c>
      <c r="H18" s="1922"/>
      <c r="I18" s="1916">
        <f t="shared" ref="I18:Q18" si="18">I13-I16-I17</f>
        <v>14.38</v>
      </c>
      <c r="J18" s="1916">
        <f t="shared" si="18"/>
        <v>14.38</v>
      </c>
      <c r="K18" s="1916">
        <f t="shared" si="18"/>
        <v>14.38</v>
      </c>
      <c r="L18" s="1916">
        <f t="shared" si="18"/>
        <v>16.100000000000001</v>
      </c>
      <c r="M18" s="1916">
        <f t="shared" si="18"/>
        <v>16.100000000000001</v>
      </c>
      <c r="N18" s="1916">
        <f t="shared" si="18"/>
        <v>16.100000000000001</v>
      </c>
      <c r="O18" s="1916">
        <f t="shared" si="18"/>
        <v>18.59</v>
      </c>
      <c r="P18" s="1916">
        <f t="shared" si="18"/>
        <v>18.59</v>
      </c>
      <c r="Q18" s="1916">
        <f t="shared" si="18"/>
        <v>18.59</v>
      </c>
    </row>
    <row r="19" spans="3:18" ht="21" customHeight="1">
      <c r="C19" s="1838" t="s">
        <v>1977</v>
      </c>
      <c r="D19" s="1834"/>
      <c r="E19" s="1834"/>
      <c r="F19" s="1835"/>
      <c r="G19" s="1913">
        <f t="shared" si="6"/>
        <v>30</v>
      </c>
      <c r="H19" s="1913"/>
      <c r="I19" s="1915">
        <v>23.93</v>
      </c>
      <c r="J19" s="1915">
        <f>I19</f>
        <v>23.93</v>
      </c>
      <c r="K19" s="1915">
        <f t="shared" ref="K19" si="19">J19</f>
        <v>23.93</v>
      </c>
      <c r="L19" s="1915">
        <v>31.51</v>
      </c>
      <c r="M19" s="1915">
        <f t="shared" ref="M19" si="20">L19</f>
        <v>31.51</v>
      </c>
      <c r="N19" s="1915">
        <f>M19</f>
        <v>31.51</v>
      </c>
      <c r="O19" s="1915">
        <v>22.88</v>
      </c>
      <c r="P19" s="1915">
        <f t="shared" ref="P19:Q19" si="21">O19</f>
        <v>22.88</v>
      </c>
      <c r="Q19" s="1915">
        <f t="shared" si="21"/>
        <v>22.88</v>
      </c>
    </row>
    <row r="20" spans="3:18" ht="21" customHeight="1">
      <c r="C20" s="1839"/>
      <c r="D20" s="4148" t="s">
        <v>1983</v>
      </c>
      <c r="E20" s="3879"/>
      <c r="F20" s="1842">
        <v>1</v>
      </c>
      <c r="G20" s="1913">
        <f t="shared" si="6"/>
        <v>31</v>
      </c>
      <c r="H20" s="1913"/>
      <c r="I20" s="1916">
        <v>11.29</v>
      </c>
      <c r="J20" s="1916">
        <f t="shared" ref="J20:K20" si="22">I20</f>
        <v>11.29</v>
      </c>
      <c r="K20" s="1916">
        <f t="shared" si="22"/>
        <v>11.29</v>
      </c>
      <c r="L20" s="1916">
        <v>11.35</v>
      </c>
      <c r="M20" s="1916">
        <f t="shared" ref="M20" si="23">L20</f>
        <v>11.35</v>
      </c>
      <c r="N20" s="1916">
        <f>M20</f>
        <v>11.35</v>
      </c>
      <c r="O20" s="1916">
        <v>11.21</v>
      </c>
      <c r="P20" s="1916">
        <f t="shared" ref="P20:Q20" si="24">O20</f>
        <v>11.21</v>
      </c>
      <c r="Q20" s="1916">
        <f t="shared" si="24"/>
        <v>11.21</v>
      </c>
      <c r="R20" s="1923"/>
    </row>
    <row r="21" spans="3:18" ht="21" customHeight="1">
      <c r="C21" s="1839"/>
      <c r="D21" s="3876" t="s">
        <v>1984</v>
      </c>
      <c r="E21" s="3877"/>
      <c r="F21" s="1842">
        <v>1</v>
      </c>
      <c r="G21" s="1913">
        <f t="shared" si="6"/>
        <v>32</v>
      </c>
      <c r="H21" s="1917"/>
      <c r="I21" s="1916">
        <v>23</v>
      </c>
      <c r="J21" s="1916">
        <f t="shared" ref="J21:K21" si="25">I21</f>
        <v>23</v>
      </c>
      <c r="K21" s="1916">
        <f t="shared" si="25"/>
        <v>23</v>
      </c>
      <c r="L21" s="1916">
        <v>29.02</v>
      </c>
      <c r="M21" s="1916">
        <f t="shared" ref="M21:N21" si="26">L21</f>
        <v>29.02</v>
      </c>
      <c r="N21" s="1916">
        <f t="shared" si="26"/>
        <v>29.02</v>
      </c>
      <c r="O21" s="1916">
        <v>22.05</v>
      </c>
      <c r="P21" s="1916">
        <f t="shared" ref="P21:Q21" si="27">O21</f>
        <v>22.05</v>
      </c>
      <c r="Q21" s="1916">
        <f t="shared" si="27"/>
        <v>22.05</v>
      </c>
      <c r="R21" s="1923"/>
    </row>
    <row r="22" spans="3:18" ht="21" hidden="1" customHeight="1">
      <c r="C22" s="1840"/>
      <c r="D22" s="1918" t="s">
        <v>2086</v>
      </c>
      <c r="E22" s="1918"/>
      <c r="F22" s="1919"/>
      <c r="G22" s="1913">
        <f t="shared" si="6"/>
        <v>33</v>
      </c>
      <c r="H22" s="1920">
        <f>WLC!$F$21</f>
        <v>0</v>
      </c>
      <c r="I22" s="1916">
        <f>(I19-I20)*$H22</f>
        <v>0</v>
      </c>
      <c r="J22" s="1916">
        <f t="shared" ref="J22:Q22" si="28">(J19-J20)*$H22</f>
        <v>0</v>
      </c>
      <c r="K22" s="1916">
        <f t="shared" si="28"/>
        <v>0</v>
      </c>
      <c r="L22" s="1916">
        <f t="shared" si="28"/>
        <v>0</v>
      </c>
      <c r="M22" s="1916">
        <f t="shared" si="28"/>
        <v>0</v>
      </c>
      <c r="N22" s="1916">
        <f t="shared" si="28"/>
        <v>0</v>
      </c>
      <c r="O22" s="1916">
        <f t="shared" si="28"/>
        <v>0</v>
      </c>
      <c r="P22" s="1916">
        <f t="shared" si="28"/>
        <v>0</v>
      </c>
      <c r="Q22" s="1916">
        <f t="shared" si="28"/>
        <v>0</v>
      </c>
      <c r="R22" s="1923"/>
    </row>
    <row r="23" spans="3:18" ht="21" hidden="1" customHeight="1">
      <c r="C23" s="1840"/>
      <c r="D23" s="1918" t="s">
        <v>2087</v>
      </c>
      <c r="E23" s="1918"/>
      <c r="F23" s="1919"/>
      <c r="G23" s="1913">
        <f t="shared" si="6"/>
        <v>34</v>
      </c>
      <c r="H23" s="1920">
        <f>WLC!$F$22</f>
        <v>0</v>
      </c>
      <c r="I23" s="1916">
        <f t="shared" ref="I23:Q23" si="29">(I19-I21)*$H23</f>
        <v>0</v>
      </c>
      <c r="J23" s="1916">
        <f t="shared" si="29"/>
        <v>0</v>
      </c>
      <c r="K23" s="1916">
        <f t="shared" si="29"/>
        <v>0</v>
      </c>
      <c r="L23" s="1916">
        <f t="shared" si="29"/>
        <v>0</v>
      </c>
      <c r="M23" s="1916">
        <f t="shared" si="29"/>
        <v>0</v>
      </c>
      <c r="N23" s="1916">
        <f t="shared" si="29"/>
        <v>0</v>
      </c>
      <c r="O23" s="1916">
        <f t="shared" si="29"/>
        <v>0</v>
      </c>
      <c r="P23" s="1916">
        <f t="shared" si="29"/>
        <v>0</v>
      </c>
      <c r="Q23" s="1916">
        <f t="shared" si="29"/>
        <v>0</v>
      </c>
      <c r="R23" s="1923"/>
    </row>
    <row r="24" spans="3:18" ht="21" hidden="1" customHeight="1">
      <c r="C24" s="1841"/>
      <c r="D24" s="1918" t="s">
        <v>2088</v>
      </c>
      <c r="E24" s="1918"/>
      <c r="F24" s="1919"/>
      <c r="G24" s="1913">
        <f t="shared" si="6"/>
        <v>35</v>
      </c>
      <c r="H24" s="1922"/>
      <c r="I24" s="1916">
        <f t="shared" ref="I24:Q24" si="30">I19-I22-I23</f>
        <v>23.93</v>
      </c>
      <c r="J24" s="1916">
        <f t="shared" si="30"/>
        <v>23.93</v>
      </c>
      <c r="K24" s="1916">
        <f t="shared" si="30"/>
        <v>23.93</v>
      </c>
      <c r="L24" s="1916">
        <f t="shared" si="30"/>
        <v>31.51</v>
      </c>
      <c r="M24" s="1916">
        <f t="shared" si="30"/>
        <v>31.51</v>
      </c>
      <c r="N24" s="1916">
        <f t="shared" si="30"/>
        <v>31.51</v>
      </c>
      <c r="O24" s="1916">
        <f t="shared" si="30"/>
        <v>22.88</v>
      </c>
      <c r="P24" s="1916">
        <f t="shared" si="30"/>
        <v>22.88</v>
      </c>
      <c r="Q24" s="1916">
        <f t="shared" si="30"/>
        <v>22.88</v>
      </c>
      <c r="R24" s="1923"/>
    </row>
    <row r="25" spans="3:18" ht="21" customHeight="1">
      <c r="C25" s="1838" t="s">
        <v>1978</v>
      </c>
      <c r="D25" s="1834"/>
      <c r="E25" s="1834"/>
      <c r="F25" s="1835"/>
      <c r="G25" s="1913">
        <f t="shared" si="6"/>
        <v>40</v>
      </c>
      <c r="H25" s="1913"/>
      <c r="I25" s="1915">
        <v>23.93</v>
      </c>
      <c r="J25" s="1915">
        <f>I25</f>
        <v>23.93</v>
      </c>
      <c r="K25" s="1915">
        <f t="shared" ref="K25" si="31">J25</f>
        <v>23.93</v>
      </c>
      <c r="L25" s="1915">
        <v>31.51</v>
      </c>
      <c r="M25" s="1915">
        <f t="shared" ref="M25" si="32">L25</f>
        <v>31.51</v>
      </c>
      <c r="N25" s="1915">
        <f>M25</f>
        <v>31.51</v>
      </c>
      <c r="O25" s="1915">
        <v>22.88</v>
      </c>
      <c r="P25" s="1915">
        <f t="shared" ref="P25:Q25" si="33">O25</f>
        <v>22.88</v>
      </c>
      <c r="Q25" s="1915">
        <f t="shared" si="33"/>
        <v>22.88</v>
      </c>
      <c r="R25" s="1924"/>
    </row>
    <row r="26" spans="3:18" ht="21" customHeight="1">
      <c r="C26" s="1839"/>
      <c r="D26" s="4148" t="s">
        <v>1983</v>
      </c>
      <c r="E26" s="3879"/>
      <c r="F26" s="1842">
        <v>1</v>
      </c>
      <c r="G26" s="1913">
        <f t="shared" si="6"/>
        <v>41</v>
      </c>
      <c r="H26" s="1913"/>
      <c r="I26" s="1916">
        <v>11.29</v>
      </c>
      <c r="J26" s="1916">
        <f t="shared" ref="J26:K26" si="34">I26</f>
        <v>11.29</v>
      </c>
      <c r="K26" s="1916">
        <f t="shared" si="34"/>
        <v>11.29</v>
      </c>
      <c r="L26" s="1916">
        <v>11.35</v>
      </c>
      <c r="M26" s="1916">
        <f t="shared" ref="M26" si="35">L26</f>
        <v>11.35</v>
      </c>
      <c r="N26" s="1916">
        <f>M26</f>
        <v>11.35</v>
      </c>
      <c r="O26" s="1916">
        <v>11.21</v>
      </c>
      <c r="P26" s="1916">
        <f t="shared" ref="P26:Q26" si="36">O26</f>
        <v>11.21</v>
      </c>
      <c r="Q26" s="1916">
        <f t="shared" si="36"/>
        <v>11.21</v>
      </c>
      <c r="R26" s="1923"/>
    </row>
    <row r="27" spans="3:18" ht="21" customHeight="1">
      <c r="C27" s="1839"/>
      <c r="D27" s="3876" t="s">
        <v>1984</v>
      </c>
      <c r="E27" s="3877"/>
      <c r="F27" s="1842">
        <v>1</v>
      </c>
      <c r="G27" s="1913">
        <f t="shared" si="6"/>
        <v>42</v>
      </c>
      <c r="H27" s="1917"/>
      <c r="I27" s="1916">
        <v>23</v>
      </c>
      <c r="J27" s="1916">
        <f t="shared" ref="J27:K27" si="37">I27</f>
        <v>23</v>
      </c>
      <c r="K27" s="1916">
        <f t="shared" si="37"/>
        <v>23</v>
      </c>
      <c r="L27" s="1916">
        <v>29.02</v>
      </c>
      <c r="M27" s="1916">
        <f t="shared" ref="M27:N27" si="38">L27</f>
        <v>29.02</v>
      </c>
      <c r="N27" s="1916">
        <f t="shared" si="38"/>
        <v>29.02</v>
      </c>
      <c r="O27" s="1916">
        <v>22.05</v>
      </c>
      <c r="P27" s="1916">
        <f t="shared" ref="P27:Q27" si="39">O27</f>
        <v>22.05</v>
      </c>
      <c r="Q27" s="1916">
        <f t="shared" si="39"/>
        <v>22.05</v>
      </c>
      <c r="R27" s="1923"/>
    </row>
    <row r="28" spans="3:18" ht="21" hidden="1" customHeight="1">
      <c r="C28" s="1840"/>
      <c r="D28" s="1918" t="s">
        <v>2086</v>
      </c>
      <c r="E28" s="1918"/>
      <c r="F28" s="1919"/>
      <c r="G28" s="1913">
        <f t="shared" si="6"/>
        <v>43</v>
      </c>
      <c r="H28" s="1920">
        <f>WLC!$F$21</f>
        <v>0</v>
      </c>
      <c r="I28" s="1916">
        <f>(I25-I26)*$H28</f>
        <v>0</v>
      </c>
      <c r="J28" s="1916">
        <f t="shared" ref="J28:Q28" si="40">(J25-J26)*$H28</f>
        <v>0</v>
      </c>
      <c r="K28" s="1916">
        <f t="shared" si="40"/>
        <v>0</v>
      </c>
      <c r="L28" s="1916">
        <f t="shared" si="40"/>
        <v>0</v>
      </c>
      <c r="M28" s="1916">
        <f t="shared" si="40"/>
        <v>0</v>
      </c>
      <c r="N28" s="1916">
        <f t="shared" si="40"/>
        <v>0</v>
      </c>
      <c r="O28" s="1916">
        <f t="shared" si="40"/>
        <v>0</v>
      </c>
      <c r="P28" s="1916">
        <f t="shared" si="40"/>
        <v>0</v>
      </c>
      <c r="Q28" s="1916">
        <f t="shared" si="40"/>
        <v>0</v>
      </c>
      <c r="R28" s="1923"/>
    </row>
    <row r="29" spans="3:18" ht="21" hidden="1" customHeight="1">
      <c r="C29" s="1840"/>
      <c r="D29" s="1918" t="s">
        <v>2087</v>
      </c>
      <c r="E29" s="1918"/>
      <c r="F29" s="1919"/>
      <c r="G29" s="1913">
        <f t="shared" si="6"/>
        <v>44</v>
      </c>
      <c r="H29" s="1920">
        <f>WLC!$F$22</f>
        <v>0</v>
      </c>
      <c r="I29" s="1916">
        <f t="shared" ref="I29:Q29" si="41">(I25-I27)*$H29</f>
        <v>0</v>
      </c>
      <c r="J29" s="1916">
        <f t="shared" si="41"/>
        <v>0</v>
      </c>
      <c r="K29" s="1916">
        <f t="shared" si="41"/>
        <v>0</v>
      </c>
      <c r="L29" s="1916">
        <f t="shared" si="41"/>
        <v>0</v>
      </c>
      <c r="M29" s="1916">
        <f t="shared" si="41"/>
        <v>0</v>
      </c>
      <c r="N29" s="1916">
        <f t="shared" si="41"/>
        <v>0</v>
      </c>
      <c r="O29" s="1916">
        <f t="shared" si="41"/>
        <v>0</v>
      </c>
      <c r="P29" s="1916">
        <f t="shared" si="41"/>
        <v>0</v>
      </c>
      <c r="Q29" s="1916">
        <f t="shared" si="41"/>
        <v>0</v>
      </c>
      <c r="R29" s="1923"/>
    </row>
    <row r="30" spans="3:18" ht="21" hidden="1" customHeight="1">
      <c r="C30" s="1841"/>
      <c r="D30" s="1918" t="s">
        <v>2088</v>
      </c>
      <c r="E30" s="1918"/>
      <c r="F30" s="1919"/>
      <c r="G30" s="1913">
        <f t="shared" si="6"/>
        <v>45</v>
      </c>
      <c r="H30" s="1922"/>
      <c r="I30" s="1916">
        <f t="shared" ref="I30:Q30" si="42">I25-I28-I29</f>
        <v>23.93</v>
      </c>
      <c r="J30" s="1916">
        <f t="shared" si="42"/>
        <v>23.93</v>
      </c>
      <c r="K30" s="1916">
        <f t="shared" si="42"/>
        <v>23.93</v>
      </c>
      <c r="L30" s="1916">
        <f t="shared" si="42"/>
        <v>31.51</v>
      </c>
      <c r="M30" s="1916">
        <f t="shared" si="42"/>
        <v>31.51</v>
      </c>
      <c r="N30" s="1916">
        <f t="shared" si="42"/>
        <v>31.51</v>
      </c>
      <c r="O30" s="1916">
        <f t="shared" si="42"/>
        <v>22.88</v>
      </c>
      <c r="P30" s="1916">
        <f t="shared" si="42"/>
        <v>22.88</v>
      </c>
      <c r="Q30" s="1916">
        <f t="shared" si="42"/>
        <v>22.88</v>
      </c>
      <c r="R30" s="1923"/>
    </row>
    <row r="31" spans="3:18" ht="21" customHeight="1">
      <c r="C31" s="1838" t="s">
        <v>1979</v>
      </c>
      <c r="D31" s="1834"/>
      <c r="E31" s="1834"/>
      <c r="F31" s="1835"/>
      <c r="G31" s="1913">
        <f t="shared" si="6"/>
        <v>50</v>
      </c>
      <c r="H31" s="1913"/>
      <c r="I31" s="1915">
        <v>16.23</v>
      </c>
      <c r="J31" s="1915">
        <f>I31</f>
        <v>16.23</v>
      </c>
      <c r="K31" s="1915">
        <f t="shared" ref="K31" si="43">J31</f>
        <v>16.23</v>
      </c>
      <c r="L31" s="1915">
        <v>17.41</v>
      </c>
      <c r="M31" s="1915">
        <f t="shared" ref="M31" si="44">L31</f>
        <v>17.41</v>
      </c>
      <c r="N31" s="1915">
        <f>M31</f>
        <v>17.41</v>
      </c>
      <c r="O31" s="1915">
        <v>17.920000000000002</v>
      </c>
      <c r="P31" s="1915">
        <f t="shared" ref="P31:Q31" si="45">O31</f>
        <v>17.920000000000002</v>
      </c>
      <c r="Q31" s="1915">
        <f t="shared" si="45"/>
        <v>17.920000000000002</v>
      </c>
      <c r="R31" s="1924"/>
    </row>
    <row r="32" spans="3:18" ht="21" customHeight="1">
      <c r="C32" s="1839"/>
      <c r="D32" s="4148" t="s">
        <v>1983</v>
      </c>
      <c r="E32" s="3879"/>
      <c r="F32" s="1842">
        <v>1</v>
      </c>
      <c r="G32" s="1913">
        <f t="shared" si="6"/>
        <v>51</v>
      </c>
      <c r="H32" s="1913"/>
      <c r="I32" s="1916">
        <v>7.29</v>
      </c>
      <c r="J32" s="1916">
        <f t="shared" ref="J32:K32" si="46">I32</f>
        <v>7.29</v>
      </c>
      <c r="K32" s="1916">
        <f t="shared" si="46"/>
        <v>7.29</v>
      </c>
      <c r="L32" s="1916">
        <v>7.33</v>
      </c>
      <c r="M32" s="1916">
        <f t="shared" ref="M32" si="47">L32</f>
        <v>7.33</v>
      </c>
      <c r="N32" s="1916">
        <f>M32</f>
        <v>7.33</v>
      </c>
      <c r="O32" s="1916">
        <v>7.24</v>
      </c>
      <c r="P32" s="1916">
        <f t="shared" ref="P32:Q32" si="48">O32</f>
        <v>7.24</v>
      </c>
      <c r="Q32" s="1916">
        <f t="shared" si="48"/>
        <v>7.24</v>
      </c>
      <c r="R32" s="1923"/>
    </row>
    <row r="33" spans="3:18" ht="21" customHeight="1">
      <c r="C33" s="1839"/>
      <c r="D33" s="3876" t="s">
        <v>1984</v>
      </c>
      <c r="E33" s="3877"/>
      <c r="F33" s="1842">
        <v>1</v>
      </c>
      <c r="G33" s="1913">
        <f t="shared" si="6"/>
        <v>52</v>
      </c>
      <c r="H33" s="1917"/>
      <c r="I33" s="1916">
        <v>15.76</v>
      </c>
      <c r="J33" s="1916">
        <f t="shared" ref="J33:K33" si="49">I33</f>
        <v>15.76</v>
      </c>
      <c r="K33" s="1916">
        <f t="shared" si="49"/>
        <v>15.76</v>
      </c>
      <c r="L33" s="1916">
        <v>16.190000000000001</v>
      </c>
      <c r="M33" s="1916">
        <f t="shared" ref="M33:N33" si="50">L33</f>
        <v>16.190000000000001</v>
      </c>
      <c r="N33" s="1916">
        <f t="shared" si="50"/>
        <v>16.190000000000001</v>
      </c>
      <c r="O33" s="1916">
        <v>16.75</v>
      </c>
      <c r="P33" s="1916">
        <f t="shared" ref="P33:Q33" si="51">O33</f>
        <v>16.75</v>
      </c>
      <c r="Q33" s="1916">
        <f t="shared" si="51"/>
        <v>16.75</v>
      </c>
      <c r="R33" s="1923"/>
    </row>
    <row r="34" spans="3:18" ht="21" hidden="1" customHeight="1">
      <c r="C34" s="1840"/>
      <c r="D34" s="1918" t="s">
        <v>2086</v>
      </c>
      <c r="E34" s="1918"/>
      <c r="F34" s="1919"/>
      <c r="G34" s="1913">
        <f t="shared" si="6"/>
        <v>53</v>
      </c>
      <c r="H34" s="1920">
        <f>WLC!$F$21</f>
        <v>0</v>
      </c>
      <c r="I34" s="1916">
        <f>(I31-I32)*$H34</f>
        <v>0</v>
      </c>
      <c r="J34" s="1916">
        <f t="shared" ref="J34:Q34" si="52">(J31-J32)*$H34</f>
        <v>0</v>
      </c>
      <c r="K34" s="1916">
        <f t="shared" si="52"/>
        <v>0</v>
      </c>
      <c r="L34" s="1916">
        <f t="shared" si="52"/>
        <v>0</v>
      </c>
      <c r="M34" s="1916">
        <f t="shared" si="52"/>
        <v>0</v>
      </c>
      <c r="N34" s="1916">
        <f t="shared" si="52"/>
        <v>0</v>
      </c>
      <c r="O34" s="1916">
        <f t="shared" si="52"/>
        <v>0</v>
      </c>
      <c r="P34" s="1916">
        <f t="shared" si="52"/>
        <v>0</v>
      </c>
      <c r="Q34" s="1916">
        <f t="shared" si="52"/>
        <v>0</v>
      </c>
      <c r="R34" s="1923"/>
    </row>
    <row r="35" spans="3:18" ht="21" hidden="1" customHeight="1">
      <c r="C35" s="1840"/>
      <c r="D35" s="1918" t="s">
        <v>2087</v>
      </c>
      <c r="E35" s="1918"/>
      <c r="F35" s="1919"/>
      <c r="G35" s="1913">
        <f t="shared" si="6"/>
        <v>54</v>
      </c>
      <c r="H35" s="1920">
        <f>WLC!$F$22</f>
        <v>0</v>
      </c>
      <c r="I35" s="1916">
        <f t="shared" ref="I35:Q35" si="53">(I31-I33)*$H35</f>
        <v>0</v>
      </c>
      <c r="J35" s="1916">
        <f t="shared" si="53"/>
        <v>0</v>
      </c>
      <c r="K35" s="1916">
        <f t="shared" si="53"/>
        <v>0</v>
      </c>
      <c r="L35" s="1916">
        <f t="shared" si="53"/>
        <v>0</v>
      </c>
      <c r="M35" s="1916">
        <f t="shared" si="53"/>
        <v>0</v>
      </c>
      <c r="N35" s="1916">
        <f t="shared" si="53"/>
        <v>0</v>
      </c>
      <c r="O35" s="1916">
        <f t="shared" si="53"/>
        <v>0</v>
      </c>
      <c r="P35" s="1916">
        <f t="shared" si="53"/>
        <v>0</v>
      </c>
      <c r="Q35" s="1916">
        <f t="shared" si="53"/>
        <v>0</v>
      </c>
      <c r="R35" s="1923"/>
    </row>
    <row r="36" spans="3:18" ht="21" hidden="1" customHeight="1">
      <c r="C36" s="1841"/>
      <c r="D36" s="1918" t="s">
        <v>2088</v>
      </c>
      <c r="E36" s="1918"/>
      <c r="F36" s="1919"/>
      <c r="G36" s="1913">
        <f t="shared" si="6"/>
        <v>55</v>
      </c>
      <c r="H36" s="1922"/>
      <c r="I36" s="1916">
        <f t="shared" ref="I36:Q36" si="54">I31-I34-I35</f>
        <v>16.23</v>
      </c>
      <c r="J36" s="1916">
        <f t="shared" si="54"/>
        <v>16.23</v>
      </c>
      <c r="K36" s="1916">
        <f t="shared" si="54"/>
        <v>16.23</v>
      </c>
      <c r="L36" s="1916">
        <f t="shared" si="54"/>
        <v>17.41</v>
      </c>
      <c r="M36" s="1916">
        <f t="shared" si="54"/>
        <v>17.41</v>
      </c>
      <c r="N36" s="1916">
        <f t="shared" si="54"/>
        <v>17.41</v>
      </c>
      <c r="O36" s="1916">
        <f t="shared" si="54"/>
        <v>17.920000000000002</v>
      </c>
      <c r="P36" s="1916">
        <f t="shared" si="54"/>
        <v>17.920000000000002</v>
      </c>
      <c r="Q36" s="1916">
        <f t="shared" si="54"/>
        <v>17.920000000000002</v>
      </c>
      <c r="R36" s="1923"/>
    </row>
    <row r="37" spans="3:18" ht="21" customHeight="1">
      <c r="C37" s="1838" t="s">
        <v>1980</v>
      </c>
      <c r="D37" s="1834"/>
      <c r="E37" s="1834"/>
      <c r="F37" s="1835"/>
      <c r="G37" s="1913">
        <f t="shared" si="6"/>
        <v>60</v>
      </c>
      <c r="H37" s="1913"/>
      <c r="I37" s="1915">
        <v>25.13</v>
      </c>
      <c r="J37" s="1915">
        <f>I37</f>
        <v>25.13</v>
      </c>
      <c r="K37" s="1915">
        <f t="shared" ref="K37" si="55">J37</f>
        <v>25.13</v>
      </c>
      <c r="L37" s="1915">
        <v>28.4</v>
      </c>
      <c r="M37" s="1915">
        <f t="shared" ref="M37" si="56">L37</f>
        <v>28.4</v>
      </c>
      <c r="N37" s="1915">
        <f>M37</f>
        <v>28.4</v>
      </c>
      <c r="O37" s="1915">
        <v>30.17</v>
      </c>
      <c r="P37" s="1915">
        <f t="shared" ref="P37:Q37" si="57">O37</f>
        <v>30.17</v>
      </c>
      <c r="Q37" s="1915">
        <f t="shared" si="57"/>
        <v>30.17</v>
      </c>
      <c r="R37" s="1924"/>
    </row>
    <row r="38" spans="3:18" ht="21" customHeight="1">
      <c r="C38" s="1839"/>
      <c r="D38" s="4148" t="s">
        <v>1983</v>
      </c>
      <c r="E38" s="3879"/>
      <c r="F38" s="1842">
        <v>1</v>
      </c>
      <c r="G38" s="1913">
        <f t="shared" si="6"/>
        <v>61</v>
      </c>
      <c r="H38" s="1913"/>
      <c r="I38" s="1916">
        <v>11.03</v>
      </c>
      <c r="J38" s="1916">
        <f t="shared" ref="J38:K38" si="58">I38</f>
        <v>11.03</v>
      </c>
      <c r="K38" s="1916">
        <f t="shared" si="58"/>
        <v>11.03</v>
      </c>
      <c r="L38" s="1916">
        <v>11.13</v>
      </c>
      <c r="M38" s="1916">
        <f t="shared" ref="M38" si="59">L38</f>
        <v>11.13</v>
      </c>
      <c r="N38" s="1916">
        <f>M38</f>
        <v>11.13</v>
      </c>
      <c r="O38" s="1916">
        <v>11.22</v>
      </c>
      <c r="P38" s="1916">
        <f t="shared" ref="P38:Q38" si="60">O38</f>
        <v>11.22</v>
      </c>
      <c r="Q38" s="1916">
        <f t="shared" si="60"/>
        <v>11.22</v>
      </c>
      <c r="R38" s="1923"/>
    </row>
    <row r="39" spans="3:18" ht="21" customHeight="1">
      <c r="C39" s="1839"/>
      <c r="D39" s="3876" t="s">
        <v>1984</v>
      </c>
      <c r="E39" s="3877"/>
      <c r="F39" s="1842">
        <v>1</v>
      </c>
      <c r="G39" s="1913">
        <f t="shared" si="6"/>
        <v>62</v>
      </c>
      <c r="H39" s="1917"/>
      <c r="I39" s="1916">
        <v>24.17</v>
      </c>
      <c r="J39" s="1916">
        <f t="shared" ref="J39:K39" si="61">I39</f>
        <v>24.17</v>
      </c>
      <c r="K39" s="1916">
        <f t="shared" si="61"/>
        <v>24.17</v>
      </c>
      <c r="L39" s="1916">
        <v>26.3</v>
      </c>
      <c r="M39" s="1916">
        <f t="shared" ref="M39:N39" si="62">L39</f>
        <v>26.3</v>
      </c>
      <c r="N39" s="1916">
        <f t="shared" si="62"/>
        <v>26.3</v>
      </c>
      <c r="O39" s="1916">
        <v>28.32</v>
      </c>
      <c r="P39" s="1916">
        <f t="shared" ref="P39:Q39" si="63">O39</f>
        <v>28.32</v>
      </c>
      <c r="Q39" s="1916">
        <f t="shared" si="63"/>
        <v>28.32</v>
      </c>
      <c r="R39" s="1923"/>
    </row>
    <row r="40" spans="3:18" ht="21" hidden="1" customHeight="1">
      <c r="C40" s="1840"/>
      <c r="D40" s="1918" t="s">
        <v>2086</v>
      </c>
      <c r="E40" s="1918"/>
      <c r="F40" s="1919"/>
      <c r="G40" s="1913">
        <f t="shared" si="6"/>
        <v>63</v>
      </c>
      <c r="H40" s="1920">
        <f>WLC!$F$21</f>
        <v>0</v>
      </c>
      <c r="I40" s="1916">
        <f>(I37-I38)*$H40</f>
        <v>0</v>
      </c>
      <c r="J40" s="1916">
        <f t="shared" ref="J40:Q40" si="64">(J37-J38)*$H40</f>
        <v>0</v>
      </c>
      <c r="K40" s="1916">
        <f t="shared" si="64"/>
        <v>0</v>
      </c>
      <c r="L40" s="1916">
        <f t="shared" si="64"/>
        <v>0</v>
      </c>
      <c r="M40" s="1916">
        <f t="shared" si="64"/>
        <v>0</v>
      </c>
      <c r="N40" s="1916">
        <f t="shared" si="64"/>
        <v>0</v>
      </c>
      <c r="O40" s="1916">
        <f t="shared" si="64"/>
        <v>0</v>
      </c>
      <c r="P40" s="1916">
        <f t="shared" si="64"/>
        <v>0</v>
      </c>
      <c r="Q40" s="1916">
        <f t="shared" si="64"/>
        <v>0</v>
      </c>
      <c r="R40" s="1923"/>
    </row>
    <row r="41" spans="3:18" ht="21" hidden="1" customHeight="1">
      <c r="C41" s="1840"/>
      <c r="D41" s="1918" t="s">
        <v>2087</v>
      </c>
      <c r="E41" s="1918"/>
      <c r="F41" s="1919"/>
      <c r="G41" s="1913">
        <f t="shared" si="6"/>
        <v>64</v>
      </c>
      <c r="H41" s="1920">
        <f>WLC!$F$22</f>
        <v>0</v>
      </c>
      <c r="I41" s="1916">
        <f t="shared" ref="I41:Q41" si="65">(I37-I39)*$H41</f>
        <v>0</v>
      </c>
      <c r="J41" s="1916">
        <f t="shared" si="65"/>
        <v>0</v>
      </c>
      <c r="K41" s="1916">
        <f t="shared" si="65"/>
        <v>0</v>
      </c>
      <c r="L41" s="1916">
        <f t="shared" si="65"/>
        <v>0</v>
      </c>
      <c r="M41" s="1916">
        <f t="shared" si="65"/>
        <v>0</v>
      </c>
      <c r="N41" s="1916">
        <f t="shared" si="65"/>
        <v>0</v>
      </c>
      <c r="O41" s="1916">
        <f t="shared" si="65"/>
        <v>0</v>
      </c>
      <c r="P41" s="1916">
        <f t="shared" si="65"/>
        <v>0</v>
      </c>
      <c r="Q41" s="1916">
        <f t="shared" si="65"/>
        <v>0</v>
      </c>
      <c r="R41" s="1923"/>
    </row>
    <row r="42" spans="3:18" ht="21" hidden="1" customHeight="1">
      <c r="C42" s="1841"/>
      <c r="D42" s="1918" t="s">
        <v>2088</v>
      </c>
      <c r="E42" s="1918"/>
      <c r="F42" s="1919"/>
      <c r="G42" s="1913">
        <f t="shared" si="6"/>
        <v>65</v>
      </c>
      <c r="H42" s="1922"/>
      <c r="I42" s="1916">
        <f t="shared" ref="I42:Q42" si="66">I37-I40-I41</f>
        <v>25.13</v>
      </c>
      <c r="J42" s="1916">
        <f t="shared" si="66"/>
        <v>25.13</v>
      </c>
      <c r="K42" s="1916">
        <f t="shared" si="66"/>
        <v>25.13</v>
      </c>
      <c r="L42" s="1916">
        <f t="shared" si="66"/>
        <v>28.4</v>
      </c>
      <c r="M42" s="1916">
        <f t="shared" si="66"/>
        <v>28.4</v>
      </c>
      <c r="N42" s="1916">
        <f t="shared" si="66"/>
        <v>28.4</v>
      </c>
      <c r="O42" s="1916">
        <f t="shared" si="66"/>
        <v>30.17</v>
      </c>
      <c r="P42" s="1916">
        <f t="shared" si="66"/>
        <v>30.17</v>
      </c>
      <c r="Q42" s="1916">
        <f t="shared" si="66"/>
        <v>30.17</v>
      </c>
      <c r="R42" s="1923"/>
    </row>
    <row r="43" spans="3:18" ht="21" customHeight="1">
      <c r="C43" s="1838" t="s">
        <v>1981</v>
      </c>
      <c r="D43" s="1834"/>
      <c r="E43" s="1834"/>
      <c r="F43" s="1835"/>
      <c r="G43" s="1913">
        <f t="shared" si="6"/>
        <v>70</v>
      </c>
      <c r="H43" s="1913"/>
      <c r="I43" s="1915">
        <v>14.42</v>
      </c>
      <c r="J43" s="1915">
        <f>I43</f>
        <v>14.42</v>
      </c>
      <c r="K43" s="1915">
        <f t="shared" ref="K43" si="67">J43</f>
        <v>14.42</v>
      </c>
      <c r="L43" s="1915">
        <v>16.5</v>
      </c>
      <c r="M43" s="1915">
        <f t="shared" ref="M43" si="68">L43</f>
        <v>16.5</v>
      </c>
      <c r="N43" s="1915">
        <f>M43</f>
        <v>16.5</v>
      </c>
      <c r="O43" s="1915">
        <v>18.170000000000002</v>
      </c>
      <c r="P43" s="1915">
        <f t="shared" ref="P43:Q43" si="69">O43</f>
        <v>18.170000000000002</v>
      </c>
      <c r="Q43" s="1915">
        <f t="shared" si="69"/>
        <v>18.170000000000002</v>
      </c>
      <c r="R43" s="1924"/>
    </row>
    <row r="44" spans="3:18" ht="21" customHeight="1">
      <c r="C44" s="1839"/>
      <c r="D44" s="4148" t="s">
        <v>1983</v>
      </c>
      <c r="E44" s="3879"/>
      <c r="F44" s="1842">
        <v>1</v>
      </c>
      <c r="G44" s="1913">
        <f t="shared" si="6"/>
        <v>71</v>
      </c>
      <c r="H44" s="1913"/>
      <c r="I44" s="1916">
        <v>7.98</v>
      </c>
      <c r="J44" s="1916">
        <f t="shared" ref="J44:K44" si="70">I44</f>
        <v>7.98</v>
      </c>
      <c r="K44" s="1916">
        <f t="shared" si="70"/>
        <v>7.98</v>
      </c>
      <c r="L44" s="1916">
        <v>8.02</v>
      </c>
      <c r="M44" s="1916">
        <f t="shared" ref="M44" si="71">L44</f>
        <v>8.02</v>
      </c>
      <c r="N44" s="1916">
        <f>M44</f>
        <v>8.02</v>
      </c>
      <c r="O44" s="1916">
        <v>7.92</v>
      </c>
      <c r="P44" s="1916">
        <f t="shared" ref="P44:Q44" si="72">O44</f>
        <v>7.92</v>
      </c>
      <c r="Q44" s="1916">
        <f t="shared" si="72"/>
        <v>7.92</v>
      </c>
      <c r="R44" s="1924"/>
    </row>
    <row r="45" spans="3:18" ht="21" customHeight="1">
      <c r="C45" s="1839"/>
      <c r="D45" s="3876" t="s">
        <v>1984</v>
      </c>
      <c r="E45" s="3877"/>
      <c r="F45" s="1842">
        <v>1</v>
      </c>
      <c r="G45" s="1913">
        <f t="shared" si="6"/>
        <v>72</v>
      </c>
      <c r="H45" s="1917"/>
      <c r="I45" s="1916">
        <v>13.99</v>
      </c>
      <c r="J45" s="1916">
        <f t="shared" ref="J45:K45" si="73">I45</f>
        <v>13.99</v>
      </c>
      <c r="K45" s="1916">
        <f t="shared" si="73"/>
        <v>13.99</v>
      </c>
      <c r="L45" s="1916">
        <v>15.45</v>
      </c>
      <c r="M45" s="1916">
        <f t="shared" ref="M45:N45" si="74">L45</f>
        <v>15.45</v>
      </c>
      <c r="N45" s="1916">
        <f t="shared" si="74"/>
        <v>15.45</v>
      </c>
      <c r="O45" s="1916">
        <v>17.079999999999998</v>
      </c>
      <c r="P45" s="1916">
        <f t="shared" ref="P45:Q45" si="75">O45</f>
        <v>17.079999999999998</v>
      </c>
      <c r="Q45" s="1916">
        <f t="shared" si="75"/>
        <v>17.079999999999998</v>
      </c>
      <c r="R45" s="1924"/>
    </row>
    <row r="46" spans="3:18" ht="21" hidden="1" customHeight="1">
      <c r="C46" s="1840"/>
      <c r="D46" s="1918" t="s">
        <v>2086</v>
      </c>
      <c r="E46" s="1918"/>
      <c r="F46" s="1919"/>
      <c r="G46" s="1913">
        <f t="shared" si="6"/>
        <v>73</v>
      </c>
      <c r="H46" s="1920">
        <f>WLC!$F$21</f>
        <v>0</v>
      </c>
      <c r="I46" s="1916">
        <f>(I43-I44)*$H46</f>
        <v>0</v>
      </c>
      <c r="J46" s="1916">
        <f t="shared" ref="J46:Q46" si="76">(J43-J44)*$H46</f>
        <v>0</v>
      </c>
      <c r="K46" s="1916">
        <f t="shared" si="76"/>
        <v>0</v>
      </c>
      <c r="L46" s="1916">
        <f t="shared" si="76"/>
        <v>0</v>
      </c>
      <c r="M46" s="1916">
        <f t="shared" si="76"/>
        <v>0</v>
      </c>
      <c r="N46" s="1916">
        <f t="shared" si="76"/>
        <v>0</v>
      </c>
      <c r="O46" s="1916">
        <f t="shared" si="76"/>
        <v>0</v>
      </c>
      <c r="P46" s="1916">
        <f t="shared" si="76"/>
        <v>0</v>
      </c>
      <c r="Q46" s="1916">
        <f t="shared" si="76"/>
        <v>0</v>
      </c>
      <c r="R46" s="1924"/>
    </row>
    <row r="47" spans="3:18" ht="21" hidden="1" customHeight="1">
      <c r="C47" s="1840"/>
      <c r="D47" s="1918" t="s">
        <v>2087</v>
      </c>
      <c r="E47" s="1918"/>
      <c r="F47" s="1919"/>
      <c r="G47" s="1913">
        <f t="shared" si="6"/>
        <v>74</v>
      </c>
      <c r="H47" s="1920">
        <f>WLC!$F$22</f>
        <v>0</v>
      </c>
      <c r="I47" s="1916">
        <f t="shared" ref="I47:Q47" si="77">(I43-I45)*$H47</f>
        <v>0</v>
      </c>
      <c r="J47" s="1916">
        <f t="shared" si="77"/>
        <v>0</v>
      </c>
      <c r="K47" s="1916">
        <f t="shared" si="77"/>
        <v>0</v>
      </c>
      <c r="L47" s="1916">
        <f t="shared" si="77"/>
        <v>0</v>
      </c>
      <c r="M47" s="1916">
        <f t="shared" si="77"/>
        <v>0</v>
      </c>
      <c r="N47" s="1916">
        <f t="shared" si="77"/>
        <v>0</v>
      </c>
      <c r="O47" s="1916">
        <f t="shared" si="77"/>
        <v>0</v>
      </c>
      <c r="P47" s="1916">
        <f t="shared" si="77"/>
        <v>0</v>
      </c>
      <c r="Q47" s="1916">
        <f t="shared" si="77"/>
        <v>0</v>
      </c>
      <c r="R47" s="1924"/>
    </row>
    <row r="48" spans="3:18" ht="21" hidden="1" customHeight="1">
      <c r="C48" s="1841"/>
      <c r="D48" s="1918" t="s">
        <v>2088</v>
      </c>
      <c r="E48" s="1918"/>
      <c r="F48" s="1919"/>
      <c r="G48" s="1913">
        <f t="shared" si="6"/>
        <v>75</v>
      </c>
      <c r="H48" s="1922"/>
      <c r="I48" s="1916">
        <f t="shared" ref="I48:Q48" si="78">I43-I46-I47</f>
        <v>14.42</v>
      </c>
      <c r="J48" s="1916">
        <f t="shared" si="78"/>
        <v>14.42</v>
      </c>
      <c r="K48" s="1916">
        <f t="shared" si="78"/>
        <v>14.42</v>
      </c>
      <c r="L48" s="1916">
        <f t="shared" si="78"/>
        <v>16.5</v>
      </c>
      <c r="M48" s="1916">
        <f t="shared" si="78"/>
        <v>16.5</v>
      </c>
      <c r="N48" s="1916">
        <f t="shared" si="78"/>
        <v>16.5</v>
      </c>
      <c r="O48" s="1916">
        <f t="shared" si="78"/>
        <v>18.170000000000002</v>
      </c>
      <c r="P48" s="1916">
        <f t="shared" si="78"/>
        <v>18.170000000000002</v>
      </c>
      <c r="Q48" s="1916">
        <f t="shared" si="78"/>
        <v>18.170000000000002</v>
      </c>
      <c r="R48" s="1924"/>
    </row>
    <row r="49" spans="3:18" ht="21" customHeight="1">
      <c r="C49" s="1838" t="s">
        <v>1982</v>
      </c>
      <c r="D49" s="1834"/>
      <c r="E49" s="1834"/>
      <c r="F49" s="1835"/>
      <c r="G49" s="1913">
        <f t="shared" si="6"/>
        <v>80</v>
      </c>
      <c r="H49" s="1913"/>
      <c r="I49" s="1915">
        <v>17.079999999999998</v>
      </c>
      <c r="J49" s="1915">
        <f>I49</f>
        <v>17.079999999999998</v>
      </c>
      <c r="K49" s="1915">
        <f t="shared" ref="K49" si="79">J49</f>
        <v>17.079999999999998</v>
      </c>
      <c r="L49" s="1915">
        <v>19.13</v>
      </c>
      <c r="M49" s="1915">
        <f t="shared" ref="M49" si="80">L49</f>
        <v>19.13</v>
      </c>
      <c r="N49" s="1915">
        <f>M49</f>
        <v>19.13</v>
      </c>
      <c r="O49" s="1915">
        <v>19.72</v>
      </c>
      <c r="P49" s="1915">
        <f t="shared" ref="P49:Q49" si="81">O49</f>
        <v>19.72</v>
      </c>
      <c r="Q49" s="1915">
        <f t="shared" si="81"/>
        <v>19.72</v>
      </c>
      <c r="R49" s="1924"/>
    </row>
    <row r="50" spans="3:18" ht="21" customHeight="1">
      <c r="C50" s="1839"/>
      <c r="D50" s="4148" t="s">
        <v>1983</v>
      </c>
      <c r="E50" s="3879"/>
      <c r="F50" s="1842">
        <v>1</v>
      </c>
      <c r="G50" s="1913">
        <f t="shared" si="6"/>
        <v>81</v>
      </c>
      <c r="H50" s="1913"/>
      <c r="I50" s="1916">
        <v>8.7799999999999994</v>
      </c>
      <c r="J50" s="1916">
        <f t="shared" ref="J50:K50" si="82">I50</f>
        <v>8.7799999999999994</v>
      </c>
      <c r="K50" s="1916">
        <f t="shared" si="82"/>
        <v>8.7799999999999994</v>
      </c>
      <c r="L50" s="1916">
        <v>8.83</v>
      </c>
      <c r="M50" s="1916">
        <f t="shared" ref="M50" si="83">L50</f>
        <v>8.83</v>
      </c>
      <c r="N50" s="1916">
        <f>M50</f>
        <v>8.83</v>
      </c>
      <c r="O50" s="1916">
        <v>8.7200000000000006</v>
      </c>
      <c r="P50" s="1916">
        <f t="shared" ref="P50:Q50" si="84">O50</f>
        <v>8.7200000000000006</v>
      </c>
      <c r="Q50" s="1916">
        <f t="shared" si="84"/>
        <v>8.7200000000000006</v>
      </c>
      <c r="R50" s="1924"/>
    </row>
    <row r="51" spans="3:18" ht="21" customHeight="1">
      <c r="C51" s="1839"/>
      <c r="D51" s="3876" t="s">
        <v>1984</v>
      </c>
      <c r="E51" s="3877"/>
      <c r="F51" s="1842">
        <v>1</v>
      </c>
      <c r="G51" s="1913">
        <f t="shared" si="6"/>
        <v>82</v>
      </c>
      <c r="H51" s="1917"/>
      <c r="I51" s="1916">
        <v>16.489999999999998</v>
      </c>
      <c r="J51" s="1916">
        <f t="shared" ref="J51:K51" si="85">I51</f>
        <v>16.489999999999998</v>
      </c>
      <c r="K51" s="1916">
        <f t="shared" si="85"/>
        <v>16.489999999999998</v>
      </c>
      <c r="L51" s="1916">
        <v>17.760000000000002</v>
      </c>
      <c r="M51" s="1916">
        <f t="shared" ref="M51:N51" si="86">L51</f>
        <v>17.760000000000002</v>
      </c>
      <c r="N51" s="1916">
        <f t="shared" si="86"/>
        <v>17.760000000000002</v>
      </c>
      <c r="O51" s="1916">
        <v>18.61</v>
      </c>
      <c r="P51" s="1916">
        <f t="shared" ref="P51:Q51" si="87">O51</f>
        <v>18.61</v>
      </c>
      <c r="Q51" s="1916">
        <f t="shared" si="87"/>
        <v>18.61</v>
      </c>
      <c r="R51" s="1924"/>
    </row>
    <row r="52" spans="3:18" ht="21" hidden="1" customHeight="1">
      <c r="C52" s="1840"/>
      <c r="D52" s="1918" t="s">
        <v>2086</v>
      </c>
      <c r="E52" s="1918"/>
      <c r="F52" s="1919"/>
      <c r="G52" s="1913">
        <f t="shared" si="6"/>
        <v>83</v>
      </c>
      <c r="H52" s="1920">
        <f>WLC!$F$21</f>
        <v>0</v>
      </c>
      <c r="I52" s="1916">
        <f>(I49-I50)*$H52</f>
        <v>0</v>
      </c>
      <c r="J52" s="1916">
        <f t="shared" ref="J52:Q52" si="88">(J49-J50)*$H52</f>
        <v>0</v>
      </c>
      <c r="K52" s="1916">
        <f t="shared" si="88"/>
        <v>0</v>
      </c>
      <c r="L52" s="1916">
        <f t="shared" si="88"/>
        <v>0</v>
      </c>
      <c r="M52" s="1916">
        <f t="shared" si="88"/>
        <v>0</v>
      </c>
      <c r="N52" s="1916">
        <f t="shared" si="88"/>
        <v>0</v>
      </c>
      <c r="O52" s="1916">
        <f t="shared" si="88"/>
        <v>0</v>
      </c>
      <c r="P52" s="1916">
        <f t="shared" si="88"/>
        <v>0</v>
      </c>
      <c r="Q52" s="1916">
        <f t="shared" si="88"/>
        <v>0</v>
      </c>
      <c r="R52" s="1924"/>
    </row>
    <row r="53" spans="3:18" ht="21" hidden="1" customHeight="1">
      <c r="C53" s="1840"/>
      <c r="D53" s="1918" t="s">
        <v>2087</v>
      </c>
      <c r="E53" s="1918"/>
      <c r="F53" s="1919"/>
      <c r="G53" s="1913">
        <f t="shared" si="6"/>
        <v>84</v>
      </c>
      <c r="H53" s="1920">
        <f>WLC!$F$22</f>
        <v>0</v>
      </c>
      <c r="I53" s="1916">
        <f t="shared" ref="I53:Q53" si="89">(I49-I51)*$H53</f>
        <v>0</v>
      </c>
      <c r="J53" s="1916">
        <f t="shared" si="89"/>
        <v>0</v>
      </c>
      <c r="K53" s="1916">
        <f t="shared" si="89"/>
        <v>0</v>
      </c>
      <c r="L53" s="1916">
        <f t="shared" si="89"/>
        <v>0</v>
      </c>
      <c r="M53" s="1916">
        <f t="shared" si="89"/>
        <v>0</v>
      </c>
      <c r="N53" s="1916">
        <f t="shared" si="89"/>
        <v>0</v>
      </c>
      <c r="O53" s="1916">
        <f t="shared" si="89"/>
        <v>0</v>
      </c>
      <c r="P53" s="1916">
        <f t="shared" si="89"/>
        <v>0</v>
      </c>
      <c r="Q53" s="1916">
        <f t="shared" si="89"/>
        <v>0</v>
      </c>
      <c r="R53" s="1924"/>
    </row>
    <row r="54" spans="3:18" ht="21" hidden="1" customHeight="1">
      <c r="C54" s="1841"/>
      <c r="D54" s="1918" t="s">
        <v>2088</v>
      </c>
      <c r="E54" s="1918"/>
      <c r="F54" s="1919"/>
      <c r="G54" s="1913">
        <f t="shared" si="6"/>
        <v>85</v>
      </c>
      <c r="H54" s="1922"/>
      <c r="I54" s="1916">
        <f t="shared" ref="I54:Q54" si="90">I49-I52-I53</f>
        <v>17.079999999999998</v>
      </c>
      <c r="J54" s="1916">
        <f t="shared" si="90"/>
        <v>17.079999999999998</v>
      </c>
      <c r="K54" s="1916">
        <f t="shared" si="90"/>
        <v>17.079999999999998</v>
      </c>
      <c r="L54" s="1916">
        <f t="shared" si="90"/>
        <v>19.13</v>
      </c>
      <c r="M54" s="1916">
        <f t="shared" si="90"/>
        <v>19.13</v>
      </c>
      <c r="N54" s="1916">
        <f t="shared" si="90"/>
        <v>19.13</v>
      </c>
      <c r="O54" s="1916">
        <f t="shared" si="90"/>
        <v>19.72</v>
      </c>
      <c r="P54" s="1916">
        <f t="shared" si="90"/>
        <v>19.72</v>
      </c>
      <c r="Q54" s="1916">
        <f t="shared" si="90"/>
        <v>19.72</v>
      </c>
      <c r="R54" s="1924"/>
    </row>
    <row r="55" spans="3:18" ht="21" customHeight="1">
      <c r="C55" s="1838" t="s">
        <v>1635</v>
      </c>
      <c r="D55" s="1834"/>
      <c r="E55" s="1834"/>
      <c r="F55" s="1835"/>
      <c r="G55" s="1913">
        <f t="shared" si="6"/>
        <v>90</v>
      </c>
      <c r="H55" s="1913"/>
      <c r="I55" s="1915">
        <v>21.95</v>
      </c>
      <c r="J55" s="1915">
        <v>10.97</v>
      </c>
      <c r="K55" s="1915">
        <v>7.32</v>
      </c>
      <c r="L55" s="1915">
        <v>28.77</v>
      </c>
      <c r="M55" s="1915">
        <v>14.39</v>
      </c>
      <c r="N55" s="1915">
        <v>9.59</v>
      </c>
      <c r="O55" s="1915">
        <v>33.92</v>
      </c>
      <c r="P55" s="1915">
        <v>16.96</v>
      </c>
      <c r="Q55" s="1915">
        <v>11.31</v>
      </c>
      <c r="R55" s="1924"/>
    </row>
    <row r="56" spans="3:18" ht="21" customHeight="1">
      <c r="C56" s="1839"/>
      <c r="D56" s="4148" t="s">
        <v>1983</v>
      </c>
      <c r="E56" s="3879"/>
      <c r="F56" s="1842">
        <v>1</v>
      </c>
      <c r="G56" s="1913">
        <f t="shared" si="6"/>
        <v>91</v>
      </c>
      <c r="H56" s="1913"/>
      <c r="I56" s="1916">
        <v>10.95</v>
      </c>
      <c r="J56" s="1916">
        <v>5.47</v>
      </c>
      <c r="K56" s="1916">
        <v>3.65</v>
      </c>
      <c r="L56" s="1916">
        <v>11.17</v>
      </c>
      <c r="M56" s="1916">
        <v>5.58</v>
      </c>
      <c r="N56" s="1916">
        <v>3.72</v>
      </c>
      <c r="O56" s="1916">
        <v>11.28</v>
      </c>
      <c r="P56" s="1916">
        <v>5.64</v>
      </c>
      <c r="Q56" s="1916">
        <v>3.76</v>
      </c>
      <c r="R56" s="1924"/>
    </row>
    <row r="57" spans="3:18" ht="21" customHeight="1">
      <c r="C57" s="1839"/>
      <c r="D57" s="3876" t="s">
        <v>1984</v>
      </c>
      <c r="E57" s="3877"/>
      <c r="F57" s="1842">
        <v>1</v>
      </c>
      <c r="G57" s="1913">
        <f t="shared" si="6"/>
        <v>92</v>
      </c>
      <c r="H57" s="1917"/>
      <c r="I57" s="1916">
        <v>21.03</v>
      </c>
      <c r="J57" s="1916">
        <v>10.52</v>
      </c>
      <c r="K57" s="1916">
        <v>7.01</v>
      </c>
      <c r="L57" s="1916">
        <v>26.65</v>
      </c>
      <c r="M57" s="1916">
        <v>13.32</v>
      </c>
      <c r="N57" s="1916">
        <v>8.8800000000000008</v>
      </c>
      <c r="O57" s="1916">
        <v>31.73</v>
      </c>
      <c r="P57" s="1916">
        <v>15.86</v>
      </c>
      <c r="Q57" s="1916">
        <v>10.58</v>
      </c>
      <c r="R57" s="1924"/>
    </row>
    <row r="58" spans="3:18" hidden="1">
      <c r="C58" s="1840"/>
      <c r="D58" s="1925"/>
      <c r="E58" s="1918" t="s">
        <v>2086</v>
      </c>
      <c r="F58" s="1919"/>
      <c r="G58" s="1913">
        <f t="shared" si="6"/>
        <v>93</v>
      </c>
      <c r="H58" s="1920">
        <f>WLC!$F$21</f>
        <v>0</v>
      </c>
      <c r="I58" s="1916">
        <f>(I55-I56)*$H58</f>
        <v>0</v>
      </c>
      <c r="J58" s="1916">
        <f t="shared" ref="J58:Q58" si="91">(J55-J56)*$H58</f>
        <v>0</v>
      </c>
      <c r="K58" s="1916">
        <f t="shared" si="91"/>
        <v>0</v>
      </c>
      <c r="L58" s="1916">
        <f t="shared" si="91"/>
        <v>0</v>
      </c>
      <c r="M58" s="1916">
        <f t="shared" si="91"/>
        <v>0</v>
      </c>
      <c r="N58" s="1916">
        <f t="shared" si="91"/>
        <v>0</v>
      </c>
      <c r="O58" s="1916">
        <f t="shared" si="91"/>
        <v>0</v>
      </c>
      <c r="P58" s="1916">
        <f t="shared" si="91"/>
        <v>0</v>
      </c>
      <c r="Q58" s="1916">
        <f t="shared" si="91"/>
        <v>0</v>
      </c>
      <c r="R58" s="1924"/>
    </row>
    <row r="59" spans="3:18" hidden="1">
      <c r="C59" s="1840"/>
      <c r="D59" s="1869"/>
      <c r="E59" s="1918" t="s">
        <v>2087</v>
      </c>
      <c r="F59" s="1919"/>
      <c r="G59" s="1913">
        <f t="shared" si="6"/>
        <v>94</v>
      </c>
      <c r="H59" s="1920">
        <f>WLC!$F$22</f>
        <v>0</v>
      </c>
      <c r="I59" s="1916">
        <f t="shared" ref="I59:Q59" si="92">(I55-I57)*$H59</f>
        <v>0</v>
      </c>
      <c r="J59" s="1916">
        <f t="shared" si="92"/>
        <v>0</v>
      </c>
      <c r="K59" s="1916">
        <f t="shared" si="92"/>
        <v>0</v>
      </c>
      <c r="L59" s="1916">
        <f t="shared" si="92"/>
        <v>0</v>
      </c>
      <c r="M59" s="1916">
        <f t="shared" si="92"/>
        <v>0</v>
      </c>
      <c r="N59" s="1916">
        <f t="shared" si="92"/>
        <v>0</v>
      </c>
      <c r="O59" s="1916">
        <f t="shared" si="92"/>
        <v>0</v>
      </c>
      <c r="P59" s="1916">
        <f t="shared" si="92"/>
        <v>0</v>
      </c>
      <c r="Q59" s="1916">
        <f t="shared" si="92"/>
        <v>0</v>
      </c>
      <c r="R59" s="1924"/>
    </row>
    <row r="60" spans="3:18" hidden="1">
      <c r="C60" s="1841"/>
      <c r="D60" s="1926"/>
      <c r="E60" s="1918" t="s">
        <v>2088</v>
      </c>
      <c r="F60" s="1919"/>
      <c r="G60" s="1913">
        <f t="shared" si="6"/>
        <v>95</v>
      </c>
      <c r="H60" s="1922"/>
      <c r="I60" s="1916">
        <f t="shared" ref="I60:Q60" si="93">I55-I58-I59</f>
        <v>21.95</v>
      </c>
      <c r="J60" s="1916">
        <f t="shared" si="93"/>
        <v>10.97</v>
      </c>
      <c r="K60" s="1916">
        <f t="shared" si="93"/>
        <v>7.32</v>
      </c>
      <c r="L60" s="1916">
        <f t="shared" si="93"/>
        <v>28.77</v>
      </c>
      <c r="M60" s="1916">
        <f t="shared" si="93"/>
        <v>14.39</v>
      </c>
      <c r="N60" s="1916">
        <f t="shared" si="93"/>
        <v>9.59</v>
      </c>
      <c r="O60" s="1916">
        <f t="shared" si="93"/>
        <v>33.92</v>
      </c>
      <c r="P60" s="1916">
        <f t="shared" si="93"/>
        <v>16.96</v>
      </c>
      <c r="Q60" s="1916">
        <f t="shared" si="93"/>
        <v>11.31</v>
      </c>
      <c r="R60" s="1924"/>
    </row>
    <row r="61" spans="3:18">
      <c r="C61" s="1927"/>
      <c r="D61" s="1927"/>
      <c r="E61" s="1845"/>
      <c r="F61" s="1845"/>
      <c r="G61" s="1845"/>
      <c r="H61" s="1845"/>
      <c r="I61" s="1845"/>
      <c r="J61" s="1845"/>
      <c r="K61" s="1845"/>
      <c r="L61" s="1845"/>
      <c r="M61" s="1845"/>
      <c r="N61" s="1845"/>
      <c r="O61" s="1845"/>
      <c r="P61" s="1845"/>
      <c r="Q61" s="1845"/>
      <c r="R61" s="1924"/>
    </row>
    <row r="62" spans="3:18" ht="29.45" customHeight="1">
      <c r="C62" s="4447" t="s">
        <v>1985</v>
      </c>
      <c r="D62" s="4447"/>
      <c r="E62" s="4447"/>
      <c r="F62" s="4447"/>
      <c r="G62" s="1845"/>
      <c r="H62" s="1845"/>
      <c r="I62" s="1827" t="s">
        <v>1968</v>
      </c>
      <c r="J62" s="1828"/>
      <c r="K62" s="1828"/>
      <c r="L62" s="1829"/>
      <c r="M62" s="1829"/>
      <c r="N62" s="1829"/>
      <c r="O62" s="1829"/>
      <c r="P62" s="1829"/>
      <c r="Q62" s="1911"/>
      <c r="R62" s="1924"/>
    </row>
    <row r="63" spans="3:18" ht="15.75">
      <c r="C63" s="1866"/>
      <c r="D63" s="1844" t="s">
        <v>2085</v>
      </c>
      <c r="E63" s="1866"/>
      <c r="F63" s="1866"/>
      <c r="G63" s="1866"/>
      <c r="H63" s="1866"/>
      <c r="I63" s="1830" t="s">
        <v>144</v>
      </c>
      <c r="J63" s="1829" t="s">
        <v>1969</v>
      </c>
      <c r="K63" s="1831"/>
      <c r="L63" s="1830" t="s">
        <v>1970</v>
      </c>
      <c r="M63" s="1829"/>
      <c r="N63" s="1831"/>
      <c r="O63" s="1830" t="s">
        <v>1971</v>
      </c>
      <c r="P63" s="1829"/>
      <c r="Q63" s="1831"/>
      <c r="R63" s="1924"/>
    </row>
    <row r="64" spans="3:18">
      <c r="C64" s="1832" t="s">
        <v>1475</v>
      </c>
      <c r="D64" s="1833"/>
      <c r="E64" s="1834"/>
      <c r="F64" s="1835"/>
      <c r="G64" s="1928"/>
      <c r="H64" s="1928"/>
      <c r="I64" s="1837" t="s">
        <v>1972</v>
      </c>
      <c r="J64" s="1837" t="s">
        <v>1973</v>
      </c>
      <c r="K64" s="1837" t="s">
        <v>1974</v>
      </c>
      <c r="L64" s="1837" t="s">
        <v>1972</v>
      </c>
      <c r="M64" s="1837" t="s">
        <v>1973</v>
      </c>
      <c r="N64" s="1837" t="s">
        <v>1974</v>
      </c>
      <c r="O64" s="1837" t="s">
        <v>1972</v>
      </c>
      <c r="P64" s="1837" t="s">
        <v>1973</v>
      </c>
      <c r="Q64" s="1837" t="s">
        <v>1974</v>
      </c>
      <c r="R64" s="1924"/>
    </row>
    <row r="65" spans="3:18">
      <c r="C65" s="1838" t="s">
        <v>1975</v>
      </c>
      <c r="D65" s="1914"/>
      <c r="E65" s="1929"/>
      <c r="F65" s="1930"/>
      <c r="G65" s="1931">
        <v>1</v>
      </c>
      <c r="H65" s="1931"/>
      <c r="I65" s="1932">
        <v>20.11</v>
      </c>
      <c r="J65" s="1916">
        <f t="shared" ref="J65:K65" si="94">I65</f>
        <v>20.11</v>
      </c>
      <c r="K65" s="1916">
        <f t="shared" si="94"/>
        <v>20.11</v>
      </c>
      <c r="L65" s="1932">
        <v>20.420000000000002</v>
      </c>
      <c r="M65" s="1916">
        <f t="shared" ref="M65:N65" si="95">L65</f>
        <v>20.420000000000002</v>
      </c>
      <c r="N65" s="1916">
        <f t="shared" si="95"/>
        <v>20.420000000000002</v>
      </c>
      <c r="O65" s="1932">
        <v>20.11</v>
      </c>
      <c r="P65" s="1916">
        <f t="shared" ref="P65:Q65" si="96">O65</f>
        <v>20.11</v>
      </c>
      <c r="Q65" s="1916">
        <f t="shared" si="96"/>
        <v>20.11</v>
      </c>
      <c r="R65" s="1924"/>
    </row>
    <row r="66" spans="3:18" hidden="1">
      <c r="C66" s="1839"/>
      <c r="D66" s="1933" t="s">
        <v>2089</v>
      </c>
      <c r="E66" s="1933"/>
      <c r="F66" s="1842">
        <v>1</v>
      </c>
      <c r="G66" s="1931"/>
      <c r="H66" s="1931"/>
      <c r="I66" s="1932"/>
      <c r="J66" s="1932"/>
      <c r="K66" s="1932"/>
      <c r="L66" s="1932"/>
      <c r="M66" s="1932"/>
      <c r="N66" s="1932"/>
      <c r="O66" s="1932"/>
      <c r="P66" s="1932"/>
      <c r="Q66" s="1932"/>
      <c r="R66" s="1924"/>
    </row>
    <row r="67" spans="3:18" hidden="1">
      <c r="C67" s="1839"/>
      <c r="D67" s="1918" t="s">
        <v>2090</v>
      </c>
      <c r="E67" s="1918"/>
      <c r="F67" s="1934"/>
      <c r="G67" s="1922"/>
      <c r="H67" s="1935">
        <v>0</v>
      </c>
      <c r="I67" s="1932">
        <f>I65-(I65-I66)*$H67</f>
        <v>20.11</v>
      </c>
      <c r="J67" s="1932">
        <f t="shared" ref="J67:Q67" si="97">J65-(J65-J66)*$H67</f>
        <v>20.11</v>
      </c>
      <c r="K67" s="1932">
        <f t="shared" si="97"/>
        <v>20.11</v>
      </c>
      <c r="L67" s="1932">
        <f t="shared" si="97"/>
        <v>20.420000000000002</v>
      </c>
      <c r="M67" s="1932">
        <f t="shared" si="97"/>
        <v>20.420000000000002</v>
      </c>
      <c r="N67" s="1932">
        <f t="shared" si="97"/>
        <v>20.420000000000002</v>
      </c>
      <c r="O67" s="1932">
        <f t="shared" si="97"/>
        <v>20.11</v>
      </c>
      <c r="P67" s="1932">
        <f t="shared" si="97"/>
        <v>20.11</v>
      </c>
      <c r="Q67" s="1932">
        <f t="shared" si="97"/>
        <v>20.11</v>
      </c>
      <c r="R67" s="1924"/>
    </row>
    <row r="68" spans="3:18">
      <c r="C68" s="1838" t="s">
        <v>1976</v>
      </c>
      <c r="D68" s="1929"/>
      <c r="E68" s="1929"/>
      <c r="F68" s="1930"/>
      <c r="G68" s="1931">
        <v>2</v>
      </c>
      <c r="H68" s="1931"/>
      <c r="I68" s="1932">
        <v>13.93</v>
      </c>
      <c r="J68" s="1916">
        <f t="shared" ref="J68:K68" si="98">I68</f>
        <v>13.93</v>
      </c>
      <c r="K68" s="1916">
        <f t="shared" si="98"/>
        <v>13.93</v>
      </c>
      <c r="L68" s="1932">
        <v>14.83</v>
      </c>
      <c r="M68" s="1916">
        <f t="shared" ref="M68:N68" si="99">L68</f>
        <v>14.83</v>
      </c>
      <c r="N68" s="1916">
        <f t="shared" si="99"/>
        <v>14.83</v>
      </c>
      <c r="O68" s="1932">
        <v>14.59</v>
      </c>
      <c r="P68" s="1916">
        <f t="shared" ref="P68:Q68" si="100">O68</f>
        <v>14.59</v>
      </c>
      <c r="Q68" s="1916">
        <f t="shared" si="100"/>
        <v>14.59</v>
      </c>
      <c r="R68" s="1924"/>
    </row>
    <row r="69" spans="3:18" hidden="1">
      <c r="C69" s="1839"/>
      <c r="D69" s="1933" t="s">
        <v>2089</v>
      </c>
      <c r="E69" s="1933"/>
      <c r="F69" s="1842">
        <v>1</v>
      </c>
      <c r="G69" s="1931"/>
      <c r="H69" s="1931"/>
      <c r="I69" s="1932"/>
      <c r="J69" s="1932"/>
      <c r="K69" s="1932"/>
      <c r="L69" s="1932"/>
      <c r="M69" s="1932"/>
      <c r="N69" s="1932"/>
      <c r="O69" s="1932"/>
      <c r="P69" s="1932"/>
      <c r="Q69" s="1932"/>
      <c r="R69" s="1924"/>
    </row>
    <row r="70" spans="3:18" hidden="1">
      <c r="C70" s="1839"/>
      <c r="D70" s="1918" t="s">
        <v>2090</v>
      </c>
      <c r="E70" s="1918"/>
      <c r="F70" s="1934"/>
      <c r="G70" s="1922"/>
      <c r="H70" s="1935">
        <v>0</v>
      </c>
      <c r="I70" s="1932">
        <f t="shared" ref="I70:Q70" si="101">I68-(I68-I69)*$H70</f>
        <v>13.93</v>
      </c>
      <c r="J70" s="1932">
        <f t="shared" si="101"/>
        <v>13.93</v>
      </c>
      <c r="K70" s="1932">
        <f t="shared" si="101"/>
        <v>13.93</v>
      </c>
      <c r="L70" s="1932">
        <f t="shared" si="101"/>
        <v>14.83</v>
      </c>
      <c r="M70" s="1932">
        <f t="shared" si="101"/>
        <v>14.83</v>
      </c>
      <c r="N70" s="1932">
        <f t="shared" si="101"/>
        <v>14.83</v>
      </c>
      <c r="O70" s="1932">
        <f t="shared" si="101"/>
        <v>14.59</v>
      </c>
      <c r="P70" s="1932">
        <f t="shared" si="101"/>
        <v>14.59</v>
      </c>
      <c r="Q70" s="1932">
        <f t="shared" si="101"/>
        <v>14.59</v>
      </c>
      <c r="R70" s="1924"/>
    </row>
    <row r="71" spans="3:18">
      <c r="C71" s="1838" t="s">
        <v>1977</v>
      </c>
      <c r="D71" s="1929"/>
      <c r="E71" s="1929"/>
      <c r="F71" s="1930"/>
      <c r="G71" s="1931">
        <v>3</v>
      </c>
      <c r="H71" s="1931"/>
      <c r="I71" s="1932">
        <v>8.82</v>
      </c>
      <c r="J71" s="1916">
        <f t="shared" ref="J71:K71" si="102">I71</f>
        <v>8.82</v>
      </c>
      <c r="K71" s="1916">
        <f t="shared" si="102"/>
        <v>8.82</v>
      </c>
      <c r="L71" s="1932">
        <v>10.28</v>
      </c>
      <c r="M71" s="1916">
        <f t="shared" ref="M71:N71" si="103">L71</f>
        <v>10.28</v>
      </c>
      <c r="N71" s="1916">
        <f t="shared" si="103"/>
        <v>10.28</v>
      </c>
      <c r="O71" s="1932">
        <v>8.7100000000000009</v>
      </c>
      <c r="P71" s="1916">
        <f t="shared" ref="P71:Q71" si="104">O71</f>
        <v>8.7100000000000009</v>
      </c>
      <c r="Q71" s="1916">
        <f t="shared" si="104"/>
        <v>8.7100000000000009</v>
      </c>
      <c r="R71" s="1924"/>
    </row>
    <row r="72" spans="3:18" hidden="1">
      <c r="C72" s="1839"/>
      <c r="D72" s="1933" t="s">
        <v>2089</v>
      </c>
      <c r="E72" s="1933"/>
      <c r="F72" s="1842">
        <v>1</v>
      </c>
      <c r="G72" s="1931"/>
      <c r="H72" s="1931"/>
      <c r="I72" s="1932"/>
      <c r="J72" s="1932"/>
      <c r="K72" s="1932"/>
      <c r="L72" s="1932"/>
      <c r="M72" s="1932"/>
      <c r="N72" s="1932"/>
      <c r="O72" s="1932"/>
      <c r="P72" s="1932"/>
      <c r="Q72" s="1932"/>
      <c r="R72" s="1924"/>
    </row>
    <row r="73" spans="3:18" hidden="1">
      <c r="C73" s="1839"/>
      <c r="D73" s="1918" t="s">
        <v>2090</v>
      </c>
      <c r="E73" s="1918"/>
      <c r="F73" s="1934"/>
      <c r="G73" s="1922"/>
      <c r="H73" s="1935">
        <v>0</v>
      </c>
      <c r="I73" s="1932">
        <f t="shared" ref="I73:Q73" si="105">I71-(I71-I72)*$H73</f>
        <v>8.82</v>
      </c>
      <c r="J73" s="1932">
        <f t="shared" si="105"/>
        <v>8.82</v>
      </c>
      <c r="K73" s="1932">
        <f>K71-(K71-K72)*$H73</f>
        <v>8.82</v>
      </c>
      <c r="L73" s="1936">
        <f>L71-(L71-L72)*$H73</f>
        <v>10.28</v>
      </c>
      <c r="M73" s="1936">
        <f>M71-(M71-M72)*$H73</f>
        <v>10.28</v>
      </c>
      <c r="N73" s="1936">
        <f>N71-(N71-N72)*$H73</f>
        <v>10.28</v>
      </c>
      <c r="O73" s="1932">
        <f t="shared" si="105"/>
        <v>8.7100000000000009</v>
      </c>
      <c r="P73" s="1932">
        <f t="shared" si="105"/>
        <v>8.7100000000000009</v>
      </c>
      <c r="Q73" s="1932">
        <f t="shared" si="105"/>
        <v>8.7100000000000009</v>
      </c>
      <c r="R73" s="1924"/>
    </row>
    <row r="74" spans="3:18">
      <c r="C74" s="1838" t="s">
        <v>1978</v>
      </c>
      <c r="D74" s="1929"/>
      <c r="E74" s="1929"/>
      <c r="F74" s="1930"/>
      <c r="G74" s="1931">
        <v>4</v>
      </c>
      <c r="H74" s="1931"/>
      <c r="I74" s="1932">
        <v>8.82</v>
      </c>
      <c r="J74" s="1916">
        <f t="shared" ref="J74:K74" si="106">I74</f>
        <v>8.82</v>
      </c>
      <c r="K74" s="1916">
        <f t="shared" si="106"/>
        <v>8.82</v>
      </c>
      <c r="L74" s="1932">
        <v>10.28</v>
      </c>
      <c r="M74" s="1916">
        <f t="shared" ref="M74:N74" si="107">L74</f>
        <v>10.28</v>
      </c>
      <c r="N74" s="1916">
        <f t="shared" si="107"/>
        <v>10.28</v>
      </c>
      <c r="O74" s="1932">
        <v>8.7100000000000009</v>
      </c>
      <c r="P74" s="1916">
        <f t="shared" ref="P74:Q74" si="108">O74</f>
        <v>8.7100000000000009</v>
      </c>
      <c r="Q74" s="1916">
        <f t="shared" si="108"/>
        <v>8.7100000000000009</v>
      </c>
      <c r="R74" s="1924"/>
    </row>
    <row r="75" spans="3:18" hidden="1">
      <c r="C75" s="1839"/>
      <c r="D75" s="1933" t="s">
        <v>2089</v>
      </c>
      <c r="E75" s="1933"/>
      <c r="F75" s="1842">
        <v>1</v>
      </c>
      <c r="G75" s="1931"/>
      <c r="H75" s="1931"/>
      <c r="I75" s="1932"/>
      <c r="J75" s="1932"/>
      <c r="K75" s="1932"/>
      <c r="L75" s="1932"/>
      <c r="M75" s="1932"/>
      <c r="N75" s="1932"/>
      <c r="O75" s="1932"/>
      <c r="P75" s="1932"/>
      <c r="Q75" s="1932"/>
      <c r="R75" s="1924"/>
    </row>
    <row r="76" spans="3:18" hidden="1">
      <c r="C76" s="1839"/>
      <c r="D76" s="1918" t="s">
        <v>2090</v>
      </c>
      <c r="E76" s="1918"/>
      <c r="F76" s="1934"/>
      <c r="G76" s="1922"/>
      <c r="H76" s="1935">
        <v>0</v>
      </c>
      <c r="I76" s="1932">
        <f t="shared" ref="I76:Q76" si="109">I74-(I74-I75)*$H76</f>
        <v>8.82</v>
      </c>
      <c r="J76" s="1932">
        <f t="shared" si="109"/>
        <v>8.82</v>
      </c>
      <c r="K76" s="1932">
        <f t="shared" si="109"/>
        <v>8.82</v>
      </c>
      <c r="L76" s="1932">
        <f>L74-(L74-L75)*$H76</f>
        <v>10.28</v>
      </c>
      <c r="M76" s="1932">
        <f t="shared" si="109"/>
        <v>10.28</v>
      </c>
      <c r="N76" s="1932">
        <f t="shared" si="109"/>
        <v>10.28</v>
      </c>
      <c r="O76" s="1932">
        <f t="shared" si="109"/>
        <v>8.7100000000000009</v>
      </c>
      <c r="P76" s="1932">
        <f t="shared" si="109"/>
        <v>8.7100000000000009</v>
      </c>
      <c r="Q76" s="1932">
        <f t="shared" si="109"/>
        <v>8.7100000000000009</v>
      </c>
      <c r="R76" s="1924"/>
    </row>
    <row r="77" spans="3:18">
      <c r="C77" s="1838" t="s">
        <v>1979</v>
      </c>
      <c r="D77" s="1929"/>
      <c r="E77" s="1929"/>
      <c r="F77" s="1930"/>
      <c r="G77" s="1931">
        <v>5</v>
      </c>
      <c r="H77" s="1931"/>
      <c r="I77" s="1932">
        <v>17.05</v>
      </c>
      <c r="J77" s="1916">
        <f t="shared" ref="J77:K77" si="110">I77</f>
        <v>17.05</v>
      </c>
      <c r="K77" s="1916">
        <f t="shared" si="110"/>
        <v>17.05</v>
      </c>
      <c r="L77" s="1932">
        <v>17.760000000000002</v>
      </c>
      <c r="M77" s="1916">
        <f t="shared" ref="M77:N77" si="111">L77</f>
        <v>17.760000000000002</v>
      </c>
      <c r="N77" s="1916">
        <f t="shared" si="111"/>
        <v>17.760000000000002</v>
      </c>
      <c r="O77" s="1932">
        <v>17.54</v>
      </c>
      <c r="P77" s="1916">
        <f t="shared" ref="P77:Q77" si="112">O77</f>
        <v>17.54</v>
      </c>
      <c r="Q77" s="1916">
        <f t="shared" si="112"/>
        <v>17.54</v>
      </c>
      <c r="R77" s="1924"/>
    </row>
    <row r="78" spans="3:18" hidden="1">
      <c r="C78" s="1839"/>
      <c r="D78" s="1933" t="s">
        <v>2089</v>
      </c>
      <c r="E78" s="1933"/>
      <c r="F78" s="1842">
        <v>1</v>
      </c>
      <c r="G78" s="1931"/>
      <c r="H78" s="1931"/>
      <c r="I78" s="1932"/>
      <c r="J78" s="1932"/>
      <c r="K78" s="1932"/>
      <c r="L78" s="1932"/>
      <c r="M78" s="1932"/>
      <c r="N78" s="1932"/>
      <c r="O78" s="1932"/>
      <c r="P78" s="1932"/>
      <c r="Q78" s="1932"/>
      <c r="R78" s="1924"/>
    </row>
    <row r="79" spans="3:18" hidden="1">
      <c r="C79" s="1839"/>
      <c r="D79" s="1918" t="s">
        <v>2090</v>
      </c>
      <c r="E79" s="1918"/>
      <c r="F79" s="1934"/>
      <c r="G79" s="1922"/>
      <c r="H79" s="1935">
        <v>0</v>
      </c>
      <c r="I79" s="1932">
        <f t="shared" ref="I79:Q79" si="113">I77-(I77-I78)*$H79</f>
        <v>17.05</v>
      </c>
      <c r="J79" s="1932">
        <f t="shared" si="113"/>
        <v>17.05</v>
      </c>
      <c r="K79" s="1932">
        <f t="shared" si="113"/>
        <v>17.05</v>
      </c>
      <c r="L79" s="1932">
        <f t="shared" si="113"/>
        <v>17.760000000000002</v>
      </c>
      <c r="M79" s="1932">
        <f t="shared" si="113"/>
        <v>17.760000000000002</v>
      </c>
      <c r="N79" s="1932">
        <f t="shared" si="113"/>
        <v>17.760000000000002</v>
      </c>
      <c r="O79" s="1932">
        <f>O77-(O77-O78)*$H79</f>
        <v>17.54</v>
      </c>
      <c r="P79" s="1932">
        <f t="shared" si="113"/>
        <v>17.54</v>
      </c>
      <c r="Q79" s="1932">
        <f t="shared" si="113"/>
        <v>17.54</v>
      </c>
      <c r="R79" s="1924"/>
    </row>
    <row r="80" spans="3:18">
      <c r="C80" s="1838" t="s">
        <v>1980</v>
      </c>
      <c r="D80" s="1834"/>
      <c r="E80" s="1834"/>
      <c r="F80" s="1930"/>
      <c r="G80" s="1931">
        <v>6</v>
      </c>
      <c r="H80" s="1931"/>
      <c r="I80" s="1932">
        <v>9.0399999999999991</v>
      </c>
      <c r="J80" s="1916">
        <f t="shared" ref="J80:K80" si="114">I80</f>
        <v>9.0399999999999991</v>
      </c>
      <c r="K80" s="1916">
        <f t="shared" si="114"/>
        <v>9.0399999999999991</v>
      </c>
      <c r="L80" s="1932">
        <v>10.1</v>
      </c>
      <c r="M80" s="1916">
        <f t="shared" ref="M80:N80" si="115">L80</f>
        <v>10.1</v>
      </c>
      <c r="N80" s="1916">
        <f t="shared" si="115"/>
        <v>10.1</v>
      </c>
      <c r="O80" s="1932">
        <v>9.9600000000000009</v>
      </c>
      <c r="P80" s="1916">
        <f t="shared" ref="P80:Q80" si="116">O80</f>
        <v>9.9600000000000009</v>
      </c>
      <c r="Q80" s="1916">
        <f t="shared" si="116"/>
        <v>9.9600000000000009</v>
      </c>
      <c r="R80" s="1924"/>
    </row>
    <row r="81" spans="3:22" hidden="1">
      <c r="C81" s="1839"/>
      <c r="D81" s="1933" t="s">
        <v>2089</v>
      </c>
      <c r="E81" s="1933"/>
      <c r="F81" s="1842">
        <v>1</v>
      </c>
      <c r="G81" s="1931"/>
      <c r="H81" s="1931"/>
      <c r="I81" s="1932"/>
      <c r="J81" s="1932"/>
      <c r="K81" s="1932"/>
      <c r="L81" s="1932"/>
      <c r="M81" s="1932"/>
      <c r="N81" s="1932"/>
      <c r="O81" s="1932"/>
      <c r="P81" s="1932"/>
      <c r="Q81" s="1932"/>
      <c r="R81" s="1924"/>
    </row>
    <row r="82" spans="3:22" hidden="1">
      <c r="C82" s="1843"/>
      <c r="D82" s="1918" t="s">
        <v>2090</v>
      </c>
      <c r="E82" s="1918"/>
      <c r="F82" s="1934"/>
      <c r="G82" s="1922"/>
      <c r="H82" s="1935">
        <v>0</v>
      </c>
      <c r="I82" s="1932">
        <f t="shared" ref="I82:Q82" si="117">I80-(I80-I81)*$H82</f>
        <v>9.0399999999999991</v>
      </c>
      <c r="J82" s="1932">
        <f t="shared" si="117"/>
        <v>9.0399999999999991</v>
      </c>
      <c r="K82" s="1932">
        <f t="shared" si="117"/>
        <v>9.0399999999999991</v>
      </c>
      <c r="L82" s="1932">
        <f t="shared" si="117"/>
        <v>10.1</v>
      </c>
      <c r="M82" s="1932">
        <f t="shared" si="117"/>
        <v>10.1</v>
      </c>
      <c r="N82" s="1932">
        <f t="shared" si="117"/>
        <v>10.1</v>
      </c>
      <c r="O82" s="1932">
        <f t="shared" si="117"/>
        <v>9.9600000000000009</v>
      </c>
      <c r="P82" s="1932">
        <f t="shared" si="117"/>
        <v>9.9600000000000009</v>
      </c>
      <c r="Q82" s="1932">
        <f t="shared" si="117"/>
        <v>9.9600000000000009</v>
      </c>
      <c r="R82" s="1924"/>
    </row>
    <row r="83" spans="3:22">
      <c r="C83" s="1838" t="s">
        <v>1981</v>
      </c>
      <c r="D83" s="1929"/>
      <c r="E83" s="1929"/>
      <c r="F83" s="1930"/>
      <c r="G83" s="1931">
        <v>7</v>
      </c>
      <c r="H83" s="1931"/>
      <c r="I83" s="1932">
        <v>19.170000000000002</v>
      </c>
      <c r="J83" s="1916">
        <f t="shared" ref="J83:K83" si="118">I83</f>
        <v>19.170000000000002</v>
      </c>
      <c r="K83" s="1916">
        <f t="shared" si="118"/>
        <v>19.170000000000002</v>
      </c>
      <c r="L83" s="1932">
        <v>19.54</v>
      </c>
      <c r="M83" s="1916">
        <f t="shared" ref="M83:N83" si="119">L83</f>
        <v>19.54</v>
      </c>
      <c r="N83" s="1916">
        <f t="shared" si="119"/>
        <v>19.54</v>
      </c>
      <c r="O83" s="1932">
        <v>19.66</v>
      </c>
      <c r="P83" s="1916">
        <f t="shared" ref="P83:Q83" si="120">O83</f>
        <v>19.66</v>
      </c>
      <c r="Q83" s="1916">
        <f t="shared" si="120"/>
        <v>19.66</v>
      </c>
      <c r="R83" s="1924"/>
    </row>
    <row r="84" spans="3:22" hidden="1">
      <c r="C84" s="1839"/>
      <c r="D84" s="1933" t="s">
        <v>2089</v>
      </c>
      <c r="E84" s="1933"/>
      <c r="F84" s="1842">
        <v>1</v>
      </c>
      <c r="G84" s="1931"/>
      <c r="H84" s="1931"/>
      <c r="I84" s="1932"/>
      <c r="J84" s="1932"/>
      <c r="K84" s="1932"/>
      <c r="L84" s="1932"/>
      <c r="M84" s="1932"/>
      <c r="N84" s="1932"/>
      <c r="O84" s="1932"/>
      <c r="P84" s="1932"/>
      <c r="Q84" s="1932"/>
      <c r="R84" s="1924"/>
    </row>
    <row r="85" spans="3:22" hidden="1">
      <c r="C85" s="1839"/>
      <c r="D85" s="1918" t="s">
        <v>2090</v>
      </c>
      <c r="E85" s="1918"/>
      <c r="F85" s="1934"/>
      <c r="G85" s="1922"/>
      <c r="H85" s="1935">
        <v>0</v>
      </c>
      <c r="I85" s="1932">
        <f t="shared" ref="I85:Q85" si="121">I83-(I83-I84)*$H85</f>
        <v>19.170000000000002</v>
      </c>
      <c r="J85" s="1932">
        <f t="shared" si="121"/>
        <v>19.170000000000002</v>
      </c>
      <c r="K85" s="1932">
        <f t="shared" si="121"/>
        <v>19.170000000000002</v>
      </c>
      <c r="L85" s="1932">
        <f t="shared" si="121"/>
        <v>19.54</v>
      </c>
      <c r="M85" s="1932">
        <f t="shared" si="121"/>
        <v>19.54</v>
      </c>
      <c r="N85" s="1932">
        <f t="shared" si="121"/>
        <v>19.54</v>
      </c>
      <c r="O85" s="1932">
        <f t="shared" si="121"/>
        <v>19.66</v>
      </c>
      <c r="P85" s="1932">
        <f t="shared" si="121"/>
        <v>19.66</v>
      </c>
      <c r="Q85" s="1932">
        <f t="shared" si="121"/>
        <v>19.66</v>
      </c>
      <c r="R85" s="1924"/>
    </row>
    <row r="86" spans="3:22">
      <c r="C86" s="1838" t="s">
        <v>1982</v>
      </c>
      <c r="D86" s="1929"/>
      <c r="E86" s="1929"/>
      <c r="F86" s="1930"/>
      <c r="G86" s="1931">
        <v>8</v>
      </c>
      <c r="H86" s="1931"/>
      <c r="I86" s="1932">
        <v>21.92</v>
      </c>
      <c r="J86" s="1916">
        <f t="shared" ref="J86:K86" si="122">I86</f>
        <v>21.92</v>
      </c>
      <c r="K86" s="1916">
        <f t="shared" si="122"/>
        <v>21.92</v>
      </c>
      <c r="L86" s="1932">
        <v>22.7</v>
      </c>
      <c r="M86" s="1916">
        <f t="shared" ref="M86:N86" si="123">L86</f>
        <v>22.7</v>
      </c>
      <c r="N86" s="1916">
        <f t="shared" si="123"/>
        <v>22.7</v>
      </c>
      <c r="O86" s="1932">
        <v>22.25</v>
      </c>
      <c r="P86" s="1916">
        <f t="shared" ref="P86:Q86" si="124">O86</f>
        <v>22.25</v>
      </c>
      <c r="Q86" s="1916">
        <f t="shared" si="124"/>
        <v>22.25</v>
      </c>
      <c r="R86" s="1924"/>
    </row>
    <row r="87" spans="3:22" hidden="1">
      <c r="C87" s="1839"/>
      <c r="D87" s="1933" t="s">
        <v>2089</v>
      </c>
      <c r="E87" s="1933"/>
      <c r="F87" s="1842">
        <v>1</v>
      </c>
      <c r="G87" s="1931"/>
      <c r="H87" s="1931"/>
      <c r="I87" s="1937"/>
      <c r="J87" s="1937"/>
      <c r="K87" s="1937"/>
      <c r="L87" s="1937"/>
      <c r="M87" s="1937"/>
      <c r="N87" s="1937"/>
      <c r="O87" s="1937"/>
      <c r="P87" s="1937"/>
      <c r="Q87" s="1937"/>
      <c r="R87" s="1924"/>
    </row>
    <row r="88" spans="3:22" hidden="1">
      <c r="C88" s="1839"/>
      <c r="D88" s="1918" t="s">
        <v>2090</v>
      </c>
      <c r="E88" s="1918"/>
      <c r="F88" s="1934"/>
      <c r="G88" s="1922"/>
      <c r="H88" s="1935">
        <v>0</v>
      </c>
      <c r="I88" s="1932">
        <f t="shared" ref="I88:Q88" si="125">I86-(I86-I87)*$H88</f>
        <v>21.92</v>
      </c>
      <c r="J88" s="1932">
        <f t="shared" si="125"/>
        <v>21.92</v>
      </c>
      <c r="K88" s="1932">
        <f t="shared" si="125"/>
        <v>21.92</v>
      </c>
      <c r="L88" s="1932">
        <f t="shared" si="125"/>
        <v>22.7</v>
      </c>
      <c r="M88" s="1932">
        <f t="shared" si="125"/>
        <v>22.7</v>
      </c>
      <c r="N88" s="1932">
        <f t="shared" si="125"/>
        <v>22.7</v>
      </c>
      <c r="O88" s="1932">
        <f t="shared" si="125"/>
        <v>22.25</v>
      </c>
      <c r="P88" s="1932">
        <f t="shared" si="125"/>
        <v>22.25</v>
      </c>
      <c r="Q88" s="1932">
        <f t="shared" si="125"/>
        <v>22.25</v>
      </c>
      <c r="R88" s="1924"/>
    </row>
    <row r="89" spans="3:22">
      <c r="C89" s="1838" t="s">
        <v>1635</v>
      </c>
      <c r="D89" s="1834"/>
      <c r="E89" s="1834"/>
      <c r="F89" s="1930"/>
      <c r="G89" s="1931">
        <v>9</v>
      </c>
      <c r="H89" s="1931"/>
      <c r="I89" s="1937">
        <v>9.48</v>
      </c>
      <c r="J89" s="1937">
        <v>11.33</v>
      </c>
      <c r="K89" s="1937">
        <v>11.82</v>
      </c>
      <c r="L89" s="1937">
        <v>10.68</v>
      </c>
      <c r="M89" s="1937">
        <v>12.06</v>
      </c>
      <c r="N89" s="1937">
        <v>12.39</v>
      </c>
      <c r="O89" s="1937">
        <v>10.89</v>
      </c>
      <c r="P89" s="1937">
        <v>12.24</v>
      </c>
      <c r="Q89" s="1937">
        <v>12.55</v>
      </c>
      <c r="R89" s="1938"/>
    </row>
    <row r="90" spans="3:22" hidden="1">
      <c r="C90" s="1839"/>
      <c r="D90" s="1933" t="s">
        <v>2089</v>
      </c>
      <c r="E90" s="1933"/>
      <c r="F90" s="1842">
        <v>1</v>
      </c>
      <c r="G90" s="1939"/>
      <c r="H90" s="1939"/>
      <c r="I90" s="1932"/>
      <c r="J90" s="1932"/>
      <c r="K90" s="1932"/>
      <c r="L90" s="1932"/>
      <c r="M90" s="1932"/>
      <c r="N90" s="1932"/>
      <c r="O90" s="1932"/>
      <c r="P90" s="1932"/>
      <c r="Q90" s="1932"/>
      <c r="R90" s="1938"/>
    </row>
    <row r="91" spans="3:22" hidden="1">
      <c r="C91" s="1843"/>
      <c r="D91" s="1918" t="s">
        <v>2090</v>
      </c>
      <c r="E91" s="1918"/>
      <c r="F91" s="1940"/>
      <c r="G91" s="1922"/>
      <c r="H91" s="1935">
        <v>0</v>
      </c>
      <c r="I91" s="1941">
        <f>I89-(I89-I90)*$H91</f>
        <v>9.48</v>
      </c>
      <c r="J91" s="1941">
        <f t="shared" ref="J91:Q91" si="126">J89-(J89-J90)*$H91</f>
        <v>11.33</v>
      </c>
      <c r="K91" s="1941">
        <f t="shared" si="126"/>
        <v>11.82</v>
      </c>
      <c r="L91" s="1941">
        <f t="shared" si="126"/>
        <v>10.68</v>
      </c>
      <c r="M91" s="1941">
        <f t="shared" si="126"/>
        <v>12.06</v>
      </c>
      <c r="N91" s="1941">
        <f t="shared" si="126"/>
        <v>12.39</v>
      </c>
      <c r="O91" s="1941">
        <f t="shared" si="126"/>
        <v>10.89</v>
      </c>
      <c r="P91" s="1941">
        <f t="shared" si="126"/>
        <v>12.24</v>
      </c>
      <c r="Q91" s="1941">
        <f t="shared" si="126"/>
        <v>12.55</v>
      </c>
      <c r="R91" s="1942"/>
    </row>
    <row r="92" spans="3:22">
      <c r="C92" s="1927"/>
      <c r="D92" s="1927"/>
      <c r="E92" s="1866"/>
      <c r="F92" s="1943"/>
      <c r="G92" s="1943"/>
      <c r="H92" s="1943"/>
      <c r="I92" s="1943"/>
      <c r="J92" s="1943"/>
      <c r="K92" s="1943"/>
      <c r="L92" s="1943"/>
      <c r="M92" s="1927"/>
      <c r="N92" s="1927"/>
      <c r="O92" s="1927"/>
      <c r="P92" s="1927"/>
      <c r="Q92" s="1927"/>
      <c r="R92" s="1845"/>
    </row>
    <row r="93" spans="3:22" ht="15">
      <c r="C93" s="1826" t="s">
        <v>1986</v>
      </c>
      <c r="D93" s="1910"/>
      <c r="E93" s="1845"/>
      <c r="F93" s="1845"/>
      <c r="G93" s="1845"/>
      <c r="H93" s="1845"/>
      <c r="I93" s="1845"/>
      <c r="J93" s="1845"/>
      <c r="K93" s="1845"/>
      <c r="L93" s="1845"/>
      <c r="M93" s="1845"/>
      <c r="N93" s="1845"/>
      <c r="O93" s="1845"/>
      <c r="P93" s="1845"/>
      <c r="Q93" s="1845"/>
      <c r="R93" s="1845"/>
    </row>
    <row r="94" spans="3:22">
      <c r="C94" s="1844" t="s">
        <v>3439</v>
      </c>
      <c r="D94" s="1910"/>
      <c r="E94" s="1845"/>
      <c r="F94" s="1845"/>
      <c r="G94" s="1845"/>
      <c r="H94" s="1845"/>
      <c r="I94" s="1845"/>
      <c r="J94" s="1845"/>
      <c r="K94" s="1845"/>
      <c r="L94" s="1845"/>
      <c r="M94" s="1845"/>
      <c r="N94" s="1845"/>
      <c r="O94" s="1845"/>
      <c r="P94" s="1845"/>
      <c r="Q94" s="1845"/>
      <c r="R94" s="1845"/>
    </row>
    <row r="95" spans="3:22" ht="15.75">
      <c r="D95" s="1845" t="s">
        <v>2512</v>
      </c>
      <c r="F95" s="1944" t="s">
        <v>2091</v>
      </c>
      <c r="G95" s="1845"/>
      <c r="H95" s="1845"/>
      <c r="I95" s="1945" t="e">
        <f>Factor!D5*1000</f>
        <v>#VALUE!</v>
      </c>
      <c r="J95" s="1946" t="str">
        <f>Factor!C5</f>
        <v>XXX</v>
      </c>
      <c r="K95" s="1927"/>
      <c r="L95" s="1927"/>
      <c r="M95" s="1927" t="s">
        <v>2092</v>
      </c>
      <c r="N95" s="1927"/>
      <c r="O95" s="1927">
        <f>Indiv.!E91</f>
        <v>0.04</v>
      </c>
      <c r="P95" s="1947" t="s">
        <v>2093</v>
      </c>
      <c r="Q95" s="1948"/>
      <c r="R95" s="1845"/>
    </row>
    <row r="96" spans="3:22" ht="15.75">
      <c r="C96" s="1826"/>
      <c r="D96" s="1845"/>
      <c r="F96" s="1944" t="s">
        <v>2094</v>
      </c>
      <c r="G96" s="1845"/>
      <c r="H96" s="1845"/>
      <c r="I96" s="1945" t="e">
        <f>I95/J96</f>
        <v>#VALUE!</v>
      </c>
      <c r="J96" s="1949">
        <v>9.76</v>
      </c>
      <c r="K96" s="1950" t="s">
        <v>2095</v>
      </c>
      <c r="L96" s="1845"/>
      <c r="M96" s="1845"/>
      <c r="N96" s="1845"/>
      <c r="O96" s="1845"/>
      <c r="P96" s="1845"/>
      <c r="Q96" s="1951"/>
      <c r="R96" s="1845"/>
      <c r="V96" s="1105">
        <f>O95/J96</f>
        <v>4.0983606557377051E-3</v>
      </c>
    </row>
    <row r="97" spans="2:20" ht="15.75">
      <c r="C97" s="1826"/>
      <c r="D97" s="1845" t="s">
        <v>1987</v>
      </c>
      <c r="F97" s="1944" t="s">
        <v>2094</v>
      </c>
      <c r="G97" s="1845"/>
      <c r="H97" s="1845"/>
      <c r="I97" s="1945">
        <v>4.5600000000000002E-2</v>
      </c>
      <c r="J97" s="3799" t="s">
        <v>1991</v>
      </c>
      <c r="K97" s="1845"/>
      <c r="L97" s="1845"/>
      <c r="M97" s="1845"/>
      <c r="N97" s="1845"/>
      <c r="O97" s="1845"/>
      <c r="P97" s="1845"/>
      <c r="Q97" s="1951"/>
      <c r="R97" s="1845"/>
      <c r="T97" s="1953"/>
    </row>
    <row r="98" spans="2:20" ht="15.75">
      <c r="C98" s="1826"/>
      <c r="D98" s="1845" t="s">
        <v>1990</v>
      </c>
      <c r="F98" s="1944" t="s">
        <v>2094</v>
      </c>
      <c r="G98" s="1845"/>
      <c r="H98" s="1845"/>
      <c r="I98" s="1945">
        <v>5.3199999999999997E-2</v>
      </c>
      <c r="J98" s="3799" t="s">
        <v>1992</v>
      </c>
      <c r="K98" s="1845"/>
      <c r="L98" s="1845"/>
      <c r="M98" s="1845"/>
      <c r="N98" s="1845"/>
      <c r="O98" s="1845"/>
      <c r="P98" s="1845"/>
      <c r="Q98" s="1951"/>
      <c r="R98" s="1845"/>
      <c r="T98" s="1953"/>
    </row>
    <row r="99" spans="2:20" ht="15.75">
      <c r="C99" s="1826"/>
      <c r="D99" s="1845" t="s">
        <v>1988</v>
      </c>
      <c r="F99" s="1944" t="s">
        <v>2094</v>
      </c>
      <c r="G99" s="1845"/>
      <c r="H99" s="1845"/>
      <c r="I99" s="1945">
        <v>6.8599999999999994E-2</v>
      </c>
      <c r="J99" s="2563" t="s">
        <v>2400</v>
      </c>
      <c r="K99" s="1845"/>
      <c r="L99" s="1845"/>
      <c r="M99" s="1845"/>
      <c r="N99" s="1845"/>
      <c r="O99" s="1845"/>
      <c r="P99" s="1845"/>
      <c r="Q99" s="1951"/>
      <c r="R99" s="1845"/>
    </row>
    <row r="100" spans="2:20" ht="15.75">
      <c r="C100" s="1826"/>
      <c r="D100" s="1845" t="s">
        <v>1989</v>
      </c>
      <c r="F100" s="1944" t="s">
        <v>2094</v>
      </c>
      <c r="G100" s="1845"/>
      <c r="H100" s="1845"/>
      <c r="I100" s="1945">
        <v>7.0800000000000002E-2</v>
      </c>
      <c r="J100" s="1952" t="str">
        <f>J99</f>
        <v>*</v>
      </c>
      <c r="K100" s="1845"/>
      <c r="M100" s="1845"/>
      <c r="N100" s="1954"/>
      <c r="O100" s="1845"/>
      <c r="P100" s="1845"/>
      <c r="Q100" s="1951"/>
      <c r="R100" s="1845"/>
    </row>
    <row r="101" spans="2:20" ht="15.75">
      <c r="C101" s="1826"/>
      <c r="D101" s="1845" t="s">
        <v>1526</v>
      </c>
      <c r="F101" s="1944" t="s">
        <v>2094</v>
      </c>
      <c r="G101" s="1845"/>
      <c r="H101" s="1845"/>
      <c r="I101" s="1945">
        <f>(I99+I100)/2</f>
        <v>6.9699999999999998E-2</v>
      </c>
      <c r="J101" s="1952" t="s">
        <v>1994</v>
      </c>
      <c r="K101" s="1845"/>
      <c r="L101" s="1845"/>
      <c r="M101" s="1845"/>
      <c r="N101" s="1845"/>
      <c r="O101" s="1845"/>
      <c r="P101" s="1845"/>
      <c r="Q101" s="1951"/>
      <c r="R101" s="1845"/>
    </row>
    <row r="102" spans="2:20" ht="15.75">
      <c r="C102" s="1826"/>
      <c r="D102" s="1845" t="s">
        <v>374</v>
      </c>
      <c r="F102" s="1944" t="s">
        <v>2094</v>
      </c>
      <c r="G102" s="1845"/>
      <c r="H102" s="1845"/>
      <c r="I102" s="1945">
        <v>5.9799999999999999E-2</v>
      </c>
      <c r="J102" s="1955" t="str">
        <f>J99</f>
        <v>*</v>
      </c>
      <c r="K102" s="1956"/>
      <c r="L102" s="1956"/>
      <c r="M102" s="1956"/>
      <c r="N102" s="1956"/>
      <c r="O102" s="1956"/>
      <c r="P102" s="1956"/>
      <c r="Q102" s="1957"/>
      <c r="R102" s="1845"/>
    </row>
    <row r="103" spans="2:20" ht="15">
      <c r="C103" s="1826"/>
      <c r="D103" s="1845"/>
      <c r="F103" s="1944"/>
      <c r="G103" s="1845"/>
      <c r="H103" s="1845"/>
      <c r="I103" s="1958" t="s">
        <v>2513</v>
      </c>
      <c r="J103" s="3798" t="s">
        <v>1993</v>
      </c>
      <c r="K103" s="1845"/>
      <c r="L103" s="1845"/>
      <c r="M103" s="1845"/>
      <c r="N103" s="1845"/>
      <c r="O103" s="1845"/>
      <c r="P103" s="1845"/>
      <c r="Q103" s="1845"/>
      <c r="R103" s="1845"/>
    </row>
    <row r="104" spans="2:20">
      <c r="B104" s="1959"/>
      <c r="C104" s="1845" t="s">
        <v>3440</v>
      </c>
      <c r="D104" s="1959"/>
      <c r="E104" s="1845"/>
      <c r="F104" s="1845"/>
      <c r="G104" s="1845"/>
      <c r="H104" s="1845"/>
      <c r="I104" s="1960"/>
      <c r="J104" s="1845"/>
      <c r="K104" s="1845"/>
      <c r="L104" s="1845"/>
      <c r="M104" s="1845"/>
      <c r="N104" s="1845"/>
      <c r="O104" s="1845"/>
      <c r="P104" s="1845"/>
      <c r="Q104" s="1845"/>
      <c r="R104" s="1845"/>
      <c r="S104" s="1959"/>
      <c r="T104" s="1959"/>
    </row>
    <row r="105" spans="2:20" ht="15.75">
      <c r="B105" s="1959"/>
      <c r="C105" s="1910"/>
      <c r="D105" s="1845" t="s">
        <v>1996</v>
      </c>
      <c r="E105" s="1959"/>
      <c r="F105" s="1944" t="s">
        <v>2096</v>
      </c>
      <c r="G105" s="1845"/>
      <c r="H105" s="1845"/>
      <c r="I105" s="1845" t="s">
        <v>2511</v>
      </c>
      <c r="K105" s="2562" t="s">
        <v>2510</v>
      </c>
      <c r="S105" s="1959"/>
      <c r="T105" s="1959"/>
    </row>
    <row r="106" spans="2:20">
      <c r="B106" s="1959"/>
      <c r="C106" s="1910"/>
      <c r="D106" s="1961" t="s">
        <v>1941</v>
      </c>
      <c r="E106" s="1961"/>
      <c r="F106" s="1961"/>
      <c r="G106" s="1845"/>
      <c r="H106" s="1105">
        <v>1</v>
      </c>
      <c r="I106" s="1962">
        <v>5.3300000000000005E-4</v>
      </c>
      <c r="K106" s="1962">
        <v>5.3499999999999999E-4</v>
      </c>
      <c r="S106" s="1959"/>
      <c r="T106" s="1959"/>
    </row>
    <row r="107" spans="2:20">
      <c r="B107" s="1959"/>
      <c r="C107" s="1910"/>
      <c r="D107" s="1961" t="s">
        <v>1942</v>
      </c>
      <c r="E107" s="1961"/>
      <c r="F107" s="1961"/>
      <c r="G107" s="1845"/>
      <c r="H107" s="1105">
        <v>2</v>
      </c>
      <c r="I107" s="1962">
        <v>4.7699999999999999E-4</v>
      </c>
      <c r="K107" s="1962">
        <v>4.6000000000000001E-4</v>
      </c>
      <c r="S107" s="1959"/>
      <c r="T107" s="1959"/>
    </row>
    <row r="108" spans="2:20">
      <c r="B108" s="1959"/>
      <c r="C108" s="1910"/>
      <c r="D108" s="1961" t="s">
        <v>1960</v>
      </c>
      <c r="E108" s="1961"/>
      <c r="F108" s="1961"/>
      <c r="G108" s="1845"/>
      <c r="H108" s="1105">
        <v>3</v>
      </c>
      <c r="I108" s="1962">
        <v>4.57E-4</v>
      </c>
      <c r="K108" s="1962">
        <v>3.7599999999999998E-4</v>
      </c>
      <c r="S108" s="1959"/>
      <c r="T108" s="1959"/>
    </row>
    <row r="109" spans="2:20">
      <c r="B109" s="1959"/>
      <c r="C109" s="1910"/>
      <c r="D109" s="1961" t="s">
        <v>1963</v>
      </c>
      <c r="E109" s="1961"/>
      <c r="F109" s="1961"/>
      <c r="G109" s="1845"/>
      <c r="H109" s="1105">
        <v>4</v>
      </c>
      <c r="I109" s="1962">
        <v>4.3300000000000001E-4</v>
      </c>
      <c r="K109" s="1962">
        <v>4.4000000000000002E-4</v>
      </c>
      <c r="S109" s="1959"/>
      <c r="T109" s="1959"/>
    </row>
    <row r="110" spans="2:20">
      <c r="B110" s="1959"/>
      <c r="C110" s="1910"/>
      <c r="D110" s="1961" t="s">
        <v>1943</v>
      </c>
      <c r="E110" s="1961"/>
      <c r="F110" s="1961"/>
      <c r="G110" s="1845"/>
      <c r="H110" s="1105">
        <v>5</v>
      </c>
      <c r="I110" s="1962">
        <v>4.8700000000000002E-4</v>
      </c>
      <c r="K110" s="1962">
        <v>4.9899999999999999E-4</v>
      </c>
      <c r="S110" s="1959"/>
      <c r="T110" s="1959"/>
    </row>
    <row r="111" spans="2:20">
      <c r="B111" s="1959"/>
      <c r="C111" s="1910"/>
      <c r="D111" s="1961" t="s">
        <v>1944</v>
      </c>
      <c r="E111" s="1961"/>
      <c r="F111" s="1959"/>
      <c r="G111" s="1845"/>
      <c r="H111" s="1105">
        <v>6</v>
      </c>
      <c r="I111" s="1962">
        <v>3.6000000000000002E-4</v>
      </c>
      <c r="K111" s="1962">
        <v>4.2000000000000002E-4</v>
      </c>
      <c r="S111" s="1959"/>
      <c r="T111" s="1959"/>
    </row>
    <row r="112" spans="2:20">
      <c r="B112" s="1959"/>
      <c r="C112" s="1910"/>
      <c r="D112" s="1961" t="s">
        <v>1995</v>
      </c>
      <c r="E112" s="1961"/>
      <c r="F112" s="1961"/>
      <c r="G112" s="1845"/>
      <c r="H112" s="1105">
        <v>7</v>
      </c>
      <c r="I112" s="1962">
        <v>5.3700000000000004E-4</v>
      </c>
      <c r="K112" s="1962">
        <v>5.44E-4</v>
      </c>
      <c r="S112" s="1959"/>
      <c r="T112" s="1959"/>
    </row>
    <row r="113" spans="2:20">
      <c r="B113" s="1959"/>
      <c r="C113" s="1910"/>
      <c r="D113" s="1961" t="s">
        <v>1945</v>
      </c>
      <c r="E113" s="1961"/>
      <c r="F113" s="1961"/>
      <c r="G113" s="1845"/>
      <c r="H113" s="1105">
        <v>8</v>
      </c>
      <c r="I113" s="1962">
        <v>3.6999999999999999E-4</v>
      </c>
      <c r="K113" s="1962">
        <v>4.4700000000000002E-4</v>
      </c>
      <c r="S113" s="1959"/>
      <c r="T113" s="1959"/>
    </row>
    <row r="114" spans="2:20">
      <c r="B114" s="1959"/>
      <c r="C114" s="1910"/>
      <c r="D114" s="1961" t="s">
        <v>1946</v>
      </c>
      <c r="E114" s="1961"/>
      <c r="F114" s="1961"/>
      <c r="G114" s="1845"/>
      <c r="H114" s="1105">
        <v>9</v>
      </c>
      <c r="I114" s="1962">
        <v>4.0700000000000003E-4</v>
      </c>
      <c r="K114" s="1962">
        <v>4.6200000000000001E-4</v>
      </c>
      <c r="S114" s="1959"/>
      <c r="T114" s="1959"/>
    </row>
    <row r="115" spans="2:20">
      <c r="B115" s="1959"/>
      <c r="C115" s="1910"/>
      <c r="D115" s="1961" t="s">
        <v>1947</v>
      </c>
      <c r="E115" s="1961"/>
      <c r="F115" s="1961"/>
      <c r="G115" s="1845"/>
      <c r="H115" s="1105">
        <v>10</v>
      </c>
      <c r="I115" s="1962">
        <v>7.1000000000000002E-4</v>
      </c>
      <c r="K115" s="1962">
        <v>6.7500000000000004E-4</v>
      </c>
      <c r="S115" s="1959"/>
      <c r="T115" s="1959"/>
    </row>
    <row r="116" spans="2:20" ht="7.15" customHeight="1">
      <c r="B116" s="1959"/>
      <c r="C116" s="1910"/>
      <c r="D116" s="1845"/>
      <c r="E116" s="1959"/>
      <c r="F116" s="1845"/>
      <c r="G116" s="1845"/>
      <c r="H116" s="1845"/>
      <c r="I116" s="1963"/>
      <c r="J116" s="1845"/>
      <c r="K116" s="1845"/>
      <c r="L116" s="1845"/>
      <c r="M116" s="1845"/>
      <c r="N116" s="1845"/>
      <c r="O116" s="1845"/>
      <c r="P116" s="1845"/>
      <c r="Q116" s="1845"/>
      <c r="R116" s="1845"/>
      <c r="S116" s="1959"/>
      <c r="T116" s="1959"/>
    </row>
    <row r="117" spans="2:20">
      <c r="B117" s="1959"/>
      <c r="C117" s="1910"/>
      <c r="D117" s="1845" t="s">
        <v>1965</v>
      </c>
      <c r="E117" s="1959"/>
      <c r="F117" s="1845"/>
      <c r="G117" s="1845"/>
      <c r="H117" s="1845"/>
      <c r="I117" s="1962">
        <v>4.2900000000000002E-4</v>
      </c>
      <c r="J117" s="1845"/>
      <c r="K117" s="1845"/>
      <c r="L117" s="1845"/>
      <c r="M117" s="1845"/>
      <c r="N117" s="1845"/>
      <c r="O117" s="1845"/>
      <c r="P117" s="1845"/>
      <c r="Q117" s="1845"/>
      <c r="R117" s="1845"/>
      <c r="S117" s="1959"/>
      <c r="T117" s="1959"/>
    </row>
    <row r="118" spans="2:20">
      <c r="B118" s="1959"/>
      <c r="C118" s="1910"/>
      <c r="D118" s="1910"/>
      <c r="E118" s="1845"/>
      <c r="F118" s="1845"/>
      <c r="G118" s="1845"/>
      <c r="H118" s="1845"/>
      <c r="I118" s="1960"/>
      <c r="J118" s="1845"/>
      <c r="K118" s="1845"/>
      <c r="L118" s="1845"/>
      <c r="M118" s="1845"/>
      <c r="N118" s="1845"/>
      <c r="O118" s="1845"/>
      <c r="P118" s="1845"/>
      <c r="Q118" s="1845"/>
      <c r="R118" s="1845"/>
      <c r="S118" s="1959"/>
      <c r="T118" s="1959"/>
    </row>
    <row r="119" spans="2:20">
      <c r="B119" s="1959"/>
      <c r="C119" s="1844" t="s">
        <v>3430</v>
      </c>
      <c r="D119" s="3167"/>
      <c r="E119" s="3167"/>
      <c r="F119" s="3167"/>
      <c r="G119" s="3167"/>
      <c r="H119" s="3167"/>
      <c r="I119" s="3167"/>
      <c r="J119" s="3167"/>
      <c r="K119" s="3167"/>
      <c r="L119" s="3167"/>
      <c r="M119" s="3167"/>
      <c r="N119" s="3167"/>
      <c r="O119" s="3167"/>
      <c r="P119" s="3167"/>
      <c r="Q119" s="3167"/>
      <c r="R119" s="3167"/>
      <c r="S119" s="2564"/>
      <c r="T119" s="1959"/>
    </row>
    <row r="120" spans="2:20" ht="36">
      <c r="B120" s="1959"/>
      <c r="C120" s="2019"/>
      <c r="D120" s="1851" t="s">
        <v>2083</v>
      </c>
      <c r="E120" s="1964"/>
      <c r="F120" s="1855"/>
      <c r="G120" s="3164"/>
      <c r="H120" s="1864" t="s">
        <v>2097</v>
      </c>
      <c r="I120" s="1847" t="s">
        <v>3431</v>
      </c>
      <c r="J120" s="1965"/>
      <c r="K120" s="1965"/>
      <c r="L120" s="1965"/>
      <c r="M120" s="1966"/>
      <c r="N120" s="1847" t="s">
        <v>2018</v>
      </c>
      <c r="O120" s="1854"/>
      <c r="P120" s="1854"/>
      <c r="Q120" s="1854"/>
      <c r="R120" s="1854"/>
      <c r="S120" s="1968" t="s">
        <v>3370</v>
      </c>
      <c r="T120" s="1959"/>
    </row>
    <row r="121" spans="2:20" ht="13.15" hidden="1" customHeight="1">
      <c r="B121" s="1959"/>
      <c r="C121" s="2019"/>
      <c r="D121" s="1856"/>
      <c r="E121" s="3165"/>
      <c r="F121" s="1969"/>
      <c r="G121" s="1959"/>
      <c r="H121" s="1959"/>
      <c r="I121" s="1970">
        <v>300</v>
      </c>
      <c r="J121" s="1965">
        <v>2000</v>
      </c>
      <c r="K121" s="1965">
        <v>10000</v>
      </c>
      <c r="L121" s="1965">
        <v>30000</v>
      </c>
      <c r="M121" s="1966"/>
      <c r="N121" s="1971" t="e">
        <f>I96</f>
        <v>#VALUE!</v>
      </c>
      <c r="O121" s="1972">
        <f>I97</f>
        <v>4.5600000000000002E-2</v>
      </c>
      <c r="P121" s="1972">
        <f>I101</f>
        <v>6.9699999999999998E-2</v>
      </c>
      <c r="Q121" s="1972">
        <f>I102</f>
        <v>5.9799999999999999E-2</v>
      </c>
      <c r="R121" s="1972">
        <f>I98</f>
        <v>5.3199999999999997E-2</v>
      </c>
      <c r="S121" s="1864"/>
      <c r="T121" s="1959"/>
    </row>
    <row r="122" spans="2:20" ht="63.75">
      <c r="B122" s="1959"/>
      <c r="C122" s="2019"/>
      <c r="D122" s="1853"/>
      <c r="E122" s="1857"/>
      <c r="F122" s="1858"/>
      <c r="G122" s="1959"/>
      <c r="H122" s="1959"/>
      <c r="I122" s="1861" t="s">
        <v>2010</v>
      </c>
      <c r="J122" s="1861" t="s">
        <v>2011</v>
      </c>
      <c r="K122" s="1861" t="s">
        <v>2012</v>
      </c>
      <c r="L122" s="1861" t="s">
        <v>2013</v>
      </c>
      <c r="M122" s="1861" t="s">
        <v>2014</v>
      </c>
      <c r="N122" s="1852" t="s">
        <v>2015</v>
      </c>
      <c r="O122" s="1852" t="s">
        <v>2016</v>
      </c>
      <c r="P122" s="1852" t="s">
        <v>2017</v>
      </c>
      <c r="Q122" s="1852" t="s">
        <v>373</v>
      </c>
      <c r="R122" s="3157" t="s">
        <v>3368</v>
      </c>
      <c r="S122" s="1973" t="s">
        <v>2094</v>
      </c>
      <c r="T122" s="1959"/>
    </row>
    <row r="123" spans="2:20" ht="14.25" customHeight="1">
      <c r="B123" s="1959"/>
      <c r="C123" s="2019"/>
      <c r="D123" s="1846" t="s">
        <v>1997</v>
      </c>
      <c r="E123" s="1847" t="s">
        <v>1998</v>
      </c>
      <c r="F123" s="1848"/>
      <c r="G123" s="1959">
        <f>Main!R47</f>
        <v>7000</v>
      </c>
      <c r="H123" s="1959">
        <f>IF(G123=0,0,IF(G123&lt;$I$121,I123,IF(G123&lt;$J$121,J123,IF(G123&lt;$K$121,K123,IF(G123&lt;$L$121,L123,M123)))))</f>
        <v>1550</v>
      </c>
      <c r="I123" s="1974">
        <v>1250</v>
      </c>
      <c r="J123" s="1974">
        <v>1250</v>
      </c>
      <c r="K123" s="1974">
        <v>1550</v>
      </c>
      <c r="L123" s="1974">
        <v>1850</v>
      </c>
      <c r="M123" s="1974">
        <v>2150</v>
      </c>
      <c r="N123" s="1975">
        <v>0.78</v>
      </c>
      <c r="O123" s="1975">
        <v>0.06</v>
      </c>
      <c r="P123" s="1975">
        <f>1-N123-O123</f>
        <v>0.15999999999999998</v>
      </c>
      <c r="Q123" s="1976" t="s">
        <v>538</v>
      </c>
      <c r="R123" s="1976" t="s">
        <v>538</v>
      </c>
      <c r="S123" s="1977" t="e">
        <f>SUMPRODUCT(N123:R123,$N$121:$R$121)</f>
        <v>#VALUE!</v>
      </c>
      <c r="T123" s="1959"/>
    </row>
    <row r="124" spans="2:20" ht="14.25" customHeight="1">
      <c r="B124" s="1959"/>
      <c r="C124" s="2019"/>
      <c r="D124" s="1850"/>
      <c r="E124" s="1847" t="s">
        <v>1455</v>
      </c>
      <c r="F124" s="1848"/>
      <c r="G124" s="1959">
        <f>Main!R48</f>
        <v>0</v>
      </c>
      <c r="H124" s="1959">
        <f>IF(G124=0,0,IF(G124&lt;$I$121,I124,IF(G124&lt;$J$121,J124,IF(G124&lt;$K$121,K124,IF(G124&lt;$L$121,L124,M124)))))</f>
        <v>0</v>
      </c>
      <c r="I124" s="1974">
        <v>1050</v>
      </c>
      <c r="J124" s="1974">
        <v>1050</v>
      </c>
      <c r="K124" s="1974">
        <v>1050</v>
      </c>
      <c r="L124" s="1974">
        <v>1050</v>
      </c>
      <c r="M124" s="1974">
        <v>1050</v>
      </c>
      <c r="N124" s="1975">
        <v>0.77</v>
      </c>
      <c r="O124" s="1975">
        <v>0.09</v>
      </c>
      <c r="P124" s="1975">
        <f t="shared" ref="P124:P141" si="127">1-N124-O124</f>
        <v>0.13999999999999999</v>
      </c>
      <c r="Q124" s="1976" t="s">
        <v>538</v>
      </c>
      <c r="R124" s="1976" t="s">
        <v>538</v>
      </c>
      <c r="S124" s="1977" t="e">
        <f t="shared" ref="S124:S145" si="128">SUMPRODUCT(N124:R124,$N$121:$R$121)</f>
        <v>#VALUE!</v>
      </c>
      <c r="T124" s="1959"/>
    </row>
    <row r="125" spans="2:20" ht="14.25" customHeight="1">
      <c r="B125" s="1959"/>
      <c r="C125" s="2019"/>
      <c r="D125" s="1849"/>
      <c r="E125" s="1847" t="s">
        <v>2378</v>
      </c>
      <c r="F125" s="1848"/>
      <c r="G125" s="1959">
        <f>Main!R49</f>
        <v>0</v>
      </c>
      <c r="H125" s="1959">
        <f>IF(G125=0,0,IF(G125&lt;$I$121,I125,IF(G125&lt;$J$121,J125,IF(G125&lt;$K$121,K125,IF(G125&lt;$L$121,L125,M125)))))</f>
        <v>0</v>
      </c>
      <c r="I125" s="1974">
        <v>2350</v>
      </c>
      <c r="J125" s="1974">
        <v>2350</v>
      </c>
      <c r="K125" s="1974">
        <v>2350</v>
      </c>
      <c r="L125" s="1974">
        <v>2350</v>
      </c>
      <c r="M125" s="1974">
        <v>2350</v>
      </c>
      <c r="N125" s="1975">
        <v>0.63</v>
      </c>
      <c r="O125" s="1975">
        <v>0.08</v>
      </c>
      <c r="P125" s="1975">
        <f t="shared" si="127"/>
        <v>0.28999999999999998</v>
      </c>
      <c r="Q125" s="1976" t="s">
        <v>538</v>
      </c>
      <c r="R125" s="1976" t="s">
        <v>538</v>
      </c>
      <c r="S125" s="1977" t="e">
        <f t="shared" si="128"/>
        <v>#VALUE!</v>
      </c>
      <c r="T125" s="1959"/>
    </row>
    <row r="126" spans="2:20" ht="14.25" customHeight="1">
      <c r="B126" s="1959"/>
      <c r="C126" s="2019"/>
      <c r="D126" s="1850" t="s">
        <v>1999</v>
      </c>
      <c r="E126" s="3158" t="s">
        <v>2000</v>
      </c>
      <c r="F126" s="3159"/>
      <c r="G126" s="1959">
        <f>Main!R50</f>
        <v>0</v>
      </c>
      <c r="H126" s="1959">
        <f>IF(G126=0,0,IF(G126&lt;$I$121,I126,IF(G126&lt;$J$121,J126,IF(G126&lt;$K$121,K126,IF(G126&lt;$L$121,L126,M126)))))</f>
        <v>0</v>
      </c>
      <c r="I126" s="1974">
        <v>540</v>
      </c>
      <c r="J126" s="1974">
        <v>540</v>
      </c>
      <c r="K126" s="1974">
        <v>540</v>
      </c>
      <c r="L126" s="1974">
        <v>540</v>
      </c>
      <c r="M126" s="1974">
        <v>540</v>
      </c>
      <c r="N126" s="1975">
        <v>0.7</v>
      </c>
      <c r="O126" s="1975">
        <v>0.12</v>
      </c>
      <c r="P126" s="1975">
        <f t="shared" si="127"/>
        <v>0.18000000000000005</v>
      </c>
      <c r="Q126" s="1976" t="s">
        <v>538</v>
      </c>
      <c r="R126" s="1976" t="s">
        <v>538</v>
      </c>
      <c r="S126" s="1977" t="e">
        <f t="shared" si="128"/>
        <v>#VALUE!</v>
      </c>
      <c r="T126" s="1959"/>
    </row>
    <row r="127" spans="2:20" ht="14.25" customHeight="1">
      <c r="B127" s="1959"/>
      <c r="C127" s="2019"/>
      <c r="D127" s="1850"/>
      <c r="E127" s="1851" t="s">
        <v>2001</v>
      </c>
      <c r="F127" s="1852" t="s">
        <v>2002</v>
      </c>
      <c r="G127" s="1959">
        <f>Main!R51</f>
        <v>0</v>
      </c>
      <c r="H127" s="3166">
        <f>IF(G127&gt;0,I127,0)</f>
        <v>0</v>
      </c>
      <c r="I127" s="1974">
        <v>510</v>
      </c>
      <c r="J127" s="1974">
        <v>510</v>
      </c>
      <c r="K127" s="1974">
        <v>510</v>
      </c>
      <c r="L127" s="1974">
        <v>510</v>
      </c>
      <c r="M127" s="1974">
        <v>510</v>
      </c>
      <c r="N127" s="1975">
        <v>0.67</v>
      </c>
      <c r="O127" s="1975">
        <v>0.2</v>
      </c>
      <c r="P127" s="1975">
        <f t="shared" si="127"/>
        <v>0.12999999999999995</v>
      </c>
      <c r="Q127" s="1976" t="s">
        <v>538</v>
      </c>
      <c r="R127" s="1976" t="s">
        <v>538</v>
      </c>
      <c r="S127" s="1977" t="e">
        <f t="shared" si="128"/>
        <v>#VALUE!</v>
      </c>
      <c r="T127" s="1959"/>
    </row>
    <row r="128" spans="2:20" ht="14.25" customHeight="1">
      <c r="B128" s="1959"/>
      <c r="C128" s="2019"/>
      <c r="D128" s="1850"/>
      <c r="E128" s="1853"/>
      <c r="F128" s="1852" t="s">
        <v>2003</v>
      </c>
      <c r="G128" s="1959">
        <f>Main!R52</f>
        <v>0</v>
      </c>
      <c r="H128" s="3166">
        <f>IF(G128&gt;0,I128,0)</f>
        <v>0</v>
      </c>
      <c r="I128" s="1974">
        <v>320</v>
      </c>
      <c r="J128" s="1974">
        <v>320</v>
      </c>
      <c r="K128" s="1974">
        <v>320</v>
      </c>
      <c r="L128" s="1974">
        <v>320</v>
      </c>
      <c r="M128" s="1974">
        <v>320</v>
      </c>
      <c r="N128" s="1975">
        <v>0.74</v>
      </c>
      <c r="O128" s="1975">
        <v>0.12</v>
      </c>
      <c r="P128" s="1975">
        <f t="shared" si="127"/>
        <v>0.14000000000000001</v>
      </c>
      <c r="Q128" s="1976" t="s">
        <v>538</v>
      </c>
      <c r="R128" s="1976" t="s">
        <v>538</v>
      </c>
      <c r="S128" s="1977" t="e">
        <f t="shared" si="128"/>
        <v>#VALUE!</v>
      </c>
      <c r="T128" s="1959"/>
    </row>
    <row r="129" spans="2:20" ht="14.25" customHeight="1">
      <c r="B129" s="1959"/>
      <c r="C129" s="2019"/>
      <c r="D129" s="1850"/>
      <c r="E129" s="1847" t="s">
        <v>1458</v>
      </c>
      <c r="F129" s="1848"/>
      <c r="G129" s="1959">
        <f>Main!R53</f>
        <v>0</v>
      </c>
      <c r="H129" s="1959">
        <f t="shared" ref="H129:H141" si="129">IF(G129=0,0,IF(G129&lt;$I$121,I129,IF(G129&lt;$J$121,J129,IF(G129&lt;$K$121,K129,IF(G129&lt;$L$121,L129,M129)))))</f>
        <v>0</v>
      </c>
      <c r="I129" s="1974">
        <v>360</v>
      </c>
      <c r="J129" s="1974">
        <v>360</v>
      </c>
      <c r="K129" s="1974">
        <v>360</v>
      </c>
      <c r="L129" s="1974">
        <v>360</v>
      </c>
      <c r="M129" s="1974">
        <v>360</v>
      </c>
      <c r="N129" s="1975">
        <v>0.74</v>
      </c>
      <c r="O129" s="1975">
        <v>6.9999999999999993E-2</v>
      </c>
      <c r="P129" s="1975">
        <f t="shared" si="127"/>
        <v>0.19</v>
      </c>
      <c r="Q129" s="1976" t="s">
        <v>538</v>
      </c>
      <c r="R129" s="1976" t="s">
        <v>538</v>
      </c>
      <c r="S129" s="1977" t="e">
        <f t="shared" si="128"/>
        <v>#VALUE!</v>
      </c>
      <c r="T129" s="1959"/>
    </row>
    <row r="130" spans="2:20" ht="14.25" customHeight="1">
      <c r="B130" s="1959"/>
      <c r="C130" s="2019"/>
      <c r="D130" s="1849"/>
      <c r="E130" s="1847" t="s">
        <v>2004</v>
      </c>
      <c r="F130" s="1848"/>
      <c r="G130" s="1959">
        <f>Main!R54</f>
        <v>0</v>
      </c>
      <c r="H130" s="1959">
        <f t="shared" si="129"/>
        <v>0</v>
      </c>
      <c r="I130" s="1974">
        <v>860</v>
      </c>
      <c r="J130" s="1974">
        <v>860</v>
      </c>
      <c r="K130" s="1974">
        <v>860</v>
      </c>
      <c r="L130" s="1974">
        <v>860</v>
      </c>
      <c r="M130" s="1974">
        <v>1100</v>
      </c>
      <c r="N130" s="1975">
        <v>0.66</v>
      </c>
      <c r="O130" s="1975">
        <v>0.11</v>
      </c>
      <c r="P130" s="1975">
        <f t="shared" si="127"/>
        <v>0.22999999999999998</v>
      </c>
      <c r="Q130" s="1976" t="s">
        <v>538</v>
      </c>
      <c r="R130" s="1976" t="s">
        <v>538</v>
      </c>
      <c r="S130" s="1977" t="e">
        <f t="shared" si="128"/>
        <v>#VALUE!</v>
      </c>
      <c r="T130" s="1959"/>
    </row>
    <row r="131" spans="2:20" ht="14.25" customHeight="1">
      <c r="B131" s="1959"/>
      <c r="C131" s="2019"/>
      <c r="D131" s="1846" t="s">
        <v>1448</v>
      </c>
      <c r="E131" s="3158" t="s">
        <v>2005</v>
      </c>
      <c r="F131" s="1848"/>
      <c r="G131" s="1959">
        <f>Main!R55</f>
        <v>0</v>
      </c>
      <c r="H131" s="1959">
        <f t="shared" si="129"/>
        <v>0</v>
      </c>
      <c r="I131" s="1974">
        <v>7250</v>
      </c>
      <c r="J131" s="1974">
        <v>7250</v>
      </c>
      <c r="K131" s="1974">
        <v>5000</v>
      </c>
      <c r="L131" s="1974">
        <v>2950</v>
      </c>
      <c r="M131" s="1974">
        <v>2950</v>
      </c>
      <c r="N131" s="1975">
        <v>0.73</v>
      </c>
      <c r="O131" s="1975">
        <v>0.04</v>
      </c>
      <c r="P131" s="1975">
        <f t="shared" si="127"/>
        <v>0.23</v>
      </c>
      <c r="Q131" s="1976" t="s">
        <v>538</v>
      </c>
      <c r="R131" s="1976" t="s">
        <v>538</v>
      </c>
      <c r="S131" s="1977" t="e">
        <f t="shared" si="128"/>
        <v>#VALUE!</v>
      </c>
      <c r="T131" s="1959"/>
    </row>
    <row r="132" spans="2:20" ht="14.25" customHeight="1">
      <c r="B132" s="1959"/>
      <c r="C132" s="2019"/>
      <c r="D132" s="1850"/>
      <c r="E132" s="1847" t="s">
        <v>3432</v>
      </c>
      <c r="F132" s="1848"/>
      <c r="G132" s="1959">
        <f>Main!R56</f>
        <v>0</v>
      </c>
      <c r="H132" s="1959">
        <f t="shared" si="129"/>
        <v>0</v>
      </c>
      <c r="I132" s="1974">
        <v>12900</v>
      </c>
      <c r="J132" s="1974">
        <v>12900</v>
      </c>
      <c r="K132" s="1974">
        <v>12900</v>
      </c>
      <c r="L132" s="1974">
        <v>12900</v>
      </c>
      <c r="M132" s="1974">
        <v>12900</v>
      </c>
      <c r="N132" s="1975">
        <v>1</v>
      </c>
      <c r="O132" s="1975">
        <v>0</v>
      </c>
      <c r="P132" s="1975">
        <f t="shared" si="127"/>
        <v>0</v>
      </c>
      <c r="Q132" s="1976" t="s">
        <v>538</v>
      </c>
      <c r="R132" s="1976" t="s">
        <v>538</v>
      </c>
      <c r="S132" s="1977" t="e">
        <f t="shared" si="128"/>
        <v>#VALUE!</v>
      </c>
      <c r="T132" s="1959"/>
    </row>
    <row r="133" spans="2:20" ht="14.25" customHeight="1">
      <c r="B133" s="1959"/>
      <c r="C133" s="2019"/>
      <c r="D133" s="1850"/>
      <c r="E133" s="1847" t="s">
        <v>2379</v>
      </c>
      <c r="F133" s="1848"/>
      <c r="G133" s="1959">
        <f>Main!R57</f>
        <v>0</v>
      </c>
      <c r="H133" s="1959">
        <f t="shared" si="129"/>
        <v>0</v>
      </c>
      <c r="I133" s="1974">
        <v>2850</v>
      </c>
      <c r="J133" s="1974">
        <v>2850</v>
      </c>
      <c r="K133" s="1974">
        <v>2850</v>
      </c>
      <c r="L133" s="1974">
        <v>2850</v>
      </c>
      <c r="M133" s="1974">
        <v>2850</v>
      </c>
      <c r="N133" s="1975">
        <v>0.71</v>
      </c>
      <c r="O133" s="1975">
        <v>0.01</v>
      </c>
      <c r="P133" s="1975">
        <f t="shared" si="127"/>
        <v>0.28000000000000003</v>
      </c>
      <c r="Q133" s="1976" t="s">
        <v>538</v>
      </c>
      <c r="R133" s="1976" t="s">
        <v>538</v>
      </c>
      <c r="S133" s="1977" t="e">
        <f t="shared" si="128"/>
        <v>#VALUE!</v>
      </c>
      <c r="T133" s="1959"/>
    </row>
    <row r="134" spans="2:20" ht="14.25" customHeight="1">
      <c r="B134" s="1959"/>
      <c r="C134" s="2019"/>
      <c r="D134" s="1849"/>
      <c r="E134" s="1847" t="s">
        <v>1460</v>
      </c>
      <c r="F134" s="1848"/>
      <c r="G134" s="1959">
        <f>Main!R58</f>
        <v>0</v>
      </c>
      <c r="H134" s="1959">
        <f t="shared" si="129"/>
        <v>0</v>
      </c>
      <c r="I134" s="1974">
        <v>2300</v>
      </c>
      <c r="J134" s="1974">
        <v>2300</v>
      </c>
      <c r="K134" s="1974">
        <v>2300</v>
      </c>
      <c r="L134" s="1974">
        <v>2300</v>
      </c>
      <c r="M134" s="1974">
        <v>2300</v>
      </c>
      <c r="N134" s="1975">
        <v>0.89</v>
      </c>
      <c r="O134" s="1975">
        <v>0.03</v>
      </c>
      <c r="P134" s="1975">
        <f t="shared" si="127"/>
        <v>7.9999999999999988E-2</v>
      </c>
      <c r="Q134" s="1976" t="s">
        <v>538</v>
      </c>
      <c r="R134" s="1976" t="s">
        <v>538</v>
      </c>
      <c r="S134" s="1977" t="e">
        <f t="shared" si="128"/>
        <v>#VALUE!</v>
      </c>
      <c r="T134" s="1959"/>
    </row>
    <row r="135" spans="2:20" ht="14.25" customHeight="1">
      <c r="B135" s="1959"/>
      <c r="C135" s="2019"/>
      <c r="D135" s="1847" t="s">
        <v>1449</v>
      </c>
      <c r="E135" s="1854"/>
      <c r="F135" s="1848"/>
      <c r="G135" s="1959">
        <f>Main!R59</f>
        <v>0</v>
      </c>
      <c r="H135" s="1959">
        <f t="shared" si="129"/>
        <v>0</v>
      </c>
      <c r="I135" s="1974">
        <v>19350</v>
      </c>
      <c r="J135" s="1974">
        <v>11950</v>
      </c>
      <c r="K135" s="1974">
        <v>3150</v>
      </c>
      <c r="L135" s="1974">
        <v>3150</v>
      </c>
      <c r="M135" s="1974">
        <v>3150</v>
      </c>
      <c r="N135" s="1975">
        <v>0.51</v>
      </c>
      <c r="O135" s="1975">
        <v>0.33</v>
      </c>
      <c r="P135" s="1975">
        <f t="shared" si="127"/>
        <v>0.15999999999999998</v>
      </c>
      <c r="Q135" s="1976" t="s">
        <v>538</v>
      </c>
      <c r="R135" s="1976" t="s">
        <v>538</v>
      </c>
      <c r="S135" s="1977" t="e">
        <f t="shared" si="128"/>
        <v>#VALUE!</v>
      </c>
      <c r="T135" s="1959"/>
    </row>
    <row r="136" spans="2:20" ht="14.25" customHeight="1">
      <c r="B136" s="1959"/>
      <c r="C136" s="2019"/>
      <c r="D136" s="1846" t="s">
        <v>1450</v>
      </c>
      <c r="E136" s="1847" t="s">
        <v>2006</v>
      </c>
      <c r="F136" s="1848"/>
      <c r="G136" s="1959">
        <f>Main!R60</f>
        <v>0</v>
      </c>
      <c r="H136" s="1959">
        <f t="shared" si="129"/>
        <v>0</v>
      </c>
      <c r="I136" s="1974">
        <v>1350</v>
      </c>
      <c r="J136" s="1974">
        <v>1350</v>
      </c>
      <c r="K136" s="1974">
        <v>1350</v>
      </c>
      <c r="L136" s="1974">
        <v>1400</v>
      </c>
      <c r="M136" s="1974">
        <v>1400</v>
      </c>
      <c r="N136" s="1975">
        <v>0.73</v>
      </c>
      <c r="O136" s="1975">
        <v>0.13</v>
      </c>
      <c r="P136" s="1975">
        <f t="shared" si="127"/>
        <v>0.14000000000000001</v>
      </c>
      <c r="Q136" s="1976" t="s">
        <v>538</v>
      </c>
      <c r="R136" s="1976" t="s">
        <v>538</v>
      </c>
      <c r="S136" s="1977" t="e">
        <f t="shared" si="128"/>
        <v>#VALUE!</v>
      </c>
      <c r="T136" s="1959"/>
    </row>
    <row r="137" spans="2:20" ht="14.25" customHeight="1">
      <c r="B137" s="1959"/>
      <c r="C137" s="2019"/>
      <c r="D137" s="1850"/>
      <c r="E137" s="1847" t="s">
        <v>1461</v>
      </c>
      <c r="F137" s="1848"/>
      <c r="G137" s="1959">
        <f>Main!R61</f>
        <v>0</v>
      </c>
      <c r="H137" s="1959">
        <f t="shared" si="129"/>
        <v>0</v>
      </c>
      <c r="I137" s="1974">
        <v>1100</v>
      </c>
      <c r="J137" s="1974">
        <v>1100</v>
      </c>
      <c r="K137" s="1974">
        <v>1100</v>
      </c>
      <c r="L137" s="1974">
        <v>1100</v>
      </c>
      <c r="M137" s="1974">
        <v>1100</v>
      </c>
      <c r="N137" s="1975">
        <v>0.77</v>
      </c>
      <c r="O137" s="1975">
        <v>7.0000000000000007E-2</v>
      </c>
      <c r="P137" s="1975">
        <f t="shared" si="127"/>
        <v>0.15999999999999998</v>
      </c>
      <c r="Q137" s="1976" t="s">
        <v>538</v>
      </c>
      <c r="R137" s="1976" t="s">
        <v>538</v>
      </c>
      <c r="S137" s="1977" t="e">
        <f t="shared" si="128"/>
        <v>#VALUE!</v>
      </c>
      <c r="T137" s="1959"/>
    </row>
    <row r="138" spans="2:20" ht="14.25" customHeight="1">
      <c r="B138" s="1959"/>
      <c r="C138" s="2019"/>
      <c r="D138" s="1850"/>
      <c r="E138" s="1851" t="s">
        <v>1462</v>
      </c>
      <c r="F138" s="1855"/>
      <c r="G138" s="1959">
        <f>Main!R62</f>
        <v>0</v>
      </c>
      <c r="H138" s="1959">
        <f t="shared" si="129"/>
        <v>0</v>
      </c>
      <c r="I138" s="1974">
        <v>1850</v>
      </c>
      <c r="J138" s="1974">
        <v>1850</v>
      </c>
      <c r="K138" s="1974">
        <v>1850</v>
      </c>
      <c r="L138" s="1974">
        <v>1850</v>
      </c>
      <c r="M138" s="1974">
        <v>1850</v>
      </c>
      <c r="N138" s="1975">
        <v>0.69</v>
      </c>
      <c r="O138" s="1975">
        <v>0.16</v>
      </c>
      <c r="P138" s="1975">
        <f t="shared" si="127"/>
        <v>0.15000000000000005</v>
      </c>
      <c r="Q138" s="1976" t="s">
        <v>538</v>
      </c>
      <c r="R138" s="1976" t="s">
        <v>538</v>
      </c>
      <c r="S138" s="1977" t="e">
        <f t="shared" si="128"/>
        <v>#VALUE!</v>
      </c>
      <c r="T138" s="1959"/>
    </row>
    <row r="139" spans="2:20" ht="14.25" customHeight="1">
      <c r="B139" s="1959"/>
      <c r="C139" s="2019"/>
      <c r="D139" s="1847" t="s">
        <v>1451</v>
      </c>
      <c r="E139" s="1854"/>
      <c r="F139" s="1848"/>
      <c r="G139" s="1959">
        <f>Main!R63</f>
        <v>0</v>
      </c>
      <c r="H139" s="1959">
        <f t="shared" si="129"/>
        <v>0</v>
      </c>
      <c r="I139" s="1974">
        <v>500</v>
      </c>
      <c r="J139" s="1974">
        <v>500</v>
      </c>
      <c r="K139" s="1974">
        <v>500</v>
      </c>
      <c r="L139" s="1974">
        <v>500</v>
      </c>
      <c r="M139" s="1974">
        <v>500</v>
      </c>
      <c r="N139" s="1975">
        <v>1</v>
      </c>
      <c r="O139" s="1975">
        <v>0</v>
      </c>
      <c r="P139" s="1975">
        <f t="shared" si="127"/>
        <v>0</v>
      </c>
      <c r="Q139" s="1976" t="s">
        <v>538</v>
      </c>
      <c r="R139" s="1976" t="s">
        <v>538</v>
      </c>
      <c r="S139" s="1977" t="e">
        <f t="shared" si="128"/>
        <v>#VALUE!</v>
      </c>
      <c r="T139" s="1959"/>
    </row>
    <row r="140" spans="2:20" ht="14.25" customHeight="1">
      <c r="B140" s="1959"/>
      <c r="C140" s="2019"/>
      <c r="D140" s="1847" t="s">
        <v>1452</v>
      </c>
      <c r="E140" s="1854"/>
      <c r="F140" s="1848"/>
      <c r="G140" s="1959">
        <f>Main!R64</f>
        <v>0</v>
      </c>
      <c r="H140" s="1959">
        <f t="shared" si="129"/>
        <v>0</v>
      </c>
      <c r="I140" s="1974">
        <v>2200</v>
      </c>
      <c r="J140" s="1974">
        <v>2200</v>
      </c>
      <c r="K140" s="1974">
        <v>2200</v>
      </c>
      <c r="L140" s="1974">
        <v>2450</v>
      </c>
      <c r="M140" s="1974">
        <v>2950</v>
      </c>
      <c r="N140" s="1975">
        <v>0.48</v>
      </c>
      <c r="O140" s="1975">
        <v>0.13</v>
      </c>
      <c r="P140" s="1975">
        <f t="shared" si="127"/>
        <v>0.39</v>
      </c>
      <c r="Q140" s="1976" t="s">
        <v>538</v>
      </c>
      <c r="R140" s="1976" t="s">
        <v>538</v>
      </c>
      <c r="S140" s="1977" t="e">
        <f t="shared" si="128"/>
        <v>#VALUE!</v>
      </c>
      <c r="T140" s="1959"/>
    </row>
    <row r="141" spans="2:20">
      <c r="B141" s="1959"/>
      <c r="C141" s="2019"/>
      <c r="D141" s="1847" t="s">
        <v>1453</v>
      </c>
      <c r="E141" s="1854"/>
      <c r="F141" s="1848"/>
      <c r="G141" s="1959">
        <f>Main!R65</f>
        <v>0</v>
      </c>
      <c r="H141" s="1959">
        <f t="shared" si="129"/>
        <v>0</v>
      </c>
      <c r="I141" s="1974">
        <v>2450</v>
      </c>
      <c r="J141" s="1974">
        <v>2450</v>
      </c>
      <c r="K141" s="1974">
        <v>2450</v>
      </c>
      <c r="L141" s="1974">
        <v>2750</v>
      </c>
      <c r="M141" s="1974">
        <v>2750</v>
      </c>
      <c r="N141" s="1975">
        <v>0.42</v>
      </c>
      <c r="O141" s="1975">
        <v>0.14000000000000001</v>
      </c>
      <c r="P141" s="1975">
        <f t="shared" si="127"/>
        <v>0.44000000000000006</v>
      </c>
      <c r="Q141" s="1976" t="s">
        <v>538</v>
      </c>
      <c r="R141" s="1976" t="s">
        <v>538</v>
      </c>
      <c r="S141" s="1977" t="e">
        <f t="shared" si="128"/>
        <v>#VALUE!</v>
      </c>
      <c r="T141" s="1959"/>
    </row>
    <row r="142" spans="2:20" ht="13.15" hidden="1" customHeight="1">
      <c r="B142" s="1959"/>
      <c r="C142" s="2019"/>
      <c r="D142" s="1856"/>
      <c r="E142" s="1857"/>
      <c r="F142" s="1858"/>
      <c r="G142" s="1959">
        <f>Main!R66</f>
        <v>0</v>
      </c>
      <c r="H142" s="1959">
        <f>IF(G142&gt;=$I$121,I142,IF(G142&gt;=$J$121,J142,IF(G142&gt;=$K$121,K142,IF(G142&gt;=$L$121,L142,IF(G142&gt;=$M$121,M142,0)))))</f>
        <v>0</v>
      </c>
      <c r="I142" s="1974"/>
      <c r="J142" s="1974"/>
      <c r="K142" s="1974"/>
      <c r="L142" s="1974"/>
      <c r="M142" s="1974"/>
      <c r="N142" s="1978"/>
      <c r="O142" s="1979"/>
      <c r="P142" s="1979"/>
      <c r="Q142" s="1980"/>
      <c r="R142" s="1980"/>
      <c r="S142" s="1977" t="e">
        <f t="shared" si="128"/>
        <v>#VALUE!</v>
      </c>
      <c r="T142" s="1959"/>
    </row>
    <row r="143" spans="2:20">
      <c r="B143" s="1959"/>
      <c r="C143" s="2019"/>
      <c r="D143" s="1859" t="s">
        <v>2007</v>
      </c>
      <c r="E143" s="1853" t="s">
        <v>2009</v>
      </c>
      <c r="F143" s="1858"/>
      <c r="G143" s="1959"/>
      <c r="H143" s="1959" t="str">
        <f>IF(G143&gt;=$I$121,I143,IF(G143&gt;=$J$121,J143,IF(G143&gt;=$K$121,K143,IF(G143&gt;=$L$121,L143,IF(G143&gt;=$M$121,M143,0)))))</f>
        <v>-</v>
      </c>
      <c r="I143" s="1981" t="s">
        <v>538</v>
      </c>
      <c r="J143" s="1981" t="s">
        <v>538</v>
      </c>
      <c r="K143" s="1981" t="s">
        <v>538</v>
      </c>
      <c r="L143" s="1981" t="s">
        <v>538</v>
      </c>
      <c r="M143" s="1981" t="s">
        <v>538</v>
      </c>
      <c r="N143" s="1975">
        <v>0.52100000000000002</v>
      </c>
      <c r="O143" s="1975">
        <v>0.22700000000000001</v>
      </c>
      <c r="P143" s="1975">
        <v>0.14699999999999999</v>
      </c>
      <c r="Q143" s="1975">
        <v>0.10100000000000001</v>
      </c>
      <c r="R143" s="1975">
        <v>1E-3</v>
      </c>
      <c r="S143" s="1977" t="e">
        <f>SUMPRODUCT(N143:R143,$N$121:$R$121)</f>
        <v>#VALUE!</v>
      </c>
      <c r="T143" s="1953" t="s">
        <v>2098</v>
      </c>
    </row>
    <row r="144" spans="2:20">
      <c r="B144" s="1959"/>
      <c r="C144" s="2019"/>
      <c r="D144" s="1860"/>
      <c r="E144" s="1847" t="s">
        <v>2008</v>
      </c>
      <c r="F144" s="1848"/>
      <c r="G144" s="2564"/>
      <c r="H144" s="2564">
        <f>IF(G144&gt;=$I$121,I144,IF(G144&gt;=$J$121,J144,IF(G144&gt;=$K$121,K144,IF(G144&gt;=$L$121,L144,IF(G144&gt;=$M$121,M144,0)))))</f>
        <v>0</v>
      </c>
      <c r="I144" s="1982" t="s">
        <v>2084</v>
      </c>
      <c r="J144" s="1983"/>
      <c r="K144" s="1983"/>
      <c r="L144" s="1983"/>
      <c r="M144" s="1984"/>
      <c r="N144" s="1985">
        <v>1</v>
      </c>
      <c r="O144" s="1985">
        <v>0</v>
      </c>
      <c r="P144" s="1985">
        <v>0</v>
      </c>
      <c r="Q144" s="1986" t="s">
        <v>538</v>
      </c>
      <c r="R144" s="1986" t="s">
        <v>538</v>
      </c>
      <c r="S144" s="1977" t="e">
        <f t="shared" si="128"/>
        <v>#VALUE!</v>
      </c>
      <c r="T144" s="1959"/>
    </row>
    <row r="145" spans="2:41" hidden="1">
      <c r="B145" s="1959"/>
      <c r="C145" s="1959"/>
      <c r="D145" s="2016" t="s">
        <v>2097</v>
      </c>
      <c r="E145" s="1857"/>
      <c r="F145" s="1858"/>
      <c r="G145" s="1959"/>
      <c r="H145" s="1959"/>
      <c r="I145" s="3160" t="s">
        <v>538</v>
      </c>
      <c r="J145" s="3160" t="s">
        <v>538</v>
      </c>
      <c r="K145" s="3160" t="s">
        <v>538</v>
      </c>
      <c r="L145" s="3160" t="s">
        <v>538</v>
      </c>
      <c r="M145" s="3160" t="s">
        <v>538</v>
      </c>
      <c r="N145" s="3161"/>
      <c r="O145" s="3161"/>
      <c r="P145" s="3161"/>
      <c r="Q145" s="3162" t="s">
        <v>538</v>
      </c>
      <c r="R145" s="3162"/>
      <c r="S145" s="3163" t="e">
        <f t="shared" si="128"/>
        <v>#VALUE!</v>
      </c>
      <c r="T145" s="1959"/>
    </row>
    <row r="146" spans="2:41">
      <c r="B146" s="1959"/>
      <c r="C146" s="1959"/>
      <c r="D146" s="1987" t="s">
        <v>2020</v>
      </c>
      <c r="E146" s="2561" t="s">
        <v>2019</v>
      </c>
      <c r="F146" s="1529"/>
      <c r="G146" s="1529"/>
      <c r="H146" s="1529"/>
      <c r="I146" s="1529"/>
      <c r="J146" s="1529"/>
      <c r="K146" s="1529"/>
      <c r="L146" s="1529"/>
      <c r="M146" s="1529"/>
      <c r="N146" s="1529"/>
      <c r="O146" s="1529"/>
      <c r="P146" s="2561" t="s">
        <v>2021</v>
      </c>
      <c r="Q146" s="1529"/>
      <c r="R146" s="1529"/>
      <c r="S146" s="1529"/>
      <c r="T146" s="1959"/>
    </row>
    <row r="147" spans="2:41" ht="25.15" customHeight="1">
      <c r="B147" s="1959"/>
      <c r="C147" s="1959"/>
      <c r="D147" s="1959"/>
      <c r="E147" s="4446" t="s">
        <v>2022</v>
      </c>
      <c r="F147" s="4446"/>
      <c r="G147" s="4446"/>
      <c r="H147" s="4446"/>
      <c r="I147" s="4446"/>
      <c r="J147" s="4446"/>
      <c r="K147" s="4446"/>
      <c r="L147" s="4446"/>
      <c r="M147" s="4446"/>
      <c r="N147" s="4446"/>
      <c r="O147" s="4446"/>
      <c r="P147" s="4446"/>
      <c r="Q147" s="4446"/>
      <c r="R147" s="4446"/>
      <c r="S147" s="4446"/>
      <c r="T147" s="1959"/>
    </row>
    <row r="148" spans="2:41" ht="14.25" customHeight="1">
      <c r="B148" s="1959"/>
      <c r="C148" s="1959"/>
      <c r="D148" s="1959"/>
      <c r="E148" s="2561" t="s">
        <v>2023</v>
      </c>
      <c r="F148" s="1529"/>
      <c r="G148" s="1529"/>
      <c r="H148" s="1529"/>
      <c r="I148" s="1529"/>
      <c r="J148" s="1529"/>
      <c r="K148" s="1529"/>
      <c r="L148" s="1529"/>
      <c r="M148" s="1529"/>
      <c r="N148" s="1529"/>
      <c r="O148" s="1529"/>
      <c r="P148" s="2561"/>
      <c r="Q148" s="1529"/>
      <c r="R148" s="1529"/>
      <c r="S148" s="1529"/>
      <c r="T148" s="1959"/>
    </row>
    <row r="149" spans="2:41" ht="6.75" customHeight="1">
      <c r="B149" s="1959"/>
      <c r="C149" s="1959"/>
      <c r="D149" s="1959"/>
      <c r="E149" s="1959"/>
      <c r="F149" s="1959"/>
      <c r="G149" s="1959"/>
      <c r="H149" s="1959"/>
      <c r="I149" s="1959"/>
      <c r="J149" s="1959"/>
      <c r="K149" s="1959"/>
      <c r="L149" s="1959"/>
      <c r="M149" s="1959"/>
      <c r="N149" s="1959"/>
      <c r="O149" s="1959"/>
      <c r="P149" s="1959"/>
      <c r="Q149" s="1959"/>
      <c r="R149" s="1959"/>
      <c r="S149" s="1959"/>
      <c r="T149" s="1959"/>
    </row>
    <row r="150" spans="2:41" ht="14.25" customHeight="1">
      <c r="B150" s="1959"/>
      <c r="C150" s="1959"/>
      <c r="D150" s="400" t="s">
        <v>3427</v>
      </c>
      <c r="E150" s="1959"/>
      <c r="F150" s="1959"/>
      <c r="G150" s="1959"/>
      <c r="H150" s="1959"/>
      <c r="I150" s="1959"/>
      <c r="J150" s="1959"/>
      <c r="K150" s="1959"/>
      <c r="L150" s="1959"/>
      <c r="M150" s="1959"/>
      <c r="O150" s="1959"/>
      <c r="P150" s="1959"/>
      <c r="Q150" s="1987"/>
      <c r="R150" s="1987"/>
      <c r="S150" s="1959"/>
      <c r="T150" s="1959"/>
      <c r="U150" s="1959"/>
      <c r="V150" s="1959"/>
      <c r="W150" s="1959"/>
      <c r="X150" s="1959"/>
      <c r="Y150" s="1959"/>
      <c r="Z150" s="1959"/>
      <c r="AA150" s="1959"/>
      <c r="AB150" s="1959"/>
      <c r="AC150" s="1959"/>
      <c r="AF150" s="1105" t="s">
        <v>2099</v>
      </c>
      <c r="AJ150" s="1105" t="s">
        <v>2100</v>
      </c>
      <c r="AK150" s="1988">
        <v>21241</v>
      </c>
      <c r="AL150" s="1105" t="s">
        <v>1371</v>
      </c>
      <c r="AM150" s="1989" t="s">
        <v>2101</v>
      </c>
      <c r="AN150" s="1990">
        <v>120.08</v>
      </c>
      <c r="AO150" s="1105" t="s">
        <v>2102</v>
      </c>
    </row>
    <row r="151" spans="2:41" ht="14.25" customHeight="1">
      <c r="B151" s="1959"/>
      <c r="C151" s="1959"/>
      <c r="D151" s="1862" t="s">
        <v>2024</v>
      </c>
      <c r="E151" s="1863"/>
      <c r="F151" s="1991" t="s">
        <v>2027</v>
      </c>
      <c r="G151" s="1959"/>
      <c r="H151" s="1959"/>
      <c r="I151" s="1864" t="s">
        <v>2029</v>
      </c>
      <c r="J151" s="1862" t="s">
        <v>1957</v>
      </c>
      <c r="K151" s="1863"/>
      <c r="L151" s="1863"/>
      <c r="M151" s="1863"/>
      <c r="N151" s="1863"/>
      <c r="O151" s="1863"/>
      <c r="P151" s="1992" t="s">
        <v>2103</v>
      </c>
      <c r="Q151" s="1967"/>
      <c r="R151" s="1959"/>
      <c r="S151" s="1959"/>
      <c r="AF151" s="1862" t="s">
        <v>2104</v>
      </c>
      <c r="AG151" s="1863"/>
      <c r="AH151" s="1993" t="s">
        <v>2105</v>
      </c>
      <c r="AI151" s="1993" t="s">
        <v>2106</v>
      </c>
      <c r="AJ151" s="1993" t="s">
        <v>2107</v>
      </c>
      <c r="AK151" s="1993" t="s">
        <v>2108</v>
      </c>
      <c r="AL151" s="1993" t="s">
        <v>2109</v>
      </c>
      <c r="AM151" s="1993" t="s">
        <v>2110</v>
      </c>
      <c r="AN151" s="1993" t="s">
        <v>2111</v>
      </c>
      <c r="AO151" s="1993" t="s">
        <v>2112</v>
      </c>
    </row>
    <row r="152" spans="2:41" ht="13.9" customHeight="1">
      <c r="B152" s="1959"/>
      <c r="C152" s="1959"/>
      <c r="D152" s="1864" t="s">
        <v>2025</v>
      </c>
      <c r="E152" s="1864" t="s">
        <v>2026</v>
      </c>
      <c r="F152" s="1859" t="s">
        <v>2028</v>
      </c>
      <c r="G152" s="1959"/>
      <c r="H152" s="1959">
        <v>1</v>
      </c>
      <c r="I152" s="1991">
        <f>Main!K19</f>
        <v>3</v>
      </c>
      <c r="J152" s="1864">
        <v>1</v>
      </c>
      <c r="K152" s="1864">
        <v>2</v>
      </c>
      <c r="L152" s="1864">
        <v>3</v>
      </c>
      <c r="M152" s="1864">
        <v>4</v>
      </c>
      <c r="N152" s="1864">
        <v>5</v>
      </c>
      <c r="O152" s="1864">
        <v>6</v>
      </c>
      <c r="P152" s="1864">
        <v>7</v>
      </c>
      <c r="Q152" s="1864">
        <v>8</v>
      </c>
      <c r="R152" s="1959"/>
      <c r="S152" s="1959"/>
      <c r="T152" s="1994" t="s">
        <v>2113</v>
      </c>
      <c r="U152" s="1995">
        <v>1</v>
      </c>
      <c r="V152" s="1995">
        <v>2</v>
      </c>
      <c r="W152" s="1995">
        <v>3</v>
      </c>
      <c r="X152" s="1995">
        <v>4</v>
      </c>
      <c r="Y152" s="1995">
        <v>5</v>
      </c>
      <c r="Z152" s="1995">
        <v>6</v>
      </c>
      <c r="AA152" s="1995">
        <v>7</v>
      </c>
      <c r="AB152" s="1995">
        <v>8</v>
      </c>
      <c r="AF152" s="1864" t="s">
        <v>2114</v>
      </c>
      <c r="AG152" s="1862" t="s">
        <v>2115</v>
      </c>
      <c r="AH152" s="1996"/>
      <c r="AI152" s="1996"/>
      <c r="AJ152" s="1996"/>
      <c r="AK152" s="1996"/>
      <c r="AL152" s="1996"/>
      <c r="AM152" s="1996"/>
      <c r="AN152" s="1996"/>
      <c r="AO152" s="1996"/>
    </row>
    <row r="153" spans="2:41" ht="14.25" customHeight="1">
      <c r="B153" s="1959"/>
      <c r="C153" s="1959"/>
      <c r="D153" s="1859"/>
      <c r="E153" s="1959"/>
      <c r="F153" s="1864" t="s">
        <v>2030</v>
      </c>
      <c r="G153" s="1864" t="s">
        <v>1345</v>
      </c>
      <c r="H153" s="1864">
        <v>2</v>
      </c>
      <c r="I153" s="1997">
        <f>HLOOKUP($I$152,$J$152:$Q$176,H153)</f>
        <v>1119.7618254497002</v>
      </c>
      <c r="J153" s="1998">
        <f>((AH153-$AK$150)*$Y$157+$AK$150)/$AN$150</f>
        <v>1427.406728847435</v>
      </c>
      <c r="K153" s="1998">
        <f t="shared" ref="K153:P153" si="130">((AI153-$AK$150)*$Y$157+$AK$150)/$AN$150</f>
        <v>1258.0196535642906</v>
      </c>
      <c r="L153" s="1998">
        <f t="shared" si="130"/>
        <v>1119.7618254497002</v>
      </c>
      <c r="M153" s="1998">
        <f t="shared" si="130"/>
        <v>1120.244836775483</v>
      </c>
      <c r="N153" s="1998">
        <f t="shared" si="130"/>
        <v>1036.3757495003331</v>
      </c>
      <c r="O153" s="1998">
        <f t="shared" si="130"/>
        <v>940.7728181212525</v>
      </c>
      <c r="P153" s="1998">
        <f t="shared" si="130"/>
        <v>817.3384410393071</v>
      </c>
      <c r="Q153" s="1998">
        <f>((AO153-$AK$150)*$Y$157+$AK$150)/$AN$150</f>
        <v>853.28947368421052</v>
      </c>
      <c r="R153" s="1999"/>
      <c r="S153" s="2000"/>
      <c r="T153" s="1994" t="s">
        <v>2116</v>
      </c>
      <c r="U153" s="2001">
        <f t="shared" ref="U153:Z153" si="131">MAX(J153:J176)</f>
        <v>1552.4583610926049</v>
      </c>
      <c r="V153" s="2001">
        <f t="shared" si="131"/>
        <v>1366.1325782811459</v>
      </c>
      <c r="W153" s="2001">
        <f t="shared" si="131"/>
        <v>1214.0489673550967</v>
      </c>
      <c r="X153" s="2001">
        <f t="shared" si="131"/>
        <v>1214.5802798134575</v>
      </c>
      <c r="Y153" s="2001">
        <f t="shared" si="131"/>
        <v>1122.3242838107928</v>
      </c>
      <c r="Z153" s="2001">
        <f t="shared" si="131"/>
        <v>1017.1610592938042</v>
      </c>
      <c r="AA153" s="2001">
        <f>MAX(P153:P176)</f>
        <v>881.38324450366429</v>
      </c>
      <c r="AB153" s="2001">
        <f>MAX(Q153:Q176)</f>
        <v>920.92938041305808</v>
      </c>
      <c r="AF153" s="1991"/>
      <c r="AG153" s="1991"/>
      <c r="AH153" s="2002">
        <f>AH155</f>
        <v>171403</v>
      </c>
      <c r="AI153" s="2002">
        <f t="shared" ref="AI153:AO153" si="132">AI155</f>
        <v>151063</v>
      </c>
      <c r="AJ153" s="2002">
        <f t="shared" si="132"/>
        <v>134461</v>
      </c>
      <c r="AK153" s="2002">
        <f t="shared" si="132"/>
        <v>134519</v>
      </c>
      <c r="AL153" s="2002">
        <f t="shared" si="132"/>
        <v>124448</v>
      </c>
      <c r="AM153" s="2002">
        <f t="shared" si="132"/>
        <v>112968</v>
      </c>
      <c r="AN153" s="2002">
        <f t="shared" si="132"/>
        <v>98146</v>
      </c>
      <c r="AO153" s="2002">
        <f t="shared" si="132"/>
        <v>102463</v>
      </c>
    </row>
    <row r="154" spans="2:41" ht="14.25" customHeight="1">
      <c r="B154" s="1959"/>
      <c r="C154" s="1959"/>
      <c r="D154" s="1859" t="s">
        <v>2117</v>
      </c>
      <c r="E154" s="1959" t="s">
        <v>2118</v>
      </c>
      <c r="F154" s="1864" t="s">
        <v>2031</v>
      </c>
      <c r="G154" s="1864" t="s">
        <v>1346</v>
      </c>
      <c r="H154" s="1864">
        <v>3</v>
      </c>
      <c r="I154" s="1997">
        <f t="shared" ref="I154:I175" si="133">HLOOKUP($I$152,$J$152:$Q$176,H154)</f>
        <v>1214.0489673550967</v>
      </c>
      <c r="J154" s="1998">
        <f>((AH154-$AK$150)*$Y$158+$AK$150)/$AN$150</f>
        <v>1552.4583610926049</v>
      </c>
      <c r="K154" s="1998">
        <f t="shared" ref="K154:Q154" si="134">((AI154-$AK$150)*$Y$158+$AK$150)/$AN$150</f>
        <v>1366.1325782811459</v>
      </c>
      <c r="L154" s="1998">
        <f t="shared" si="134"/>
        <v>1214.0489673550967</v>
      </c>
      <c r="M154" s="1998">
        <f t="shared" si="134"/>
        <v>1214.5802798134575</v>
      </c>
      <c r="N154" s="1998">
        <f t="shared" si="134"/>
        <v>1122.3242838107928</v>
      </c>
      <c r="O154" s="1998">
        <f t="shared" si="134"/>
        <v>1017.1610592938042</v>
      </c>
      <c r="P154" s="1998">
        <f>((AN154-$AK$150)*$Y$158+$AK$150)/$AN$150</f>
        <v>881.38324450366429</v>
      </c>
      <c r="Q154" s="1998">
        <f t="shared" si="134"/>
        <v>920.92938041305808</v>
      </c>
      <c r="R154" s="1999"/>
      <c r="S154" s="2000"/>
      <c r="T154" s="2003" t="s">
        <v>2119</v>
      </c>
      <c r="U154" s="2004">
        <f>J153</f>
        <v>1427.406728847435</v>
      </c>
      <c r="V154" s="2004">
        <f>K153</f>
        <v>1258.0196535642906</v>
      </c>
      <c r="W154" s="2004">
        <f>L161</f>
        <v>883.52764823451037</v>
      </c>
      <c r="X154" s="2004">
        <f>M161</f>
        <v>902.11525649566954</v>
      </c>
      <c r="Y154" s="2004">
        <f>N161</f>
        <v>843.36275816122588</v>
      </c>
      <c r="Z154" s="2004">
        <f>O161</f>
        <v>828.32278481012656</v>
      </c>
      <c r="AA154" s="2004">
        <f>P161</f>
        <v>750.64956695536307</v>
      </c>
      <c r="AB154" s="2004">
        <f>Q153</f>
        <v>853.28947368421052</v>
      </c>
      <c r="AF154" s="1859" t="s">
        <v>2117</v>
      </c>
      <c r="AG154" s="1859" t="s">
        <v>2118</v>
      </c>
      <c r="AH154" s="2005">
        <f>AH155</f>
        <v>171403</v>
      </c>
      <c r="AI154" s="2005">
        <f t="shared" ref="AI154:AO154" si="135">AI155</f>
        <v>151063</v>
      </c>
      <c r="AJ154" s="2005">
        <f t="shared" si="135"/>
        <v>134461</v>
      </c>
      <c r="AK154" s="2005">
        <f t="shared" si="135"/>
        <v>134519</v>
      </c>
      <c r="AL154" s="2005">
        <f t="shared" si="135"/>
        <v>124448</v>
      </c>
      <c r="AM154" s="2005">
        <f t="shared" si="135"/>
        <v>112968</v>
      </c>
      <c r="AN154" s="2005">
        <f t="shared" si="135"/>
        <v>98146</v>
      </c>
      <c r="AO154" s="2005">
        <f t="shared" si="135"/>
        <v>102463</v>
      </c>
    </row>
    <row r="155" spans="2:41" ht="14.25" customHeight="1">
      <c r="B155" s="1959"/>
      <c r="C155" s="1959"/>
      <c r="D155" s="1859"/>
      <c r="E155" s="1959"/>
      <c r="F155" s="1864" t="s">
        <v>2032</v>
      </c>
      <c r="G155" s="1864" t="s">
        <v>1347</v>
      </c>
      <c r="H155" s="1864">
        <v>4</v>
      </c>
      <c r="I155" s="1997">
        <f t="shared" si="133"/>
        <v>1119.7618254497002</v>
      </c>
      <c r="J155" s="1998">
        <f>((AH155-$AK$150)*$Y$159+$AK$150)/$AN$150</f>
        <v>1427.406728847435</v>
      </c>
      <c r="K155" s="1998">
        <f t="shared" ref="K155:P155" si="136">((AI155-$AK$150)*$Y$159+$AK$150)/$AN$150</f>
        <v>1258.0196535642906</v>
      </c>
      <c r="L155" s="1998">
        <f t="shared" si="136"/>
        <v>1119.7618254497002</v>
      </c>
      <c r="M155" s="1998">
        <f t="shared" si="136"/>
        <v>1120.244836775483</v>
      </c>
      <c r="N155" s="1998">
        <f t="shared" si="136"/>
        <v>1036.3757495003331</v>
      </c>
      <c r="O155" s="1998">
        <f t="shared" si="136"/>
        <v>940.7728181212525</v>
      </c>
      <c r="P155" s="1998">
        <f t="shared" si="136"/>
        <v>817.3384410393071</v>
      </c>
      <c r="Q155" s="1998">
        <f>((AO155-$AK$150)*$Y$159+$AK$150)/$AN$150</f>
        <v>853.28947368421052</v>
      </c>
      <c r="R155" s="1999"/>
      <c r="S155" s="2000"/>
      <c r="T155" s="1994" t="s">
        <v>2120</v>
      </c>
      <c r="U155" s="2004" t="s">
        <v>1349</v>
      </c>
      <c r="V155" s="2004" t="s">
        <v>1349</v>
      </c>
      <c r="W155" s="2004" t="s">
        <v>1350</v>
      </c>
      <c r="X155" s="2004" t="s">
        <v>1350</v>
      </c>
      <c r="Y155" s="2004" t="s">
        <v>1350</v>
      </c>
      <c r="Z155" s="2004" t="s">
        <v>1350</v>
      </c>
      <c r="AA155" s="2004" t="s">
        <v>1350</v>
      </c>
      <c r="AB155" s="2004" t="s">
        <v>1349</v>
      </c>
      <c r="AF155" s="1859" t="s">
        <v>2121</v>
      </c>
      <c r="AG155" s="1859" t="s">
        <v>2121</v>
      </c>
      <c r="AH155" s="2006">
        <v>171403</v>
      </c>
      <c r="AI155" s="2006">
        <v>151063</v>
      </c>
      <c r="AJ155" s="2006">
        <v>134461</v>
      </c>
      <c r="AK155" s="2006">
        <v>134519</v>
      </c>
      <c r="AL155" s="2006">
        <v>124448</v>
      </c>
      <c r="AM155" s="2006">
        <v>112968</v>
      </c>
      <c r="AN155" s="2006">
        <v>98146</v>
      </c>
      <c r="AO155" s="2006">
        <v>102463</v>
      </c>
    </row>
    <row r="156" spans="2:41" ht="14.25" customHeight="1">
      <c r="B156" s="1959"/>
      <c r="C156" s="1959"/>
      <c r="D156" s="2007"/>
      <c r="E156" s="1860"/>
      <c r="F156" s="1864" t="s">
        <v>2033</v>
      </c>
      <c r="G156" s="1864" t="s">
        <v>1348</v>
      </c>
      <c r="H156" s="1864">
        <v>5</v>
      </c>
      <c r="I156" s="1997">
        <f t="shared" si="133"/>
        <v>931.18754163890742</v>
      </c>
      <c r="J156" s="1998">
        <f>((AH156-$AK$150)*$Y$160+$AK$150)/$AN$150</f>
        <v>1177.3034643570954</v>
      </c>
      <c r="K156" s="1998">
        <f t="shared" ref="K156:Q156" si="137">((AI156-$AK$150)*$Y$160+$AK$150)/$AN$150</f>
        <v>1041.7938041305797</v>
      </c>
      <c r="L156" s="1998">
        <f t="shared" si="137"/>
        <v>931.18754163890742</v>
      </c>
      <c r="M156" s="1998">
        <f t="shared" si="137"/>
        <v>931.57395069953373</v>
      </c>
      <c r="N156" s="1998">
        <f t="shared" si="137"/>
        <v>864.47868087941379</v>
      </c>
      <c r="O156" s="1998">
        <f t="shared" si="137"/>
        <v>787.99633577614929</v>
      </c>
      <c r="P156" s="1998">
        <f t="shared" si="137"/>
        <v>689.24883411059295</v>
      </c>
      <c r="Q156" s="1998">
        <f t="shared" si="137"/>
        <v>718.00966022651573</v>
      </c>
      <c r="R156" s="1999"/>
      <c r="S156" s="2000"/>
      <c r="AF156" s="2008" t="s">
        <v>2122</v>
      </c>
      <c r="AG156" s="2008" t="s">
        <v>2122</v>
      </c>
      <c r="AH156" s="2009">
        <f>AH155</f>
        <v>171403</v>
      </c>
      <c r="AI156" s="2009">
        <f t="shared" ref="AI156:AO156" si="138">AI155</f>
        <v>151063</v>
      </c>
      <c r="AJ156" s="2009">
        <f t="shared" si="138"/>
        <v>134461</v>
      </c>
      <c r="AK156" s="2009">
        <f t="shared" si="138"/>
        <v>134519</v>
      </c>
      <c r="AL156" s="2009">
        <f t="shared" si="138"/>
        <v>124448</v>
      </c>
      <c r="AM156" s="2009">
        <f t="shared" si="138"/>
        <v>112968</v>
      </c>
      <c r="AN156" s="2009">
        <f t="shared" si="138"/>
        <v>98146</v>
      </c>
      <c r="AO156" s="2009">
        <f t="shared" si="138"/>
        <v>102463</v>
      </c>
    </row>
    <row r="157" spans="2:41" ht="14.25" customHeight="1">
      <c r="B157" s="1959"/>
      <c r="C157" s="1959"/>
      <c r="D157" s="2010"/>
      <c r="E157" s="1991"/>
      <c r="F157" s="1864" t="str">
        <f>F153</f>
        <v>Reference</v>
      </c>
      <c r="G157" s="1864" t="s">
        <v>1351</v>
      </c>
      <c r="H157" s="1864">
        <v>6</v>
      </c>
      <c r="I157" s="1997">
        <f t="shared" si="133"/>
        <v>1099.1922051965357</v>
      </c>
      <c r="J157" s="1998">
        <f>((AH157-$AK$150)*$Y$157+$AK$150)/$AN$150</f>
        <v>1413.7824783477681</v>
      </c>
      <c r="K157" s="1998">
        <f t="shared" ref="K157" si="139">((AI157-$AK$150)*$Y$157+$AK$150)/$AN$150</f>
        <v>1245.4696868754163</v>
      </c>
      <c r="L157" s="1998">
        <f t="shared" ref="L157" si="140">((AJ157-$AK$150)*$Y$157+$AK$150)/$AN$150</f>
        <v>1099.1922051965357</v>
      </c>
      <c r="M157" s="1998">
        <f t="shared" ref="M157" si="141">((AK157-$AK$150)*$Y$157+$AK$150)/$AN$150</f>
        <v>1084.5686209193871</v>
      </c>
      <c r="N157" s="1998">
        <f t="shared" ref="N157" si="142">((AL157-$AK$150)*$Y$157+$AK$150)/$AN$150</f>
        <v>1001.9153897401733</v>
      </c>
      <c r="O157" s="1998">
        <f>((AM157-$AK$150)*$Y$157+$AK$150)/$AN$150</f>
        <v>864.6568954030646</v>
      </c>
      <c r="P157" s="1998">
        <f t="shared" ref="P157" si="143">((AN157-$AK$150)*$Y$157+$AK$150)/$AN$150</f>
        <v>718.66255829447039</v>
      </c>
      <c r="Q157" s="1998">
        <f t="shared" ref="Q157" si="144">((AO157-$AK$150)*$Y$157+$AK$150)/$AN$150</f>
        <v>573.71752165223188</v>
      </c>
      <c r="R157" s="1999"/>
      <c r="S157" s="2011"/>
      <c r="X157" s="2012" t="s">
        <v>2123</v>
      </c>
      <c r="Y157" s="2013">
        <v>1</v>
      </c>
      <c r="Z157" s="1105" t="s">
        <v>2124</v>
      </c>
      <c r="AF157" s="1991"/>
      <c r="AG157" s="1991"/>
      <c r="AH157" s="2002">
        <f>AH159</f>
        <v>169767</v>
      </c>
      <c r="AI157" s="2002">
        <f t="shared" ref="AI157:AO157" si="145">AI159</f>
        <v>149556</v>
      </c>
      <c r="AJ157" s="2002">
        <f t="shared" si="145"/>
        <v>131991</v>
      </c>
      <c r="AK157" s="2002">
        <f t="shared" si="145"/>
        <v>130235</v>
      </c>
      <c r="AL157" s="2002">
        <f t="shared" si="145"/>
        <v>120310</v>
      </c>
      <c r="AM157" s="2002">
        <f t="shared" si="145"/>
        <v>103828</v>
      </c>
      <c r="AN157" s="2002">
        <f t="shared" si="145"/>
        <v>86297</v>
      </c>
      <c r="AO157" s="2002">
        <f t="shared" si="145"/>
        <v>68892</v>
      </c>
    </row>
    <row r="158" spans="2:41" ht="14.25" customHeight="1">
      <c r="B158" s="1959"/>
      <c r="C158" s="1959"/>
      <c r="D158" s="2007" t="s">
        <v>2117</v>
      </c>
      <c r="E158" s="1859" t="s">
        <v>2125</v>
      </c>
      <c r="F158" s="1864" t="str">
        <f t="shared" ref="F158:F176" si="146">F154</f>
        <v>Level 1</v>
      </c>
      <c r="G158" s="1864" t="s">
        <v>1352</v>
      </c>
      <c r="H158" s="1864">
        <v>7</v>
      </c>
      <c r="I158" s="1997">
        <f t="shared" si="133"/>
        <v>1191.4223850766157</v>
      </c>
      <c r="J158" s="1998">
        <f>((AH158-$AK$150)*$Y$158+$AK$150)/$AN$150</f>
        <v>1537.4716855429715</v>
      </c>
      <c r="K158" s="1998">
        <f t="shared" ref="K158" si="147">((AI158-$AK$150)*$Y$158+$AK$150)/$AN$150</f>
        <v>1352.3276149233843</v>
      </c>
      <c r="L158" s="1998">
        <f t="shared" ref="L158" si="148">((AJ158-$AK$150)*$Y$158+$AK$150)/$AN$150</f>
        <v>1191.4223850766157</v>
      </c>
      <c r="M158" s="1998">
        <f t="shared" ref="M158" si="149">((AK158-$AK$150)*$Y$158+$AK$150)/$AN$150</f>
        <v>1175.3364423717524</v>
      </c>
      <c r="N158" s="1998">
        <f t="shared" ref="N158" si="150">((AL158-$AK$150)*$Y$158+$AK$150)/$AN$150</f>
        <v>1084.4178880746169</v>
      </c>
      <c r="O158" s="1998">
        <f t="shared" ref="O158" si="151">((AM158-$AK$150)*$Y$158+$AK$150)/$AN$150</f>
        <v>933.43354430379759</v>
      </c>
      <c r="P158" s="1998">
        <f>((AN158-$AK$150)*$Y$158+$AK$150)/$AN$150</f>
        <v>772.83977348434382</v>
      </c>
      <c r="Q158" s="1998">
        <f t="shared" ref="Q158" si="152">((AO158-$AK$150)*$Y$158+$AK$150)/$AN$150</f>
        <v>613.40023317788143</v>
      </c>
      <c r="R158" s="1999"/>
      <c r="S158" s="2011"/>
      <c r="X158" s="1864" t="s">
        <v>2126</v>
      </c>
      <c r="Y158" s="2014">
        <v>1.1000000000000001</v>
      </c>
      <c r="AF158" s="1859" t="s">
        <v>2117</v>
      </c>
      <c r="AG158" s="1859" t="s">
        <v>2125</v>
      </c>
      <c r="AH158" s="2005">
        <f>AH159</f>
        <v>169767</v>
      </c>
      <c r="AI158" s="2005">
        <f t="shared" ref="AI158" si="153">AI159</f>
        <v>149556</v>
      </c>
      <c r="AJ158" s="2005">
        <f t="shared" ref="AJ158" si="154">AJ159</f>
        <v>131991</v>
      </c>
      <c r="AK158" s="2005">
        <f t="shared" ref="AK158" si="155">AK159</f>
        <v>130235</v>
      </c>
      <c r="AL158" s="2005">
        <f t="shared" ref="AL158" si="156">AL159</f>
        <v>120310</v>
      </c>
      <c r="AM158" s="2005">
        <f t="shared" ref="AM158" si="157">AM159</f>
        <v>103828</v>
      </c>
      <c r="AN158" s="2005">
        <f t="shared" ref="AN158" si="158">AN159</f>
        <v>86297</v>
      </c>
      <c r="AO158" s="2005">
        <f t="shared" ref="AO158" si="159">AO159</f>
        <v>68892</v>
      </c>
    </row>
    <row r="159" spans="2:41" ht="13.9" customHeight="1">
      <c r="B159" s="1959"/>
      <c r="C159" s="1959"/>
      <c r="D159" s="2007"/>
      <c r="E159" s="1859"/>
      <c r="F159" s="1864" t="str">
        <f t="shared" si="146"/>
        <v>Level 2</v>
      </c>
      <c r="G159" s="1864" t="s">
        <v>1353</v>
      </c>
      <c r="H159" s="1864">
        <v>8</v>
      </c>
      <c r="I159" s="1997">
        <f t="shared" si="133"/>
        <v>1099.1922051965357</v>
      </c>
      <c r="J159" s="1998">
        <f>((AH159-$AK$150)*$Y$159+$AK$150)/$AN$150</f>
        <v>1413.7824783477681</v>
      </c>
      <c r="K159" s="1998">
        <f t="shared" ref="K159" si="160">((AI159-$AK$150)*$Y$159+$AK$150)/$AN$150</f>
        <v>1245.4696868754163</v>
      </c>
      <c r="L159" s="1998">
        <f t="shared" ref="L159" si="161">((AJ159-$AK$150)*$Y$159+$AK$150)/$AN$150</f>
        <v>1099.1922051965357</v>
      </c>
      <c r="M159" s="1998">
        <f t="shared" ref="M159" si="162">((AK159-$AK$150)*$Y$159+$AK$150)/$AN$150</f>
        <v>1084.5686209193871</v>
      </c>
      <c r="N159" s="1998">
        <f>((AL159-$AK$150)*$Y$159+$AK$150)/$AN$150</f>
        <v>1001.9153897401733</v>
      </c>
      <c r="O159" s="1998">
        <f t="shared" ref="O159" si="163">((AM159-$AK$150)*$Y$159+$AK$150)/$AN$150</f>
        <v>864.6568954030646</v>
      </c>
      <c r="P159" s="1998">
        <f t="shared" ref="P159" si="164">((AN159-$AK$150)*$Y$159+$AK$150)/$AN$150</f>
        <v>718.66255829447039</v>
      </c>
      <c r="Q159" s="1998">
        <f t="shared" ref="Q159" si="165">((AO159-$AK$150)*$Y$159+$AK$150)/$AN$150</f>
        <v>573.71752165223188</v>
      </c>
      <c r="R159" s="1999"/>
      <c r="S159" s="2011"/>
      <c r="X159" s="2015" t="s">
        <v>2127</v>
      </c>
      <c r="Y159" s="2014">
        <v>1</v>
      </c>
      <c r="AF159" s="1859" t="s">
        <v>2121</v>
      </c>
      <c r="AG159" s="1859" t="s">
        <v>2128</v>
      </c>
      <c r="AH159" s="2006">
        <v>169767</v>
      </c>
      <c r="AI159" s="2006">
        <v>149556</v>
      </c>
      <c r="AJ159" s="2006">
        <v>131991</v>
      </c>
      <c r="AK159" s="2006">
        <v>130235</v>
      </c>
      <c r="AL159" s="2006">
        <v>120310</v>
      </c>
      <c r="AM159" s="2006">
        <v>103828</v>
      </c>
      <c r="AN159" s="2006">
        <v>86297</v>
      </c>
      <c r="AO159" s="2006">
        <v>68892</v>
      </c>
    </row>
    <row r="160" spans="2:41" ht="13.9" customHeight="1">
      <c r="B160" s="1959"/>
      <c r="C160" s="1959"/>
      <c r="D160" s="2016"/>
      <c r="E160" s="1860"/>
      <c r="F160" s="1967" t="str">
        <f t="shared" si="146"/>
        <v>Level 4</v>
      </c>
      <c r="G160" s="1864" t="s">
        <v>1354</v>
      </c>
      <c r="H160" s="1864">
        <v>9</v>
      </c>
      <c r="I160" s="1997">
        <f t="shared" si="133"/>
        <v>914.73184543637581</v>
      </c>
      <c r="J160" s="1998">
        <f>((AH160-$AK$150)*$Y$160+$AK$150)/$AN$150</f>
        <v>1166.4040639573616</v>
      </c>
      <c r="K160" s="1998">
        <f t="shared" ref="K160" si="166">((AI160-$AK$150)*$Y$160+$AK$150)/$AN$150</f>
        <v>1031.7538307794803</v>
      </c>
      <c r="L160" s="1998">
        <f t="shared" ref="L160" si="167">((AJ160-$AK$150)*$Y$160+$AK$150)/$AN$150</f>
        <v>914.73184543637581</v>
      </c>
      <c r="M160" s="1998">
        <f t="shared" ref="M160" si="168">((AK160-$AK$150)*$Y$160+$AK$150)/$AN$150</f>
        <v>903.03297801465703</v>
      </c>
      <c r="N160" s="1998">
        <f t="shared" ref="N160" si="169">((AL160-$AK$150)*$Y$160+$AK$150)/$AN$150</f>
        <v>836.91039307128597</v>
      </c>
      <c r="O160" s="1998">
        <f t="shared" ref="O160" si="170">((AM160-$AK$150)*$Y$160+$AK$150)/$AN$150</f>
        <v>727.10359760159895</v>
      </c>
      <c r="P160" s="1998">
        <f t="shared" ref="P160" si="171">((AN160-$AK$150)*$Y$160+$AK$150)/$AN$150</f>
        <v>610.30812791472351</v>
      </c>
      <c r="Q160" s="1998">
        <f t="shared" ref="Q160" si="172">((AO160-$AK$150)*$Y$160+$AK$150)/$AN$150</f>
        <v>494.35209860093272</v>
      </c>
      <c r="R160" s="1999"/>
      <c r="S160" s="2011"/>
      <c r="X160" s="2015" t="s">
        <v>2129</v>
      </c>
      <c r="Y160" s="2014">
        <v>0.8</v>
      </c>
      <c r="AF160" s="2008" t="s">
        <v>2122</v>
      </c>
      <c r="AG160" s="2017" t="s">
        <v>2130</v>
      </c>
      <c r="AH160" s="2009">
        <f>AH159</f>
        <v>169767</v>
      </c>
      <c r="AI160" s="2009">
        <f t="shared" ref="AI160" si="173">AI159</f>
        <v>149556</v>
      </c>
      <c r="AJ160" s="2009">
        <f t="shared" ref="AJ160" si="174">AJ159</f>
        <v>131991</v>
      </c>
      <c r="AK160" s="2009">
        <f t="shared" ref="AK160" si="175">AK159</f>
        <v>130235</v>
      </c>
      <c r="AL160" s="2009">
        <f t="shared" ref="AL160" si="176">AL159</f>
        <v>120310</v>
      </c>
      <c r="AM160" s="2009">
        <f t="shared" ref="AM160" si="177">AM159</f>
        <v>103828</v>
      </c>
      <c r="AN160" s="2009">
        <f t="shared" ref="AN160" si="178">AN159</f>
        <v>86297</v>
      </c>
      <c r="AO160" s="2009">
        <f t="shared" ref="AO160" si="179">AO159</f>
        <v>68892</v>
      </c>
    </row>
    <row r="161" spans="2:41" ht="14.25" customHeight="1">
      <c r="B161" s="1959"/>
      <c r="C161" s="1959"/>
      <c r="D161" s="1991"/>
      <c r="E161" s="1991"/>
      <c r="F161" s="1864" t="str">
        <f t="shared" si="146"/>
        <v>Reference</v>
      </c>
      <c r="G161" s="1864" t="s">
        <v>1355</v>
      </c>
      <c r="H161" s="1864">
        <v>10</v>
      </c>
      <c r="I161" s="1997">
        <f t="shared" si="133"/>
        <v>883.52764823451037</v>
      </c>
      <c r="J161" s="1998">
        <f>((AH161-$AK$150)*$Y$157+$AK$150)/$AN$150</f>
        <v>999.56695536309132</v>
      </c>
      <c r="K161" s="1998">
        <f t="shared" ref="K161" si="180">((AI161-$AK$150)*$Y$157+$AK$150)/$AN$150</f>
        <v>943.71252498334445</v>
      </c>
      <c r="L161" s="1998">
        <f t="shared" ref="L161" si="181">((AJ161-$AK$150)*$Y$157+$AK$150)/$AN$150</f>
        <v>883.52764823451037</v>
      </c>
      <c r="M161" s="1998">
        <f t="shared" ref="M161" si="182">((AK161-$AK$150)*$Y$157+$AK$150)/$AN$150</f>
        <v>902.11525649566954</v>
      </c>
      <c r="N161" s="1998">
        <f t="shared" ref="N161" si="183">((AL161-$AK$150)*$Y$157+$AK$150)/$AN$150</f>
        <v>843.36275816122588</v>
      </c>
      <c r="O161" s="1998">
        <f t="shared" ref="O161" si="184">((AM161-$AK$150)*$Y$157+$AK$150)/$AN$150</f>
        <v>828.32278481012656</v>
      </c>
      <c r="P161" s="1998">
        <f t="shared" ref="P161" si="185">((AN161-$AK$150)*$Y$157+$AK$150)/$AN$150</f>
        <v>750.64956695536307</v>
      </c>
      <c r="Q161" s="1998">
        <f t="shared" ref="Q161" si="186">((AO161-$AK$150)*$Y$157+$AK$150)/$AN$150</f>
        <v>853.28947368421052</v>
      </c>
      <c r="R161" s="1999"/>
      <c r="AF161" s="1991"/>
      <c r="AG161" s="1991"/>
      <c r="AH161" s="2002">
        <f>AH163</f>
        <v>120028</v>
      </c>
      <c r="AI161" s="2002">
        <f t="shared" ref="AI161:AO161" si="187">AI163</f>
        <v>113321</v>
      </c>
      <c r="AJ161" s="2002">
        <f t="shared" si="187"/>
        <v>106094</v>
      </c>
      <c r="AK161" s="2002">
        <f t="shared" si="187"/>
        <v>108326</v>
      </c>
      <c r="AL161" s="2002">
        <f t="shared" si="187"/>
        <v>101271</v>
      </c>
      <c r="AM161" s="2002">
        <f t="shared" si="187"/>
        <v>99465</v>
      </c>
      <c r="AN161" s="2002">
        <f t="shared" si="187"/>
        <v>90138</v>
      </c>
      <c r="AO161" s="2002">
        <f t="shared" si="187"/>
        <v>102463</v>
      </c>
    </row>
    <row r="162" spans="2:41" ht="14.25" customHeight="1">
      <c r="B162" s="1959"/>
      <c r="C162" s="1959"/>
      <c r="D162" s="1859" t="s">
        <v>2131</v>
      </c>
      <c r="E162" s="1859" t="s">
        <v>2118</v>
      </c>
      <c r="F162" s="1864" t="str">
        <f t="shared" si="146"/>
        <v>Level 1</v>
      </c>
      <c r="G162" s="1864" t="s">
        <v>1356</v>
      </c>
      <c r="H162" s="1864">
        <v>11</v>
      </c>
      <c r="I162" s="1997">
        <f t="shared" si="133"/>
        <v>954.1913724183878</v>
      </c>
      <c r="J162" s="1998">
        <f>((AH162-$AK$150)*$Y$158+$AK$150)/$AN$150</f>
        <v>1081.8346102598268</v>
      </c>
      <c r="K162" s="1998">
        <f t="shared" ref="K162" si="188">((AI162-$AK$150)*$Y$158+$AK$150)/$AN$150</f>
        <v>1020.3947368421054</v>
      </c>
      <c r="L162" s="1998">
        <f t="shared" ref="L162" si="189">((AJ162-$AK$150)*$Y$158+$AK$150)/$AN$150</f>
        <v>954.1913724183878</v>
      </c>
      <c r="M162" s="1998">
        <f t="shared" ref="M162" si="190">((AK162-$AK$150)*$Y$158+$AK$150)/$AN$150</f>
        <v>974.63774150566303</v>
      </c>
      <c r="N162" s="1998">
        <f t="shared" ref="N162" si="191">((AL162-$AK$150)*$Y$158+$AK$150)/$AN$150</f>
        <v>910.00999333777486</v>
      </c>
      <c r="O162" s="1998">
        <f t="shared" ref="O162" si="192">((AM162-$AK$150)*$Y$158+$AK$150)/$AN$150</f>
        <v>893.46602265156571</v>
      </c>
      <c r="P162" s="1998">
        <f>((AN162-$AK$150)*$Y$158+$AK$150)/$AN$150</f>
        <v>808.02548301132595</v>
      </c>
      <c r="Q162" s="1998">
        <f t="shared" ref="Q162" si="193">((AO162-$AK$150)*$Y$158+$AK$150)/$AN$150</f>
        <v>920.92938041305808</v>
      </c>
      <c r="R162" s="1999"/>
      <c r="AF162" s="1859" t="s">
        <v>2131</v>
      </c>
      <c r="AG162" s="1859" t="s">
        <v>2118</v>
      </c>
      <c r="AH162" s="2005">
        <f>AH163</f>
        <v>120028</v>
      </c>
      <c r="AI162" s="2005">
        <f t="shared" ref="AI162" si="194">AI163</f>
        <v>113321</v>
      </c>
      <c r="AJ162" s="2005">
        <f t="shared" ref="AJ162" si="195">AJ163</f>
        <v>106094</v>
      </c>
      <c r="AK162" s="2005">
        <f t="shared" ref="AK162" si="196">AK163</f>
        <v>108326</v>
      </c>
      <c r="AL162" s="2005">
        <f t="shared" ref="AL162" si="197">AL163</f>
        <v>101271</v>
      </c>
      <c r="AM162" s="2005">
        <f t="shared" ref="AM162" si="198">AM163</f>
        <v>99465</v>
      </c>
      <c r="AN162" s="2005">
        <f t="shared" ref="AN162" si="199">AN163</f>
        <v>90138</v>
      </c>
      <c r="AO162" s="2005">
        <f t="shared" ref="AO162" si="200">AO163</f>
        <v>102463</v>
      </c>
    </row>
    <row r="163" spans="2:41" ht="14.25" customHeight="1">
      <c r="B163" s="1959"/>
      <c r="C163" s="1959"/>
      <c r="D163" s="1859"/>
      <c r="E163" s="1859"/>
      <c r="F163" s="1864" t="str">
        <f t="shared" si="146"/>
        <v>Level 2</v>
      </c>
      <c r="G163" s="1864" t="s">
        <v>1357</v>
      </c>
      <c r="H163" s="1864">
        <v>12</v>
      </c>
      <c r="I163" s="1997">
        <f t="shared" si="133"/>
        <v>883.52764823451037</v>
      </c>
      <c r="J163" s="1998">
        <f>((AH163-$AK$150)*$Y$159+$AK$150)/$AN$150</f>
        <v>999.56695536309132</v>
      </c>
      <c r="K163" s="1998">
        <f t="shared" ref="K163" si="201">((AI163-$AK$150)*$Y$159+$AK$150)/$AN$150</f>
        <v>943.71252498334445</v>
      </c>
      <c r="L163" s="1998">
        <f t="shared" ref="L163" si="202">((AJ163-$AK$150)*$Y$159+$AK$150)/$AN$150</f>
        <v>883.52764823451037</v>
      </c>
      <c r="M163" s="1998">
        <f t="shared" ref="M163" si="203">((AK163-$AK$150)*$Y$159+$AK$150)/$AN$150</f>
        <v>902.11525649566954</v>
      </c>
      <c r="N163" s="1998">
        <f t="shared" ref="N163" si="204">((AL163-$AK$150)*$Y$159+$AK$150)/$AN$150</f>
        <v>843.36275816122588</v>
      </c>
      <c r="O163" s="1998">
        <f t="shared" ref="O163" si="205">((AM163-$AK$150)*$Y$159+$AK$150)/$AN$150</f>
        <v>828.32278481012656</v>
      </c>
      <c r="P163" s="1998">
        <f t="shared" ref="P163" si="206">((AN163-$AK$150)*$Y$159+$AK$150)/$AN$150</f>
        <v>750.64956695536307</v>
      </c>
      <c r="Q163" s="1998">
        <f t="shared" ref="Q163" si="207">((AO163-$AK$150)*$Y$159+$AK$150)/$AN$150</f>
        <v>853.28947368421052</v>
      </c>
      <c r="R163" s="1999"/>
      <c r="AF163" s="1859" t="s">
        <v>2132</v>
      </c>
      <c r="AG163" s="1859" t="s">
        <v>2121</v>
      </c>
      <c r="AH163" s="2006">
        <v>120028</v>
      </c>
      <c r="AI163" s="2006">
        <v>113321</v>
      </c>
      <c r="AJ163" s="2006">
        <v>106094</v>
      </c>
      <c r="AK163" s="2006">
        <v>108326</v>
      </c>
      <c r="AL163" s="2006">
        <v>101271</v>
      </c>
      <c r="AM163" s="2006">
        <v>99465</v>
      </c>
      <c r="AN163" s="2006">
        <v>90138</v>
      </c>
      <c r="AO163" s="2006">
        <v>102463</v>
      </c>
    </row>
    <row r="164" spans="2:41" ht="14.25" customHeight="1">
      <c r="B164" s="1959"/>
      <c r="C164" s="1959"/>
      <c r="D164" s="2016"/>
      <c r="E164" s="1860"/>
      <c r="F164" s="1967" t="str">
        <f t="shared" si="146"/>
        <v>Level 4</v>
      </c>
      <c r="G164" s="1864" t="s">
        <v>1358</v>
      </c>
      <c r="H164" s="1864">
        <v>13</v>
      </c>
      <c r="I164" s="1997">
        <f t="shared" si="133"/>
        <v>742.20019986675561</v>
      </c>
      <c r="J164" s="1998">
        <f>((AH164-$AK$150)*$Y$160+$AK$150)/$AN$150</f>
        <v>835.03164556962031</v>
      </c>
      <c r="K164" s="1998">
        <f t="shared" ref="K164" si="208">((AI164-$AK$150)*$Y$160+$AK$150)/$AN$150</f>
        <v>790.34810126582283</v>
      </c>
      <c r="L164" s="1998">
        <f t="shared" ref="L164" si="209">((AJ164-$AK$150)*$Y$160+$AK$150)/$AN$150</f>
        <v>742.20019986675561</v>
      </c>
      <c r="M164" s="1998">
        <f t="shared" ref="M164" si="210">((AK164-$AK$150)*$Y$160+$AK$150)/$AN$150</f>
        <v>757.07028647568291</v>
      </c>
      <c r="N164" s="1998">
        <f t="shared" ref="N164" si="211">((AL164-$AK$150)*$Y$160+$AK$150)/$AN$150</f>
        <v>710.06828780812793</v>
      </c>
      <c r="O164" s="1998">
        <f t="shared" ref="O164" si="212">((AM164-$AK$150)*$Y$160+$AK$150)/$AN$150</f>
        <v>698.03630912724861</v>
      </c>
      <c r="P164" s="1998">
        <f t="shared" ref="P164" si="213">((AN164-$AK$150)*$Y$160+$AK$150)/$AN$150</f>
        <v>635.89773484343777</v>
      </c>
      <c r="Q164" s="1998">
        <f t="shared" ref="Q164" si="214">((AO164-$AK$150)*$Y$160+$AK$150)/$AN$150</f>
        <v>718.00966022651573</v>
      </c>
      <c r="R164" s="1999"/>
      <c r="S164" s="2000"/>
      <c r="AF164" s="2017" t="s">
        <v>2133</v>
      </c>
      <c r="AG164" s="2008" t="s">
        <v>2122</v>
      </c>
      <c r="AH164" s="2009">
        <f>AH163</f>
        <v>120028</v>
      </c>
      <c r="AI164" s="2009">
        <f t="shared" ref="AI164" si="215">AI163</f>
        <v>113321</v>
      </c>
      <c r="AJ164" s="2009">
        <f t="shared" ref="AJ164" si="216">AJ163</f>
        <v>106094</v>
      </c>
      <c r="AK164" s="2009">
        <f t="shared" ref="AK164" si="217">AK163</f>
        <v>108326</v>
      </c>
      <c r="AL164" s="2009">
        <f t="shared" ref="AL164" si="218">AL163</f>
        <v>101271</v>
      </c>
      <c r="AM164" s="2009">
        <f t="shared" ref="AM164" si="219">AM163</f>
        <v>99465</v>
      </c>
      <c r="AN164" s="2009">
        <f t="shared" ref="AN164" si="220">AN163</f>
        <v>90138</v>
      </c>
      <c r="AO164" s="2009">
        <f t="shared" ref="AO164" si="221">AO163</f>
        <v>102463</v>
      </c>
    </row>
    <row r="165" spans="2:41" ht="14.25" customHeight="1">
      <c r="B165" s="1959"/>
      <c r="C165" s="1959"/>
      <c r="D165" s="2010"/>
      <c r="E165" s="1991"/>
      <c r="F165" s="1864" t="str">
        <f t="shared" si="146"/>
        <v>Reference</v>
      </c>
      <c r="G165" s="1864" t="s">
        <v>1359</v>
      </c>
      <c r="H165" s="1864">
        <v>14</v>
      </c>
      <c r="I165" s="1997">
        <f t="shared" si="133"/>
        <v>862.96635576282483</v>
      </c>
      <c r="J165" s="1998">
        <f>((AH165-$AK$150)*$Y$157+$AK$150)/$AN$150</f>
        <v>985.94270486342441</v>
      </c>
      <c r="K165" s="1998">
        <f t="shared" ref="K165" si="222">((AI165-$AK$150)*$Y$157+$AK$150)/$AN$150</f>
        <v>931.1708860759494</v>
      </c>
      <c r="L165" s="1998">
        <f t="shared" ref="L165" si="223">((AJ165-$AK$150)*$Y$157+$AK$150)/$AN$150</f>
        <v>862.96635576282483</v>
      </c>
      <c r="M165" s="1998">
        <f t="shared" ref="M165" si="224">((AK165-$AK$150)*$Y$157+$AK$150)/$AN$150</f>
        <v>866.43904063957359</v>
      </c>
      <c r="N165" s="1998">
        <f t="shared" ref="N165" si="225">((AL165-$AK$150)*$Y$157+$AK$150)/$AN$150</f>
        <v>808.91072618254498</v>
      </c>
      <c r="O165" s="1998">
        <f t="shared" ref="O165" si="226">((AM165-$AK$150)*$Y$157+$AK$150)/$AN$150</f>
        <v>752.21518987341778</v>
      </c>
      <c r="P165" s="1998">
        <f t="shared" ref="P165" si="227">((AN165-$AK$150)*$Y$157+$AK$150)/$AN$150</f>
        <v>651.96535642904735</v>
      </c>
      <c r="Q165" s="1998">
        <f t="shared" ref="Q165" si="228">((AO165-$AK$150)*$Y$157+$AK$150)/$AN$150</f>
        <v>573.71752165223188</v>
      </c>
      <c r="R165" s="1999"/>
      <c r="AF165" s="1991"/>
      <c r="AG165" s="1991"/>
      <c r="AH165" s="2002">
        <f>AH167</f>
        <v>118392</v>
      </c>
      <c r="AI165" s="2002">
        <f t="shared" ref="AI165:AO165" si="229">AI167</f>
        <v>111815</v>
      </c>
      <c r="AJ165" s="2002">
        <f t="shared" si="229"/>
        <v>103625</v>
      </c>
      <c r="AK165" s="2002">
        <f t="shared" si="229"/>
        <v>104042</v>
      </c>
      <c r="AL165" s="2002">
        <f t="shared" si="229"/>
        <v>97134</v>
      </c>
      <c r="AM165" s="2002">
        <f t="shared" si="229"/>
        <v>90326</v>
      </c>
      <c r="AN165" s="2002">
        <f t="shared" si="229"/>
        <v>78288</v>
      </c>
      <c r="AO165" s="2002">
        <f t="shared" si="229"/>
        <v>68892</v>
      </c>
    </row>
    <row r="166" spans="2:41" ht="14.25" customHeight="1">
      <c r="B166" s="1959"/>
      <c r="C166" s="1959"/>
      <c r="D166" s="2007" t="s">
        <v>2131</v>
      </c>
      <c r="E166" s="1859" t="s">
        <v>2125</v>
      </c>
      <c r="F166" s="1864" t="str">
        <f t="shared" si="146"/>
        <v>Level 1</v>
      </c>
      <c r="G166" s="1864" t="s">
        <v>1360</v>
      </c>
      <c r="H166" s="1864">
        <v>15</v>
      </c>
      <c r="I166" s="1997">
        <f t="shared" si="133"/>
        <v>931.57395069953373</v>
      </c>
      <c r="J166" s="1998">
        <f>((AH166-$AK$150)*$Y$158+$AK$150)/$AN$150</f>
        <v>1066.8479347101932</v>
      </c>
      <c r="K166" s="1998">
        <f t="shared" ref="K166" si="230">((AI166-$AK$150)*$Y$158+$AK$150)/$AN$150</f>
        <v>1006.5989340439708</v>
      </c>
      <c r="L166" s="1998">
        <f t="shared" ref="L166" si="231">((AJ166-$AK$150)*$Y$158+$AK$150)/$AN$150</f>
        <v>931.57395069953373</v>
      </c>
      <c r="M166" s="1998">
        <f t="shared" ref="M166" si="232">((AK166-$AK$150)*$Y$158+$AK$150)/$AN$150</f>
        <v>935.39390406395739</v>
      </c>
      <c r="N166" s="1998">
        <f t="shared" ref="N166" si="233">((AL166-$AK$150)*$Y$158+$AK$150)/$AN$150</f>
        <v>872.11275816122588</v>
      </c>
      <c r="O166" s="1998">
        <f t="shared" ref="O166" si="234">((AM166-$AK$150)*$Y$158+$AK$150)/$AN$150</f>
        <v>809.7476682211859</v>
      </c>
      <c r="P166" s="1998">
        <f>((AN166-$AK$150)*$Y$158+$AK$150)/$AN$150</f>
        <v>699.47285143237855</v>
      </c>
      <c r="Q166" s="1998">
        <f t="shared" ref="Q166" si="235">((AO166-$AK$150)*$Y$158+$AK$150)/$AN$150</f>
        <v>613.40023317788143</v>
      </c>
      <c r="R166" s="1999"/>
      <c r="AF166" s="1859" t="s">
        <v>2131</v>
      </c>
      <c r="AG166" s="1859" t="s">
        <v>2125</v>
      </c>
      <c r="AH166" s="2005">
        <f>AH167</f>
        <v>118392</v>
      </c>
      <c r="AI166" s="2005">
        <f t="shared" ref="AI166" si="236">AI167</f>
        <v>111815</v>
      </c>
      <c r="AJ166" s="2005">
        <f t="shared" ref="AJ166" si="237">AJ167</f>
        <v>103625</v>
      </c>
      <c r="AK166" s="2005">
        <f t="shared" ref="AK166" si="238">AK167</f>
        <v>104042</v>
      </c>
      <c r="AL166" s="2005">
        <f t="shared" ref="AL166" si="239">AL167</f>
        <v>97134</v>
      </c>
      <c r="AM166" s="2005">
        <f t="shared" ref="AM166" si="240">AM167</f>
        <v>90326</v>
      </c>
      <c r="AN166" s="2005">
        <f t="shared" ref="AN166" si="241">AN167</f>
        <v>78288</v>
      </c>
      <c r="AO166" s="2005">
        <f t="shared" ref="AO166" si="242">AO167</f>
        <v>68892</v>
      </c>
    </row>
    <row r="167" spans="2:41">
      <c r="B167" s="1959"/>
      <c r="C167" s="1959"/>
      <c r="D167" s="2007"/>
      <c r="E167" s="1859"/>
      <c r="F167" s="1864" t="str">
        <f t="shared" si="146"/>
        <v>Level 2</v>
      </c>
      <c r="G167" s="1864" t="s">
        <v>1361</v>
      </c>
      <c r="H167" s="1864">
        <v>16</v>
      </c>
      <c r="I167" s="1997">
        <f>HLOOKUP($I$152,$J$152:$Q$176,H167)</f>
        <v>862.96635576282483</v>
      </c>
      <c r="J167" s="1998">
        <f>((AH167-$AK$150)*$Y$159+$AK$150)/$AN$150</f>
        <v>985.94270486342441</v>
      </c>
      <c r="K167" s="1998">
        <f t="shared" ref="K167" si="243">((AI167-$AK$150)*$Y$159+$AK$150)/$AN$150</f>
        <v>931.1708860759494</v>
      </c>
      <c r="L167" s="1998">
        <f t="shared" ref="L167" si="244">((AJ167-$AK$150)*$Y$159+$AK$150)/$AN$150</f>
        <v>862.96635576282483</v>
      </c>
      <c r="M167" s="1998">
        <f t="shared" ref="M167" si="245">((AK167-$AK$150)*$Y$159+$AK$150)/$AN$150</f>
        <v>866.43904063957359</v>
      </c>
      <c r="N167" s="1998">
        <f t="shared" ref="N167" si="246">((AL167-$AK$150)*$Y$159+$AK$150)/$AN$150</f>
        <v>808.91072618254498</v>
      </c>
      <c r="O167" s="1998">
        <f t="shared" ref="O167" si="247">((AM167-$AK$150)*$Y$159+$AK$150)/$AN$150</f>
        <v>752.21518987341778</v>
      </c>
      <c r="P167" s="1998">
        <f t="shared" ref="P167" si="248">((AN167-$AK$150)*$Y$159+$AK$150)/$AN$150</f>
        <v>651.96535642904735</v>
      </c>
      <c r="Q167" s="1998">
        <f t="shared" ref="Q167" si="249">((AO167-$AK$150)*$Y$159+$AK$150)/$AN$150</f>
        <v>573.71752165223188</v>
      </c>
      <c r="R167" s="1999"/>
      <c r="AF167" s="1859" t="s">
        <v>2132</v>
      </c>
      <c r="AG167" s="1859" t="s">
        <v>2128</v>
      </c>
      <c r="AH167" s="2006">
        <v>118392</v>
      </c>
      <c r="AI167" s="2006">
        <v>111815</v>
      </c>
      <c r="AJ167" s="2006">
        <v>103625</v>
      </c>
      <c r="AK167" s="2006">
        <v>104042</v>
      </c>
      <c r="AL167" s="2006">
        <v>97134</v>
      </c>
      <c r="AM167" s="2006">
        <v>90326</v>
      </c>
      <c r="AN167" s="2006">
        <v>78288</v>
      </c>
      <c r="AO167" s="2006">
        <v>68892</v>
      </c>
    </row>
    <row r="168" spans="2:41">
      <c r="B168" s="1959"/>
      <c r="C168" s="1959"/>
      <c r="D168" s="2016"/>
      <c r="E168" s="1860"/>
      <c r="F168" s="1967" t="str">
        <f t="shared" si="146"/>
        <v>Level 4</v>
      </c>
      <c r="G168" s="1864" t="s">
        <v>1362</v>
      </c>
      <c r="H168" s="1864">
        <v>17</v>
      </c>
      <c r="I168" s="1997">
        <f t="shared" si="133"/>
        <v>725.75116588940705</v>
      </c>
      <c r="J168" s="1998">
        <f>((AH168-$AK$150)*$Y$160+$AK$150)/$AN$150</f>
        <v>824.1322451698868</v>
      </c>
      <c r="K168" s="1998">
        <f t="shared" ref="K168" si="250">((AI168-$AK$150)*$Y$160+$AK$150)/$AN$150</f>
        <v>780.31479013990668</v>
      </c>
      <c r="L168" s="1998">
        <f t="shared" ref="L168" si="251">((AJ168-$AK$150)*$Y$160+$AK$150)/$AN$150</f>
        <v>725.75116588940705</v>
      </c>
      <c r="M168" s="1998">
        <f t="shared" ref="M168" si="252">((AK168-$AK$150)*$Y$160+$AK$150)/$AN$150</f>
        <v>728.52931379080621</v>
      </c>
      <c r="N168" s="1998">
        <f t="shared" ref="N168" si="253">((AL168-$AK$150)*$Y$160+$AK$150)/$AN$150</f>
        <v>682.50666222518316</v>
      </c>
      <c r="O168" s="1998">
        <f t="shared" ref="O168" si="254">((AM168-$AK$150)*$Y$160+$AK$150)/$AN$150</f>
        <v>637.15023317788143</v>
      </c>
      <c r="P168" s="1998">
        <f t="shared" ref="P168" si="255">((AN168-$AK$150)*$Y$160+$AK$150)/$AN$150</f>
        <v>556.95036642238517</v>
      </c>
      <c r="Q168" s="1998">
        <f t="shared" ref="Q168" si="256">((AO168-$AK$150)*$Y$160+$AK$150)/$AN$150</f>
        <v>494.35209860093272</v>
      </c>
      <c r="R168" s="1999"/>
      <c r="S168" s="2000"/>
      <c r="AF168" s="2017" t="s">
        <v>2133</v>
      </c>
      <c r="AG168" s="2017" t="s">
        <v>2130</v>
      </c>
      <c r="AH168" s="2009">
        <f>AH167</f>
        <v>118392</v>
      </c>
      <c r="AI168" s="2009">
        <f t="shared" ref="AI168" si="257">AI167</f>
        <v>111815</v>
      </c>
      <c r="AJ168" s="2009">
        <f t="shared" ref="AJ168" si="258">AJ167</f>
        <v>103625</v>
      </c>
      <c r="AK168" s="2009">
        <f t="shared" ref="AK168" si="259">AK167</f>
        <v>104042</v>
      </c>
      <c r="AL168" s="2009">
        <f t="shared" ref="AL168" si="260">AL167</f>
        <v>97134</v>
      </c>
      <c r="AM168" s="2009">
        <f t="shared" ref="AM168" si="261">AM167</f>
        <v>90326</v>
      </c>
      <c r="AN168" s="2009">
        <f t="shared" ref="AN168" si="262">AN167</f>
        <v>78288</v>
      </c>
      <c r="AO168" s="2009">
        <f t="shared" ref="AO168" si="263">AO167</f>
        <v>68892</v>
      </c>
    </row>
    <row r="169" spans="2:41">
      <c r="B169" s="1959"/>
      <c r="C169" s="1959"/>
      <c r="D169" s="1991"/>
      <c r="E169" s="2018"/>
      <c r="F169" s="1864" t="str">
        <f t="shared" si="146"/>
        <v>Reference</v>
      </c>
      <c r="G169" s="1864" t="s">
        <v>1363</v>
      </c>
      <c r="H169" s="1864">
        <v>18</v>
      </c>
      <c r="I169" s="1997">
        <f t="shared" si="133"/>
        <v>823.09293804130584</v>
      </c>
      <c r="J169" s="1998">
        <f>((AH169-$AK$150)*$Y$157+$AK$150)/$AN$150</f>
        <v>937.25849433710857</v>
      </c>
      <c r="K169" s="1998">
        <f t="shared" ref="K169" si="264">((AI169-$AK$150)*$Y$157+$AK$150)/$AN$150</f>
        <v>884.25216522318453</v>
      </c>
      <c r="L169" s="1998">
        <f t="shared" ref="L169" si="265">((AJ169-$AK$150)*$Y$157+$AK$150)/$AN$150</f>
        <v>823.09293804130584</v>
      </c>
      <c r="M169" s="1998">
        <f t="shared" ref="M169" si="266">((AK169-$AK$150)*$Y$157+$AK$150)/$AN$150</f>
        <v>831.88707528314455</v>
      </c>
      <c r="N169" s="1998">
        <f t="shared" ref="N169" si="267">((AL169-$AK$150)*$Y$157+$AK$150)/$AN$150</f>
        <v>745.17821452365092</v>
      </c>
      <c r="O169" s="1998">
        <f t="shared" ref="O169" si="268">((AM169-$AK$150)*$Y$157+$AK$150)/$AN$150</f>
        <v>747.76815456362431</v>
      </c>
      <c r="P169" s="1998">
        <f t="shared" ref="P169" si="269">((AN169-$AK$150)*$Y$157+$AK$150)/$AN$150</f>
        <v>705.61292471685545</v>
      </c>
      <c r="Q169" s="1998">
        <f t="shared" ref="Q169" si="270">((AO169-$AK$150)*$Y$157+$AK$150)/$AN$150</f>
        <v>853.28947368421052</v>
      </c>
      <c r="R169" s="1999"/>
      <c r="AF169" s="1991"/>
      <c r="AG169" s="1991"/>
      <c r="AH169" s="2002">
        <f>AH171</f>
        <v>112546</v>
      </c>
      <c r="AI169" s="2002">
        <f t="shared" ref="AI169:AO169" si="271">AI171</f>
        <v>106181</v>
      </c>
      <c r="AJ169" s="2002">
        <f t="shared" si="271"/>
        <v>98837</v>
      </c>
      <c r="AK169" s="2002">
        <f t="shared" si="271"/>
        <v>99893</v>
      </c>
      <c r="AL169" s="2002">
        <f t="shared" si="271"/>
        <v>89481</v>
      </c>
      <c r="AM169" s="2002">
        <f t="shared" si="271"/>
        <v>89792</v>
      </c>
      <c r="AN169" s="2002">
        <f t="shared" si="271"/>
        <v>84730</v>
      </c>
      <c r="AO169" s="2002">
        <f t="shared" si="271"/>
        <v>102463</v>
      </c>
    </row>
    <row r="170" spans="2:41">
      <c r="B170" s="1959"/>
      <c r="C170" s="1959"/>
      <c r="D170" s="1859" t="s">
        <v>2134</v>
      </c>
      <c r="E170" s="2019" t="s">
        <v>2118</v>
      </c>
      <c r="F170" s="1864" t="str">
        <f t="shared" si="146"/>
        <v>Level 1</v>
      </c>
      <c r="G170" s="1864" t="s">
        <v>1364</v>
      </c>
      <c r="H170" s="1864">
        <v>19</v>
      </c>
      <c r="I170" s="1997">
        <f t="shared" si="133"/>
        <v>887.71319120586281</v>
      </c>
      <c r="J170" s="1998">
        <f>((AH170-$AK$150)*$Y$158+$AK$150)/$AN$150</f>
        <v>1013.295303131246</v>
      </c>
      <c r="K170" s="1998">
        <f t="shared" ref="K170" si="272">((AI170-$AK$150)*$Y$158+$AK$150)/$AN$150</f>
        <v>954.98834110592952</v>
      </c>
      <c r="L170" s="1998">
        <f t="shared" ref="L170" si="273">((AJ170-$AK$150)*$Y$158+$AK$150)/$AN$150</f>
        <v>887.71319120586281</v>
      </c>
      <c r="M170" s="1998">
        <f t="shared" ref="M170" si="274">((AK170-$AK$150)*$Y$158+$AK$150)/$AN$150</f>
        <v>897.38674217188554</v>
      </c>
      <c r="N170" s="1998">
        <f t="shared" ref="N170" si="275">((AL170-$AK$150)*$Y$158+$AK$150)/$AN$150</f>
        <v>802.0069953364424</v>
      </c>
      <c r="O170" s="1998">
        <f t="shared" ref="O170" si="276">((AM170-$AK$150)*$Y$158+$AK$150)/$AN$150</f>
        <v>804.85592938041316</v>
      </c>
      <c r="P170" s="1998">
        <f>((AN170-$AK$150)*$Y$158+$AK$150)/$AN$150</f>
        <v>758.48517654896739</v>
      </c>
      <c r="Q170" s="1998">
        <f t="shared" ref="Q170" si="277">((AO170-$AK$150)*$Y$158+$AK$150)/$AN$150</f>
        <v>920.92938041305808</v>
      </c>
      <c r="R170" s="1999"/>
      <c r="AF170" s="1859" t="s">
        <v>2134</v>
      </c>
      <c r="AG170" s="1859" t="s">
        <v>2118</v>
      </c>
      <c r="AH170" s="2005">
        <f>AH171</f>
        <v>112546</v>
      </c>
      <c r="AI170" s="2005">
        <f t="shared" ref="AI170" si="278">AI171</f>
        <v>106181</v>
      </c>
      <c r="AJ170" s="2005">
        <f t="shared" ref="AJ170" si="279">AJ171</f>
        <v>98837</v>
      </c>
      <c r="AK170" s="2005">
        <f t="shared" ref="AK170" si="280">AK171</f>
        <v>99893</v>
      </c>
      <c r="AL170" s="2005">
        <f t="shared" ref="AL170" si="281">AL171</f>
        <v>89481</v>
      </c>
      <c r="AM170" s="2005">
        <f t="shared" ref="AM170" si="282">AM171</f>
        <v>89792</v>
      </c>
      <c r="AN170" s="2005">
        <f t="shared" ref="AN170" si="283">AN171</f>
        <v>84730</v>
      </c>
      <c r="AO170" s="2005">
        <f t="shared" ref="AO170" si="284">AO171</f>
        <v>102463</v>
      </c>
    </row>
    <row r="171" spans="2:41">
      <c r="B171" s="1959"/>
      <c r="C171" s="1959"/>
      <c r="D171" s="1859"/>
      <c r="E171" s="2019"/>
      <c r="F171" s="1864" t="str">
        <f t="shared" si="146"/>
        <v>Level 2</v>
      </c>
      <c r="G171" s="1864" t="s">
        <v>1365</v>
      </c>
      <c r="H171" s="1864">
        <v>20</v>
      </c>
      <c r="I171" s="1997">
        <f t="shared" si="133"/>
        <v>823.09293804130584</v>
      </c>
      <c r="J171" s="1998">
        <f>((AH171-$AK$150)*$Y$159+$AK$150)/$AN$150</f>
        <v>937.25849433710857</v>
      </c>
      <c r="K171" s="1998">
        <f t="shared" ref="K171" si="285">((AI171-$AK$150)*$Y$159+$AK$150)/$AN$150</f>
        <v>884.25216522318453</v>
      </c>
      <c r="L171" s="1998">
        <f t="shared" ref="L171" si="286">((AJ171-$AK$150)*$Y$159+$AK$150)/$AN$150</f>
        <v>823.09293804130584</v>
      </c>
      <c r="M171" s="1998">
        <f t="shared" ref="M171" si="287">((AK171-$AK$150)*$Y$159+$AK$150)/$AN$150</f>
        <v>831.88707528314455</v>
      </c>
      <c r="N171" s="1998">
        <f t="shared" ref="N171" si="288">((AL171-$AK$150)*$Y$159+$AK$150)/$AN$150</f>
        <v>745.17821452365092</v>
      </c>
      <c r="O171" s="1998">
        <f t="shared" ref="O171" si="289">((AM171-$AK$150)*$Y$159+$AK$150)/$AN$150</f>
        <v>747.76815456362431</v>
      </c>
      <c r="P171" s="1998">
        <f t="shared" ref="P171" si="290">((AN171-$AK$150)*$Y$159+$AK$150)/$AN$150</f>
        <v>705.61292471685545</v>
      </c>
      <c r="Q171" s="1998">
        <f t="shared" ref="Q171" si="291">((AO171-$AK$150)*$Y$159+$AK$150)/$AN$150</f>
        <v>853.28947368421052</v>
      </c>
      <c r="R171" s="1999"/>
      <c r="AF171" s="1859" t="s">
        <v>2128</v>
      </c>
      <c r="AG171" s="1859" t="s">
        <v>2121</v>
      </c>
      <c r="AH171" s="2006">
        <v>112546</v>
      </c>
      <c r="AI171" s="2006">
        <v>106181</v>
      </c>
      <c r="AJ171" s="2006">
        <v>98837</v>
      </c>
      <c r="AK171" s="2006">
        <v>99893</v>
      </c>
      <c r="AL171" s="2006">
        <v>89481</v>
      </c>
      <c r="AM171" s="2006">
        <v>89792</v>
      </c>
      <c r="AN171" s="2006">
        <v>84730</v>
      </c>
      <c r="AO171" s="2006">
        <v>102463</v>
      </c>
    </row>
    <row r="172" spans="2:41">
      <c r="B172" s="1959"/>
      <c r="C172" s="1959"/>
      <c r="D172" s="2016"/>
      <c r="E172" s="1860"/>
      <c r="F172" s="1967" t="str">
        <f t="shared" si="146"/>
        <v>Level 4</v>
      </c>
      <c r="G172" s="1864" t="s">
        <v>1366</v>
      </c>
      <c r="H172" s="1864">
        <v>21</v>
      </c>
      <c r="I172" s="1997">
        <f t="shared" si="133"/>
        <v>693.8524317121919</v>
      </c>
      <c r="J172" s="1998">
        <f>((AH172-$AK$150)*$Y$160+$AK$150)/$AN$150</f>
        <v>785.18487674883409</v>
      </c>
      <c r="K172" s="1998">
        <f t="shared" ref="K172" si="292">((AI172-$AK$150)*$Y$160+$AK$150)/$AN$150</f>
        <v>742.7798134576949</v>
      </c>
      <c r="L172" s="1998">
        <f t="shared" ref="L172" si="293">((AJ172-$AK$150)*$Y$160+$AK$150)/$AN$150</f>
        <v>693.8524317121919</v>
      </c>
      <c r="M172" s="1998">
        <f t="shared" ref="M172" si="294">((AK172-$AK$150)*$Y$160+$AK$150)/$AN$150</f>
        <v>700.88774150566292</v>
      </c>
      <c r="N172" s="1998">
        <f t="shared" ref="N172" si="295">((AL172-$AK$150)*$Y$160+$AK$150)/$AN$150</f>
        <v>631.52065289806796</v>
      </c>
      <c r="O172" s="1998">
        <f t="shared" ref="O172" si="296">((AM172-$AK$150)*$Y$160+$AK$150)/$AN$150</f>
        <v>633.59260493004672</v>
      </c>
      <c r="P172" s="1998">
        <f t="shared" ref="P172" si="297">((AN172-$AK$150)*$Y$160+$AK$150)/$AN$150</f>
        <v>599.86842105263167</v>
      </c>
      <c r="Q172" s="1998">
        <f t="shared" ref="Q172" si="298">((AO172-$AK$150)*$Y$160+$AK$150)/$AN$150</f>
        <v>718.00966022651573</v>
      </c>
      <c r="R172" s="1999"/>
      <c r="S172" s="2000"/>
      <c r="AF172" s="2017" t="s">
        <v>2130</v>
      </c>
      <c r="AG172" s="2008" t="s">
        <v>2122</v>
      </c>
      <c r="AH172" s="2009">
        <f>AH171</f>
        <v>112546</v>
      </c>
      <c r="AI172" s="2009">
        <f t="shared" ref="AI172" si="299">AI171</f>
        <v>106181</v>
      </c>
      <c r="AJ172" s="2009">
        <f t="shared" ref="AJ172" si="300">AJ171</f>
        <v>98837</v>
      </c>
      <c r="AK172" s="2009">
        <f t="shared" ref="AK172" si="301">AK171</f>
        <v>99893</v>
      </c>
      <c r="AL172" s="2009">
        <f t="shared" ref="AL172" si="302">AL171</f>
        <v>89481</v>
      </c>
      <c r="AM172" s="2009">
        <f t="shared" ref="AM172" si="303">AM171</f>
        <v>89792</v>
      </c>
      <c r="AN172" s="2009">
        <f t="shared" ref="AN172" si="304">AN171</f>
        <v>84730</v>
      </c>
      <c r="AO172" s="2009">
        <f t="shared" ref="AO172" si="305">AO171</f>
        <v>102463</v>
      </c>
    </row>
    <row r="173" spans="2:41">
      <c r="B173" s="1959"/>
      <c r="C173" s="1959"/>
      <c r="D173" s="2010"/>
      <c r="E173" s="1991"/>
      <c r="F173" s="1864" t="str">
        <f t="shared" si="146"/>
        <v>Reference</v>
      </c>
      <c r="G173" s="1864" t="s">
        <v>1367</v>
      </c>
      <c r="H173" s="1864">
        <v>22</v>
      </c>
      <c r="I173" s="1997">
        <f t="shared" si="133"/>
        <v>802.5233177881413</v>
      </c>
      <c r="J173" s="1998">
        <f>((AH173-$AK$150)*$Y$157+$AK$150)/$AN$150</f>
        <v>923.63424383744177</v>
      </c>
      <c r="K173" s="1998">
        <f t="shared" ref="K173" si="306">((AI173-$AK$150)*$Y$157+$AK$150)/$AN$150</f>
        <v>871.70219853431047</v>
      </c>
      <c r="L173" s="1998">
        <f t="shared" ref="L173" si="307">((AJ173-$AK$150)*$Y$157+$AK$150)/$AN$150</f>
        <v>802.5233177881413</v>
      </c>
      <c r="M173" s="1998">
        <f t="shared" ref="M173" si="308">((AK173-$AK$150)*$Y$157+$AK$150)/$AN$150</f>
        <v>796.2108594270486</v>
      </c>
      <c r="N173" s="1998">
        <f t="shared" ref="N173" si="309">((AL173-$AK$150)*$Y$157+$AK$150)/$AN$150</f>
        <v>710.717854763491</v>
      </c>
      <c r="O173" s="1998">
        <f t="shared" ref="O173" si="310">((AM173-$AK$150)*$Y$157+$AK$150)/$AN$150</f>
        <v>671.66055962691541</v>
      </c>
      <c r="P173" s="1998">
        <f t="shared" ref="P173" si="311">((AN173-$AK$150)*$Y$157+$AK$150)/$AN$150</f>
        <v>606.93704197201862</v>
      </c>
      <c r="Q173" s="1998">
        <f t="shared" ref="Q173" si="312">((AO173-$AK$150)*$Y$157+$AK$150)/$AN$150</f>
        <v>573.71752165223188</v>
      </c>
      <c r="R173" s="1999"/>
      <c r="AF173" s="1991"/>
      <c r="AG173" s="1991"/>
      <c r="AH173" s="2002">
        <f>AH175</f>
        <v>110910</v>
      </c>
      <c r="AI173" s="2002">
        <f t="shared" ref="AI173:AO173" si="313">AI175</f>
        <v>104674</v>
      </c>
      <c r="AJ173" s="2002">
        <f t="shared" si="313"/>
        <v>96367</v>
      </c>
      <c r="AK173" s="2002">
        <f t="shared" si="313"/>
        <v>95609</v>
      </c>
      <c r="AL173" s="2002">
        <f t="shared" si="313"/>
        <v>85343</v>
      </c>
      <c r="AM173" s="2002">
        <f t="shared" si="313"/>
        <v>80653</v>
      </c>
      <c r="AN173" s="2002">
        <f t="shared" si="313"/>
        <v>72881</v>
      </c>
      <c r="AO173" s="2002">
        <f t="shared" si="313"/>
        <v>68892</v>
      </c>
    </row>
    <row r="174" spans="2:41">
      <c r="B174" s="1959"/>
      <c r="C174" s="1959"/>
      <c r="D174" s="2007" t="s">
        <v>2134</v>
      </c>
      <c r="E174" s="1859" t="s">
        <v>2125</v>
      </c>
      <c r="F174" s="1864" t="str">
        <f t="shared" si="146"/>
        <v>Level 1</v>
      </c>
      <c r="G174" s="1864" t="s">
        <v>1368</v>
      </c>
      <c r="H174" s="1864">
        <v>23</v>
      </c>
      <c r="I174" s="1997">
        <f t="shared" si="133"/>
        <v>865.0866089273818</v>
      </c>
      <c r="J174" s="1998">
        <f>((AH174-$AK$150)*$Y$158+$AK$150)/$AN$150</f>
        <v>998.30862758161231</v>
      </c>
      <c r="K174" s="1998">
        <f t="shared" ref="K174" si="314">((AI174-$AK$150)*$Y$158+$AK$150)/$AN$150</f>
        <v>941.18337774816791</v>
      </c>
      <c r="L174" s="1998">
        <f t="shared" ref="L174" si="315">((AJ174-$AK$150)*$Y$158+$AK$150)/$AN$150</f>
        <v>865.0866089273818</v>
      </c>
      <c r="M174" s="1998">
        <f t="shared" ref="M174" si="316">((AK174-$AK$150)*$Y$158+$AK$150)/$AN$150</f>
        <v>858.14290473017991</v>
      </c>
      <c r="N174" s="1998">
        <f t="shared" ref="N174" si="317">((AL174-$AK$150)*$Y$158+$AK$150)/$AN$150</f>
        <v>764.10059960026661</v>
      </c>
      <c r="O174" s="1998">
        <f>((AM174-$AK$150)*$Y$158+$AK$150)/$AN$150</f>
        <v>721.13757495003347</v>
      </c>
      <c r="P174" s="1998">
        <f>((AN174-$AK$150)*$Y$158+$AK$150)/$AN$150</f>
        <v>649.94170552964692</v>
      </c>
      <c r="Q174" s="1998">
        <f t="shared" ref="Q174" si="318">((AO174-$AK$150)*$Y$158+$AK$150)/$AN$150</f>
        <v>613.40023317788143</v>
      </c>
      <c r="R174" s="1999"/>
      <c r="AF174" s="1859" t="s">
        <v>2134</v>
      </c>
      <c r="AG174" s="1859" t="s">
        <v>2125</v>
      </c>
      <c r="AH174" s="2005">
        <f>AH175</f>
        <v>110910</v>
      </c>
      <c r="AI174" s="2005">
        <f t="shared" ref="AI174" si="319">AI175</f>
        <v>104674</v>
      </c>
      <c r="AJ174" s="2005">
        <f t="shared" ref="AJ174" si="320">AJ175</f>
        <v>96367</v>
      </c>
      <c r="AK174" s="2005">
        <f t="shared" ref="AK174" si="321">AK175</f>
        <v>95609</v>
      </c>
      <c r="AL174" s="2005">
        <f t="shared" ref="AL174" si="322">AL175</f>
        <v>85343</v>
      </c>
      <c r="AM174" s="2005">
        <f t="shared" ref="AM174" si="323">AM175</f>
        <v>80653</v>
      </c>
      <c r="AN174" s="2005">
        <f t="shared" ref="AN174" si="324">AN175</f>
        <v>72881</v>
      </c>
      <c r="AO174" s="2005">
        <f t="shared" ref="AO174" si="325">AO175</f>
        <v>68892</v>
      </c>
    </row>
    <row r="175" spans="2:41">
      <c r="B175" s="1959"/>
      <c r="C175" s="1959"/>
      <c r="D175" s="2007"/>
      <c r="E175" s="1859"/>
      <c r="F175" s="1864" t="str">
        <f t="shared" si="146"/>
        <v>Level 2</v>
      </c>
      <c r="G175" s="1864" t="s">
        <v>1369</v>
      </c>
      <c r="H175" s="1864">
        <v>24</v>
      </c>
      <c r="I175" s="1997">
        <f t="shared" si="133"/>
        <v>802.5233177881413</v>
      </c>
      <c r="J175" s="1998">
        <f>((AH175-$AK$150)*$Y$159+$AK$150)/$AN$150</f>
        <v>923.63424383744177</v>
      </c>
      <c r="K175" s="1998">
        <f t="shared" ref="K175" si="326">((AI175-$AK$150)*$Y$159+$AK$150)/$AN$150</f>
        <v>871.70219853431047</v>
      </c>
      <c r="L175" s="1998">
        <f t="shared" ref="L175" si="327">((AJ175-$AK$150)*$Y$159+$AK$150)/$AN$150</f>
        <v>802.5233177881413</v>
      </c>
      <c r="M175" s="1998">
        <f t="shared" ref="M175" si="328">((AK175-$AK$150)*$Y$159+$AK$150)/$AN$150</f>
        <v>796.2108594270486</v>
      </c>
      <c r="N175" s="1998">
        <f t="shared" ref="N175" si="329">((AL175-$AK$150)*$Y$159+$AK$150)/$AN$150</f>
        <v>710.717854763491</v>
      </c>
      <c r="O175" s="1998">
        <f t="shared" ref="O175" si="330">((AM175-$AK$150)*$Y$159+$AK$150)/$AN$150</f>
        <v>671.66055962691541</v>
      </c>
      <c r="P175" s="1998">
        <f t="shared" ref="P175" si="331">((AN175-$AK$150)*$Y$159+$AK$150)/$AN$150</f>
        <v>606.93704197201862</v>
      </c>
      <c r="Q175" s="1998">
        <f t="shared" ref="Q175" si="332">((AO175-$AK$150)*$Y$159+$AK$150)/$AN$150</f>
        <v>573.71752165223188</v>
      </c>
      <c r="R175" s="1999"/>
      <c r="AF175" s="1859" t="s">
        <v>2128</v>
      </c>
      <c r="AG175" s="1859" t="s">
        <v>2128</v>
      </c>
      <c r="AH175" s="2006">
        <v>110910</v>
      </c>
      <c r="AI175" s="2006">
        <v>104674</v>
      </c>
      <c r="AJ175" s="2006">
        <v>96367</v>
      </c>
      <c r="AK175" s="2006">
        <v>95609</v>
      </c>
      <c r="AL175" s="2006">
        <v>85343</v>
      </c>
      <c r="AM175" s="2006">
        <v>80653</v>
      </c>
      <c r="AN175" s="2006">
        <v>72881</v>
      </c>
      <c r="AO175" s="2006">
        <v>68892</v>
      </c>
    </row>
    <row r="176" spans="2:41">
      <c r="B176" s="1959"/>
      <c r="C176" s="1959"/>
      <c r="D176" s="2016"/>
      <c r="E176" s="1860"/>
      <c r="F176" s="1967" t="str">
        <f t="shared" si="146"/>
        <v>Level 4</v>
      </c>
      <c r="G176" s="1864" t="s">
        <v>1370</v>
      </c>
      <c r="H176" s="1864">
        <v>25</v>
      </c>
      <c r="I176" s="1997">
        <f>HLOOKUP($I$152,$J$152:$Q$176,H176)</f>
        <v>677.39673550966029</v>
      </c>
      <c r="J176" s="1998">
        <f>((AH176-$AK$150)*$Y$160+$AK$150)/$AN$150</f>
        <v>774.28547634910058</v>
      </c>
      <c r="K176" s="1998">
        <f t="shared" ref="K176" si="333">((AI176-$AK$150)*$Y$160+$AK$150)/$AN$150</f>
        <v>732.73984010659569</v>
      </c>
      <c r="L176" s="1998">
        <f t="shared" ref="L176" si="334">((AJ176-$AK$150)*$Y$160+$AK$150)/$AN$150</f>
        <v>677.39673550966029</v>
      </c>
      <c r="M176" s="1998">
        <f t="shared" ref="M176" si="335">((AK176-$AK$150)*$Y$160+$AK$150)/$AN$150</f>
        <v>672.34676882078611</v>
      </c>
      <c r="N176" s="1998">
        <f t="shared" ref="N176" si="336">((AL176-$AK$150)*$Y$160+$AK$150)/$AN$150</f>
        <v>603.95236508994014</v>
      </c>
      <c r="O176" s="1998">
        <f t="shared" ref="O176" si="337">((AM176-$AK$150)*$Y$160+$AK$150)/$AN$150</f>
        <v>572.70652898067965</v>
      </c>
      <c r="P176" s="1998">
        <f t="shared" ref="P176" si="338">((AN176-$AK$150)*$Y$160+$AK$150)/$AN$150</f>
        <v>520.92771485676212</v>
      </c>
      <c r="Q176" s="1998">
        <f t="shared" ref="Q176" si="339">((AO176-$AK$150)*$Y$160+$AK$150)/$AN$150</f>
        <v>494.35209860093272</v>
      </c>
      <c r="R176" s="1999"/>
      <c r="S176" s="2000"/>
      <c r="U176" s="1105" t="s">
        <v>2135</v>
      </c>
      <c r="V176" s="1105" t="s">
        <v>2136</v>
      </c>
      <c r="W176" s="1105" t="s">
        <v>2137</v>
      </c>
      <c r="Z176" s="2011"/>
      <c r="AF176" s="2017" t="s">
        <v>2130</v>
      </c>
      <c r="AG176" s="2017" t="s">
        <v>2130</v>
      </c>
      <c r="AH176" s="2009">
        <f>AH175</f>
        <v>110910</v>
      </c>
      <c r="AI176" s="2009">
        <f t="shared" ref="AI176" si="340">AI175</f>
        <v>104674</v>
      </c>
      <c r="AJ176" s="2009">
        <f t="shared" ref="AJ176" si="341">AJ175</f>
        <v>96367</v>
      </c>
      <c r="AK176" s="2009">
        <f t="shared" ref="AK176" si="342">AK175</f>
        <v>95609</v>
      </c>
      <c r="AL176" s="2009">
        <f t="shared" ref="AL176" si="343">AL175</f>
        <v>85343</v>
      </c>
      <c r="AM176" s="2009">
        <f t="shared" ref="AM176" si="344">AM175</f>
        <v>80653</v>
      </c>
      <c r="AN176" s="2009">
        <f t="shared" ref="AN176" si="345">AN175</f>
        <v>72881</v>
      </c>
      <c r="AO176" s="2009">
        <f t="shared" ref="AO176" si="346">AO175</f>
        <v>68892</v>
      </c>
    </row>
    <row r="177" spans="2:26">
      <c r="B177" s="1959"/>
      <c r="C177" s="1959"/>
      <c r="D177" s="2020"/>
      <c r="E177" s="2011"/>
      <c r="F177" s="2021" t="s">
        <v>2034</v>
      </c>
      <c r="G177" s="2011"/>
      <c r="H177" s="2011"/>
      <c r="I177" s="2022">
        <f>IF(Y177="-",HLOOKUP($I$152,$U$152:$AB$154,2,FALSE),VLOOKUP(Y177,$H$153:$I$176,2))</f>
        <v>1214.0489673550967</v>
      </c>
      <c r="J177" s="2011"/>
      <c r="K177" s="1959"/>
      <c r="L177" s="1959"/>
      <c r="M177" s="1959"/>
      <c r="N177" s="1959"/>
      <c r="O177" s="1959"/>
      <c r="P177" s="1959"/>
      <c r="Q177" s="2321" t="s">
        <v>5020</v>
      </c>
      <c r="R177" s="1987"/>
      <c r="U177" s="2023">
        <f>ENcalc!F52</f>
        <v>0</v>
      </c>
      <c r="V177" s="2023">
        <f>ENcalc!L52</f>
        <v>0</v>
      </c>
      <c r="W177" s="2024">
        <f>ENcalc!H31</f>
        <v>0</v>
      </c>
      <c r="X177" s="1995" t="str">
        <f>IFERROR(U177&amp;V177&amp;W177,"-")</f>
        <v>000</v>
      </c>
      <c r="Y177" s="1995" t="str">
        <f>IFERROR(VLOOKUP(X177,G153:H176,2,0),"-")</f>
        <v>-</v>
      </c>
      <c r="Z177" s="2025" t="s">
        <v>2138</v>
      </c>
    </row>
    <row r="178" spans="2:26">
      <c r="B178" s="1959"/>
      <c r="C178" s="1959"/>
      <c r="D178" s="2020"/>
      <c r="E178" s="2011"/>
      <c r="F178" s="2021" t="s">
        <v>2035</v>
      </c>
      <c r="G178" s="2011"/>
      <c r="H178" s="2011"/>
      <c r="I178" s="2022">
        <f>IF(Y178="-",HLOOKUP($I$152,$U$152:$AB$154,3,FALSE),VLOOKUP(Y178,$H$153:$I$176,2))</f>
        <v>883.52764823451037</v>
      </c>
      <c r="J178" s="2011"/>
      <c r="K178" s="2025"/>
      <c r="L178" s="2025"/>
      <c r="M178" s="2025"/>
      <c r="N178" s="2025"/>
      <c r="O178" s="2025"/>
      <c r="P178" s="2025"/>
      <c r="Q178" s="1959"/>
      <c r="R178" s="1959"/>
      <c r="X178" s="1864" t="str">
        <f>U177&amp;V177&amp;0</f>
        <v>000</v>
      </c>
      <c r="Y178" s="1995" t="str">
        <f>IFERROR(VLOOKUP(X178,G153:H176,2,0),"-")</f>
        <v>-</v>
      </c>
      <c r="Z178" s="1959" t="s">
        <v>2139</v>
      </c>
    </row>
    <row r="179" spans="2:26">
      <c r="B179" s="1959"/>
      <c r="C179" s="1959"/>
      <c r="D179" s="1910"/>
      <c r="E179" s="1845"/>
      <c r="F179" s="1845"/>
      <c r="G179" s="1845"/>
      <c r="H179" s="1845"/>
      <c r="I179" s="1960"/>
      <c r="J179" s="1950"/>
      <c r="K179" s="1845"/>
      <c r="L179" s="1845"/>
      <c r="M179" s="1845"/>
      <c r="N179" s="1845"/>
      <c r="O179" s="1845"/>
      <c r="P179" s="1845"/>
      <c r="Q179" s="1845"/>
      <c r="R179" s="1845"/>
      <c r="S179" s="1959"/>
      <c r="T179" s="1959"/>
    </row>
    <row r="180" spans="2:26" ht="15">
      <c r="B180" s="1959"/>
      <c r="C180" s="2026" t="s">
        <v>2036</v>
      </c>
      <c r="D180" s="1910"/>
      <c r="E180" s="1845"/>
      <c r="F180" s="1845"/>
      <c r="G180" s="1845"/>
      <c r="H180" s="1845"/>
      <c r="I180" s="1960"/>
      <c r="J180" s="1950"/>
      <c r="K180" s="1845"/>
      <c r="L180" s="1845"/>
      <c r="M180" s="1845"/>
      <c r="N180" s="1845"/>
      <c r="O180" s="1845"/>
      <c r="P180" s="1845"/>
      <c r="Q180" s="1845"/>
      <c r="R180" s="1845"/>
      <c r="S180" s="1959"/>
      <c r="T180" s="1959"/>
    </row>
    <row r="181" spans="2:26">
      <c r="B181" s="1959"/>
      <c r="C181" s="1959"/>
      <c r="D181" s="1838" t="s">
        <v>2037</v>
      </c>
      <c r="E181" s="1914"/>
      <c r="F181" s="1929"/>
      <c r="G181" s="1929"/>
      <c r="H181" s="2027"/>
      <c r="I181" s="1827" t="s">
        <v>2040</v>
      </c>
      <c r="J181" s="1829"/>
      <c r="K181" s="1831"/>
      <c r="L181" s="1827" t="s">
        <v>2041</v>
      </c>
      <c r="M181" s="1828"/>
      <c r="N181" s="2028"/>
      <c r="O181" s="1845"/>
      <c r="P181" s="1845"/>
      <c r="Q181" s="1845"/>
      <c r="R181" s="1845"/>
      <c r="S181" s="1959"/>
      <c r="T181" s="1959"/>
    </row>
    <row r="182" spans="2:26">
      <c r="B182" s="1959"/>
      <c r="C182" s="1959"/>
      <c r="D182" s="1843"/>
      <c r="E182" s="2029"/>
      <c r="F182" s="2030"/>
      <c r="G182" s="2030"/>
      <c r="H182" s="2031"/>
      <c r="I182" s="2032">
        <v>30</v>
      </c>
      <c r="J182" s="2032">
        <v>60</v>
      </c>
      <c r="K182" s="2032">
        <v>90</v>
      </c>
      <c r="L182" s="2032">
        <v>30</v>
      </c>
      <c r="M182" s="2032">
        <v>60</v>
      </c>
      <c r="N182" s="2032">
        <v>90</v>
      </c>
      <c r="O182" s="1845"/>
      <c r="P182" s="1845"/>
      <c r="Q182" s="1845"/>
      <c r="R182" s="1845"/>
      <c r="S182" s="1959"/>
      <c r="T182" s="1959"/>
    </row>
    <row r="183" spans="2:26">
      <c r="B183" s="1959"/>
      <c r="C183" s="1959"/>
      <c r="D183" s="1832" t="s">
        <v>2038</v>
      </c>
      <c r="E183" s="1834"/>
      <c r="F183" s="1834"/>
      <c r="G183" s="1834"/>
      <c r="H183" s="1835"/>
      <c r="I183" s="1916">
        <v>38.68</v>
      </c>
      <c r="J183" s="1916">
        <v>19.34</v>
      </c>
      <c r="K183" s="1916">
        <v>12.89</v>
      </c>
      <c r="L183" s="1916">
        <v>39.115483073708113</v>
      </c>
      <c r="M183" s="1916">
        <v>39.006662305281083</v>
      </c>
      <c r="N183" s="1916">
        <v>38.970388715805406</v>
      </c>
      <c r="O183" s="1845" t="s">
        <v>2042</v>
      </c>
      <c r="P183" s="1845"/>
      <c r="Q183" s="1845"/>
      <c r="R183" s="1845"/>
      <c r="S183" s="1959"/>
      <c r="T183" s="1959"/>
    </row>
    <row r="184" spans="2:26">
      <c r="B184" s="1959"/>
      <c r="C184" s="1959"/>
      <c r="D184" s="1832" t="s">
        <v>2039</v>
      </c>
      <c r="E184" s="1834"/>
      <c r="F184" s="1834"/>
      <c r="G184" s="1834"/>
      <c r="H184" s="1835"/>
      <c r="I184" s="1916">
        <v>6.66</v>
      </c>
      <c r="J184" s="1916">
        <v>3.33</v>
      </c>
      <c r="K184" s="1916">
        <v>2.2200000000000002</v>
      </c>
      <c r="L184" s="1916">
        <v>6.7171972326280933</v>
      </c>
      <c r="M184" s="1916">
        <v>6.7022729244710701</v>
      </c>
      <c r="N184" s="1916">
        <v>6.6972981550853969</v>
      </c>
      <c r="O184" s="1845" t="s">
        <v>2043</v>
      </c>
      <c r="P184" s="1845"/>
      <c r="Q184" s="1845"/>
      <c r="R184" s="1845"/>
      <c r="S184" s="1959"/>
      <c r="T184" s="1959"/>
    </row>
    <row r="185" spans="2:26" ht="26.45" customHeight="1">
      <c r="B185" s="1959"/>
      <c r="C185" s="1959"/>
      <c r="D185" s="4446" t="s">
        <v>3428</v>
      </c>
      <c r="E185" s="4446"/>
      <c r="F185" s="4446"/>
      <c r="G185" s="4446"/>
      <c r="H185" s="4446"/>
      <c r="I185" s="4446"/>
      <c r="J185" s="4446"/>
      <c r="K185" s="4446"/>
      <c r="L185" s="4446"/>
      <c r="M185" s="4446"/>
      <c r="N185" s="4446"/>
      <c r="O185" s="4446"/>
      <c r="P185" s="4446"/>
      <c r="Q185" s="4446"/>
      <c r="R185" s="1845"/>
      <c r="S185" s="1959"/>
      <c r="T185" s="1959"/>
    </row>
    <row r="186" spans="2:26">
      <c r="B186" s="1959"/>
      <c r="C186" s="1959"/>
      <c r="D186" s="1910"/>
      <c r="E186" s="1845"/>
      <c r="F186" s="1845"/>
      <c r="G186" s="1845"/>
      <c r="H186" s="1845"/>
      <c r="I186" s="1960"/>
      <c r="J186" s="1950"/>
      <c r="K186" s="1845"/>
      <c r="L186" s="1845"/>
      <c r="M186" s="1845"/>
      <c r="N186" s="1845"/>
      <c r="O186" s="1845"/>
      <c r="P186" s="1845"/>
      <c r="Q186" s="1845"/>
      <c r="R186" s="1845"/>
      <c r="S186" s="1959"/>
      <c r="T186" s="1959"/>
    </row>
    <row r="187" spans="2:26" ht="15">
      <c r="C187" s="2026" t="s">
        <v>3429</v>
      </c>
      <c r="D187" s="1845"/>
      <c r="E187" s="1845"/>
      <c r="F187" s="1845"/>
      <c r="G187" s="1845"/>
      <c r="H187" s="1845"/>
      <c r="I187" s="1845"/>
      <c r="J187" s="1845"/>
      <c r="K187" s="1845"/>
      <c r="L187" s="1845"/>
      <c r="M187" s="1845"/>
      <c r="N187" s="1845"/>
      <c r="O187" s="1845"/>
      <c r="P187" s="1845"/>
      <c r="Q187" s="1845"/>
      <c r="R187" s="1845"/>
    </row>
    <row r="188" spans="2:26">
      <c r="C188" s="2033"/>
      <c r="D188" s="1845"/>
      <c r="E188" s="1845"/>
      <c r="F188" s="1845"/>
      <c r="G188" s="1845"/>
      <c r="H188" s="1845"/>
      <c r="I188" s="1845"/>
      <c r="J188" s="1845"/>
      <c r="K188" s="1845"/>
      <c r="L188" s="1845"/>
      <c r="M188" s="1845"/>
      <c r="N188" s="1845"/>
      <c r="O188" s="1845"/>
      <c r="P188" s="1845"/>
      <c r="Q188" s="1845"/>
      <c r="R188" s="1845"/>
    </row>
    <row r="189" spans="2:26">
      <c r="C189" s="1866" t="s">
        <v>2044</v>
      </c>
      <c r="D189" s="1845"/>
      <c r="E189" s="1845"/>
      <c r="F189" s="1845"/>
      <c r="G189" s="1845"/>
      <c r="H189" s="1845"/>
      <c r="I189" s="1830" t="s">
        <v>144</v>
      </c>
      <c r="J189" s="1829"/>
      <c r="K189" s="1831"/>
      <c r="L189" s="1830" t="s">
        <v>1970</v>
      </c>
      <c r="M189" s="1829"/>
      <c r="N189" s="1831"/>
      <c r="O189" s="1830" t="s">
        <v>1971</v>
      </c>
      <c r="P189" s="1829"/>
      <c r="Q189" s="1831"/>
      <c r="R189" s="1845"/>
    </row>
    <row r="190" spans="2:26">
      <c r="C190" s="1845"/>
      <c r="D190" s="1865" t="s">
        <v>1968</v>
      </c>
      <c r="E190" s="1845"/>
      <c r="F190" s="1845"/>
      <c r="G190" s="1931"/>
      <c r="H190" s="1931"/>
      <c r="I190" s="1837" t="s">
        <v>1972</v>
      </c>
      <c r="J190" s="1837" t="s">
        <v>1973</v>
      </c>
      <c r="K190" s="1837" t="s">
        <v>1974</v>
      </c>
      <c r="L190" s="1837" t="s">
        <v>1972</v>
      </c>
      <c r="M190" s="1837" t="s">
        <v>1973</v>
      </c>
      <c r="N190" s="1837" t="s">
        <v>1974</v>
      </c>
      <c r="O190" s="1837" t="s">
        <v>1972</v>
      </c>
      <c r="P190" s="1837" t="s">
        <v>1973</v>
      </c>
      <c r="Q190" s="1837" t="s">
        <v>1974</v>
      </c>
      <c r="R190" s="1845"/>
    </row>
    <row r="191" spans="2:26">
      <c r="C191" s="1845"/>
      <c r="D191" s="1845"/>
      <c r="E191" s="1832" t="s">
        <v>1975</v>
      </c>
      <c r="F191" s="2034"/>
      <c r="G191" s="1931">
        <v>1</v>
      </c>
      <c r="H191" s="1931"/>
      <c r="I191" s="2035">
        <v>60</v>
      </c>
      <c r="J191" s="2035">
        <v>60</v>
      </c>
      <c r="K191" s="2035">
        <v>60</v>
      </c>
      <c r="L191" s="2035">
        <v>60</v>
      </c>
      <c r="M191" s="2035">
        <v>60</v>
      </c>
      <c r="N191" s="2035">
        <v>60</v>
      </c>
      <c r="O191" s="2035">
        <v>60</v>
      </c>
      <c r="P191" s="2035">
        <v>60</v>
      </c>
      <c r="Q191" s="2035">
        <v>60</v>
      </c>
      <c r="R191" s="1845"/>
    </row>
    <row r="192" spans="2:26">
      <c r="C192" s="1845"/>
      <c r="D192" s="1845"/>
      <c r="E192" s="1832" t="s">
        <v>1976</v>
      </c>
      <c r="F192" s="2034"/>
      <c r="G192" s="1931">
        <v>2</v>
      </c>
      <c r="H192" s="1931"/>
      <c r="I192" s="2035">
        <v>60</v>
      </c>
      <c r="J192" s="2035">
        <v>60</v>
      </c>
      <c r="K192" s="2035">
        <v>60</v>
      </c>
      <c r="L192" s="2035">
        <v>60</v>
      </c>
      <c r="M192" s="2035">
        <v>60</v>
      </c>
      <c r="N192" s="2035">
        <v>60</v>
      </c>
      <c r="O192" s="2035">
        <v>60</v>
      </c>
      <c r="P192" s="2035">
        <v>60</v>
      </c>
      <c r="Q192" s="2035">
        <v>60</v>
      </c>
      <c r="R192" s="1845"/>
    </row>
    <row r="193" spans="3:34">
      <c r="C193" s="1845"/>
      <c r="D193" s="1845"/>
      <c r="E193" s="1832" t="s">
        <v>1977</v>
      </c>
      <c r="F193" s="2034"/>
      <c r="G193" s="1931">
        <v>3</v>
      </c>
      <c r="H193" s="1931"/>
      <c r="I193" s="2035">
        <v>30</v>
      </c>
      <c r="J193" s="2035">
        <v>30</v>
      </c>
      <c r="K193" s="2035">
        <v>30</v>
      </c>
      <c r="L193" s="2035">
        <v>30</v>
      </c>
      <c r="M193" s="2035">
        <v>30</v>
      </c>
      <c r="N193" s="2035">
        <v>30</v>
      </c>
      <c r="O193" s="2035">
        <v>30</v>
      </c>
      <c r="P193" s="2035">
        <v>30</v>
      </c>
      <c r="Q193" s="2035">
        <v>30</v>
      </c>
      <c r="R193" s="1845"/>
    </row>
    <row r="194" spans="3:34">
      <c r="C194" s="1845"/>
      <c r="D194" s="1845"/>
      <c r="E194" s="1832" t="s">
        <v>1978</v>
      </c>
      <c r="F194" s="2034"/>
      <c r="G194" s="1931">
        <v>4</v>
      </c>
      <c r="H194" s="1931"/>
      <c r="I194" s="2035">
        <v>30</v>
      </c>
      <c r="J194" s="2035">
        <v>30</v>
      </c>
      <c r="K194" s="2035">
        <v>30</v>
      </c>
      <c r="L194" s="2035">
        <v>30</v>
      </c>
      <c r="M194" s="2035">
        <v>30</v>
      </c>
      <c r="N194" s="2035">
        <v>30</v>
      </c>
      <c r="O194" s="2035">
        <v>30</v>
      </c>
      <c r="P194" s="2035">
        <v>30</v>
      </c>
      <c r="Q194" s="2035">
        <v>30</v>
      </c>
      <c r="R194" s="1845"/>
    </row>
    <row r="195" spans="3:34">
      <c r="C195" s="1845"/>
      <c r="D195" s="1845"/>
      <c r="E195" s="1832" t="s">
        <v>1979</v>
      </c>
      <c r="F195" s="2034"/>
      <c r="G195" s="1931">
        <v>5</v>
      </c>
      <c r="H195" s="1931"/>
      <c r="I195" s="2035">
        <v>60</v>
      </c>
      <c r="J195" s="2035">
        <v>60</v>
      </c>
      <c r="K195" s="2035">
        <v>60</v>
      </c>
      <c r="L195" s="2035">
        <v>60</v>
      </c>
      <c r="M195" s="2035">
        <v>60</v>
      </c>
      <c r="N195" s="2035">
        <v>60</v>
      </c>
      <c r="O195" s="2035">
        <v>60</v>
      </c>
      <c r="P195" s="2035">
        <v>60</v>
      </c>
      <c r="Q195" s="2035">
        <v>60</v>
      </c>
      <c r="R195" s="1845"/>
      <c r="U195"/>
      <c r="V195"/>
      <c r="W195"/>
      <c r="X195"/>
      <c r="Y195"/>
      <c r="Z195"/>
    </row>
    <row r="196" spans="3:34">
      <c r="C196" s="1845"/>
      <c r="D196" s="1845"/>
      <c r="E196" s="1832" t="s">
        <v>1980</v>
      </c>
      <c r="F196" s="2034"/>
      <c r="G196" s="1931">
        <v>6</v>
      </c>
      <c r="H196" s="1931"/>
      <c r="I196" s="2035">
        <v>30</v>
      </c>
      <c r="J196" s="2035">
        <v>30</v>
      </c>
      <c r="K196" s="2035">
        <v>30</v>
      </c>
      <c r="L196" s="2035">
        <v>30</v>
      </c>
      <c r="M196" s="2035">
        <v>30</v>
      </c>
      <c r="N196" s="2035">
        <v>30</v>
      </c>
      <c r="O196" s="2035">
        <v>30</v>
      </c>
      <c r="P196" s="2035">
        <v>30</v>
      </c>
      <c r="Q196" s="2035">
        <v>30</v>
      </c>
      <c r="R196" s="1845"/>
      <c r="U196"/>
      <c r="V196"/>
      <c r="W196"/>
      <c r="X196"/>
      <c r="Y196"/>
      <c r="Z196"/>
    </row>
    <row r="197" spans="3:34">
      <c r="C197" s="1845"/>
      <c r="D197" s="1845"/>
      <c r="E197" s="1832" t="s">
        <v>1981</v>
      </c>
      <c r="F197" s="2034"/>
      <c r="G197" s="1931">
        <v>7</v>
      </c>
      <c r="H197" s="1931"/>
      <c r="I197" s="2035">
        <v>60</v>
      </c>
      <c r="J197" s="2035">
        <v>60</v>
      </c>
      <c r="K197" s="2035">
        <v>60</v>
      </c>
      <c r="L197" s="2035">
        <v>60</v>
      </c>
      <c r="M197" s="2035">
        <v>60</v>
      </c>
      <c r="N197" s="2035">
        <v>60</v>
      </c>
      <c r="O197" s="2035">
        <v>60</v>
      </c>
      <c r="P197" s="2035">
        <v>60</v>
      </c>
      <c r="Q197" s="2035">
        <v>60</v>
      </c>
      <c r="R197" s="1845"/>
    </row>
    <row r="198" spans="3:34">
      <c r="C198" s="1845"/>
      <c r="D198" s="1845"/>
      <c r="E198" s="1832" t="s">
        <v>1982</v>
      </c>
      <c r="F198" s="2034"/>
      <c r="G198" s="1931">
        <v>8</v>
      </c>
      <c r="H198" s="1931"/>
      <c r="I198" s="2035">
        <v>60</v>
      </c>
      <c r="J198" s="2035">
        <v>60</v>
      </c>
      <c r="K198" s="2035">
        <v>60</v>
      </c>
      <c r="L198" s="2035">
        <v>60</v>
      </c>
      <c r="M198" s="2035">
        <v>60</v>
      </c>
      <c r="N198" s="2035">
        <v>60</v>
      </c>
      <c r="O198" s="2035">
        <v>60</v>
      </c>
      <c r="P198" s="2035">
        <v>60</v>
      </c>
      <c r="Q198" s="2035">
        <v>60</v>
      </c>
      <c r="R198" s="1845"/>
    </row>
    <row r="199" spans="3:34">
      <c r="C199" s="1845"/>
      <c r="D199" s="1845"/>
      <c r="E199" s="1832" t="s">
        <v>1635</v>
      </c>
      <c r="F199" s="2034"/>
      <c r="G199" s="1931">
        <v>9</v>
      </c>
      <c r="H199" s="1931"/>
      <c r="I199" s="2035">
        <v>30</v>
      </c>
      <c r="J199" s="2035">
        <v>60</v>
      </c>
      <c r="K199" s="2035">
        <v>90</v>
      </c>
      <c r="L199" s="2035">
        <v>30</v>
      </c>
      <c r="M199" s="2035">
        <v>60</v>
      </c>
      <c r="N199" s="2035">
        <v>90</v>
      </c>
      <c r="O199" s="2035">
        <v>30</v>
      </c>
      <c r="P199" s="2035">
        <v>60</v>
      </c>
      <c r="Q199" s="2035">
        <v>90</v>
      </c>
      <c r="R199" s="1845"/>
    </row>
    <row r="200" spans="3:34">
      <c r="C200" s="1866"/>
      <c r="D200" s="1866"/>
      <c r="E200" s="1845"/>
      <c r="F200" s="1845"/>
      <c r="G200" s="1845"/>
      <c r="H200" s="1845"/>
      <c r="I200" s="1872"/>
      <c r="J200" s="1872"/>
      <c r="K200" s="1872"/>
      <c r="L200" s="1872"/>
      <c r="M200" s="1872"/>
      <c r="N200" s="1872"/>
      <c r="O200" s="1872"/>
      <c r="P200" s="1872"/>
      <c r="Q200" s="1872"/>
      <c r="R200" s="1845"/>
    </row>
    <row r="201" spans="3:34" ht="38.25">
      <c r="C201" s="1866" t="s">
        <v>2045</v>
      </c>
      <c r="D201" s="1866"/>
      <c r="E201" s="1845"/>
      <c r="F201" s="1845"/>
      <c r="G201" s="1845"/>
      <c r="H201" s="1845"/>
      <c r="I201" s="1870" t="s">
        <v>2060</v>
      </c>
      <c r="J201" s="1871" t="s">
        <v>2061</v>
      </c>
      <c r="K201" s="1871" t="s">
        <v>2062</v>
      </c>
      <c r="L201" s="1870" t="s">
        <v>2060</v>
      </c>
      <c r="M201" s="1871" t="s">
        <v>2061</v>
      </c>
      <c r="N201" s="1871" t="s">
        <v>2062</v>
      </c>
      <c r="O201" s="1870" t="s">
        <v>2060</v>
      </c>
      <c r="P201" s="1871" t="s">
        <v>2061</v>
      </c>
      <c r="Q201" s="1871" t="s">
        <v>2062</v>
      </c>
      <c r="V201" s="2037" t="s">
        <v>1385</v>
      </c>
      <c r="W201" s="2037" t="s">
        <v>1386</v>
      </c>
      <c r="X201" s="2037" t="s">
        <v>1387</v>
      </c>
      <c r="AB201" s="2014" t="s">
        <v>2141</v>
      </c>
      <c r="AC201" s="2038" t="s">
        <v>2142</v>
      </c>
      <c r="AD201" s="2014" t="s">
        <v>2143</v>
      </c>
      <c r="AE201" s="2014" t="s">
        <v>2144</v>
      </c>
      <c r="AF201" s="2038" t="s">
        <v>2145</v>
      </c>
      <c r="AG201" s="2038" t="s">
        <v>2146</v>
      </c>
      <c r="AH201" s="2037" t="s">
        <v>2147</v>
      </c>
    </row>
    <row r="202" spans="3:34">
      <c r="C202" s="1845"/>
      <c r="D202" s="1845" t="s">
        <v>1975</v>
      </c>
      <c r="E202" s="1867" t="s">
        <v>2046</v>
      </c>
      <c r="F202" s="1868" t="s">
        <v>2047</v>
      </c>
      <c r="G202" s="1845"/>
      <c r="H202" s="1845"/>
      <c r="I202" s="2037">
        <f>X202</f>
        <v>0.56699999999999995</v>
      </c>
      <c r="J202" s="2037">
        <v>0</v>
      </c>
      <c r="K202" s="2037">
        <v>0</v>
      </c>
      <c r="L202" s="2037">
        <f>W202</f>
        <v>0.77200000000000002</v>
      </c>
      <c r="M202" s="2037">
        <v>0</v>
      </c>
      <c r="N202" s="2037">
        <v>0</v>
      </c>
      <c r="O202" s="2037">
        <f>V202</f>
        <v>0.69599999999999995</v>
      </c>
      <c r="P202" s="2037">
        <v>0</v>
      </c>
      <c r="Q202" s="2037">
        <v>0</v>
      </c>
      <c r="T202" s="1105" t="str">
        <f>D202</f>
        <v>Office</v>
      </c>
      <c r="U202" s="1105" t="str">
        <f>E202</f>
        <v>Regular concrete</v>
      </c>
      <c r="V202" s="2014">
        <v>0.69599999999999995</v>
      </c>
      <c r="W202" s="2014">
        <v>0.77200000000000002</v>
      </c>
      <c r="X202" s="2014">
        <v>0.56699999999999995</v>
      </c>
      <c r="Z202" s="2014" t="s">
        <v>2143</v>
      </c>
      <c r="AB202" s="2014"/>
      <c r="AC202" s="2014"/>
      <c r="AD202" s="2014"/>
      <c r="AE202" s="2014"/>
      <c r="AF202" s="2014"/>
      <c r="AG202" s="2014"/>
      <c r="AH202" s="2014"/>
    </row>
    <row r="203" spans="3:34">
      <c r="C203" s="1845"/>
      <c r="D203" s="1845"/>
      <c r="E203" s="1867" t="s">
        <v>2048</v>
      </c>
      <c r="F203" s="1868" t="s">
        <v>2047</v>
      </c>
      <c r="G203" s="1845"/>
      <c r="H203" s="1845"/>
      <c r="I203" s="2037">
        <f t="shared" ref="I203:I255" si="347">X203</f>
        <v>0</v>
      </c>
      <c r="J203" s="2037">
        <v>0</v>
      </c>
      <c r="K203" s="2037">
        <f>I202</f>
        <v>0.56699999999999995</v>
      </c>
      <c r="L203" s="2037">
        <f t="shared" ref="L203:L255" si="348">W203</f>
        <v>0</v>
      </c>
      <c r="M203" s="2037">
        <v>0</v>
      </c>
      <c r="N203" s="2037">
        <f>L202</f>
        <v>0.77200000000000002</v>
      </c>
      <c r="O203" s="2037">
        <f t="shared" ref="O203:O255" si="349">V203</f>
        <v>0</v>
      </c>
      <c r="P203" s="2037">
        <v>0</v>
      </c>
      <c r="Q203" s="2037">
        <f>O202</f>
        <v>0.69599999999999995</v>
      </c>
      <c r="U203" s="1105" t="str">
        <f t="shared" ref="U203:U207" si="350">E203</f>
        <v>Blast furnace cement concrete</v>
      </c>
      <c r="Z203" s="2014" t="s">
        <v>2144</v>
      </c>
      <c r="AB203" s="2014" t="s">
        <v>2148</v>
      </c>
      <c r="AC203" s="2014"/>
      <c r="AD203" s="2014"/>
      <c r="AE203" s="2014"/>
      <c r="AF203" s="2014"/>
      <c r="AG203" s="2014"/>
      <c r="AH203" s="2014"/>
    </row>
    <row r="204" spans="3:34">
      <c r="C204" s="1845"/>
      <c r="D204" s="1845"/>
      <c r="E204" s="1845" t="s">
        <v>2053</v>
      </c>
      <c r="F204" s="1868" t="s">
        <v>5021</v>
      </c>
      <c r="G204" s="1845"/>
      <c r="H204" s="1845"/>
      <c r="I204" s="2037">
        <f t="shared" si="347"/>
        <v>0.4325</v>
      </c>
      <c r="J204" s="2037">
        <v>0</v>
      </c>
      <c r="K204" s="2037">
        <f>I204</f>
        <v>0.4325</v>
      </c>
      <c r="L204" s="2037">
        <f t="shared" si="348"/>
        <v>1.05</v>
      </c>
      <c r="M204" s="2037">
        <v>0</v>
      </c>
      <c r="N204" s="2037">
        <f>L204</f>
        <v>1.05</v>
      </c>
      <c r="O204" s="2037">
        <f t="shared" si="349"/>
        <v>0.66749999999999998</v>
      </c>
      <c r="P204" s="2037">
        <v>0</v>
      </c>
      <c r="Q204" s="2037">
        <f>O204</f>
        <v>0.66749999999999998</v>
      </c>
      <c r="U204" s="1105" t="str">
        <f t="shared" si="350"/>
        <v>Formwork</v>
      </c>
      <c r="V204" s="2014">
        <v>0.66749999999999998</v>
      </c>
      <c r="W204" s="2014">
        <v>1.05</v>
      </c>
      <c r="X204" s="2014">
        <v>0.4325</v>
      </c>
      <c r="Y204" s="1845"/>
      <c r="Z204" s="2038" t="s">
        <v>2145</v>
      </c>
      <c r="AB204" s="2014"/>
      <c r="AC204" s="2037" t="s">
        <v>1385</v>
      </c>
      <c r="AD204" s="2014">
        <v>0.75</v>
      </c>
      <c r="AE204" s="2014">
        <v>1.0425</v>
      </c>
      <c r="AF204" s="2014">
        <v>0.13600000000000001</v>
      </c>
      <c r="AG204" s="2014">
        <v>5.1999999999999998E-2</v>
      </c>
      <c r="AH204" s="2014"/>
    </row>
    <row r="205" spans="3:34">
      <c r="C205" s="1845"/>
      <c r="D205" s="1845"/>
      <c r="E205" s="1867" t="s">
        <v>2052</v>
      </c>
      <c r="F205" s="1868" t="s">
        <v>2050</v>
      </c>
      <c r="G205" s="1845"/>
      <c r="H205" s="1845"/>
      <c r="I205" s="2037">
        <f t="shared" si="347"/>
        <v>7.0000000000000007E-2</v>
      </c>
      <c r="J205" s="2037">
        <v>0</v>
      </c>
      <c r="K205" s="2037">
        <f t="shared" ref="K205:K206" si="351">I205</f>
        <v>7.0000000000000007E-2</v>
      </c>
      <c r="L205" s="2037">
        <f t="shared" si="348"/>
        <v>0.10299999999999999</v>
      </c>
      <c r="M205" s="2037">
        <v>0</v>
      </c>
      <c r="N205" s="2037">
        <f t="shared" ref="N205:N206" si="352">L205</f>
        <v>0.10299999999999999</v>
      </c>
      <c r="O205" s="2037">
        <f t="shared" si="349"/>
        <v>7.8E-2</v>
      </c>
      <c r="P205" s="2037">
        <v>0</v>
      </c>
      <c r="Q205" s="2037">
        <f t="shared" ref="Q205:Q207" si="353">O205</f>
        <v>7.8E-2</v>
      </c>
      <c r="U205" s="1105" t="str">
        <f t="shared" si="350"/>
        <v>Reinforcing bars</v>
      </c>
      <c r="V205" s="2014">
        <v>7.8E-2</v>
      </c>
      <c r="W205" s="2014">
        <v>0.10299999999999999</v>
      </c>
      <c r="X205" s="2014">
        <v>7.0000000000000007E-2</v>
      </c>
      <c r="Y205" s="1845"/>
      <c r="Z205" s="2038" t="s">
        <v>2146</v>
      </c>
      <c r="AB205" s="2014"/>
      <c r="AC205" s="2037" t="s">
        <v>1386</v>
      </c>
      <c r="AD205" s="2014">
        <v>0.73399999999999999</v>
      </c>
      <c r="AE205" s="2014">
        <v>1.1074999999999999</v>
      </c>
      <c r="AF205" s="2014">
        <v>0.1</v>
      </c>
      <c r="AG205" s="2014">
        <v>1.2E-2</v>
      </c>
      <c r="AH205" s="2014"/>
    </row>
    <row r="206" spans="3:34">
      <c r="C206" s="1845"/>
      <c r="D206" s="1845"/>
      <c r="E206" s="1867" t="s">
        <v>2049</v>
      </c>
      <c r="F206" s="1868" t="s">
        <v>2050</v>
      </c>
      <c r="G206" s="1845"/>
      <c r="H206" s="1845"/>
      <c r="I206" s="2037">
        <f t="shared" si="347"/>
        <v>0.13600000000000001</v>
      </c>
      <c r="J206" s="2037">
        <v>0</v>
      </c>
      <c r="K206" s="2037">
        <f t="shared" si="351"/>
        <v>0.13600000000000001</v>
      </c>
      <c r="L206" s="2037">
        <f t="shared" si="348"/>
        <v>3.7999999999999999E-2</v>
      </c>
      <c r="M206" s="2037">
        <v>0</v>
      </c>
      <c r="N206" s="2037">
        <f t="shared" si="352"/>
        <v>3.7999999999999999E-2</v>
      </c>
      <c r="O206" s="2037">
        <f t="shared" si="349"/>
        <v>0.1</v>
      </c>
      <c r="P206" s="2037">
        <v>0</v>
      </c>
      <c r="Q206" s="2037">
        <f t="shared" si="353"/>
        <v>0.1</v>
      </c>
      <c r="U206" s="1105" t="str">
        <f t="shared" si="350"/>
        <v>Steel frame</v>
      </c>
      <c r="V206" s="2014">
        <v>0.1</v>
      </c>
      <c r="W206" s="2014">
        <v>3.7999999999999999E-2</v>
      </c>
      <c r="X206" s="2014">
        <v>0.13600000000000001</v>
      </c>
      <c r="Y206" s="2036"/>
      <c r="Z206" s="2037" t="s">
        <v>2147</v>
      </c>
      <c r="AB206" s="2014"/>
      <c r="AC206" s="2037" t="s">
        <v>1387</v>
      </c>
      <c r="AD206" s="2014">
        <v>0.32300000000000001</v>
      </c>
      <c r="AE206" s="2014">
        <v>0.16500000000000001</v>
      </c>
      <c r="AF206" s="2014">
        <v>1.9E-2</v>
      </c>
      <c r="AG206" s="2014">
        <v>4.8000000000000001E-2</v>
      </c>
      <c r="AH206" s="2014">
        <v>1</v>
      </c>
    </row>
    <row r="207" spans="3:34">
      <c r="C207" s="1845"/>
      <c r="D207" s="1845"/>
      <c r="E207" s="1845" t="s">
        <v>2051</v>
      </c>
      <c r="F207" s="1868" t="s">
        <v>5021</v>
      </c>
      <c r="G207" s="1845"/>
      <c r="H207" s="1845"/>
      <c r="I207" s="2037">
        <f t="shared" si="347"/>
        <v>1</v>
      </c>
      <c r="J207" s="2037">
        <v>0</v>
      </c>
      <c r="K207" s="2037">
        <f t="shared" ref="K207:N207" si="354">I207</f>
        <v>1</v>
      </c>
      <c r="L207" s="2037">
        <f t="shared" si="348"/>
        <v>0</v>
      </c>
      <c r="M207" s="2037">
        <v>0</v>
      </c>
      <c r="N207" s="2037">
        <f t="shared" si="354"/>
        <v>0</v>
      </c>
      <c r="O207" s="2037">
        <f t="shared" si="349"/>
        <v>0</v>
      </c>
      <c r="P207" s="2037">
        <v>0</v>
      </c>
      <c r="Q207" s="2037">
        <f t="shared" si="353"/>
        <v>0</v>
      </c>
      <c r="U207" s="1105" t="str">
        <f t="shared" si="350"/>
        <v>Deck plate</v>
      </c>
      <c r="V207" s="2014"/>
      <c r="W207" s="2014"/>
      <c r="X207" s="2014">
        <v>1</v>
      </c>
      <c r="AB207" s="2014" t="s">
        <v>2140</v>
      </c>
      <c r="AC207" s="2014"/>
      <c r="AD207" s="2014"/>
      <c r="AE207" s="2014"/>
      <c r="AF207" s="2014"/>
      <c r="AG207" s="2014"/>
      <c r="AH207" s="2014"/>
    </row>
    <row r="208" spans="3:34">
      <c r="C208" s="1845"/>
      <c r="D208" s="1845" t="s">
        <v>1976</v>
      </c>
      <c r="E208" s="1845" t="str">
        <f>E202</f>
        <v>Regular concrete</v>
      </c>
      <c r="F208" s="1845" t="str">
        <f>F202</f>
        <v>m3/m2</v>
      </c>
      <c r="G208" s="1845"/>
      <c r="H208" s="1845"/>
      <c r="I208" s="2037">
        <f t="shared" si="347"/>
        <v>0.35199999999999998</v>
      </c>
      <c r="J208" s="2037">
        <v>0</v>
      </c>
      <c r="K208" s="2037">
        <v>0</v>
      </c>
      <c r="L208" s="2037">
        <f t="shared" si="348"/>
        <v>0.86499999999999999</v>
      </c>
      <c r="M208" s="2037">
        <v>0</v>
      </c>
      <c r="N208" s="2037">
        <v>0</v>
      </c>
      <c r="O208" s="2037">
        <f t="shared" si="349"/>
        <v>0.95799999999999996</v>
      </c>
      <c r="P208" s="2037">
        <v>0</v>
      </c>
      <c r="Q208" s="2037">
        <v>0</v>
      </c>
      <c r="T208" s="1105" t="str">
        <f>D208</f>
        <v>School</v>
      </c>
      <c r="U208" s="1105" t="str">
        <f>E208</f>
        <v>Regular concrete</v>
      </c>
      <c r="V208" s="2014">
        <v>0.95799999999999996</v>
      </c>
      <c r="W208" s="2014">
        <v>0.86499999999999999</v>
      </c>
      <c r="X208" s="2014">
        <v>0.35199999999999998</v>
      </c>
      <c r="AB208" s="2014"/>
      <c r="AC208" s="2037" t="s">
        <v>1385</v>
      </c>
      <c r="AD208" s="2014">
        <v>0.69599999999999995</v>
      </c>
      <c r="AE208" s="2014">
        <v>0.66749999999999998</v>
      </c>
      <c r="AF208" s="2014">
        <v>7.8E-2</v>
      </c>
      <c r="AG208" s="2014">
        <v>0.1</v>
      </c>
      <c r="AH208" s="2014"/>
    </row>
    <row r="209" spans="3:34">
      <c r="C209" s="1845"/>
      <c r="D209" s="1845"/>
      <c r="E209" s="1845" t="str">
        <f t="shared" ref="E209:F209" si="355">E203</f>
        <v>Blast furnace cement concrete</v>
      </c>
      <c r="F209" s="1845" t="str">
        <f t="shared" si="355"/>
        <v>m3/m2</v>
      </c>
      <c r="G209" s="1845"/>
      <c r="H209" s="1845"/>
      <c r="I209" s="2037">
        <f t="shared" si="347"/>
        <v>0</v>
      </c>
      <c r="J209" s="2037">
        <v>0</v>
      </c>
      <c r="K209" s="2037">
        <f>I208</f>
        <v>0.35199999999999998</v>
      </c>
      <c r="L209" s="2037">
        <f t="shared" si="348"/>
        <v>0</v>
      </c>
      <c r="M209" s="2037">
        <v>0</v>
      </c>
      <c r="N209" s="2037">
        <f>L208</f>
        <v>0.86499999999999999</v>
      </c>
      <c r="O209" s="2037">
        <f t="shared" si="349"/>
        <v>0</v>
      </c>
      <c r="P209" s="2037">
        <v>0</v>
      </c>
      <c r="Q209" s="2037">
        <f>O208</f>
        <v>0.95799999999999996</v>
      </c>
      <c r="U209" s="1105" t="str">
        <f t="shared" ref="U209:U213" si="356">E209</f>
        <v>Blast furnace cement concrete</v>
      </c>
      <c r="AB209" s="2014"/>
      <c r="AC209" s="2037" t="s">
        <v>1386</v>
      </c>
      <c r="AD209" s="2014">
        <v>0.77200000000000002</v>
      </c>
      <c r="AE209" s="2014">
        <v>1.05</v>
      </c>
      <c r="AF209" s="2014">
        <v>0.10299999999999999</v>
      </c>
      <c r="AG209" s="2014">
        <v>3.7999999999999999E-2</v>
      </c>
      <c r="AH209" s="2014"/>
    </row>
    <row r="210" spans="3:34">
      <c r="C210" s="1845"/>
      <c r="D210" s="1845"/>
      <c r="E210" s="1845" t="str">
        <f t="shared" ref="E210:F210" si="357">E204</f>
        <v>Formwork</v>
      </c>
      <c r="F210" s="1845" t="str">
        <f t="shared" si="357"/>
        <v>m2/m2</v>
      </c>
      <c r="G210" s="1845"/>
      <c r="H210" s="1845"/>
      <c r="I210" s="2037">
        <f t="shared" si="347"/>
        <v>0.17</v>
      </c>
      <c r="J210" s="2037">
        <v>0</v>
      </c>
      <c r="K210" s="2037">
        <f>I210</f>
        <v>0.17</v>
      </c>
      <c r="L210" s="2037">
        <f t="shared" si="348"/>
        <v>1.2250000000000001</v>
      </c>
      <c r="M210" s="2037">
        <v>0</v>
      </c>
      <c r="N210" s="2037">
        <f>L210</f>
        <v>1.2250000000000001</v>
      </c>
      <c r="O210" s="2037">
        <f t="shared" si="349"/>
        <v>0.97250000000000003</v>
      </c>
      <c r="P210" s="2037">
        <v>0</v>
      </c>
      <c r="Q210" s="2037">
        <f>O210</f>
        <v>0.97250000000000003</v>
      </c>
      <c r="U210" s="1105" t="str">
        <f t="shared" si="356"/>
        <v>Formwork</v>
      </c>
      <c r="V210" s="2014">
        <v>0.97250000000000003</v>
      </c>
      <c r="W210" s="2014">
        <v>1.2250000000000001</v>
      </c>
      <c r="X210" s="2014">
        <v>0.17</v>
      </c>
      <c r="AB210" s="2014"/>
      <c r="AC210" s="2037" t="s">
        <v>1387</v>
      </c>
      <c r="AD210" s="2014">
        <v>0.56699999999999995</v>
      </c>
      <c r="AE210" s="2014">
        <v>0.4325</v>
      </c>
      <c r="AF210" s="2014">
        <v>7.0000000000000007E-2</v>
      </c>
      <c r="AG210" s="2014">
        <v>0.13600000000000001</v>
      </c>
      <c r="AH210" s="2014">
        <v>1</v>
      </c>
    </row>
    <row r="211" spans="3:34">
      <c r="C211" s="1845"/>
      <c r="D211" s="1845"/>
      <c r="E211" s="1845" t="str">
        <f t="shared" ref="E211:F211" si="358">E205</f>
        <v>Reinforcing bars</v>
      </c>
      <c r="F211" s="1845" t="str">
        <f t="shared" si="358"/>
        <v>t/m2</v>
      </c>
      <c r="G211" s="1845"/>
      <c r="H211" s="1845"/>
      <c r="I211" s="2037">
        <f t="shared" si="347"/>
        <v>4.4999999999999998E-2</v>
      </c>
      <c r="J211" s="2037">
        <v>0</v>
      </c>
      <c r="K211" s="2037">
        <f t="shared" ref="K211:K213" si="359">I211</f>
        <v>4.4999999999999998E-2</v>
      </c>
      <c r="L211" s="2037">
        <f t="shared" si="348"/>
        <v>0.112</v>
      </c>
      <c r="M211" s="2037">
        <v>0</v>
      </c>
      <c r="N211" s="2037">
        <f t="shared" ref="N211:N213" si="360">L211</f>
        <v>0.112</v>
      </c>
      <c r="O211" s="2037">
        <f t="shared" si="349"/>
        <v>0.11</v>
      </c>
      <c r="P211" s="2037">
        <v>0</v>
      </c>
      <c r="Q211" s="2037">
        <f t="shared" ref="Q211:Q213" si="361">O211</f>
        <v>0.11</v>
      </c>
      <c r="U211" s="1105" t="str">
        <f t="shared" si="356"/>
        <v>Reinforcing bars</v>
      </c>
      <c r="V211" s="2014">
        <v>0.11</v>
      </c>
      <c r="W211" s="2014">
        <v>0.112</v>
      </c>
      <c r="X211" s="2014">
        <v>4.4999999999999998E-2</v>
      </c>
      <c r="AB211" s="2014" t="s">
        <v>2149</v>
      </c>
      <c r="AC211" s="2014"/>
      <c r="AD211" s="2014"/>
      <c r="AE211" s="2014"/>
      <c r="AF211" s="2014"/>
      <c r="AG211" s="2014"/>
      <c r="AH211" s="2014"/>
    </row>
    <row r="212" spans="3:34">
      <c r="C212" s="1845"/>
      <c r="D212" s="1845"/>
      <c r="E212" s="1845" t="str">
        <f t="shared" ref="E212:F212" si="362">E206</f>
        <v>Steel frame</v>
      </c>
      <c r="F212" s="1845" t="str">
        <f t="shared" si="362"/>
        <v>t/m2</v>
      </c>
      <c r="G212" s="1845"/>
      <c r="H212" s="1845"/>
      <c r="I212" s="2037">
        <f t="shared" si="347"/>
        <v>0.105</v>
      </c>
      <c r="J212" s="2037">
        <v>0</v>
      </c>
      <c r="K212" s="2037">
        <f t="shared" si="359"/>
        <v>0.105</v>
      </c>
      <c r="L212" s="2037">
        <f t="shared" si="348"/>
        <v>5.0000000000000001E-3</v>
      </c>
      <c r="M212" s="2037">
        <v>0</v>
      </c>
      <c r="N212" s="2037">
        <f t="shared" si="360"/>
        <v>5.0000000000000001E-3</v>
      </c>
      <c r="O212" s="2037">
        <f t="shared" si="349"/>
        <v>7.8E-2</v>
      </c>
      <c r="P212" s="2037">
        <v>0</v>
      </c>
      <c r="Q212" s="2037">
        <f t="shared" si="361"/>
        <v>7.8E-2</v>
      </c>
      <c r="U212" s="1105" t="str">
        <f t="shared" si="356"/>
        <v>Steel frame</v>
      </c>
      <c r="V212" s="2014">
        <v>7.8E-2</v>
      </c>
      <c r="W212" s="2014">
        <v>5.0000000000000001E-3</v>
      </c>
      <c r="X212" s="2014">
        <v>0.105</v>
      </c>
      <c r="AB212" s="2014"/>
      <c r="AC212" s="2037" t="s">
        <v>1385</v>
      </c>
      <c r="AD212" s="2014">
        <v>0.95799999999999996</v>
      </c>
      <c r="AE212" s="2014">
        <v>0.97250000000000003</v>
      </c>
      <c r="AF212" s="2014">
        <v>0.11</v>
      </c>
      <c r="AG212" s="2014">
        <v>7.8E-2</v>
      </c>
      <c r="AH212" s="2014"/>
    </row>
    <row r="213" spans="3:34">
      <c r="C213" s="1845"/>
      <c r="D213" s="1845"/>
      <c r="E213" s="1845" t="str">
        <f t="shared" ref="E213:F213" si="363">E207</f>
        <v>Deck plate</v>
      </c>
      <c r="F213" s="1845" t="str">
        <f t="shared" si="363"/>
        <v>m2/m2</v>
      </c>
      <c r="G213" s="1845"/>
      <c r="H213" s="1845"/>
      <c r="I213" s="2037">
        <f t="shared" si="347"/>
        <v>1</v>
      </c>
      <c r="J213" s="2037">
        <v>0</v>
      </c>
      <c r="K213" s="2037">
        <f t="shared" si="359"/>
        <v>1</v>
      </c>
      <c r="L213" s="2037">
        <f t="shared" si="348"/>
        <v>0</v>
      </c>
      <c r="M213" s="2037">
        <v>0</v>
      </c>
      <c r="N213" s="2037">
        <f t="shared" si="360"/>
        <v>0</v>
      </c>
      <c r="O213" s="2037">
        <f t="shared" si="349"/>
        <v>0</v>
      </c>
      <c r="P213" s="2037">
        <v>0</v>
      </c>
      <c r="Q213" s="2037">
        <f t="shared" si="361"/>
        <v>0</v>
      </c>
      <c r="U213" s="1105" t="str">
        <f t="shared" si="356"/>
        <v>Deck plate</v>
      </c>
      <c r="V213" s="2014"/>
      <c r="W213" s="2014"/>
      <c r="X213" s="2014">
        <v>1</v>
      </c>
      <c r="AB213" s="2014"/>
      <c r="AC213" s="2037" t="s">
        <v>1386</v>
      </c>
      <c r="AD213" s="2014">
        <v>0.86499999999999999</v>
      </c>
      <c r="AE213" s="2014">
        <v>1.2250000000000001</v>
      </c>
      <c r="AF213" s="2014">
        <v>0.112</v>
      </c>
      <c r="AG213" s="2014">
        <v>5.0000000000000001E-3</v>
      </c>
      <c r="AH213" s="2014"/>
    </row>
    <row r="214" spans="3:34">
      <c r="C214" s="1845"/>
      <c r="D214" s="1845" t="s">
        <v>1977</v>
      </c>
      <c r="E214" s="1845" t="str">
        <f t="shared" ref="E214:F214" si="364">E208</f>
        <v>Regular concrete</v>
      </c>
      <c r="F214" s="1845" t="str">
        <f t="shared" si="364"/>
        <v>m3/m2</v>
      </c>
      <c r="G214" s="1845"/>
      <c r="H214" s="1845"/>
      <c r="I214" s="2037">
        <f t="shared" si="347"/>
        <v>0.34200000000000003</v>
      </c>
      <c r="J214" s="2037">
        <v>0</v>
      </c>
      <c r="K214" s="2037">
        <v>0</v>
      </c>
      <c r="L214" s="2037">
        <f t="shared" si="348"/>
        <v>0.91200000000000003</v>
      </c>
      <c r="M214" s="2037">
        <v>0</v>
      </c>
      <c r="N214" s="2037">
        <v>0</v>
      </c>
      <c r="O214" s="2037">
        <f t="shared" si="349"/>
        <v>0.307</v>
      </c>
      <c r="P214" s="2037">
        <v>0</v>
      </c>
      <c r="Q214" s="2037">
        <v>0</v>
      </c>
      <c r="T214" s="1105" t="str">
        <f>D214</f>
        <v>Retailers</v>
      </c>
      <c r="U214" s="1105" t="str">
        <f>E214</f>
        <v>Regular concrete</v>
      </c>
      <c r="V214" s="2014">
        <v>0.307</v>
      </c>
      <c r="W214" s="2014">
        <v>0.91200000000000003</v>
      </c>
      <c r="X214" s="2014">
        <v>0.34200000000000003</v>
      </c>
      <c r="AB214" s="2014"/>
      <c r="AC214" s="2037" t="s">
        <v>1387</v>
      </c>
      <c r="AD214" s="2014">
        <v>0.35199999999999998</v>
      </c>
      <c r="AE214" s="2014">
        <v>0.17</v>
      </c>
      <c r="AF214" s="2014">
        <v>4.4999999999999998E-2</v>
      </c>
      <c r="AG214" s="2014">
        <v>0.105</v>
      </c>
      <c r="AH214" s="2014">
        <v>1</v>
      </c>
    </row>
    <row r="215" spans="3:34">
      <c r="C215" s="1845"/>
      <c r="D215" s="1845"/>
      <c r="E215" s="1845" t="str">
        <f t="shared" ref="E215:F215" si="365">E209</f>
        <v>Blast furnace cement concrete</v>
      </c>
      <c r="F215" s="1845" t="str">
        <f t="shared" si="365"/>
        <v>m3/m2</v>
      </c>
      <c r="G215" s="1845"/>
      <c r="H215" s="1845"/>
      <c r="I215" s="2037">
        <f t="shared" si="347"/>
        <v>0</v>
      </c>
      <c r="J215" s="2037">
        <v>0</v>
      </c>
      <c r="K215" s="2037">
        <f>I214</f>
        <v>0.34200000000000003</v>
      </c>
      <c r="L215" s="2037">
        <f t="shared" si="348"/>
        <v>0</v>
      </c>
      <c r="M215" s="2037">
        <v>0</v>
      </c>
      <c r="N215" s="2037">
        <f>L214</f>
        <v>0.91200000000000003</v>
      </c>
      <c r="O215" s="2037">
        <f t="shared" si="349"/>
        <v>0</v>
      </c>
      <c r="P215" s="2037">
        <v>0</v>
      </c>
      <c r="Q215" s="2037">
        <f>O214</f>
        <v>0.307</v>
      </c>
      <c r="U215" s="1105" t="str">
        <f t="shared" ref="U215:U219" si="366">E215</f>
        <v>Blast furnace cement concrete</v>
      </c>
      <c r="AB215" s="2014" t="s">
        <v>2151</v>
      </c>
      <c r="AC215" s="2037"/>
      <c r="AD215" s="2014"/>
      <c r="AE215" s="2014"/>
      <c r="AF215" s="2014"/>
      <c r="AG215" s="2014"/>
      <c r="AH215" s="2014"/>
    </row>
    <row r="216" spans="3:34">
      <c r="C216" s="1845"/>
      <c r="D216" s="1845"/>
      <c r="E216" s="1845" t="str">
        <f t="shared" ref="E216:F216" si="367">E210</f>
        <v>Formwork</v>
      </c>
      <c r="F216" s="1845" t="str">
        <f t="shared" si="367"/>
        <v>m2/m2</v>
      </c>
      <c r="G216" s="1845"/>
      <c r="H216" s="1845"/>
      <c r="I216" s="2037">
        <f t="shared" si="347"/>
        <v>0.155</v>
      </c>
      <c r="J216" s="2037">
        <v>0</v>
      </c>
      <c r="K216" s="2037">
        <f>I216</f>
        <v>0.155</v>
      </c>
      <c r="L216" s="2037">
        <f t="shared" si="348"/>
        <v>1.4350000000000001</v>
      </c>
      <c r="M216" s="2037">
        <v>0</v>
      </c>
      <c r="N216" s="2037">
        <f>L216</f>
        <v>1.4350000000000001</v>
      </c>
      <c r="O216" s="2037">
        <f t="shared" si="349"/>
        <v>0.40250000000000002</v>
      </c>
      <c r="P216" s="2037">
        <v>0</v>
      </c>
      <c r="Q216" s="2037">
        <f>O216</f>
        <v>0.40250000000000002</v>
      </c>
      <c r="U216" s="1105" t="str">
        <f t="shared" si="366"/>
        <v>Formwork</v>
      </c>
      <c r="V216" s="2014">
        <v>0.40250000000000002</v>
      </c>
      <c r="W216" s="2014">
        <v>1.4350000000000001</v>
      </c>
      <c r="X216" s="2014">
        <v>0.155</v>
      </c>
      <c r="AB216" s="2014" t="s">
        <v>2152</v>
      </c>
      <c r="AC216" s="2037" t="s">
        <v>1385</v>
      </c>
      <c r="AD216" s="2014">
        <v>0.81200000000000006</v>
      </c>
      <c r="AE216" s="2014">
        <v>0.8075</v>
      </c>
      <c r="AF216" s="2014">
        <v>8.8999999999999996E-2</v>
      </c>
      <c r="AG216" s="2014">
        <v>6.6000000000000003E-2</v>
      </c>
      <c r="AH216" s="2014"/>
    </row>
    <row r="217" spans="3:34">
      <c r="C217" s="1845"/>
      <c r="D217" s="1845"/>
      <c r="E217" s="1845" t="str">
        <f t="shared" ref="E217:F217" si="368">E211</f>
        <v>Reinforcing bars</v>
      </c>
      <c r="F217" s="1845" t="str">
        <f t="shared" si="368"/>
        <v>t/m2</v>
      </c>
      <c r="G217" s="1845"/>
      <c r="H217" s="1845"/>
      <c r="I217" s="2037">
        <f t="shared" si="347"/>
        <v>2.4E-2</v>
      </c>
      <c r="J217" s="2037">
        <v>0</v>
      </c>
      <c r="K217" s="2037">
        <f t="shared" ref="K217:K219" si="369">I217</f>
        <v>2.4E-2</v>
      </c>
      <c r="L217" s="2037">
        <f t="shared" si="348"/>
        <v>0.13300000000000001</v>
      </c>
      <c r="M217" s="2037">
        <v>0</v>
      </c>
      <c r="N217" s="2037">
        <f t="shared" ref="N217:N219" si="370">L217</f>
        <v>0.13300000000000001</v>
      </c>
      <c r="O217" s="2037">
        <f t="shared" si="349"/>
        <v>5.2999999999999999E-2</v>
      </c>
      <c r="P217" s="2037">
        <v>0</v>
      </c>
      <c r="Q217" s="2037">
        <f t="shared" ref="Q217:Q219" si="371">O217</f>
        <v>5.2999999999999999E-2</v>
      </c>
      <c r="U217" s="1105" t="str">
        <f t="shared" si="366"/>
        <v>Reinforcing bars</v>
      </c>
      <c r="V217" s="2014">
        <v>5.2999999999999999E-2</v>
      </c>
      <c r="W217" s="2014">
        <v>0.13300000000000001</v>
      </c>
      <c r="X217" s="2014">
        <v>2.4E-2</v>
      </c>
      <c r="AB217" s="2014"/>
      <c r="AC217" s="2037" t="s">
        <v>1386</v>
      </c>
      <c r="AD217" s="2014">
        <v>0.76600000000000001</v>
      </c>
      <c r="AE217" s="2014">
        <v>1.1200000000000001</v>
      </c>
      <c r="AF217" s="2014">
        <v>9.6000000000000002E-2</v>
      </c>
      <c r="AG217" s="2014">
        <v>1.2E-2</v>
      </c>
      <c r="AH217" s="2014"/>
    </row>
    <row r="218" spans="3:34">
      <c r="C218" s="1845"/>
      <c r="D218" s="1845"/>
      <c r="E218" s="1845" t="str">
        <f t="shared" ref="E218:F218" si="372">E212</f>
        <v>Steel frame</v>
      </c>
      <c r="F218" s="1845" t="str">
        <f t="shared" si="372"/>
        <v>t/m2</v>
      </c>
      <c r="G218" s="1845"/>
      <c r="H218" s="1845"/>
      <c r="I218" s="2037">
        <f t="shared" si="347"/>
        <v>7.1999999999999995E-2</v>
      </c>
      <c r="J218" s="2037">
        <v>0</v>
      </c>
      <c r="K218" s="2037">
        <f t="shared" si="369"/>
        <v>7.1999999999999995E-2</v>
      </c>
      <c r="L218" s="2037" t="str">
        <f t="shared" si="348"/>
        <v>-</v>
      </c>
      <c r="M218" s="2037">
        <v>0</v>
      </c>
      <c r="N218" s="2037" t="str">
        <f t="shared" si="370"/>
        <v>-</v>
      </c>
      <c r="O218" s="2037">
        <f t="shared" si="349"/>
        <v>7.0999999999999994E-2</v>
      </c>
      <c r="P218" s="2037">
        <v>0</v>
      </c>
      <c r="Q218" s="2037">
        <f t="shared" si="371"/>
        <v>7.0999999999999994E-2</v>
      </c>
      <c r="U218" s="1105" t="str">
        <f t="shared" si="366"/>
        <v>Steel frame</v>
      </c>
      <c r="V218" s="2014">
        <v>7.0999999999999994E-2</v>
      </c>
      <c r="W218" s="2014" t="s">
        <v>538</v>
      </c>
      <c r="X218" s="2014">
        <v>7.1999999999999995E-2</v>
      </c>
      <c r="AB218" s="2014"/>
      <c r="AC218" s="2037" t="s">
        <v>1387</v>
      </c>
      <c r="AD218" s="2014">
        <v>0.317</v>
      </c>
      <c r="AE218" s="2014">
        <v>0.17</v>
      </c>
      <c r="AF218" s="2014">
        <v>3.4000000000000002E-2</v>
      </c>
      <c r="AG218" s="2014">
        <v>7.3999999999999996E-2</v>
      </c>
      <c r="AH218" s="2014">
        <v>1</v>
      </c>
    </row>
    <row r="219" spans="3:34">
      <c r="C219" s="1845"/>
      <c r="D219" s="1845"/>
      <c r="E219" s="1845" t="str">
        <f t="shared" ref="E219:F219" si="373">E213</f>
        <v>Deck plate</v>
      </c>
      <c r="F219" s="1845" t="str">
        <f t="shared" si="373"/>
        <v>m2/m2</v>
      </c>
      <c r="G219" s="1845"/>
      <c r="H219" s="1845"/>
      <c r="I219" s="2037">
        <f t="shared" si="347"/>
        <v>1</v>
      </c>
      <c r="J219" s="2037">
        <v>0</v>
      </c>
      <c r="K219" s="2037">
        <f t="shared" si="369"/>
        <v>1</v>
      </c>
      <c r="L219" s="2037">
        <f t="shared" si="348"/>
        <v>0</v>
      </c>
      <c r="M219" s="2037">
        <v>0</v>
      </c>
      <c r="N219" s="2037">
        <f t="shared" si="370"/>
        <v>0</v>
      </c>
      <c r="O219" s="2037">
        <f t="shared" si="349"/>
        <v>0</v>
      </c>
      <c r="P219" s="2037">
        <v>0</v>
      </c>
      <c r="Q219" s="2037">
        <f t="shared" si="371"/>
        <v>0</v>
      </c>
      <c r="U219" s="1105" t="str">
        <f t="shared" si="366"/>
        <v>Deck plate</v>
      </c>
      <c r="V219" s="2014"/>
      <c r="W219" s="2014"/>
      <c r="X219" s="2014">
        <v>1</v>
      </c>
      <c r="AB219" s="2014" t="s">
        <v>2150</v>
      </c>
      <c r="AC219" s="2037"/>
      <c r="AD219" s="2014"/>
      <c r="AE219" s="2014"/>
      <c r="AF219" s="2014"/>
      <c r="AG219" s="2014"/>
      <c r="AH219" s="2014"/>
    </row>
    <row r="220" spans="3:34">
      <c r="C220" s="1845"/>
      <c r="D220" s="1845" t="s">
        <v>1978</v>
      </c>
      <c r="E220" s="1845" t="str">
        <f t="shared" ref="E220:F220" si="374">E214</f>
        <v>Regular concrete</v>
      </c>
      <c r="F220" s="1845" t="str">
        <f t="shared" si="374"/>
        <v>m3/m2</v>
      </c>
      <c r="G220" s="1845"/>
      <c r="H220" s="1845"/>
      <c r="I220" s="2037">
        <f t="shared" si="347"/>
        <v>0.34200000000000003</v>
      </c>
      <c r="J220" s="2037">
        <v>0</v>
      </c>
      <c r="K220" s="2037">
        <v>0</v>
      </c>
      <c r="L220" s="2037">
        <f t="shared" si="348"/>
        <v>0.91200000000000003</v>
      </c>
      <c r="M220" s="2037">
        <v>0</v>
      </c>
      <c r="N220" s="2037">
        <v>0</v>
      </c>
      <c r="O220" s="2037">
        <f t="shared" si="349"/>
        <v>0.307</v>
      </c>
      <c r="P220" s="2037">
        <v>0</v>
      </c>
      <c r="Q220" s="2037">
        <v>0</v>
      </c>
      <c r="T220" s="1105" t="str">
        <f>D220</f>
        <v>Restaurants</v>
      </c>
      <c r="U220" s="1105" t="str">
        <f>E220</f>
        <v>Regular concrete</v>
      </c>
      <c r="V220" s="1105">
        <f>V214</f>
        <v>0.307</v>
      </c>
      <c r="W220" s="1105">
        <f t="shared" ref="W220:X220" si="375">W214</f>
        <v>0.91200000000000003</v>
      </c>
      <c r="X220" s="1105">
        <f t="shared" si="375"/>
        <v>0.34200000000000003</v>
      </c>
      <c r="AB220" s="2014" t="s">
        <v>2153</v>
      </c>
      <c r="AC220" s="2037" t="s">
        <v>1385</v>
      </c>
      <c r="AD220" s="2014">
        <v>0.307</v>
      </c>
      <c r="AE220" s="2014">
        <v>0.40250000000000002</v>
      </c>
      <c r="AF220" s="2014">
        <v>5.2999999999999999E-2</v>
      </c>
      <c r="AG220" s="2014">
        <v>7.0999999999999994E-2</v>
      </c>
      <c r="AH220" s="2014"/>
    </row>
    <row r="221" spans="3:34">
      <c r="C221" s="1845"/>
      <c r="D221" s="1845"/>
      <c r="E221" s="1845" t="str">
        <f t="shared" ref="E221:F221" si="376">E215</f>
        <v>Blast furnace cement concrete</v>
      </c>
      <c r="F221" s="1845" t="str">
        <f t="shared" si="376"/>
        <v>m3/m2</v>
      </c>
      <c r="G221" s="1845"/>
      <c r="H221" s="1845"/>
      <c r="I221" s="2037">
        <f t="shared" si="347"/>
        <v>0</v>
      </c>
      <c r="J221" s="2037">
        <v>0</v>
      </c>
      <c r="K221" s="2037">
        <f>I220</f>
        <v>0.34200000000000003</v>
      </c>
      <c r="L221" s="2037">
        <f t="shared" si="348"/>
        <v>0</v>
      </c>
      <c r="M221" s="2037">
        <v>0</v>
      </c>
      <c r="N221" s="2037">
        <f>L220</f>
        <v>0.91200000000000003</v>
      </c>
      <c r="O221" s="2037">
        <f t="shared" si="349"/>
        <v>0</v>
      </c>
      <c r="P221" s="2037">
        <v>0</v>
      </c>
      <c r="Q221" s="2037">
        <f>O220</f>
        <v>0.307</v>
      </c>
      <c r="U221" s="1105" t="str">
        <f t="shared" ref="U221:U225" si="377">E221</f>
        <v>Blast furnace cement concrete</v>
      </c>
      <c r="V221" s="1105">
        <f t="shared" ref="V221:X225" si="378">V215</f>
        <v>0</v>
      </c>
      <c r="W221" s="1105">
        <f t="shared" si="378"/>
        <v>0</v>
      </c>
      <c r="X221" s="1105">
        <f t="shared" si="378"/>
        <v>0</v>
      </c>
      <c r="AB221" s="2014"/>
      <c r="AC221" s="2037" t="s">
        <v>1386</v>
      </c>
      <c r="AD221" s="2014">
        <v>0.91200000000000003</v>
      </c>
      <c r="AE221" s="2014">
        <v>1.4350000000000001</v>
      </c>
      <c r="AF221" s="2014">
        <v>0.13300000000000001</v>
      </c>
      <c r="AG221" s="2014" t="s">
        <v>538</v>
      </c>
      <c r="AH221" s="2014"/>
    </row>
    <row r="222" spans="3:34">
      <c r="C222" s="1845"/>
      <c r="D222" s="1845"/>
      <c r="E222" s="1845" t="str">
        <f t="shared" ref="E222:F222" si="379">E216</f>
        <v>Formwork</v>
      </c>
      <c r="F222" s="1845" t="str">
        <f t="shared" si="379"/>
        <v>m2/m2</v>
      </c>
      <c r="G222" s="1845"/>
      <c r="H222" s="1845"/>
      <c r="I222" s="2037">
        <f t="shared" si="347"/>
        <v>0.155</v>
      </c>
      <c r="J222" s="2037">
        <v>0</v>
      </c>
      <c r="K222" s="2037">
        <f>I222</f>
        <v>0.155</v>
      </c>
      <c r="L222" s="2037">
        <f t="shared" si="348"/>
        <v>1.4350000000000001</v>
      </c>
      <c r="M222" s="2037">
        <v>0</v>
      </c>
      <c r="N222" s="2037">
        <f>L222</f>
        <v>1.4350000000000001</v>
      </c>
      <c r="O222" s="2037">
        <f t="shared" si="349"/>
        <v>0.40250000000000002</v>
      </c>
      <c r="P222" s="2037">
        <v>0</v>
      </c>
      <c r="Q222" s="2037">
        <f>O222</f>
        <v>0.40250000000000002</v>
      </c>
      <c r="U222" s="1105" t="str">
        <f t="shared" si="377"/>
        <v>Formwork</v>
      </c>
      <c r="V222" s="1105">
        <f t="shared" si="378"/>
        <v>0.40250000000000002</v>
      </c>
      <c r="W222" s="1105">
        <f t="shared" si="378"/>
        <v>1.4350000000000001</v>
      </c>
      <c r="X222" s="1105">
        <f t="shared" si="378"/>
        <v>0.155</v>
      </c>
      <c r="AB222" s="2014"/>
      <c r="AC222" s="2037" t="s">
        <v>1387</v>
      </c>
      <c r="AD222" s="2014">
        <v>0.34200000000000003</v>
      </c>
      <c r="AE222" s="2014">
        <v>0.155</v>
      </c>
      <c r="AF222" s="2014">
        <v>2.4E-2</v>
      </c>
      <c r="AG222" s="2014">
        <v>7.1999999999999995E-2</v>
      </c>
      <c r="AH222" s="2014">
        <v>1</v>
      </c>
    </row>
    <row r="223" spans="3:34">
      <c r="C223" s="1845"/>
      <c r="D223" s="1845"/>
      <c r="E223" s="1845" t="str">
        <f t="shared" ref="E223:F223" si="380">E217</f>
        <v>Reinforcing bars</v>
      </c>
      <c r="F223" s="1845" t="str">
        <f t="shared" si="380"/>
        <v>t/m2</v>
      </c>
      <c r="G223" s="1845"/>
      <c r="H223" s="1845"/>
      <c r="I223" s="2037">
        <f t="shared" si="347"/>
        <v>2.4E-2</v>
      </c>
      <c r="J223" s="2037">
        <v>0</v>
      </c>
      <c r="K223" s="2037">
        <f t="shared" ref="K223:K225" si="381">I223</f>
        <v>2.4E-2</v>
      </c>
      <c r="L223" s="2037">
        <f t="shared" si="348"/>
        <v>0.13300000000000001</v>
      </c>
      <c r="M223" s="2037">
        <v>0</v>
      </c>
      <c r="N223" s="2037">
        <f t="shared" ref="N223:N225" si="382">L223</f>
        <v>0.13300000000000001</v>
      </c>
      <c r="O223" s="2037">
        <f t="shared" si="349"/>
        <v>5.2999999999999999E-2</v>
      </c>
      <c r="P223" s="2037">
        <v>0</v>
      </c>
      <c r="Q223" s="2037">
        <f t="shared" ref="Q223:Q225" si="383">O223</f>
        <v>5.2999999999999999E-2</v>
      </c>
      <c r="U223" s="1105" t="str">
        <f t="shared" si="377"/>
        <v>Reinforcing bars</v>
      </c>
      <c r="V223" s="1105">
        <f t="shared" si="378"/>
        <v>5.2999999999999999E-2</v>
      </c>
      <c r="W223" s="1105">
        <f t="shared" si="378"/>
        <v>0.13300000000000001</v>
      </c>
      <c r="X223" s="1105">
        <f t="shared" si="378"/>
        <v>2.4E-2</v>
      </c>
      <c r="AB223" s="2014" t="s">
        <v>2154</v>
      </c>
      <c r="AC223" s="2014"/>
      <c r="AD223" s="2014"/>
      <c r="AE223" s="2014"/>
      <c r="AF223" s="2014"/>
      <c r="AG223" s="2014"/>
      <c r="AH223" s="2014"/>
    </row>
    <row r="224" spans="3:34">
      <c r="C224" s="1845"/>
      <c r="D224" s="1845"/>
      <c r="E224" s="1845" t="str">
        <f t="shared" ref="E224:F224" si="384">E218</f>
        <v>Steel frame</v>
      </c>
      <c r="F224" s="1845" t="str">
        <f t="shared" si="384"/>
        <v>t/m2</v>
      </c>
      <c r="G224" s="1845"/>
      <c r="H224" s="1845"/>
      <c r="I224" s="2037">
        <f t="shared" si="347"/>
        <v>7.1999999999999995E-2</v>
      </c>
      <c r="J224" s="2037">
        <v>0</v>
      </c>
      <c r="K224" s="2037">
        <f t="shared" si="381"/>
        <v>7.1999999999999995E-2</v>
      </c>
      <c r="L224" s="2037" t="str">
        <f t="shared" si="348"/>
        <v>-</v>
      </c>
      <c r="M224" s="2037">
        <v>0</v>
      </c>
      <c r="N224" s="2037" t="str">
        <f t="shared" si="382"/>
        <v>-</v>
      </c>
      <c r="O224" s="2037">
        <f t="shared" si="349"/>
        <v>7.0999999999999994E-2</v>
      </c>
      <c r="P224" s="2037">
        <v>0</v>
      </c>
      <c r="Q224" s="2037">
        <f t="shared" si="383"/>
        <v>7.0999999999999994E-2</v>
      </c>
      <c r="U224" s="1105" t="str">
        <f t="shared" si="377"/>
        <v>Steel frame</v>
      </c>
      <c r="V224" s="1105">
        <f t="shared" si="378"/>
        <v>7.0999999999999994E-2</v>
      </c>
      <c r="W224" s="1105" t="str">
        <f t="shared" si="378"/>
        <v>-</v>
      </c>
      <c r="X224" s="1105">
        <f t="shared" si="378"/>
        <v>7.1999999999999995E-2</v>
      </c>
      <c r="AB224" s="2014"/>
      <c r="AC224" s="2037" t="s">
        <v>1385</v>
      </c>
      <c r="AD224" s="2014">
        <v>0.81599999999999995</v>
      </c>
      <c r="AE224" s="2014">
        <v>1.04</v>
      </c>
      <c r="AF224" s="2014">
        <v>9.2999999999999999E-2</v>
      </c>
      <c r="AG224" s="2014">
        <v>8.4000000000000005E-2</v>
      </c>
      <c r="AH224" s="2014"/>
    </row>
    <row r="225" spans="3:34">
      <c r="C225" s="1845"/>
      <c r="D225" s="1845"/>
      <c r="E225" s="1845" t="str">
        <f t="shared" ref="E225:F225" si="385">E219</f>
        <v>Deck plate</v>
      </c>
      <c r="F225" s="1845" t="str">
        <f t="shared" si="385"/>
        <v>m2/m2</v>
      </c>
      <c r="G225" s="1845"/>
      <c r="H225" s="1845"/>
      <c r="I225" s="2037">
        <f t="shared" si="347"/>
        <v>1</v>
      </c>
      <c r="J225" s="2037">
        <v>0</v>
      </c>
      <c r="K225" s="2037">
        <f t="shared" si="381"/>
        <v>1</v>
      </c>
      <c r="L225" s="2037">
        <f t="shared" si="348"/>
        <v>0</v>
      </c>
      <c r="M225" s="2037">
        <v>0</v>
      </c>
      <c r="N225" s="2037">
        <f t="shared" si="382"/>
        <v>0</v>
      </c>
      <c r="O225" s="2037">
        <f t="shared" si="349"/>
        <v>0</v>
      </c>
      <c r="P225" s="2037">
        <v>0</v>
      </c>
      <c r="Q225" s="2037">
        <f t="shared" si="383"/>
        <v>0</v>
      </c>
      <c r="U225" s="1105" t="str">
        <f t="shared" si="377"/>
        <v>Deck plate</v>
      </c>
      <c r="V225" s="1105">
        <f t="shared" si="378"/>
        <v>0</v>
      </c>
      <c r="W225" s="1105">
        <f t="shared" si="378"/>
        <v>0</v>
      </c>
      <c r="X225" s="1105">
        <f t="shared" si="378"/>
        <v>1</v>
      </c>
      <c r="AB225" s="2014"/>
      <c r="AC225" s="2037" t="s">
        <v>1386</v>
      </c>
      <c r="AD225" s="2014">
        <v>0.999</v>
      </c>
      <c r="AE225" s="2014">
        <v>1.1950000000000001</v>
      </c>
      <c r="AF225" s="2014">
        <v>0.111</v>
      </c>
      <c r="AG225" s="2014">
        <v>4.0000000000000001E-3</v>
      </c>
      <c r="AH225" s="2014"/>
    </row>
    <row r="226" spans="3:34">
      <c r="C226" s="1845"/>
      <c r="D226" s="1845" t="s">
        <v>1979</v>
      </c>
      <c r="E226" s="1845" t="str">
        <f t="shared" ref="E226:F226" si="386">E220</f>
        <v>Regular concrete</v>
      </c>
      <c r="F226" s="1845" t="str">
        <f t="shared" si="386"/>
        <v>m3/m2</v>
      </c>
      <c r="G226" s="1845"/>
      <c r="H226" s="1845"/>
      <c r="I226" s="2037">
        <f t="shared" si="347"/>
        <v>0.34499999999999997</v>
      </c>
      <c r="J226" s="2037">
        <v>0</v>
      </c>
      <c r="K226" s="2037">
        <v>0</v>
      </c>
      <c r="L226" s="2037">
        <f t="shared" si="348"/>
        <v>0.88800000000000001</v>
      </c>
      <c r="M226" s="2037">
        <v>0</v>
      </c>
      <c r="N226" s="2037">
        <v>0</v>
      </c>
      <c r="O226" s="2037">
        <f t="shared" si="349"/>
        <v>0.86199999999999999</v>
      </c>
      <c r="P226" s="2037">
        <v>0</v>
      </c>
      <c r="Q226" s="2037">
        <v>0</v>
      </c>
      <c r="T226" s="1105" t="str">
        <f>D226</f>
        <v>Halls</v>
      </c>
      <c r="U226" s="1105" t="str">
        <f>E226</f>
        <v>Regular concrete</v>
      </c>
      <c r="V226" s="2014">
        <v>0.86199999999999999</v>
      </c>
      <c r="W226" s="2014">
        <v>0.88800000000000001</v>
      </c>
      <c r="X226" s="2014">
        <v>0.34499999999999997</v>
      </c>
      <c r="AB226" s="2014"/>
      <c r="AC226" s="2037" t="s">
        <v>1387</v>
      </c>
      <c r="AD226" s="2014">
        <v>0.436</v>
      </c>
      <c r="AE226" s="2014">
        <v>0.39250000000000002</v>
      </c>
      <c r="AF226" s="2014">
        <v>3.4000000000000002E-2</v>
      </c>
      <c r="AG226" s="2014">
        <v>0.10299999999999999</v>
      </c>
      <c r="AH226" s="2014">
        <v>1</v>
      </c>
    </row>
    <row r="227" spans="3:34">
      <c r="C227" s="1845"/>
      <c r="D227" s="1845"/>
      <c r="E227" s="1845" t="str">
        <f t="shared" ref="E227:F227" si="387">E221</f>
        <v>Blast furnace cement concrete</v>
      </c>
      <c r="F227" s="1845" t="str">
        <f t="shared" si="387"/>
        <v>m3/m2</v>
      </c>
      <c r="G227" s="1845"/>
      <c r="H227" s="1845"/>
      <c r="I227" s="2037">
        <f t="shared" si="347"/>
        <v>0</v>
      </c>
      <c r="J227" s="2037">
        <v>0</v>
      </c>
      <c r="K227" s="2037">
        <f>I226</f>
        <v>0.34499999999999997</v>
      </c>
      <c r="L227" s="2037">
        <f t="shared" si="348"/>
        <v>0</v>
      </c>
      <c r="M227" s="2037">
        <v>0</v>
      </c>
      <c r="N227" s="2037">
        <f>L226</f>
        <v>0.88800000000000001</v>
      </c>
      <c r="O227" s="2037">
        <f t="shared" si="349"/>
        <v>0</v>
      </c>
      <c r="P227" s="2037">
        <v>0</v>
      </c>
      <c r="Q227" s="2037">
        <f>O226</f>
        <v>0.86199999999999999</v>
      </c>
      <c r="U227" s="1105" t="str">
        <f t="shared" ref="U227:U231" si="388">E227</f>
        <v>Blast furnace cement concrete</v>
      </c>
      <c r="AB227" s="2014" t="s">
        <v>2155</v>
      </c>
      <c r="AC227" s="2037"/>
      <c r="AD227" s="2014"/>
      <c r="AE227" s="2014"/>
      <c r="AF227" s="2014"/>
      <c r="AG227" s="2014"/>
      <c r="AH227" s="2014"/>
    </row>
    <row r="228" spans="3:34">
      <c r="C228" s="1845"/>
      <c r="D228" s="1845"/>
      <c r="E228" s="1845" t="str">
        <f t="shared" ref="E228:F228" si="389">E222</f>
        <v>Formwork</v>
      </c>
      <c r="F228" s="1845" t="str">
        <f t="shared" si="389"/>
        <v>m2/m2</v>
      </c>
      <c r="G228" s="1845"/>
      <c r="H228" s="1845"/>
      <c r="I228" s="2037">
        <f t="shared" si="347"/>
        <v>0.36249999999999999</v>
      </c>
      <c r="J228" s="2037">
        <v>0</v>
      </c>
      <c r="K228" s="2037">
        <f>I228</f>
        <v>0.36249999999999999</v>
      </c>
      <c r="L228" s="2037">
        <f t="shared" si="348"/>
        <v>1.2350000000000001</v>
      </c>
      <c r="M228" s="2037">
        <v>0</v>
      </c>
      <c r="N228" s="2037">
        <f>L228</f>
        <v>1.2350000000000001</v>
      </c>
      <c r="O228" s="2037">
        <f t="shared" si="349"/>
        <v>1.0225</v>
      </c>
      <c r="P228" s="2037">
        <v>0</v>
      </c>
      <c r="Q228" s="2037">
        <f>O228</f>
        <v>1.0225</v>
      </c>
      <c r="U228" s="1105" t="str">
        <f t="shared" si="388"/>
        <v>Formwork</v>
      </c>
      <c r="V228" s="2014">
        <v>1.0225</v>
      </c>
      <c r="W228" s="2014">
        <v>1.2350000000000001</v>
      </c>
      <c r="X228" s="2014">
        <v>0.36249999999999999</v>
      </c>
      <c r="AB228" s="2014" t="s">
        <v>2156</v>
      </c>
      <c r="AC228" s="2037" t="s">
        <v>1385</v>
      </c>
      <c r="AD228" s="2014">
        <v>0.86199999999999999</v>
      </c>
      <c r="AE228" s="2014">
        <v>1.0225</v>
      </c>
      <c r="AF228" s="2014">
        <v>0.1</v>
      </c>
      <c r="AG228" s="2014">
        <v>5.8999999999999997E-2</v>
      </c>
      <c r="AH228" s="2014"/>
    </row>
    <row r="229" spans="3:34">
      <c r="C229" s="1845"/>
      <c r="D229" s="1845"/>
      <c r="E229" s="1845" t="str">
        <f t="shared" ref="E229:F229" si="390">E223</f>
        <v>Reinforcing bars</v>
      </c>
      <c r="F229" s="1845" t="str">
        <f t="shared" si="390"/>
        <v>t/m2</v>
      </c>
      <c r="G229" s="1845"/>
      <c r="H229" s="1845"/>
      <c r="I229" s="2037">
        <f t="shared" si="347"/>
        <v>0.04</v>
      </c>
      <c r="J229" s="2037">
        <v>0</v>
      </c>
      <c r="K229" s="2037">
        <f t="shared" ref="K229:K231" si="391">I229</f>
        <v>0.04</v>
      </c>
      <c r="L229" s="2037">
        <f t="shared" si="348"/>
        <v>0.11799999999999999</v>
      </c>
      <c r="M229" s="2037">
        <v>0</v>
      </c>
      <c r="N229" s="2037">
        <f t="shared" ref="N229:N231" si="392">L229</f>
        <v>0.11799999999999999</v>
      </c>
      <c r="O229" s="2037">
        <f t="shared" si="349"/>
        <v>0.1</v>
      </c>
      <c r="P229" s="2037">
        <v>0</v>
      </c>
      <c r="Q229" s="2037">
        <f t="shared" ref="Q229:Q231" si="393">O229</f>
        <v>0.1</v>
      </c>
      <c r="U229" s="1105" t="str">
        <f t="shared" si="388"/>
        <v>Reinforcing bars</v>
      </c>
      <c r="V229" s="2014">
        <v>0.1</v>
      </c>
      <c r="W229" s="2014">
        <v>0.11799999999999999</v>
      </c>
      <c r="X229" s="2014">
        <v>0.04</v>
      </c>
      <c r="AB229" s="2014"/>
      <c r="AC229" s="2037" t="s">
        <v>1386</v>
      </c>
      <c r="AD229" s="2014">
        <v>0.88800000000000001</v>
      </c>
      <c r="AE229" s="2014">
        <v>1.2350000000000001</v>
      </c>
      <c r="AF229" s="2014">
        <v>0.11799999999999999</v>
      </c>
      <c r="AG229" s="2014">
        <v>1.7000000000000001E-2</v>
      </c>
      <c r="AH229" s="2014"/>
    </row>
    <row r="230" spans="3:34">
      <c r="C230" s="1845"/>
      <c r="D230" s="1845"/>
      <c r="E230" s="1845" t="str">
        <f t="shared" ref="E230:F230" si="394">E224</f>
        <v>Steel frame</v>
      </c>
      <c r="F230" s="1845" t="str">
        <f t="shared" si="394"/>
        <v>t/m2</v>
      </c>
      <c r="G230" s="1845"/>
      <c r="H230" s="1845"/>
      <c r="I230" s="2037">
        <f t="shared" si="347"/>
        <v>0.13900000000000001</v>
      </c>
      <c r="J230" s="2037">
        <v>0</v>
      </c>
      <c r="K230" s="2037">
        <f t="shared" si="391"/>
        <v>0.13900000000000001</v>
      </c>
      <c r="L230" s="2037">
        <f t="shared" si="348"/>
        <v>1.7000000000000001E-2</v>
      </c>
      <c r="M230" s="2037">
        <v>0</v>
      </c>
      <c r="N230" s="2037">
        <f t="shared" si="392"/>
        <v>1.7000000000000001E-2</v>
      </c>
      <c r="O230" s="2037">
        <f t="shared" si="349"/>
        <v>5.8999999999999997E-2</v>
      </c>
      <c r="P230" s="2037">
        <v>0</v>
      </c>
      <c r="Q230" s="2037">
        <f t="shared" si="393"/>
        <v>5.8999999999999997E-2</v>
      </c>
      <c r="U230" s="1105" t="str">
        <f t="shared" si="388"/>
        <v>Steel frame</v>
      </c>
      <c r="V230" s="2014">
        <v>5.8999999999999997E-2</v>
      </c>
      <c r="W230" s="2014">
        <v>1.7000000000000001E-2</v>
      </c>
      <c r="X230" s="2014">
        <v>0.13900000000000001</v>
      </c>
      <c r="AB230" s="2014"/>
      <c r="AC230" s="2037" t="s">
        <v>1387</v>
      </c>
      <c r="AD230" s="2014">
        <v>0.34499999999999997</v>
      </c>
      <c r="AE230" s="2014">
        <v>0.36249999999999999</v>
      </c>
      <c r="AF230" s="2014">
        <v>0.04</v>
      </c>
      <c r="AG230" s="2014">
        <v>0.13900000000000001</v>
      </c>
      <c r="AH230" s="2014">
        <v>1</v>
      </c>
    </row>
    <row r="231" spans="3:34">
      <c r="C231" s="1845"/>
      <c r="D231" s="1845"/>
      <c r="E231" s="1845" t="str">
        <f t="shared" ref="E231:F231" si="395">E225</f>
        <v>Deck plate</v>
      </c>
      <c r="F231" s="1845" t="str">
        <f t="shared" si="395"/>
        <v>m2/m2</v>
      </c>
      <c r="G231" s="1845"/>
      <c r="H231" s="1845"/>
      <c r="I231" s="2037">
        <f t="shared" si="347"/>
        <v>1</v>
      </c>
      <c r="J231" s="2037">
        <v>0</v>
      </c>
      <c r="K231" s="2037">
        <f t="shared" si="391"/>
        <v>1</v>
      </c>
      <c r="L231" s="2037">
        <f t="shared" si="348"/>
        <v>0</v>
      </c>
      <c r="M231" s="2037">
        <v>0</v>
      </c>
      <c r="N231" s="2037">
        <f t="shared" si="392"/>
        <v>0</v>
      </c>
      <c r="O231" s="2037">
        <f t="shared" si="349"/>
        <v>0</v>
      </c>
      <c r="P231" s="2037">
        <v>0</v>
      </c>
      <c r="Q231" s="2037">
        <f t="shared" si="393"/>
        <v>0</v>
      </c>
      <c r="U231" s="1105" t="str">
        <f t="shared" si="388"/>
        <v>Deck plate</v>
      </c>
      <c r="V231" s="2014"/>
      <c r="W231" s="2014"/>
      <c r="X231" s="2014">
        <v>1</v>
      </c>
      <c r="AB231" s="2014" t="s">
        <v>2157</v>
      </c>
      <c r="AC231" s="2037"/>
      <c r="AD231" s="2014"/>
      <c r="AE231" s="2014"/>
      <c r="AF231" s="2014"/>
      <c r="AG231" s="2014"/>
      <c r="AH231" s="2014"/>
    </row>
    <row r="232" spans="3:34">
      <c r="C232" s="1845"/>
      <c r="D232" s="1845" t="s">
        <v>1980</v>
      </c>
      <c r="E232" s="1845" t="str">
        <f t="shared" ref="E232:F232" si="396">E226</f>
        <v>Regular concrete</v>
      </c>
      <c r="F232" s="1845" t="str">
        <f t="shared" si="396"/>
        <v>m3/m2</v>
      </c>
      <c r="G232" s="1845"/>
      <c r="H232" s="1845"/>
      <c r="I232" s="2037">
        <f t="shared" si="347"/>
        <v>0.35399999999999998</v>
      </c>
      <c r="J232" s="2037">
        <v>0</v>
      </c>
      <c r="K232" s="2037">
        <v>0</v>
      </c>
      <c r="L232" s="2037">
        <f t="shared" si="348"/>
        <v>0.77</v>
      </c>
      <c r="M232" s="2037">
        <v>0</v>
      </c>
      <c r="N232" s="2037">
        <v>0</v>
      </c>
      <c r="O232" s="2037">
        <f t="shared" si="349"/>
        <v>0.66900000000000004</v>
      </c>
      <c r="P232" s="2037">
        <v>0</v>
      </c>
      <c r="Q232" s="2037">
        <v>0</v>
      </c>
      <c r="T232" s="1105" t="str">
        <f>D232</f>
        <v>Factories</v>
      </c>
      <c r="U232" s="1105" t="str">
        <f>E232</f>
        <v>Regular concrete</v>
      </c>
      <c r="V232" s="2014">
        <v>0.66900000000000004</v>
      </c>
      <c r="W232" s="2014">
        <v>0.77</v>
      </c>
      <c r="X232" s="2014">
        <v>0.35399999999999998</v>
      </c>
      <c r="AB232" s="2014" t="s">
        <v>2158</v>
      </c>
      <c r="AC232" s="2037" t="s">
        <v>1385</v>
      </c>
      <c r="AD232" s="2014">
        <v>0.66900000000000004</v>
      </c>
      <c r="AE232" s="2014">
        <v>0.5575</v>
      </c>
      <c r="AF232" s="2014">
        <v>0.08</v>
      </c>
      <c r="AG232" s="2014">
        <v>7.6999999999999999E-2</v>
      </c>
      <c r="AH232" s="2014"/>
    </row>
    <row r="233" spans="3:34">
      <c r="C233" s="1845"/>
      <c r="D233" s="1845"/>
      <c r="E233" s="1845" t="str">
        <f t="shared" ref="E233:F233" si="397">E227</f>
        <v>Blast furnace cement concrete</v>
      </c>
      <c r="F233" s="1845" t="str">
        <f t="shared" si="397"/>
        <v>m3/m2</v>
      </c>
      <c r="G233" s="1845"/>
      <c r="H233" s="1845"/>
      <c r="I233" s="2037">
        <f t="shared" si="347"/>
        <v>0</v>
      </c>
      <c r="J233" s="2037">
        <v>0</v>
      </c>
      <c r="K233" s="2037">
        <f>I232</f>
        <v>0.35399999999999998</v>
      </c>
      <c r="L233" s="2037">
        <f t="shared" si="348"/>
        <v>0</v>
      </c>
      <c r="M233" s="2037">
        <v>0</v>
      </c>
      <c r="N233" s="2037">
        <f>L232</f>
        <v>0.77</v>
      </c>
      <c r="O233" s="2037">
        <f t="shared" si="349"/>
        <v>0</v>
      </c>
      <c r="P233" s="2037">
        <v>0</v>
      </c>
      <c r="Q233" s="2037">
        <f>O232</f>
        <v>0.66900000000000004</v>
      </c>
      <c r="U233" s="1105" t="str">
        <f t="shared" ref="U233:U237" si="398">E233</f>
        <v>Blast furnace cement concrete</v>
      </c>
      <c r="AB233" s="2014"/>
      <c r="AC233" s="2037" t="s">
        <v>1386</v>
      </c>
      <c r="AD233" s="2014">
        <v>0.77</v>
      </c>
      <c r="AE233" s="2014">
        <v>0.76249999999999996</v>
      </c>
      <c r="AF233" s="2014">
        <v>0.108</v>
      </c>
      <c r="AG233" s="2014">
        <v>0.01</v>
      </c>
      <c r="AH233" s="2014"/>
    </row>
    <row r="234" spans="3:34">
      <c r="C234" s="1845"/>
      <c r="D234" s="1845"/>
      <c r="E234" s="1845" t="str">
        <f t="shared" ref="E234:F234" si="399">E228</f>
        <v>Formwork</v>
      </c>
      <c r="F234" s="1845" t="str">
        <f t="shared" si="399"/>
        <v>m2/m2</v>
      </c>
      <c r="G234" s="1845"/>
      <c r="H234" s="1845"/>
      <c r="I234" s="2037">
        <f t="shared" si="347"/>
        <v>0.17499999999999999</v>
      </c>
      <c r="J234" s="2037">
        <v>0</v>
      </c>
      <c r="K234" s="2037">
        <f>I234</f>
        <v>0.17499999999999999</v>
      </c>
      <c r="L234" s="2037">
        <f t="shared" si="348"/>
        <v>0.76249999999999996</v>
      </c>
      <c r="M234" s="2037">
        <v>0</v>
      </c>
      <c r="N234" s="2037">
        <f>L234</f>
        <v>0.76249999999999996</v>
      </c>
      <c r="O234" s="2037">
        <f t="shared" si="349"/>
        <v>0.5575</v>
      </c>
      <c r="P234" s="2037">
        <v>0</v>
      </c>
      <c r="Q234" s="2037">
        <f>O234</f>
        <v>0.5575</v>
      </c>
      <c r="U234" s="1105" t="str">
        <f t="shared" si="398"/>
        <v>Formwork</v>
      </c>
      <c r="V234" s="2014">
        <v>0.5575</v>
      </c>
      <c r="W234" s="2014">
        <v>0.76249999999999996</v>
      </c>
      <c r="X234" s="2014">
        <v>0.17499999999999999</v>
      </c>
      <c r="AB234" s="2014"/>
      <c r="AC234" s="2037" t="s">
        <v>1387</v>
      </c>
      <c r="AD234" s="2014">
        <v>0.35399999999999998</v>
      </c>
      <c r="AE234" s="2014">
        <v>0.17499999999999999</v>
      </c>
      <c r="AF234" s="2014">
        <v>3.1E-2</v>
      </c>
      <c r="AG234" s="2014">
        <v>8.7999999999999995E-2</v>
      </c>
      <c r="AH234" s="2014">
        <v>1</v>
      </c>
    </row>
    <row r="235" spans="3:34">
      <c r="C235" s="1845"/>
      <c r="D235" s="1845"/>
      <c r="E235" s="1845" t="str">
        <f t="shared" ref="E235:F235" si="400">E229</f>
        <v>Reinforcing bars</v>
      </c>
      <c r="F235" s="1845" t="str">
        <f t="shared" si="400"/>
        <v>t/m2</v>
      </c>
      <c r="G235" s="1845"/>
      <c r="H235" s="1845"/>
      <c r="I235" s="2037">
        <f t="shared" si="347"/>
        <v>3.1E-2</v>
      </c>
      <c r="J235" s="2037">
        <v>0</v>
      </c>
      <c r="K235" s="2037">
        <f t="shared" ref="K235:K237" si="401">I235</f>
        <v>3.1E-2</v>
      </c>
      <c r="L235" s="2037">
        <f t="shared" si="348"/>
        <v>0.108</v>
      </c>
      <c r="M235" s="2037">
        <v>0</v>
      </c>
      <c r="N235" s="2037">
        <f t="shared" ref="N235:N237" si="402">L235</f>
        <v>0.108</v>
      </c>
      <c r="O235" s="2037">
        <f t="shared" si="349"/>
        <v>0.08</v>
      </c>
      <c r="P235" s="2037">
        <v>0</v>
      </c>
      <c r="Q235" s="2037">
        <f t="shared" ref="Q235:Q237" si="403">O235</f>
        <v>0.08</v>
      </c>
      <c r="U235" s="1105" t="str">
        <f t="shared" si="398"/>
        <v>Reinforcing bars</v>
      </c>
      <c r="V235" s="2014">
        <v>0.08</v>
      </c>
      <c r="W235" s="2014">
        <v>0.108</v>
      </c>
      <c r="X235" s="2014">
        <v>3.1E-2</v>
      </c>
    </row>
    <row r="236" spans="3:34">
      <c r="C236" s="1845"/>
      <c r="D236" s="1845"/>
      <c r="E236" s="1845" t="str">
        <f t="shared" ref="E236:F236" si="404">E230</f>
        <v>Steel frame</v>
      </c>
      <c r="F236" s="1845" t="str">
        <f t="shared" si="404"/>
        <v>t/m2</v>
      </c>
      <c r="G236" s="1845"/>
      <c r="H236" s="1845"/>
      <c r="I236" s="2037">
        <f t="shared" si="347"/>
        <v>8.7999999999999995E-2</v>
      </c>
      <c r="J236" s="2037">
        <v>0</v>
      </c>
      <c r="K236" s="2037">
        <f t="shared" si="401"/>
        <v>8.7999999999999995E-2</v>
      </c>
      <c r="L236" s="2037">
        <f t="shared" si="348"/>
        <v>0.01</v>
      </c>
      <c r="M236" s="2037">
        <v>0</v>
      </c>
      <c r="N236" s="2037">
        <f t="shared" si="402"/>
        <v>0.01</v>
      </c>
      <c r="O236" s="2037">
        <f t="shared" si="349"/>
        <v>7.6999999999999999E-2</v>
      </c>
      <c r="P236" s="2037">
        <v>0</v>
      </c>
      <c r="Q236" s="2037">
        <f t="shared" si="403"/>
        <v>7.6999999999999999E-2</v>
      </c>
      <c r="U236" s="1105" t="str">
        <f t="shared" si="398"/>
        <v>Steel frame</v>
      </c>
      <c r="V236" s="2014">
        <v>7.6999999999999999E-2</v>
      </c>
      <c r="W236" s="2014">
        <v>0.01</v>
      </c>
      <c r="X236" s="2014">
        <v>8.7999999999999995E-2</v>
      </c>
    </row>
    <row r="237" spans="3:34">
      <c r="C237" s="1845"/>
      <c r="D237" s="1845"/>
      <c r="E237" s="1845" t="str">
        <f t="shared" ref="E237:F237" si="405">E231</f>
        <v>Deck plate</v>
      </c>
      <c r="F237" s="1845" t="str">
        <f t="shared" si="405"/>
        <v>m2/m2</v>
      </c>
      <c r="G237" s="1845"/>
      <c r="H237" s="1845"/>
      <c r="I237" s="2037">
        <f t="shared" si="347"/>
        <v>1</v>
      </c>
      <c r="J237" s="2037">
        <v>0</v>
      </c>
      <c r="K237" s="2037">
        <f t="shared" si="401"/>
        <v>1</v>
      </c>
      <c r="L237" s="2037">
        <f t="shared" si="348"/>
        <v>0</v>
      </c>
      <c r="M237" s="2037">
        <v>0</v>
      </c>
      <c r="N237" s="2037">
        <f t="shared" si="402"/>
        <v>0</v>
      </c>
      <c r="O237" s="2037">
        <f t="shared" si="349"/>
        <v>0</v>
      </c>
      <c r="P237" s="2037">
        <v>0</v>
      </c>
      <c r="Q237" s="2037">
        <f t="shared" si="403"/>
        <v>0</v>
      </c>
      <c r="U237" s="1105" t="str">
        <f t="shared" si="398"/>
        <v>Deck plate</v>
      </c>
      <c r="V237" s="2014"/>
      <c r="W237" s="2014"/>
      <c r="X237" s="2014">
        <v>1</v>
      </c>
    </row>
    <row r="238" spans="3:34">
      <c r="C238" s="1845"/>
      <c r="D238" s="1845" t="s">
        <v>1981</v>
      </c>
      <c r="E238" s="1845" t="str">
        <f t="shared" ref="E238:F238" si="406">E232</f>
        <v>Regular concrete</v>
      </c>
      <c r="F238" s="1845" t="str">
        <f t="shared" si="406"/>
        <v>m3/m2</v>
      </c>
      <c r="G238" s="1845"/>
      <c r="H238" s="1845"/>
      <c r="I238" s="2037">
        <f t="shared" si="347"/>
        <v>0.317</v>
      </c>
      <c r="J238" s="2037">
        <v>0</v>
      </c>
      <c r="K238" s="2037">
        <v>0</v>
      </c>
      <c r="L238" s="2037">
        <f t="shared" si="348"/>
        <v>0.76600000000000001</v>
      </c>
      <c r="M238" s="2037">
        <v>0</v>
      </c>
      <c r="N238" s="2037">
        <v>0</v>
      </c>
      <c r="O238" s="2037">
        <f t="shared" si="349"/>
        <v>0.81200000000000006</v>
      </c>
      <c r="P238" s="2037">
        <v>0</v>
      </c>
      <c r="Q238" s="2037">
        <v>0</v>
      </c>
      <c r="T238" s="1105" t="str">
        <f>D238</f>
        <v>Hospitals</v>
      </c>
      <c r="U238" s="1105" t="str">
        <f>E238</f>
        <v>Regular concrete</v>
      </c>
      <c r="V238" s="2014">
        <v>0.81200000000000006</v>
      </c>
      <c r="W238" s="2014">
        <v>0.76600000000000001</v>
      </c>
      <c r="X238" s="2014">
        <v>0.317</v>
      </c>
      <c r="AB238" s="3800"/>
      <c r="AC238" s="3800"/>
      <c r="AD238" s="3800"/>
      <c r="AE238" s="3800"/>
      <c r="AF238" s="3800"/>
      <c r="AG238" s="3800"/>
    </row>
    <row r="239" spans="3:34">
      <c r="C239" s="1845"/>
      <c r="D239" s="1845"/>
      <c r="E239" s="1845" t="str">
        <f t="shared" ref="E239:F239" si="407">E233</f>
        <v>Blast furnace cement concrete</v>
      </c>
      <c r="F239" s="1845" t="str">
        <f t="shared" si="407"/>
        <v>m3/m2</v>
      </c>
      <c r="G239" s="1845"/>
      <c r="H239" s="1845"/>
      <c r="I239" s="2037">
        <f t="shared" si="347"/>
        <v>0</v>
      </c>
      <c r="J239" s="2037">
        <v>0</v>
      </c>
      <c r="K239" s="2037">
        <f>I238</f>
        <v>0.317</v>
      </c>
      <c r="L239" s="2037">
        <f t="shared" si="348"/>
        <v>0</v>
      </c>
      <c r="M239" s="2037">
        <v>0</v>
      </c>
      <c r="N239" s="2037">
        <f>L238</f>
        <v>0.76600000000000001</v>
      </c>
      <c r="O239" s="2037">
        <f t="shared" si="349"/>
        <v>0</v>
      </c>
      <c r="P239" s="2037">
        <v>0</v>
      </c>
      <c r="Q239" s="2037">
        <f>O238</f>
        <v>0.81200000000000006</v>
      </c>
      <c r="U239" s="1105" t="str">
        <f t="shared" ref="U239:U243" si="408">E239</f>
        <v>Blast furnace cement concrete</v>
      </c>
      <c r="AB239" s="3800"/>
      <c r="AC239" s="3800"/>
      <c r="AD239" s="3800"/>
      <c r="AE239" s="3800"/>
      <c r="AF239" s="3800"/>
      <c r="AG239" s="3800"/>
    </row>
    <row r="240" spans="3:34">
      <c r="C240" s="1845"/>
      <c r="D240" s="1845"/>
      <c r="E240" s="1845" t="str">
        <f t="shared" ref="E240:F240" si="409">E234</f>
        <v>Formwork</v>
      </c>
      <c r="F240" s="1845" t="str">
        <f t="shared" si="409"/>
        <v>m2/m2</v>
      </c>
      <c r="G240" s="1845"/>
      <c r="H240" s="1845"/>
      <c r="I240" s="2037">
        <f t="shared" si="347"/>
        <v>0.17</v>
      </c>
      <c r="J240" s="2037">
        <v>0</v>
      </c>
      <c r="K240" s="2037">
        <f>I240</f>
        <v>0.17</v>
      </c>
      <c r="L240" s="2037">
        <f t="shared" si="348"/>
        <v>1.1200000000000001</v>
      </c>
      <c r="M240" s="2037">
        <v>0</v>
      </c>
      <c r="N240" s="2037">
        <f>L240</f>
        <v>1.1200000000000001</v>
      </c>
      <c r="O240" s="2037">
        <f t="shared" si="349"/>
        <v>0.8075</v>
      </c>
      <c r="P240" s="2037">
        <v>0</v>
      </c>
      <c r="Q240" s="2037">
        <f>O240</f>
        <v>0.8075</v>
      </c>
      <c r="U240" s="1105" t="str">
        <f t="shared" si="408"/>
        <v>Formwork</v>
      </c>
      <c r="V240" s="2014">
        <v>0.8075</v>
      </c>
      <c r="W240" s="2014">
        <v>1.1200000000000001</v>
      </c>
      <c r="X240" s="2014">
        <v>0.17</v>
      </c>
      <c r="AB240" s="3800"/>
      <c r="AC240" s="3800"/>
      <c r="AD240" s="3800"/>
      <c r="AE240" s="3800"/>
      <c r="AF240" s="3800"/>
      <c r="AG240" s="3800"/>
    </row>
    <row r="241" spans="3:24">
      <c r="C241" s="1845"/>
      <c r="D241" s="1845"/>
      <c r="E241" s="1845" t="str">
        <f t="shared" ref="E241:F241" si="410">E235</f>
        <v>Reinforcing bars</v>
      </c>
      <c r="F241" s="1845" t="str">
        <f t="shared" si="410"/>
        <v>t/m2</v>
      </c>
      <c r="G241" s="1845"/>
      <c r="H241" s="1845"/>
      <c r="I241" s="2037">
        <f t="shared" si="347"/>
        <v>3.4000000000000002E-2</v>
      </c>
      <c r="J241" s="2037">
        <v>0</v>
      </c>
      <c r="K241" s="2037">
        <f t="shared" ref="K241:K243" si="411">I241</f>
        <v>3.4000000000000002E-2</v>
      </c>
      <c r="L241" s="2037">
        <f t="shared" si="348"/>
        <v>9.6000000000000002E-2</v>
      </c>
      <c r="M241" s="2037">
        <v>0</v>
      </c>
      <c r="N241" s="2037">
        <f t="shared" ref="N241:N243" si="412">L241</f>
        <v>9.6000000000000002E-2</v>
      </c>
      <c r="O241" s="2037">
        <f t="shared" si="349"/>
        <v>8.8999999999999996E-2</v>
      </c>
      <c r="P241" s="2037">
        <v>0</v>
      </c>
      <c r="Q241" s="2037">
        <f t="shared" ref="Q241:Q243" si="413">O241</f>
        <v>8.8999999999999996E-2</v>
      </c>
      <c r="U241" s="1105" t="str">
        <f t="shared" si="408"/>
        <v>Reinforcing bars</v>
      </c>
      <c r="V241" s="2014">
        <v>8.8999999999999996E-2</v>
      </c>
      <c r="W241" s="2014">
        <v>9.6000000000000002E-2</v>
      </c>
      <c r="X241" s="2014">
        <v>3.4000000000000002E-2</v>
      </c>
    </row>
    <row r="242" spans="3:24">
      <c r="C242" s="1845"/>
      <c r="D242" s="1845"/>
      <c r="E242" s="1845" t="str">
        <f t="shared" ref="E242:F242" si="414">E236</f>
        <v>Steel frame</v>
      </c>
      <c r="F242" s="1845" t="str">
        <f t="shared" si="414"/>
        <v>t/m2</v>
      </c>
      <c r="G242" s="1845"/>
      <c r="H242" s="1845"/>
      <c r="I242" s="2037">
        <f t="shared" si="347"/>
        <v>7.3999999999999996E-2</v>
      </c>
      <c r="J242" s="2037">
        <v>0</v>
      </c>
      <c r="K242" s="2037">
        <f t="shared" si="411"/>
        <v>7.3999999999999996E-2</v>
      </c>
      <c r="L242" s="2037">
        <f t="shared" si="348"/>
        <v>1.2E-2</v>
      </c>
      <c r="M242" s="2037">
        <v>0</v>
      </c>
      <c r="N242" s="2037">
        <f t="shared" si="412"/>
        <v>1.2E-2</v>
      </c>
      <c r="O242" s="2037">
        <f t="shared" si="349"/>
        <v>6.6000000000000003E-2</v>
      </c>
      <c r="P242" s="2037">
        <v>0</v>
      </c>
      <c r="Q242" s="2037">
        <f t="shared" si="413"/>
        <v>6.6000000000000003E-2</v>
      </c>
      <c r="U242" s="1105" t="str">
        <f t="shared" si="408"/>
        <v>Steel frame</v>
      </c>
      <c r="V242" s="2014">
        <v>6.6000000000000003E-2</v>
      </c>
      <c r="W242" s="2014">
        <v>1.2E-2</v>
      </c>
      <c r="X242" s="2014">
        <v>7.3999999999999996E-2</v>
      </c>
    </row>
    <row r="243" spans="3:24">
      <c r="C243" s="1845"/>
      <c r="D243" s="1845"/>
      <c r="E243" s="1845" t="str">
        <f t="shared" ref="E243:F243" si="415">E237</f>
        <v>Deck plate</v>
      </c>
      <c r="F243" s="1845" t="str">
        <f t="shared" si="415"/>
        <v>m2/m2</v>
      </c>
      <c r="G243" s="1845"/>
      <c r="H243" s="1845"/>
      <c r="I243" s="2037">
        <f t="shared" si="347"/>
        <v>1</v>
      </c>
      <c r="J243" s="2037">
        <v>0</v>
      </c>
      <c r="K243" s="2037">
        <f t="shared" si="411"/>
        <v>1</v>
      </c>
      <c r="L243" s="2037">
        <f t="shared" si="348"/>
        <v>0</v>
      </c>
      <c r="M243" s="2037">
        <v>0</v>
      </c>
      <c r="N243" s="2037">
        <f t="shared" si="412"/>
        <v>0</v>
      </c>
      <c r="O243" s="2037">
        <f t="shared" si="349"/>
        <v>0</v>
      </c>
      <c r="P243" s="2037">
        <v>0</v>
      </c>
      <c r="Q243" s="2037">
        <f t="shared" si="413"/>
        <v>0</v>
      </c>
      <c r="U243" s="1105" t="str">
        <f t="shared" si="408"/>
        <v>Deck plate</v>
      </c>
      <c r="V243" s="2014"/>
      <c r="W243" s="2014"/>
      <c r="X243" s="2014">
        <v>1</v>
      </c>
    </row>
    <row r="244" spans="3:24">
      <c r="C244" s="1845"/>
      <c r="D244" s="1845" t="s">
        <v>1982</v>
      </c>
      <c r="E244" s="1845" t="str">
        <f t="shared" ref="E244:F244" si="416">E238</f>
        <v>Regular concrete</v>
      </c>
      <c r="F244" s="1845" t="str">
        <f t="shared" si="416"/>
        <v>m3/m2</v>
      </c>
      <c r="G244" s="1845"/>
      <c r="H244" s="1845"/>
      <c r="I244" s="2037">
        <f t="shared" si="347"/>
        <v>0.436</v>
      </c>
      <c r="J244" s="2037">
        <v>0</v>
      </c>
      <c r="K244" s="2037">
        <v>0</v>
      </c>
      <c r="L244" s="2037">
        <f t="shared" si="348"/>
        <v>0.999</v>
      </c>
      <c r="M244" s="2037">
        <v>0</v>
      </c>
      <c r="N244" s="2037">
        <v>0</v>
      </c>
      <c r="O244" s="2037">
        <f t="shared" si="349"/>
        <v>0.81599999999999995</v>
      </c>
      <c r="P244" s="2037">
        <v>0</v>
      </c>
      <c r="Q244" s="2037">
        <v>0</v>
      </c>
      <c r="T244" s="1105" t="str">
        <f>D244</f>
        <v>Hotels</v>
      </c>
      <c r="U244" s="1105" t="str">
        <f>E244</f>
        <v>Regular concrete</v>
      </c>
      <c r="V244" s="2014">
        <v>0.81599999999999995</v>
      </c>
      <c r="W244" s="2014">
        <v>0.999</v>
      </c>
      <c r="X244" s="2014">
        <v>0.436</v>
      </c>
    </row>
    <row r="245" spans="3:24">
      <c r="C245" s="1845"/>
      <c r="D245" s="1845"/>
      <c r="E245" s="1845" t="str">
        <f t="shared" ref="E245:F245" si="417">E239</f>
        <v>Blast furnace cement concrete</v>
      </c>
      <c r="F245" s="1845" t="str">
        <f t="shared" si="417"/>
        <v>m3/m2</v>
      </c>
      <c r="G245" s="1845"/>
      <c r="H245" s="1845"/>
      <c r="I245" s="2037">
        <f t="shared" si="347"/>
        <v>0</v>
      </c>
      <c r="J245" s="2037">
        <v>0</v>
      </c>
      <c r="K245" s="2037">
        <f>I244</f>
        <v>0.436</v>
      </c>
      <c r="L245" s="2037">
        <f t="shared" si="348"/>
        <v>0</v>
      </c>
      <c r="M245" s="2037">
        <v>0</v>
      </c>
      <c r="N245" s="2037">
        <f>L244</f>
        <v>0.999</v>
      </c>
      <c r="O245" s="2037">
        <f t="shared" si="349"/>
        <v>0</v>
      </c>
      <c r="P245" s="2037">
        <v>0</v>
      </c>
      <c r="Q245" s="2037">
        <f>O244</f>
        <v>0.81599999999999995</v>
      </c>
      <c r="U245" s="1105" t="str">
        <f t="shared" ref="U245:U249" si="418">E245</f>
        <v>Blast furnace cement concrete</v>
      </c>
    </row>
    <row r="246" spans="3:24">
      <c r="C246" s="1845"/>
      <c r="D246" s="1845"/>
      <c r="E246" s="1845" t="str">
        <f t="shared" ref="E246:F246" si="419">E240</f>
        <v>Formwork</v>
      </c>
      <c r="F246" s="1845" t="str">
        <f t="shared" si="419"/>
        <v>m2/m2</v>
      </c>
      <c r="G246" s="1845"/>
      <c r="H246" s="1845"/>
      <c r="I246" s="2037">
        <f t="shared" si="347"/>
        <v>0.39250000000000002</v>
      </c>
      <c r="J246" s="2037">
        <v>0</v>
      </c>
      <c r="K246" s="2037">
        <f>I246</f>
        <v>0.39250000000000002</v>
      </c>
      <c r="L246" s="2037">
        <f t="shared" si="348"/>
        <v>1.1950000000000001</v>
      </c>
      <c r="M246" s="2037">
        <v>0</v>
      </c>
      <c r="N246" s="2037">
        <f>L246</f>
        <v>1.1950000000000001</v>
      </c>
      <c r="O246" s="2037">
        <f t="shared" si="349"/>
        <v>1.04</v>
      </c>
      <c r="P246" s="2037">
        <v>0</v>
      </c>
      <c r="Q246" s="2037">
        <f>O246</f>
        <v>1.04</v>
      </c>
      <c r="U246" s="1105" t="str">
        <f t="shared" si="418"/>
        <v>Formwork</v>
      </c>
      <c r="V246" s="2014">
        <v>1.04</v>
      </c>
      <c r="W246" s="2014">
        <v>1.1950000000000001</v>
      </c>
      <c r="X246" s="2014">
        <v>0.39250000000000002</v>
      </c>
    </row>
    <row r="247" spans="3:24">
      <c r="C247" s="1845"/>
      <c r="D247" s="1845"/>
      <c r="E247" s="1845" t="str">
        <f t="shared" ref="E247:F247" si="420">E241</f>
        <v>Reinforcing bars</v>
      </c>
      <c r="F247" s="1845" t="str">
        <f t="shared" si="420"/>
        <v>t/m2</v>
      </c>
      <c r="G247" s="1845"/>
      <c r="H247" s="1845"/>
      <c r="I247" s="2037">
        <f t="shared" si="347"/>
        <v>3.4000000000000002E-2</v>
      </c>
      <c r="J247" s="2037">
        <v>0</v>
      </c>
      <c r="K247" s="2037">
        <f t="shared" ref="K247:K249" si="421">I247</f>
        <v>3.4000000000000002E-2</v>
      </c>
      <c r="L247" s="2037">
        <f t="shared" si="348"/>
        <v>0.111</v>
      </c>
      <c r="M247" s="2037">
        <v>0</v>
      </c>
      <c r="N247" s="2037">
        <f t="shared" ref="N247:N249" si="422">L247</f>
        <v>0.111</v>
      </c>
      <c r="O247" s="2037">
        <f t="shared" si="349"/>
        <v>9.2999999999999999E-2</v>
      </c>
      <c r="P247" s="2037">
        <v>0</v>
      </c>
      <c r="Q247" s="2037">
        <f t="shared" ref="Q247:Q249" si="423">O247</f>
        <v>9.2999999999999999E-2</v>
      </c>
      <c r="U247" s="1105" t="str">
        <f t="shared" si="418"/>
        <v>Reinforcing bars</v>
      </c>
      <c r="V247" s="2014">
        <v>9.2999999999999999E-2</v>
      </c>
      <c r="W247" s="2014">
        <v>0.111</v>
      </c>
      <c r="X247" s="2014">
        <v>3.4000000000000002E-2</v>
      </c>
    </row>
    <row r="248" spans="3:24">
      <c r="C248" s="1845"/>
      <c r="D248" s="1845"/>
      <c r="E248" s="1845" t="str">
        <f t="shared" ref="E248:F248" si="424">E242</f>
        <v>Steel frame</v>
      </c>
      <c r="F248" s="1845" t="str">
        <f t="shared" si="424"/>
        <v>t/m2</v>
      </c>
      <c r="G248" s="1845"/>
      <c r="H248" s="1845"/>
      <c r="I248" s="2037">
        <f t="shared" si="347"/>
        <v>0.10299999999999999</v>
      </c>
      <c r="J248" s="2037">
        <v>0</v>
      </c>
      <c r="K248" s="2037">
        <f t="shared" si="421"/>
        <v>0.10299999999999999</v>
      </c>
      <c r="L248" s="2037">
        <f t="shared" si="348"/>
        <v>4.0000000000000001E-3</v>
      </c>
      <c r="M248" s="2037">
        <v>0</v>
      </c>
      <c r="N248" s="2037">
        <f t="shared" si="422"/>
        <v>4.0000000000000001E-3</v>
      </c>
      <c r="O248" s="2037">
        <f t="shared" si="349"/>
        <v>8.4000000000000005E-2</v>
      </c>
      <c r="P248" s="2037">
        <v>0</v>
      </c>
      <c r="Q248" s="2037">
        <f t="shared" si="423"/>
        <v>8.4000000000000005E-2</v>
      </c>
      <c r="U248" s="1105" t="str">
        <f t="shared" si="418"/>
        <v>Steel frame</v>
      </c>
      <c r="V248" s="2014">
        <v>8.4000000000000005E-2</v>
      </c>
      <c r="W248" s="2014">
        <v>4.0000000000000001E-3</v>
      </c>
      <c r="X248" s="2014">
        <v>0.10299999999999999</v>
      </c>
    </row>
    <row r="249" spans="3:24">
      <c r="C249" s="1845"/>
      <c r="D249" s="1845"/>
      <c r="E249" s="1845" t="str">
        <f t="shared" ref="E249:F249" si="425">E243</f>
        <v>Deck plate</v>
      </c>
      <c r="F249" s="1845" t="str">
        <f t="shared" si="425"/>
        <v>m2/m2</v>
      </c>
      <c r="G249" s="1845"/>
      <c r="H249" s="1845"/>
      <c r="I249" s="2037">
        <f t="shared" si="347"/>
        <v>1</v>
      </c>
      <c r="J249" s="2037">
        <v>0</v>
      </c>
      <c r="K249" s="2037">
        <f t="shared" si="421"/>
        <v>1</v>
      </c>
      <c r="L249" s="2037">
        <f t="shared" si="348"/>
        <v>0</v>
      </c>
      <c r="M249" s="2037">
        <v>0</v>
      </c>
      <c r="N249" s="2037">
        <f t="shared" si="422"/>
        <v>0</v>
      </c>
      <c r="O249" s="2037">
        <f t="shared" si="349"/>
        <v>0</v>
      </c>
      <c r="P249" s="2037">
        <v>0</v>
      </c>
      <c r="Q249" s="2037">
        <f t="shared" si="423"/>
        <v>0</v>
      </c>
      <c r="U249" s="1105" t="str">
        <f t="shared" si="418"/>
        <v>Deck plate</v>
      </c>
      <c r="V249" s="2014"/>
      <c r="W249" s="2014"/>
      <c r="X249" s="2014">
        <v>1</v>
      </c>
    </row>
    <row r="250" spans="3:24">
      <c r="C250" s="1845"/>
      <c r="D250" s="1845" t="s">
        <v>1635</v>
      </c>
      <c r="E250" s="1845" t="str">
        <f t="shared" ref="E250:F250" si="426">E244</f>
        <v>Regular concrete</v>
      </c>
      <c r="F250" s="1845" t="str">
        <f t="shared" si="426"/>
        <v>m3/m2</v>
      </c>
      <c r="G250" s="1845"/>
      <c r="H250" s="1845"/>
      <c r="I250" s="2037">
        <f t="shared" si="347"/>
        <v>0.32300000000000001</v>
      </c>
      <c r="J250" s="2037">
        <v>0</v>
      </c>
      <c r="K250" s="2037">
        <v>0</v>
      </c>
      <c r="L250" s="2037">
        <f t="shared" si="348"/>
        <v>0.73399999999999999</v>
      </c>
      <c r="M250" s="2037">
        <v>0</v>
      </c>
      <c r="N250" s="2037">
        <v>0</v>
      </c>
      <c r="O250" s="2037">
        <f t="shared" si="349"/>
        <v>0.75</v>
      </c>
      <c r="P250" s="2037">
        <v>0</v>
      </c>
      <c r="Q250" s="2037">
        <v>0</v>
      </c>
      <c r="T250" s="1105" t="str">
        <f>D250</f>
        <v>Apartments</v>
      </c>
      <c r="U250" s="1105" t="str">
        <f>E250</f>
        <v>Regular concrete</v>
      </c>
      <c r="V250" s="2014">
        <v>0.75</v>
      </c>
      <c r="W250" s="2014">
        <v>0.73399999999999999</v>
      </c>
      <c r="X250" s="2014">
        <v>0.32300000000000001</v>
      </c>
    </row>
    <row r="251" spans="3:24">
      <c r="C251" s="1845"/>
      <c r="D251" s="1845"/>
      <c r="E251" s="1845" t="str">
        <f t="shared" ref="E251:F251" si="427">E245</f>
        <v>Blast furnace cement concrete</v>
      </c>
      <c r="F251" s="1845" t="str">
        <f t="shared" si="427"/>
        <v>m3/m2</v>
      </c>
      <c r="G251" s="1845"/>
      <c r="H251" s="1845"/>
      <c r="I251" s="2037">
        <f t="shared" si="347"/>
        <v>0</v>
      </c>
      <c r="J251" s="2037">
        <v>0</v>
      </c>
      <c r="K251" s="2037">
        <f>I250</f>
        <v>0.32300000000000001</v>
      </c>
      <c r="L251" s="2037">
        <f t="shared" si="348"/>
        <v>0</v>
      </c>
      <c r="M251" s="2037">
        <v>0</v>
      </c>
      <c r="N251" s="2037">
        <f>L250</f>
        <v>0.73399999999999999</v>
      </c>
      <c r="O251" s="2037">
        <f t="shared" si="349"/>
        <v>0</v>
      </c>
      <c r="P251" s="2037">
        <v>0</v>
      </c>
      <c r="Q251" s="2037">
        <f>O250</f>
        <v>0.75</v>
      </c>
      <c r="U251" s="1105" t="str">
        <f t="shared" ref="U251:U255" si="428">E251</f>
        <v>Blast furnace cement concrete</v>
      </c>
    </row>
    <row r="252" spans="3:24">
      <c r="C252" s="1845"/>
      <c r="D252" s="1845"/>
      <c r="E252" s="1845" t="str">
        <f t="shared" ref="E252:F252" si="429">E246</f>
        <v>Formwork</v>
      </c>
      <c r="F252" s="1845" t="str">
        <f t="shared" si="429"/>
        <v>m2/m2</v>
      </c>
      <c r="G252" s="1845"/>
      <c r="H252" s="1845"/>
      <c r="I252" s="2037">
        <f t="shared" si="347"/>
        <v>0.16500000000000001</v>
      </c>
      <c r="J252" s="2037">
        <v>0</v>
      </c>
      <c r="K252" s="2037">
        <f>I252</f>
        <v>0.16500000000000001</v>
      </c>
      <c r="L252" s="2037">
        <f t="shared" si="348"/>
        <v>1.1074999999999999</v>
      </c>
      <c r="M252" s="2037">
        <v>0</v>
      </c>
      <c r="N252" s="2037">
        <f>L252</f>
        <v>1.1074999999999999</v>
      </c>
      <c r="O252" s="2037">
        <f t="shared" si="349"/>
        <v>1.0425</v>
      </c>
      <c r="P252" s="2037">
        <v>0</v>
      </c>
      <c r="Q252" s="2037">
        <f>O252</f>
        <v>1.0425</v>
      </c>
      <c r="U252" s="1105" t="str">
        <f t="shared" si="428"/>
        <v>Formwork</v>
      </c>
      <c r="V252" s="2014">
        <v>1.0425</v>
      </c>
      <c r="W252" s="2014">
        <v>1.1074999999999999</v>
      </c>
      <c r="X252" s="2014">
        <v>0.16500000000000001</v>
      </c>
    </row>
    <row r="253" spans="3:24">
      <c r="C253" s="1845"/>
      <c r="D253" s="1845"/>
      <c r="E253" s="1845" t="str">
        <f t="shared" ref="E253:F253" si="430">E247</f>
        <v>Reinforcing bars</v>
      </c>
      <c r="F253" s="1845" t="str">
        <f t="shared" si="430"/>
        <v>t/m2</v>
      </c>
      <c r="G253" s="1845"/>
      <c r="H253" s="1845"/>
      <c r="I253" s="2037">
        <f t="shared" si="347"/>
        <v>1.9E-2</v>
      </c>
      <c r="J253" s="2037">
        <v>0</v>
      </c>
      <c r="K253" s="2037">
        <f t="shared" ref="K253:K255" si="431">I253</f>
        <v>1.9E-2</v>
      </c>
      <c r="L253" s="2037">
        <f t="shared" si="348"/>
        <v>0.1</v>
      </c>
      <c r="M253" s="2037">
        <v>0</v>
      </c>
      <c r="N253" s="2037">
        <f t="shared" ref="N253:N255" si="432">L253</f>
        <v>0.1</v>
      </c>
      <c r="O253" s="2037">
        <f t="shared" si="349"/>
        <v>0.13600000000000001</v>
      </c>
      <c r="P253" s="2037">
        <v>0</v>
      </c>
      <c r="Q253" s="2037">
        <f t="shared" ref="Q253:Q255" si="433">O253</f>
        <v>0.13600000000000001</v>
      </c>
      <c r="U253" s="1105" t="str">
        <f t="shared" si="428"/>
        <v>Reinforcing bars</v>
      </c>
      <c r="V253" s="2014">
        <v>0.13600000000000001</v>
      </c>
      <c r="W253" s="2014">
        <v>0.1</v>
      </c>
      <c r="X253" s="2014">
        <v>1.9E-2</v>
      </c>
    </row>
    <row r="254" spans="3:24">
      <c r="C254" s="1845"/>
      <c r="D254" s="1845"/>
      <c r="E254" s="1845" t="str">
        <f t="shared" ref="E254:F254" si="434">E248</f>
        <v>Steel frame</v>
      </c>
      <c r="F254" s="1845" t="str">
        <f t="shared" si="434"/>
        <v>t/m2</v>
      </c>
      <c r="G254" s="1845"/>
      <c r="H254" s="1845"/>
      <c r="I254" s="2037">
        <f t="shared" si="347"/>
        <v>4.8000000000000001E-2</v>
      </c>
      <c r="J254" s="2037">
        <v>0</v>
      </c>
      <c r="K254" s="2037">
        <f t="shared" si="431"/>
        <v>4.8000000000000001E-2</v>
      </c>
      <c r="L254" s="2037">
        <f t="shared" si="348"/>
        <v>1.2E-2</v>
      </c>
      <c r="M254" s="2037">
        <v>0</v>
      </c>
      <c r="N254" s="2037">
        <f t="shared" si="432"/>
        <v>1.2E-2</v>
      </c>
      <c r="O254" s="2037">
        <f t="shared" si="349"/>
        <v>5.1999999999999998E-2</v>
      </c>
      <c r="P254" s="2037">
        <v>0</v>
      </c>
      <c r="Q254" s="2037">
        <f t="shared" si="433"/>
        <v>5.1999999999999998E-2</v>
      </c>
      <c r="U254" s="1105" t="str">
        <f t="shared" si="428"/>
        <v>Steel frame</v>
      </c>
      <c r="V254" s="2014">
        <v>5.1999999999999998E-2</v>
      </c>
      <c r="W254" s="2014">
        <v>1.2E-2</v>
      </c>
      <c r="X254" s="2014">
        <v>4.8000000000000001E-2</v>
      </c>
    </row>
    <row r="255" spans="3:24">
      <c r="C255" s="1845"/>
      <c r="D255" s="1845"/>
      <c r="E255" s="1845" t="str">
        <f t="shared" ref="E255:F255" si="435">E249</f>
        <v>Deck plate</v>
      </c>
      <c r="F255" s="1845" t="str">
        <f t="shared" si="435"/>
        <v>m2/m2</v>
      </c>
      <c r="G255" s="1845"/>
      <c r="H255" s="1845"/>
      <c r="I255" s="2037">
        <f t="shared" si="347"/>
        <v>1</v>
      </c>
      <c r="J255" s="2037">
        <v>0</v>
      </c>
      <c r="K255" s="2037">
        <f t="shared" si="431"/>
        <v>1</v>
      </c>
      <c r="L255" s="2037">
        <f t="shared" si="348"/>
        <v>0</v>
      </c>
      <c r="M255" s="2037">
        <v>0</v>
      </c>
      <c r="N255" s="2037">
        <f t="shared" si="432"/>
        <v>0</v>
      </c>
      <c r="O255" s="2037">
        <f t="shared" si="349"/>
        <v>0</v>
      </c>
      <c r="P255" s="2037">
        <v>0</v>
      </c>
      <c r="Q255" s="2037">
        <f t="shared" si="433"/>
        <v>0</v>
      </c>
      <c r="U255" s="1105" t="str">
        <f t="shared" si="428"/>
        <v>Deck plate</v>
      </c>
      <c r="V255" s="2014"/>
      <c r="W255" s="2014"/>
      <c r="X255" s="2014">
        <v>1</v>
      </c>
    </row>
    <row r="256" spans="3:24">
      <c r="C256" s="1866" t="s">
        <v>2054</v>
      </c>
      <c r="D256" s="1866"/>
      <c r="E256" s="1845"/>
      <c r="F256" s="1845"/>
      <c r="G256" s="1845"/>
      <c r="H256" s="1845"/>
      <c r="I256" s="1845"/>
      <c r="J256" s="1872"/>
      <c r="K256" s="1872"/>
      <c r="L256" s="1872"/>
      <c r="M256" s="1872"/>
      <c r="N256" s="1872"/>
      <c r="O256" s="1872"/>
      <c r="P256" s="1872"/>
      <c r="Q256" s="1872"/>
      <c r="R256" s="1872"/>
    </row>
    <row r="257" spans="3:18">
      <c r="C257" s="1845"/>
      <c r="D257" s="1866" t="s">
        <v>2055</v>
      </c>
      <c r="E257" s="1845"/>
      <c r="F257" s="1845"/>
      <c r="G257" s="1845"/>
      <c r="H257" s="1845"/>
      <c r="I257" s="2038">
        <v>25</v>
      </c>
      <c r="J257" s="1872" t="s">
        <v>2063</v>
      </c>
      <c r="K257" s="1872"/>
      <c r="L257" s="1872"/>
      <c r="M257" s="1872"/>
      <c r="N257" s="1872"/>
      <c r="O257" s="1872"/>
      <c r="P257" s="1872"/>
      <c r="Q257" s="1872"/>
      <c r="R257" s="1872"/>
    </row>
    <row r="258" spans="3:18" hidden="1">
      <c r="C258" s="1845"/>
      <c r="D258" s="1869" t="s">
        <v>2056</v>
      </c>
      <c r="E258" s="1845"/>
      <c r="F258" s="1845"/>
      <c r="G258" s="1845"/>
      <c r="H258" s="1845"/>
      <c r="I258" s="2038"/>
      <c r="J258" s="1872"/>
      <c r="K258" s="1872"/>
      <c r="L258" s="1872"/>
      <c r="M258" s="1872"/>
      <c r="N258" s="1872"/>
      <c r="O258" s="1872"/>
      <c r="P258" s="1872"/>
      <c r="Q258" s="1872"/>
      <c r="R258" s="1872"/>
    </row>
    <row r="259" spans="3:18">
      <c r="C259" s="1845"/>
      <c r="D259" s="1866" t="s">
        <v>2057</v>
      </c>
      <c r="E259" s="1845"/>
      <c r="F259" s="1866"/>
      <c r="G259" s="1845"/>
      <c r="H259" s="1845"/>
      <c r="I259" s="2038">
        <v>18</v>
      </c>
      <c r="J259" s="1872" t="s">
        <v>2063</v>
      </c>
      <c r="K259" s="1872"/>
      <c r="L259" s="1872"/>
      <c r="M259" s="1872"/>
      <c r="N259" s="1872"/>
      <c r="O259" s="1872"/>
      <c r="P259" s="1872"/>
      <c r="Q259" s="1872"/>
      <c r="R259" s="1872"/>
    </row>
    <row r="260" spans="3:18">
      <c r="C260" s="1845"/>
      <c r="D260" s="1866" t="s">
        <v>2058</v>
      </c>
      <c r="E260" s="1845"/>
      <c r="F260" s="1866"/>
      <c r="G260" s="1845"/>
      <c r="H260" s="1845"/>
      <c r="I260" s="2038">
        <v>15</v>
      </c>
      <c r="J260" s="1872" t="s">
        <v>2063</v>
      </c>
      <c r="K260" s="1872"/>
      <c r="L260" s="1872"/>
      <c r="M260" s="1872"/>
      <c r="N260" s="1872"/>
      <c r="O260" s="1872"/>
      <c r="P260" s="1872"/>
      <c r="Q260" s="1872"/>
      <c r="R260" s="1872"/>
    </row>
    <row r="261" spans="3:18">
      <c r="C261" s="1845"/>
      <c r="D261" s="1866"/>
      <c r="E261" s="1845"/>
      <c r="F261" s="1845"/>
      <c r="G261" s="1845"/>
      <c r="H261" s="1845"/>
      <c r="I261" s="1845"/>
      <c r="J261" s="1845"/>
      <c r="K261" s="1872"/>
      <c r="L261" s="1872"/>
      <c r="M261" s="1872"/>
      <c r="N261" s="1872"/>
      <c r="O261" s="1872"/>
      <c r="P261" s="1872"/>
      <c r="Q261" s="1872"/>
      <c r="R261" s="1872"/>
    </row>
    <row r="262" spans="3:18">
      <c r="C262" s="1845" t="s">
        <v>2059</v>
      </c>
      <c r="D262" s="1845"/>
      <c r="E262" s="1845"/>
      <c r="F262" s="1845"/>
      <c r="G262" s="1845"/>
      <c r="H262" s="1845"/>
      <c r="I262" s="1845"/>
      <c r="J262" s="1845"/>
      <c r="K262" s="1845"/>
      <c r="L262" s="1845"/>
      <c r="M262" s="1845"/>
      <c r="N262" s="1845"/>
      <c r="O262" s="1845"/>
      <c r="P262" s="1845"/>
      <c r="Q262" s="1845"/>
      <c r="R262" s="1845"/>
    </row>
    <row r="263" spans="3:18">
      <c r="C263" s="1845"/>
      <c r="D263" s="1866" t="s">
        <v>2055</v>
      </c>
      <c r="E263" s="1845"/>
      <c r="F263" s="1845"/>
      <c r="G263" s="1845"/>
      <c r="H263" s="1845"/>
      <c r="I263" s="2039">
        <v>0.01</v>
      </c>
      <c r="J263" s="1845" t="s">
        <v>2064</v>
      </c>
      <c r="K263" s="1845"/>
      <c r="L263" s="1845"/>
      <c r="M263" s="1845"/>
      <c r="N263" s="1845"/>
      <c r="O263" s="1845"/>
      <c r="P263" s="1845"/>
      <c r="Q263" s="1845"/>
      <c r="R263" s="1845"/>
    </row>
    <row r="264" spans="3:18">
      <c r="C264" s="1845"/>
      <c r="D264" s="1866" t="s">
        <v>2057</v>
      </c>
      <c r="E264" s="1845"/>
      <c r="F264" s="1845"/>
      <c r="G264" s="1845"/>
      <c r="H264" s="1845"/>
      <c r="I264" s="2039">
        <v>0.01</v>
      </c>
      <c r="J264" s="1845" t="s">
        <v>2064</v>
      </c>
      <c r="K264" s="1845"/>
      <c r="L264" s="1845"/>
      <c r="M264" s="1845"/>
      <c r="N264" s="1845"/>
      <c r="O264" s="1845"/>
      <c r="P264" s="1845"/>
      <c r="Q264" s="1845"/>
      <c r="R264" s="1845"/>
    </row>
    <row r="265" spans="3:18">
      <c r="C265" s="1845"/>
      <c r="D265" s="1866" t="s">
        <v>2058</v>
      </c>
      <c r="E265" s="1845"/>
      <c r="F265" s="1845"/>
      <c r="G265" s="1845"/>
      <c r="H265" s="1845"/>
      <c r="I265" s="2039">
        <v>0.02</v>
      </c>
      <c r="J265" s="1845" t="s">
        <v>2064</v>
      </c>
      <c r="K265" s="1845"/>
      <c r="L265" s="1845"/>
      <c r="M265" s="1845"/>
      <c r="N265" s="1845"/>
      <c r="O265" s="1845"/>
      <c r="P265" s="1845"/>
      <c r="Q265" s="1845"/>
      <c r="R265" s="1845"/>
    </row>
    <row r="266" spans="3:18">
      <c r="D266" s="1866"/>
    </row>
    <row r="267" spans="3:18"/>
    <row r="268" spans="3:18"/>
    <row r="269" spans="3:18"/>
    <row r="270" spans="3:18"/>
    <row r="271" spans="3:18"/>
    <row r="272" spans="3:18"/>
    <row r="273"/>
    <row r="274"/>
    <row r="275"/>
    <row r="276"/>
    <row r="277"/>
    <row r="278"/>
    <row r="279"/>
    <row r="280"/>
    <row r="281"/>
    <row r="282"/>
    <row r="283"/>
    <row r="284"/>
    <row r="285"/>
    <row r="286"/>
    <row r="287"/>
    <row r="288"/>
    <row r="289"/>
    <row r="290"/>
    <row r="291"/>
    <row r="292"/>
    <row r="293"/>
    <row r="294"/>
    <row r="295"/>
    <row r="296"/>
    <row r="297"/>
    <row r="298"/>
    <row r="299"/>
    <row r="300"/>
    <row r="301"/>
    <row r="302"/>
    <row r="303"/>
    <row r="304"/>
    <row r="305"/>
    <row r="306"/>
    <row r="307"/>
    <row r="308"/>
    <row r="309"/>
    <row r="310"/>
    <row r="311"/>
    <row r="312"/>
    <row r="313"/>
    <row r="314"/>
    <row r="315"/>
    <row r="316"/>
    <row r="317"/>
    <row r="318"/>
    <row r="319"/>
    <row r="320"/>
    <row r="321"/>
    <row r="322"/>
    <row r="323"/>
    <row r="324"/>
    <row r="325"/>
    <row r="326"/>
    <row r="327"/>
    <row r="328"/>
    <row r="329"/>
    <row r="330"/>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sheetData>
  <sheetProtection algorithmName="SHA-512" hashValue="LBATHV5h+Mc/COwE9YRufpzOE88rnGSr7dXg34A1xLoHntyXQwHdvZPOBze5N/uz2T90EfNislAeY2+QIz1ClA==" saltValue="+8Lfujy/ZZ03OZ7Cdh4Ekw==" spinCount="100000" sheet="1" objects="1" scenarios="1"/>
  <mergeCells count="21">
    <mergeCell ref="D185:Q185"/>
    <mergeCell ref="E147:S147"/>
    <mergeCell ref="D39:E39"/>
    <mergeCell ref="D8:E8"/>
    <mergeCell ref="D9:E9"/>
    <mergeCell ref="D14:E14"/>
    <mergeCell ref="D15:E15"/>
    <mergeCell ref="D20:E20"/>
    <mergeCell ref="D21:E21"/>
    <mergeCell ref="D26:E26"/>
    <mergeCell ref="D27:E27"/>
    <mergeCell ref="D32:E32"/>
    <mergeCell ref="D33:E33"/>
    <mergeCell ref="D38:E38"/>
    <mergeCell ref="C62:F62"/>
    <mergeCell ref="D44:E44"/>
    <mergeCell ref="D45:E45"/>
    <mergeCell ref="D50:E50"/>
    <mergeCell ref="D51:E51"/>
    <mergeCell ref="D56:E56"/>
    <mergeCell ref="D57:E57"/>
  </mergeCells>
  <phoneticPr fontId="26"/>
  <conditionalFormatting sqref="D4">
    <cfRule type="cellIs" dxfId="8" priority="1" stopIfTrue="1" operator="equal">
      <formula>5</formula>
    </cfRule>
    <cfRule type="cellIs" dxfId="7" priority="2" stopIfTrue="1" operator="equal">
      <formula>4</formula>
    </cfRule>
    <cfRule type="cellIs" dxfId="6" priority="3" stopIfTrue="1" operator="equal">
      <formula>2</formula>
    </cfRule>
  </conditionalFormatting>
  <conditionalFormatting sqref="D6">
    <cfRule type="cellIs" dxfId="5" priority="7" stopIfTrue="1" operator="equal">
      <formula>5</formula>
    </cfRule>
    <cfRule type="cellIs" dxfId="4" priority="8" stopIfTrue="1" operator="equal">
      <formula>4</formula>
    </cfRule>
    <cfRule type="cellIs" dxfId="3" priority="9" stopIfTrue="1" operator="equal">
      <formula>2</formula>
    </cfRule>
  </conditionalFormatting>
  <conditionalFormatting sqref="D63">
    <cfRule type="cellIs" dxfId="2" priority="4" stopIfTrue="1" operator="equal">
      <formula>5</formula>
    </cfRule>
    <cfRule type="cellIs" dxfId="1" priority="5" stopIfTrue="1" operator="equal">
      <formula>4</formula>
    </cfRule>
    <cfRule type="cellIs" dxfId="0" priority="6" stopIfTrue="1" operator="equal">
      <formula>2</formula>
    </cfRule>
  </conditionalFormatting>
  <printOptions horizontalCentered="1"/>
  <pageMargins left="0.59055118110236227" right="0.59055118110236227" top="0.78740157480314965" bottom="0.59055118110236227" header="0.51181102362204722" footer="0.51181102362204722"/>
  <pageSetup paperSize="9" scale="57" fitToHeight="0" orientation="portrait" verticalDpi="300" r:id="rId1"/>
  <headerFooter alignWithMargins="0">
    <oddHeader>&amp;L&amp;F&amp;R&amp;A</oddHeader>
    <oddFooter>&amp;C&amp;P/&amp;N</oddFooter>
  </headerFooter>
  <rowBreaks count="2" manualBreakCount="2">
    <brk id="92" max="17" man="1"/>
    <brk id="186" max="17" man="1"/>
  </rowBreak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5">
    <pageSetUpPr autoPageBreaks="0"/>
  </sheetPr>
  <dimension ref="A1:SR236"/>
  <sheetViews>
    <sheetView showGridLines="0" workbookViewId="0">
      <selection activeCell="B2" sqref="B2"/>
    </sheetView>
  </sheetViews>
  <sheetFormatPr defaultColWidth="0" defaultRowHeight="14.25" zeroHeight="1"/>
  <cols>
    <col min="1" max="1" width="1.25" style="1105" customWidth="1"/>
    <col min="2" max="2" width="7.25" style="1531" customWidth="1"/>
    <col min="3" max="3" width="49.375" style="1532" customWidth="1"/>
    <col min="4" max="4" width="8.875" style="1533" bestFit="1" customWidth="1"/>
    <col min="5" max="5" width="8.875" style="1534" bestFit="1" customWidth="1"/>
    <col min="6" max="6" width="1.625" style="1105" customWidth="1"/>
    <col min="7" max="14" width="7.875" style="1534" customWidth="1"/>
    <col min="15" max="15" width="2.625" style="1105" customWidth="1"/>
    <col min="16" max="16" width="5.875" style="1535" customWidth="1"/>
    <col min="17" max="17" width="7.875" style="1535" customWidth="1"/>
    <col min="18" max="18" width="37.25" style="1536" customWidth="1"/>
    <col min="19" max="30" width="6.625" style="1537" customWidth="1"/>
    <col min="31" max="31" width="8.875" style="1537" bestFit="1" customWidth="1"/>
    <col min="32" max="32" width="9.125" style="1105" customWidth="1"/>
    <col min="33" max="33" width="10.5" style="1105" hidden="1" customWidth="1"/>
    <col min="34" max="34" width="6.875" style="1105" hidden="1" customWidth="1"/>
    <col min="35" max="35" width="40.625" style="1538" hidden="1" customWidth="1"/>
    <col min="36" max="36" width="6.375" style="1105" hidden="1" customWidth="1"/>
    <col min="37" max="37" width="5.625" style="1105" hidden="1" customWidth="1"/>
    <col min="38" max="39" width="6.375" style="1105" hidden="1" customWidth="1"/>
    <col min="40" max="40" width="5.625" style="1105" hidden="1" customWidth="1"/>
    <col min="41" max="41" width="6.125" style="1105" hidden="1" customWidth="1"/>
    <col min="42" max="42" width="8" style="1105" hidden="1" customWidth="1"/>
    <col min="43" max="43" width="6.375" style="1105" hidden="1" customWidth="1"/>
    <col min="44" max="44" width="6" style="1105" hidden="1" customWidth="1"/>
    <col min="45" max="45" width="6.375" style="1105" hidden="1" customWidth="1"/>
    <col min="46" max="46" width="5.625" style="1105" hidden="1" customWidth="1"/>
    <col min="47" max="47" width="7" style="1105" hidden="1" customWidth="1"/>
    <col min="48" max="48" width="8.875" style="1105" hidden="1" customWidth="1"/>
    <col min="49" max="49" width="1.375" style="1105" hidden="1" customWidth="1"/>
    <col min="50" max="50" width="15.75" style="1105" hidden="1" customWidth="1"/>
    <col min="51" max="51" width="6.875" style="1105" hidden="1" customWidth="1"/>
    <col min="52" max="52" width="40.625" style="1538" hidden="1" customWidth="1"/>
    <col min="53" max="53" width="6.375" style="1105" hidden="1" customWidth="1"/>
    <col min="54" max="54" width="5" style="1105" hidden="1" customWidth="1"/>
    <col min="55" max="56" width="6.375" style="1105" hidden="1" customWidth="1"/>
    <col min="57" max="57" width="5" style="1105" hidden="1" customWidth="1"/>
    <col min="58" max="58" width="6.125" style="1105" hidden="1" customWidth="1"/>
    <col min="59" max="59" width="8" style="1105" hidden="1" customWidth="1"/>
    <col min="60" max="60" width="6.375" style="1105" hidden="1" customWidth="1"/>
    <col min="61" max="61" width="6" style="1105" hidden="1" customWidth="1"/>
    <col min="62" max="62" width="6.375" style="1105" hidden="1" customWidth="1"/>
    <col min="63" max="63" width="5.625" style="1105" hidden="1" customWidth="1"/>
    <col min="64" max="64" width="7" style="1105" hidden="1" customWidth="1"/>
    <col min="65" max="65" width="8.875" style="1105" hidden="1" customWidth="1"/>
    <col min="66" max="66" width="1.375" style="1105" customWidth="1"/>
    <col min="67" max="67" width="8.375" style="1105" hidden="1" customWidth="1"/>
    <col min="68" max="68" width="6.875" style="1105" hidden="1" customWidth="1"/>
    <col min="69" max="69" width="40.625" style="1538" hidden="1" customWidth="1"/>
    <col min="70" max="70" width="6.375" style="1105" hidden="1" customWidth="1"/>
    <col min="71" max="71" width="5.625" style="1105" hidden="1" customWidth="1"/>
    <col min="72" max="73" width="6.375" style="1105" hidden="1" customWidth="1"/>
    <col min="74" max="74" width="5.625" style="1105" hidden="1" customWidth="1"/>
    <col min="75" max="75" width="6.125" style="1105" hidden="1" customWidth="1"/>
    <col min="76" max="76" width="8" style="1105" hidden="1" customWidth="1"/>
    <col min="77" max="77" width="6.375" style="1105" hidden="1" customWidth="1"/>
    <col min="78" max="78" width="6" style="1105" hidden="1" customWidth="1"/>
    <col min="79" max="79" width="6.375" style="1105" hidden="1" customWidth="1"/>
    <col min="80" max="80" width="5.625" style="1105" hidden="1" customWidth="1"/>
    <col min="81" max="81" width="7" style="1105" hidden="1" customWidth="1"/>
    <col min="82" max="82" width="8.875" style="1105" hidden="1" customWidth="1"/>
    <col min="83" max="83" width="1.875" style="1105" hidden="1" customWidth="1"/>
    <col min="84" max="84" width="4.5" style="1105" hidden="1" customWidth="1"/>
    <col min="85" max="85" width="15.75" style="1105" hidden="1" customWidth="1"/>
    <col min="86" max="86" width="6.875" style="1105" hidden="1" customWidth="1"/>
    <col min="87" max="87" width="40.625" style="1105" hidden="1" customWidth="1"/>
    <col min="88" max="88" width="6.375" style="1105" hidden="1" customWidth="1"/>
    <col min="89" max="89" width="5" style="1105" hidden="1" customWidth="1"/>
    <col min="90" max="91" width="6.375" style="1105" hidden="1" customWidth="1"/>
    <col min="92" max="92" width="5" style="1105" hidden="1" customWidth="1"/>
    <col min="93" max="93" width="6.125" style="1105" hidden="1" customWidth="1"/>
    <col min="94" max="94" width="8" style="1105" hidden="1" customWidth="1"/>
    <col min="95" max="95" width="6.375" style="1105" hidden="1" customWidth="1"/>
    <col min="96" max="96" width="5" style="1105" hidden="1" customWidth="1"/>
    <col min="97" max="97" width="6.375" style="1105" hidden="1" customWidth="1"/>
    <col min="98" max="98" width="5.625" style="1105" hidden="1" customWidth="1"/>
    <col min="99" max="99" width="7" style="1105" hidden="1" customWidth="1"/>
    <col min="100" max="100" width="8.875" style="1105" hidden="1" customWidth="1"/>
    <col min="101" max="101" width="7.125" style="1105" hidden="1" customWidth="1"/>
    <col min="102" max="102" width="20.625" style="1105" hidden="1" customWidth="1"/>
    <col min="103" max="103" width="6.875" style="1105" hidden="1" customWidth="1"/>
    <col min="104" max="104" width="32.875" style="1105" hidden="1" customWidth="1"/>
    <col min="105" max="105" width="6.375" style="1105" hidden="1" customWidth="1"/>
    <col min="106" max="106" width="4.75" style="1105" hidden="1" customWidth="1"/>
    <col min="107" max="108" width="6.375" style="1105" hidden="1" customWidth="1"/>
    <col min="109" max="109" width="4.75" style="1105" hidden="1" customWidth="1"/>
    <col min="110" max="110" width="6.125" style="1105" hidden="1" customWidth="1"/>
    <col min="111" max="111" width="8" style="1105" hidden="1" customWidth="1"/>
    <col min="112" max="112" width="6.375" style="1105" hidden="1" customWidth="1"/>
    <col min="113" max="113" width="4.75" style="1105" hidden="1" customWidth="1"/>
    <col min="114" max="114" width="6.375" style="1105" hidden="1" customWidth="1"/>
    <col min="115" max="115" width="5.625" style="1105" hidden="1" customWidth="1"/>
    <col min="116" max="116" width="7" style="1105" hidden="1" customWidth="1"/>
    <col min="117" max="117" width="8.875" style="1105" hidden="1" customWidth="1"/>
    <col min="118" max="512" width="9" style="1105" hidden="1" customWidth="1"/>
    <col min="513" max="16384" width="8.75" style="1105" hidden="1"/>
  </cols>
  <sheetData>
    <row r="1" spans="2:117"/>
    <row r="2" spans="2:117" ht="18">
      <c r="B2" s="1526" t="s">
        <v>3333</v>
      </c>
      <c r="C2" s="1539"/>
      <c r="D2" s="1540"/>
      <c r="E2" s="1541"/>
      <c r="G2" s="1541"/>
      <c r="H2" s="1541"/>
      <c r="I2" s="1542"/>
      <c r="J2" s="1542"/>
      <c r="K2" s="1541"/>
      <c r="L2" s="1541"/>
      <c r="M2" s="1541"/>
      <c r="N2" s="1541"/>
      <c r="P2" s="1526" t="s">
        <v>1690</v>
      </c>
      <c r="Q2" s="1543"/>
      <c r="R2" s="1544"/>
      <c r="S2" s="1545"/>
      <c r="T2" s="1546"/>
      <c r="U2" s="1546"/>
      <c r="V2" s="1546"/>
      <c r="W2" s="1546"/>
      <c r="X2" s="1546"/>
      <c r="Y2" s="1546"/>
      <c r="Z2" s="1546"/>
      <c r="AA2" s="1546"/>
      <c r="AB2" s="1546"/>
      <c r="AC2" s="1546"/>
      <c r="AD2" s="1546"/>
      <c r="AE2" s="1546"/>
      <c r="AG2" s="1545"/>
      <c r="AH2" s="1545"/>
      <c r="AI2" s="1547"/>
      <c r="AJ2" s="1545"/>
      <c r="AK2" s="1545"/>
      <c r="AL2" s="1545"/>
      <c r="AM2" s="1545"/>
      <c r="AN2" s="1545"/>
      <c r="AO2" s="1545"/>
      <c r="AP2" s="1545"/>
      <c r="AQ2" s="1545"/>
      <c r="AR2" s="1545"/>
      <c r="AS2" s="1545"/>
      <c r="AT2" s="1545"/>
      <c r="AU2" s="1545"/>
      <c r="AV2" s="1545"/>
      <c r="AX2" s="1545"/>
      <c r="AY2" s="1545"/>
      <c r="AZ2" s="1547"/>
      <c r="BA2" s="1545"/>
      <c r="BB2" s="1545"/>
      <c r="BC2" s="1545"/>
      <c r="BD2" s="1545"/>
      <c r="BE2" s="1545"/>
      <c r="BF2" s="1545"/>
      <c r="BG2" s="1545"/>
      <c r="BH2" s="1545"/>
      <c r="BI2" s="1545"/>
      <c r="BJ2" s="1545"/>
      <c r="BK2" s="1545"/>
      <c r="BL2" s="1545"/>
      <c r="BM2" s="1545"/>
      <c r="BO2" s="1545"/>
      <c r="BP2" s="1545"/>
      <c r="BQ2" s="1547"/>
      <c r="BR2" s="1545"/>
      <c r="BS2" s="1545"/>
      <c r="BT2" s="1545"/>
      <c r="BU2" s="1545"/>
      <c r="BV2" s="1545"/>
      <c r="BW2" s="1545"/>
      <c r="BX2" s="1545"/>
      <c r="BY2" s="1545"/>
      <c r="BZ2" s="1545"/>
      <c r="CA2" s="1545"/>
      <c r="CB2" s="1545"/>
      <c r="CC2" s="1545"/>
      <c r="CD2" s="1545"/>
      <c r="CE2" s="1545"/>
      <c r="CG2" s="1545"/>
      <c r="CH2" s="1545"/>
      <c r="CI2" s="1545"/>
      <c r="CJ2" s="1545"/>
      <c r="CK2" s="1545"/>
      <c r="CL2" s="1545"/>
      <c r="CM2" s="1545"/>
      <c r="CN2" s="1545"/>
      <c r="CO2" s="1545"/>
      <c r="CP2" s="1545"/>
      <c r="CQ2" s="1545"/>
      <c r="CR2" s="1545"/>
      <c r="CS2" s="1545"/>
      <c r="CT2" s="1545"/>
      <c r="CU2" s="1545"/>
      <c r="CV2" s="1545"/>
    </row>
    <row r="3" spans="2:117" ht="18">
      <c r="B3" s="1548"/>
      <c r="C3" s="1539"/>
      <c r="D3" s="1540"/>
      <c r="E3" s="1541"/>
      <c r="G3" s="1541"/>
      <c r="H3" s="1541"/>
      <c r="I3" s="1542"/>
      <c r="J3" s="1542"/>
      <c r="K3" s="1541"/>
      <c r="L3" s="1541"/>
      <c r="M3" s="1541"/>
      <c r="N3" s="1541"/>
      <c r="P3" s="1105">
        <f>Main!I3</f>
        <v>2</v>
      </c>
      <c r="Q3" s="1105" t="str">
        <f>LEFT(Main!C5,6)</f>
        <v>CASBEE</v>
      </c>
      <c r="R3" s="1105" t="str">
        <f>Main!J3</f>
        <v>NC</v>
      </c>
      <c r="S3" s="1549"/>
      <c r="T3" s="1546"/>
      <c r="U3" s="1546"/>
      <c r="V3" s="1546"/>
      <c r="W3" s="1546"/>
      <c r="X3" s="1546"/>
      <c r="Y3" s="1546"/>
      <c r="Z3" s="1546"/>
      <c r="AA3" s="1546"/>
      <c r="AB3" s="1546"/>
      <c r="AC3" s="1546"/>
      <c r="AD3" s="1546"/>
      <c r="AE3" s="1546"/>
      <c r="AG3" s="1550" t="s">
        <v>1702</v>
      </c>
      <c r="AH3" s="1545"/>
      <c r="AI3" s="1551"/>
      <c r="AJ3" s="1546"/>
      <c r="AK3" s="1546"/>
      <c r="AL3" s="1546"/>
      <c r="AM3" s="1546"/>
      <c r="AN3" s="1546"/>
      <c r="AO3" s="1546"/>
      <c r="AP3" s="1546"/>
      <c r="AQ3" s="1546"/>
      <c r="AR3" s="1546"/>
      <c r="AS3" s="1546"/>
      <c r="AT3" s="1546"/>
      <c r="AU3" s="1546"/>
      <c r="AV3" s="1546"/>
      <c r="AX3" s="1550" t="s">
        <v>1703</v>
      </c>
      <c r="AY3" s="1545"/>
      <c r="AZ3" s="1551"/>
      <c r="BA3" s="1546"/>
      <c r="BB3" s="1546"/>
      <c r="BC3" s="1546"/>
      <c r="BD3" s="1546"/>
      <c r="BE3" s="1546"/>
      <c r="BF3" s="1546"/>
      <c r="BG3" s="1546"/>
      <c r="BH3" s="1546"/>
      <c r="BI3" s="1546"/>
      <c r="BJ3" s="1546"/>
      <c r="BK3" s="1546"/>
      <c r="BL3" s="1546"/>
      <c r="BM3" s="1546"/>
      <c r="BO3" s="1550" t="s">
        <v>1704</v>
      </c>
      <c r="BP3" s="1545"/>
      <c r="BQ3" s="1551"/>
      <c r="BR3" s="1546"/>
      <c r="BS3" s="1546"/>
      <c r="BT3" s="1546"/>
      <c r="BU3" s="1546"/>
      <c r="BV3" s="1546"/>
      <c r="BW3" s="1546"/>
      <c r="BX3" s="1546"/>
      <c r="BY3" s="1546"/>
      <c r="BZ3" s="1546"/>
      <c r="CA3" s="1546"/>
      <c r="CB3" s="1546"/>
      <c r="CC3" s="1546"/>
      <c r="CD3" s="1546"/>
      <c r="CE3" s="1546"/>
      <c r="CG3" s="1550" t="s">
        <v>1705</v>
      </c>
      <c r="CH3" s="1545"/>
      <c r="CI3" s="1551"/>
      <c r="CJ3" s="1546"/>
      <c r="CK3" s="1546"/>
      <c r="CL3" s="1546"/>
      <c r="CM3" s="1546"/>
      <c r="CN3" s="1546"/>
      <c r="CO3" s="1546"/>
      <c r="CP3" s="1546"/>
      <c r="CQ3" s="1546"/>
      <c r="CR3" s="1546"/>
      <c r="CS3" s="1546"/>
      <c r="CT3" s="1546"/>
      <c r="CU3" s="1546"/>
      <c r="CV3" s="1546"/>
      <c r="CX3" s="1550" t="s">
        <v>1706</v>
      </c>
      <c r="CY3" s="1545"/>
      <c r="CZ3" s="1551"/>
      <c r="DA3" s="1546"/>
      <c r="DB3" s="1546"/>
      <c r="DC3" s="1546"/>
      <c r="DD3" s="1546"/>
      <c r="DE3" s="1546"/>
      <c r="DF3" s="1546"/>
      <c r="DG3" s="1546"/>
      <c r="DH3" s="1546"/>
      <c r="DI3" s="1546"/>
      <c r="DJ3" s="1546"/>
      <c r="DK3" s="1546"/>
      <c r="DL3" s="1546"/>
      <c r="DM3" s="1546"/>
    </row>
    <row r="4" spans="2:117" ht="4.5" customHeight="1">
      <c r="B4" s="1548"/>
      <c r="C4" s="1539"/>
      <c r="D4" s="1540"/>
      <c r="E4" s="1541"/>
      <c r="G4" s="1541"/>
      <c r="H4" s="1541"/>
      <c r="I4" s="1542"/>
      <c r="J4" s="1542"/>
      <c r="K4" s="1541"/>
      <c r="L4" s="1541"/>
      <c r="M4" s="1541"/>
      <c r="N4" s="1541"/>
      <c r="P4" s="1105"/>
      <c r="Q4" s="1105"/>
      <c r="R4" s="1105"/>
      <c r="S4" s="1546"/>
      <c r="T4" s="1546"/>
      <c r="U4" s="1546"/>
      <c r="V4" s="1546"/>
      <c r="W4" s="1546"/>
      <c r="X4" s="1546"/>
      <c r="Y4" s="1546"/>
      <c r="Z4" s="1546"/>
      <c r="AA4" s="1546"/>
      <c r="AB4" s="1546"/>
      <c r="AC4" s="1546"/>
      <c r="AD4" s="1546"/>
      <c r="AE4" s="1546"/>
      <c r="AG4" s="1550"/>
      <c r="AH4" s="1543"/>
      <c r="AI4" s="1551"/>
      <c r="AJ4" s="1546"/>
      <c r="AK4" s="1546"/>
      <c r="AL4" s="1546"/>
      <c r="AM4" s="1546"/>
      <c r="AN4" s="1546"/>
      <c r="AO4" s="1546"/>
      <c r="AP4" s="1546"/>
      <c r="AQ4" s="1546"/>
      <c r="AR4" s="1546"/>
      <c r="AS4" s="1546"/>
      <c r="AT4" s="1546"/>
      <c r="AU4" s="1546"/>
      <c r="AV4" s="1546"/>
      <c r="AX4" s="1550"/>
      <c r="AY4" s="1543"/>
      <c r="AZ4" s="1551"/>
      <c r="BA4" s="1546"/>
      <c r="BB4" s="1546"/>
      <c r="BC4" s="1546"/>
      <c r="BD4" s="1546"/>
      <c r="BE4" s="1546"/>
      <c r="BF4" s="1546"/>
      <c r="BG4" s="1546"/>
      <c r="BH4" s="1546"/>
      <c r="BI4" s="1546"/>
      <c r="BJ4" s="1546"/>
      <c r="BK4" s="1546"/>
      <c r="BL4" s="1546"/>
      <c r="BM4" s="1546"/>
      <c r="BO4" s="1550"/>
      <c r="BP4" s="1543"/>
      <c r="BQ4" s="1551"/>
      <c r="BR4" s="1546"/>
      <c r="BS4" s="1546"/>
      <c r="BT4" s="1546"/>
      <c r="BU4" s="1546"/>
      <c r="BV4" s="1546"/>
      <c r="BW4" s="1546"/>
      <c r="BX4" s="1546"/>
      <c r="BY4" s="1546"/>
      <c r="BZ4" s="1546"/>
      <c r="CA4" s="1546"/>
      <c r="CB4" s="1546"/>
      <c r="CC4" s="1546"/>
      <c r="CD4" s="1546"/>
      <c r="CE4" s="1546"/>
      <c r="CG4" s="1550"/>
      <c r="CH4" s="1543"/>
      <c r="CI4" s="1551"/>
      <c r="CJ4" s="1546"/>
      <c r="CK4" s="1546"/>
      <c r="CL4" s="1546"/>
      <c r="CM4" s="1546"/>
      <c r="CN4" s="1546"/>
      <c r="CO4" s="1546"/>
      <c r="CP4" s="1546"/>
      <c r="CQ4" s="1546"/>
      <c r="CR4" s="1546"/>
      <c r="CS4" s="1546"/>
      <c r="CT4" s="1546"/>
      <c r="CU4" s="1546"/>
      <c r="CV4" s="1546"/>
      <c r="CX4" s="1550"/>
      <c r="CY4" s="1543"/>
      <c r="CZ4" s="1551"/>
      <c r="DA4" s="1546"/>
      <c r="DB4" s="1546"/>
      <c r="DC4" s="1546"/>
      <c r="DD4" s="1546"/>
      <c r="DE4" s="1546"/>
      <c r="DF4" s="1546"/>
      <c r="DG4" s="1546"/>
      <c r="DH4" s="1546"/>
      <c r="DI4" s="1546"/>
      <c r="DJ4" s="1546"/>
      <c r="DK4" s="1546"/>
      <c r="DL4" s="1546"/>
      <c r="DM4" s="1546"/>
    </row>
    <row r="5" spans="2:117" ht="22.15" customHeight="1">
      <c r="B5" s="1552"/>
      <c r="C5" s="1553"/>
      <c r="D5" s="1527" t="s">
        <v>1692</v>
      </c>
      <c r="E5" s="1528"/>
      <c r="F5" s="1529"/>
      <c r="G5" s="1527" t="s">
        <v>1693</v>
      </c>
      <c r="H5" s="1528"/>
      <c r="I5" s="4448" t="s">
        <v>1694</v>
      </c>
      <c r="J5" s="4449"/>
      <c r="K5" s="4450" t="s">
        <v>1695</v>
      </c>
      <c r="L5" s="4449"/>
      <c r="M5" s="4450" t="s">
        <v>1696</v>
      </c>
      <c r="N5" s="4449"/>
      <c r="P5" s="1554"/>
      <c r="Q5" s="1554"/>
      <c r="R5" s="1555"/>
      <c r="S5" s="4453" t="s">
        <v>1688</v>
      </c>
      <c r="T5" s="4453"/>
      <c r="U5" s="4453"/>
      <c r="V5" s="4453"/>
      <c r="W5" s="4453"/>
      <c r="X5" s="4453"/>
      <c r="Y5" s="4453"/>
      <c r="Z5" s="4453"/>
      <c r="AA5" s="4454"/>
      <c r="AB5" s="1530" t="s">
        <v>1687</v>
      </c>
      <c r="AC5" s="4453" t="s">
        <v>1689</v>
      </c>
      <c r="AD5" s="4453"/>
      <c r="AE5" s="4453"/>
      <c r="AG5" s="1554"/>
      <c r="AH5" s="1554"/>
      <c r="AI5" s="1556"/>
      <c r="AJ5" s="4451" t="s">
        <v>1707</v>
      </c>
      <c r="AK5" s="4451"/>
      <c r="AL5" s="4451"/>
      <c r="AM5" s="4451"/>
      <c r="AN5" s="4451"/>
      <c r="AO5" s="4451"/>
      <c r="AP5" s="4451"/>
      <c r="AQ5" s="4451"/>
      <c r="AR5" s="4452"/>
      <c r="AS5" s="1525" t="s">
        <v>1708</v>
      </c>
      <c r="AT5" s="4451" t="s">
        <v>1709</v>
      </c>
      <c r="AU5" s="4451"/>
      <c r="AV5" s="4451"/>
      <c r="AX5" s="1554"/>
      <c r="AY5" s="1554"/>
      <c r="AZ5" s="1556"/>
      <c r="BA5" s="4451" t="s">
        <v>1707</v>
      </c>
      <c r="BB5" s="4451"/>
      <c r="BC5" s="4451"/>
      <c r="BD5" s="4451"/>
      <c r="BE5" s="4451"/>
      <c r="BF5" s="4451"/>
      <c r="BG5" s="4451"/>
      <c r="BH5" s="4451"/>
      <c r="BI5" s="4452"/>
      <c r="BJ5" s="1525" t="s">
        <v>1708</v>
      </c>
      <c r="BK5" s="4451" t="s">
        <v>1709</v>
      </c>
      <c r="BL5" s="4451"/>
      <c r="BM5" s="4451"/>
      <c r="BO5" s="1554"/>
      <c r="BP5" s="1554"/>
      <c r="BQ5" s="1556"/>
      <c r="BR5" s="4451" t="s">
        <v>1707</v>
      </c>
      <c r="BS5" s="4451"/>
      <c r="BT5" s="4451"/>
      <c r="BU5" s="4451"/>
      <c r="BV5" s="4451"/>
      <c r="BW5" s="4451"/>
      <c r="BX5" s="4451"/>
      <c r="BY5" s="4451"/>
      <c r="BZ5" s="4452"/>
      <c r="CA5" s="1525" t="s">
        <v>1708</v>
      </c>
      <c r="CB5" s="4451" t="s">
        <v>1709</v>
      </c>
      <c r="CC5" s="4451"/>
      <c r="CD5" s="4451"/>
      <c r="CE5" s="1557"/>
      <c r="CG5" s="1554"/>
      <c r="CH5" s="1554"/>
      <c r="CI5" s="1556"/>
      <c r="CJ5" s="4451" t="s">
        <v>1707</v>
      </c>
      <c r="CK5" s="4451"/>
      <c r="CL5" s="4451"/>
      <c r="CM5" s="4451"/>
      <c r="CN5" s="4451"/>
      <c r="CO5" s="4451"/>
      <c r="CP5" s="4451"/>
      <c r="CQ5" s="4451"/>
      <c r="CR5" s="4452"/>
      <c r="CS5" s="1525" t="s">
        <v>1708</v>
      </c>
      <c r="CT5" s="4451" t="s">
        <v>1709</v>
      </c>
      <c r="CU5" s="4451"/>
      <c r="CV5" s="4451"/>
      <c r="CX5" s="1554"/>
      <c r="CY5" s="1554"/>
      <c r="CZ5" s="1556"/>
      <c r="DA5" s="4451" t="s">
        <v>1707</v>
      </c>
      <c r="DB5" s="4451"/>
      <c r="DC5" s="4451"/>
      <c r="DD5" s="4451"/>
      <c r="DE5" s="4451"/>
      <c r="DF5" s="4451"/>
      <c r="DG5" s="4451"/>
      <c r="DH5" s="4451"/>
      <c r="DI5" s="4452"/>
      <c r="DJ5" s="1525" t="s">
        <v>1708</v>
      </c>
      <c r="DK5" s="4451" t="s">
        <v>1709</v>
      </c>
      <c r="DL5" s="4451"/>
      <c r="DM5" s="4451"/>
    </row>
    <row r="6" spans="2:117" ht="16.5">
      <c r="B6" s="1558"/>
      <c r="C6" s="1559"/>
      <c r="D6" s="1560" t="s">
        <v>1697</v>
      </c>
      <c r="E6" s="1560" t="s">
        <v>1698</v>
      </c>
      <c r="G6" s="1560" t="s">
        <v>1697</v>
      </c>
      <c r="H6" s="1560" t="s">
        <v>1698</v>
      </c>
      <c r="I6" s="1560" t="s">
        <v>1697</v>
      </c>
      <c r="J6" s="1560" t="s">
        <v>1698</v>
      </c>
      <c r="K6" s="1560" t="s">
        <v>1697</v>
      </c>
      <c r="L6" s="1560" t="s">
        <v>1698</v>
      </c>
      <c r="M6" s="1560" t="s">
        <v>1697</v>
      </c>
      <c r="N6" s="1560" t="s">
        <v>1698</v>
      </c>
      <c r="P6" s="1555"/>
      <c r="Q6" s="1555"/>
      <c r="R6" s="1555" t="s">
        <v>1685</v>
      </c>
      <c r="S6" s="1561" t="s">
        <v>1673</v>
      </c>
      <c r="T6" s="1561" t="s">
        <v>1674</v>
      </c>
      <c r="U6" s="1561" t="s">
        <v>1675</v>
      </c>
      <c r="V6" s="1561" t="s">
        <v>1676</v>
      </c>
      <c r="W6" s="1561" t="s">
        <v>1677</v>
      </c>
      <c r="X6" s="1561" t="s">
        <v>1678</v>
      </c>
      <c r="Y6" s="1561" t="s">
        <v>1679</v>
      </c>
      <c r="Z6" s="1562" t="s">
        <v>1680</v>
      </c>
      <c r="AA6" s="1561" t="s">
        <v>1681</v>
      </c>
      <c r="AB6" s="1561" t="s">
        <v>1674</v>
      </c>
      <c r="AC6" s="1563" t="s">
        <v>1682</v>
      </c>
      <c r="AD6" s="1561" t="s">
        <v>1683</v>
      </c>
      <c r="AE6" s="1561" t="s">
        <v>1684</v>
      </c>
      <c r="AG6" s="1555"/>
      <c r="AH6" s="1555" t="s">
        <v>1710</v>
      </c>
      <c r="AI6" s="1556" t="s">
        <v>1711</v>
      </c>
      <c r="AJ6" s="1561" t="s">
        <v>1712</v>
      </c>
      <c r="AK6" s="1561" t="s">
        <v>1713</v>
      </c>
      <c r="AL6" s="1561" t="s">
        <v>1714</v>
      </c>
      <c r="AM6" s="1561" t="s">
        <v>1715</v>
      </c>
      <c r="AN6" s="1561" t="s">
        <v>1716</v>
      </c>
      <c r="AO6" s="1561" t="s">
        <v>1717</v>
      </c>
      <c r="AP6" s="1561" t="s">
        <v>1718</v>
      </c>
      <c r="AQ6" s="1562" t="s">
        <v>1719</v>
      </c>
      <c r="AR6" s="1561" t="s">
        <v>1720</v>
      </c>
      <c r="AS6" s="1561" t="s">
        <v>1713</v>
      </c>
      <c r="AT6" s="1563" t="s">
        <v>1721</v>
      </c>
      <c r="AU6" s="1561" t="s">
        <v>1722</v>
      </c>
      <c r="AV6" s="1561" t="s">
        <v>1723</v>
      </c>
      <c r="AX6" s="1555"/>
      <c r="AY6" s="1555" t="s">
        <v>1710</v>
      </c>
      <c r="AZ6" s="1556" t="s">
        <v>1711</v>
      </c>
      <c r="BA6" s="1561" t="s">
        <v>1712</v>
      </c>
      <c r="BB6" s="1561" t="s">
        <v>1713</v>
      </c>
      <c r="BC6" s="1561" t="s">
        <v>1714</v>
      </c>
      <c r="BD6" s="1561" t="s">
        <v>1715</v>
      </c>
      <c r="BE6" s="1561" t="s">
        <v>1716</v>
      </c>
      <c r="BF6" s="1561" t="s">
        <v>1717</v>
      </c>
      <c r="BG6" s="1561" t="s">
        <v>1718</v>
      </c>
      <c r="BH6" s="1562" t="s">
        <v>1719</v>
      </c>
      <c r="BI6" s="1561" t="s">
        <v>1720</v>
      </c>
      <c r="BJ6" s="1561" t="s">
        <v>1713</v>
      </c>
      <c r="BK6" s="1563" t="s">
        <v>1721</v>
      </c>
      <c r="BL6" s="1561" t="s">
        <v>1722</v>
      </c>
      <c r="BM6" s="1561" t="s">
        <v>1723</v>
      </c>
      <c r="BO6" s="1555"/>
      <c r="BP6" s="1555" t="s">
        <v>1710</v>
      </c>
      <c r="BQ6" s="1556" t="s">
        <v>1711</v>
      </c>
      <c r="BR6" s="1561" t="s">
        <v>1712</v>
      </c>
      <c r="BS6" s="1561" t="s">
        <v>1713</v>
      </c>
      <c r="BT6" s="1561" t="s">
        <v>1714</v>
      </c>
      <c r="BU6" s="1561" t="s">
        <v>1715</v>
      </c>
      <c r="BV6" s="1561" t="s">
        <v>1716</v>
      </c>
      <c r="BW6" s="1561" t="s">
        <v>1717</v>
      </c>
      <c r="BX6" s="1561" t="s">
        <v>1718</v>
      </c>
      <c r="BY6" s="1562" t="s">
        <v>1719</v>
      </c>
      <c r="BZ6" s="1561" t="s">
        <v>1720</v>
      </c>
      <c r="CA6" s="1561" t="s">
        <v>1713</v>
      </c>
      <c r="CB6" s="1563" t="s">
        <v>1721</v>
      </c>
      <c r="CC6" s="1561" t="s">
        <v>1722</v>
      </c>
      <c r="CD6" s="1561" t="s">
        <v>1723</v>
      </c>
      <c r="CE6" s="1564"/>
      <c r="CG6" s="1555"/>
      <c r="CH6" s="1555" t="s">
        <v>1710</v>
      </c>
      <c r="CI6" s="1556" t="s">
        <v>1711</v>
      </c>
      <c r="CJ6" s="1561" t="s">
        <v>1712</v>
      </c>
      <c r="CK6" s="1561" t="s">
        <v>1713</v>
      </c>
      <c r="CL6" s="1561" t="s">
        <v>1714</v>
      </c>
      <c r="CM6" s="1561" t="s">
        <v>1715</v>
      </c>
      <c r="CN6" s="1561" t="s">
        <v>1716</v>
      </c>
      <c r="CO6" s="1561" t="s">
        <v>1717</v>
      </c>
      <c r="CP6" s="1561" t="s">
        <v>1718</v>
      </c>
      <c r="CQ6" s="1562" t="s">
        <v>1719</v>
      </c>
      <c r="CR6" s="1561" t="s">
        <v>1720</v>
      </c>
      <c r="CS6" s="1561" t="s">
        <v>1713</v>
      </c>
      <c r="CT6" s="1563" t="s">
        <v>1721</v>
      </c>
      <c r="CU6" s="1561" t="s">
        <v>1722</v>
      </c>
      <c r="CV6" s="1561" t="s">
        <v>1723</v>
      </c>
      <c r="CX6" s="1555"/>
      <c r="CY6" s="1555" t="s">
        <v>1710</v>
      </c>
      <c r="CZ6" s="1556" t="s">
        <v>1711</v>
      </c>
      <c r="DA6" s="1561" t="s">
        <v>1712</v>
      </c>
      <c r="DB6" s="1561" t="s">
        <v>1713</v>
      </c>
      <c r="DC6" s="1561" t="s">
        <v>1714</v>
      </c>
      <c r="DD6" s="1561" t="s">
        <v>1715</v>
      </c>
      <c r="DE6" s="1561" t="s">
        <v>1716</v>
      </c>
      <c r="DF6" s="1561" t="s">
        <v>1717</v>
      </c>
      <c r="DG6" s="1561" t="s">
        <v>1718</v>
      </c>
      <c r="DH6" s="1562" t="s">
        <v>1719</v>
      </c>
      <c r="DI6" s="1561" t="s">
        <v>1720</v>
      </c>
      <c r="DJ6" s="1561" t="s">
        <v>1713</v>
      </c>
      <c r="DK6" s="1563" t="s">
        <v>1721</v>
      </c>
      <c r="DL6" s="1561" t="s">
        <v>1722</v>
      </c>
      <c r="DM6" s="1561" t="s">
        <v>1723</v>
      </c>
    </row>
    <row r="7" spans="2:117">
      <c r="B7" s="1565"/>
      <c r="C7" s="1566" t="s">
        <v>1691</v>
      </c>
      <c r="D7" s="1567">
        <f>1-E7</f>
        <v>1</v>
      </c>
      <c r="E7" s="1568">
        <f>(AC8*W7)+(AD8*X7)+(AE8*Y7)</f>
        <v>0</v>
      </c>
      <c r="G7" s="1568"/>
      <c r="H7" s="1568"/>
      <c r="I7" s="1568"/>
      <c r="J7" s="1568"/>
      <c r="K7" s="1568"/>
      <c r="L7" s="1568"/>
      <c r="M7" s="1568"/>
      <c r="N7" s="1568"/>
      <c r="P7" s="1554"/>
      <c r="Q7" s="1554"/>
      <c r="R7" s="1555" t="s">
        <v>1691</v>
      </c>
      <c r="S7" s="1569">
        <f>Main!C47/Main!$C$19</f>
        <v>1</v>
      </c>
      <c r="T7" s="1569">
        <f>(Main!E50+Main!E54)/Main!$C$19</f>
        <v>0</v>
      </c>
      <c r="U7" s="1569">
        <f>Main!C55/Main!$C$19</f>
        <v>0</v>
      </c>
      <c r="V7" s="1569">
        <f>Main!C59/Main!$C$19</f>
        <v>0</v>
      </c>
      <c r="W7" s="1569">
        <f>Main!C64/Main!$C$19</f>
        <v>0</v>
      </c>
      <c r="X7" s="1569">
        <f>Main!C65/Main!$C$19</f>
        <v>0</v>
      </c>
      <c r="Y7" s="1569">
        <f>Main!C67/Main!$C$19</f>
        <v>0</v>
      </c>
      <c r="Z7" s="1569">
        <f>Main!C60/Main!$C$19</f>
        <v>0</v>
      </c>
      <c r="AA7" s="1569">
        <f>Main!C63/Main!$C$19</f>
        <v>0</v>
      </c>
      <c r="AB7" s="1569">
        <f>(Main!E51+Main!E52+Main!E53)/Main!$C$19</f>
        <v>0</v>
      </c>
      <c r="AC7" s="1569">
        <f>W7</f>
        <v>0</v>
      </c>
      <c r="AD7" s="1569">
        <f>X7</f>
        <v>0</v>
      </c>
      <c r="AE7" s="1569">
        <f>Y7</f>
        <v>0</v>
      </c>
      <c r="AG7" s="1554"/>
      <c r="AH7" s="1554"/>
      <c r="AI7" s="1556"/>
      <c r="AJ7" s="1569"/>
      <c r="AK7" s="1569"/>
      <c r="AL7" s="1569"/>
      <c r="AM7" s="1569"/>
      <c r="AN7" s="1569"/>
      <c r="AO7" s="1569"/>
      <c r="AP7" s="1569"/>
      <c r="AQ7" s="1570"/>
      <c r="AR7" s="1569"/>
      <c r="AS7" s="1569"/>
      <c r="AT7" s="1569"/>
      <c r="AU7" s="1569"/>
      <c r="AV7" s="1569"/>
      <c r="AX7" s="1554"/>
      <c r="AY7" s="1554"/>
      <c r="AZ7" s="1556"/>
      <c r="BA7" s="1569"/>
      <c r="BB7" s="1569"/>
      <c r="BC7" s="1569"/>
      <c r="BD7" s="1569"/>
      <c r="BE7" s="1569"/>
      <c r="BF7" s="1569"/>
      <c r="BG7" s="1569"/>
      <c r="BH7" s="1570"/>
      <c r="BI7" s="1569"/>
      <c r="BJ7" s="1569"/>
      <c r="BK7" s="1569"/>
      <c r="BL7" s="1569"/>
      <c r="BM7" s="1569"/>
      <c r="BO7" s="1554"/>
      <c r="BP7" s="1554"/>
      <c r="BQ7" s="1556"/>
      <c r="BR7" s="1569"/>
      <c r="BS7" s="1569"/>
      <c r="BT7" s="1569"/>
      <c r="BU7" s="1569"/>
      <c r="BV7" s="1569"/>
      <c r="BW7" s="1569"/>
      <c r="BX7" s="1569"/>
      <c r="BY7" s="1570"/>
      <c r="BZ7" s="1569"/>
      <c r="CA7" s="1569"/>
      <c r="CB7" s="1569"/>
      <c r="CC7" s="1569"/>
      <c r="CD7" s="1569"/>
      <c r="CE7" s="1571"/>
      <c r="CG7" s="1554"/>
      <c r="CH7" s="1554"/>
      <c r="CI7" s="1556"/>
      <c r="CJ7" s="1569"/>
      <c r="CK7" s="1569"/>
      <c r="CL7" s="1569"/>
      <c r="CM7" s="1569"/>
      <c r="CN7" s="1569"/>
      <c r="CO7" s="1569"/>
      <c r="CP7" s="1569"/>
      <c r="CQ7" s="1570"/>
      <c r="CR7" s="1569"/>
      <c r="CS7" s="1569"/>
      <c r="CT7" s="1569"/>
      <c r="CU7" s="1569"/>
      <c r="CV7" s="1569"/>
      <c r="CX7" s="1554"/>
      <c r="CY7" s="1554"/>
      <c r="CZ7" s="1556"/>
      <c r="DA7" s="1569"/>
      <c r="DB7" s="1569"/>
      <c r="DC7" s="1569"/>
      <c r="DD7" s="1569"/>
      <c r="DE7" s="1569"/>
      <c r="DF7" s="1569"/>
      <c r="DG7" s="1569"/>
      <c r="DH7" s="1570"/>
      <c r="DI7" s="1569"/>
      <c r="DJ7" s="1569"/>
      <c r="DK7" s="1569"/>
      <c r="DL7" s="1569"/>
      <c r="DM7" s="1569"/>
    </row>
    <row r="8" spans="2:117" ht="15.75">
      <c r="B8" s="1572" t="s">
        <v>50</v>
      </c>
      <c r="C8" s="1573" t="s">
        <v>1700</v>
      </c>
      <c r="D8" s="1574"/>
      <c r="E8" s="1575"/>
      <c r="G8" s="1575"/>
      <c r="H8" s="1575"/>
      <c r="I8" s="1575">
        <f>G9+G62+G112</f>
        <v>1</v>
      </c>
      <c r="J8" s="1575">
        <f>H9+H62+H112</f>
        <v>0</v>
      </c>
      <c r="K8" s="1575"/>
      <c r="L8" s="1575"/>
      <c r="M8" s="1575"/>
      <c r="N8" s="1575"/>
      <c r="P8" s="1572"/>
      <c r="Q8" s="1572" t="s">
        <v>51</v>
      </c>
      <c r="R8" s="1555" t="s">
        <v>1686</v>
      </c>
      <c r="S8" s="1569"/>
      <c r="T8" s="1569"/>
      <c r="U8" s="1569"/>
      <c r="V8" s="1569"/>
      <c r="W8" s="1569">
        <f>1-Main!F71</f>
        <v>1</v>
      </c>
      <c r="X8" s="1569">
        <f>1-Main!F72</f>
        <v>1</v>
      </c>
      <c r="Y8" s="1569">
        <f>1-Main!F73</f>
        <v>1</v>
      </c>
      <c r="Z8" s="1570"/>
      <c r="AA8" s="1569"/>
      <c r="AB8" s="1569"/>
      <c r="AC8" s="1576">
        <f>Main!F71</f>
        <v>0</v>
      </c>
      <c r="AD8" s="1577">
        <f>Main!F72</f>
        <v>0</v>
      </c>
      <c r="AE8" s="1569">
        <f>Main!F73</f>
        <v>0</v>
      </c>
      <c r="AG8" s="1572" t="s">
        <v>52</v>
      </c>
      <c r="AH8" s="1572"/>
      <c r="AI8" s="1578" t="s">
        <v>1724</v>
      </c>
      <c r="AJ8" s="1579"/>
      <c r="AK8" s="1579"/>
      <c r="AL8" s="1579"/>
      <c r="AM8" s="1579"/>
      <c r="AN8" s="1579"/>
      <c r="AO8" s="1579"/>
      <c r="AP8" s="1579"/>
      <c r="AQ8" s="1580"/>
      <c r="AR8" s="1579"/>
      <c r="AS8" s="1579"/>
      <c r="AT8" s="1581"/>
      <c r="AU8" s="1582"/>
      <c r="AV8" s="1582"/>
      <c r="AX8" s="1572" t="s">
        <v>52</v>
      </c>
      <c r="AY8" s="1572"/>
      <c r="AZ8" s="1578" t="s">
        <v>1724</v>
      </c>
      <c r="BA8" s="1579"/>
      <c r="BB8" s="1579"/>
      <c r="BC8" s="1579"/>
      <c r="BD8" s="1579"/>
      <c r="BE8" s="1579"/>
      <c r="BF8" s="1579"/>
      <c r="BG8" s="1579"/>
      <c r="BH8" s="1580"/>
      <c r="BI8" s="1579"/>
      <c r="BJ8" s="1579"/>
      <c r="BK8" s="1581"/>
      <c r="BL8" s="1582"/>
      <c r="BM8" s="1582"/>
      <c r="BO8" s="1572" t="s">
        <v>52</v>
      </c>
      <c r="BP8" s="1572"/>
      <c r="BQ8" s="1578" t="s">
        <v>1701</v>
      </c>
      <c r="BR8" s="1579"/>
      <c r="BS8" s="1579"/>
      <c r="BT8" s="1579"/>
      <c r="BU8" s="1579"/>
      <c r="BV8" s="1579"/>
      <c r="BW8" s="1579"/>
      <c r="BX8" s="1579"/>
      <c r="BY8" s="1580"/>
      <c r="BZ8" s="1579"/>
      <c r="CA8" s="1579"/>
      <c r="CB8" s="1581"/>
      <c r="CC8" s="1582"/>
      <c r="CD8" s="1582"/>
      <c r="CE8" s="1583"/>
      <c r="CG8" s="1572" t="s">
        <v>50</v>
      </c>
      <c r="CH8" s="1572"/>
      <c r="CI8" s="1578" t="s">
        <v>1724</v>
      </c>
      <c r="CJ8" s="1579"/>
      <c r="CK8" s="1579"/>
      <c r="CL8" s="1579"/>
      <c r="CM8" s="1579"/>
      <c r="CN8" s="1579"/>
      <c r="CO8" s="1579"/>
      <c r="CP8" s="1579"/>
      <c r="CQ8" s="1580"/>
      <c r="CR8" s="1579"/>
      <c r="CS8" s="1579"/>
      <c r="CT8" s="1581"/>
      <c r="CU8" s="1582"/>
      <c r="CV8" s="1582"/>
      <c r="CX8" s="1572" t="s">
        <v>50</v>
      </c>
      <c r="CY8" s="1572"/>
      <c r="CZ8" s="1578" t="s">
        <v>1724</v>
      </c>
      <c r="DA8" s="1579">
        <f>BR8</f>
        <v>0</v>
      </c>
      <c r="DB8" s="1579"/>
      <c r="DC8" s="1579"/>
      <c r="DD8" s="1579"/>
      <c r="DE8" s="1579"/>
      <c r="DF8" s="1579"/>
      <c r="DG8" s="1579"/>
      <c r="DH8" s="1580"/>
      <c r="DI8" s="1579"/>
      <c r="DJ8" s="1579"/>
      <c r="DK8" s="1581"/>
      <c r="DL8" s="1582"/>
      <c r="DM8" s="1582"/>
    </row>
    <row r="9" spans="2:117">
      <c r="B9" s="1584" t="str">
        <f t="shared" ref="B9:B42" si="0">P9</f>
        <v>Q1</v>
      </c>
      <c r="C9" s="1585" t="str">
        <f t="shared" ref="C9:C72" si="1">R9</f>
        <v>Indoor Environment</v>
      </c>
      <c r="D9" s="1586">
        <f>IF(I$8=0,0,G9/I$8)</f>
        <v>0.4</v>
      </c>
      <c r="E9" s="1587">
        <f>IF(J$8=0,0,H9/J$8)</f>
        <v>0</v>
      </c>
      <c r="G9" s="1587">
        <f t="shared" ref="G9:G41" si="2">K9*M9</f>
        <v>0.4</v>
      </c>
      <c r="H9" s="1587">
        <f t="shared" ref="H9:H41" si="3">L9*N9</f>
        <v>0</v>
      </c>
      <c r="I9" s="1587">
        <f>G10+G20+G35+G48</f>
        <v>1</v>
      </c>
      <c r="J9" s="1587">
        <f>H10+H20+H35+H48</f>
        <v>0</v>
      </c>
      <c r="K9" s="1587">
        <f>IF(Score!U9=0,0,1)</f>
        <v>1</v>
      </c>
      <c r="L9" s="1587"/>
      <c r="M9" s="1587">
        <f t="shared" ref="M9:M41" si="4">SUMPRODUCT($S$7:$AB$7,S9:AB9)</f>
        <v>0.4</v>
      </c>
      <c r="N9" s="1587">
        <f t="shared" ref="N9:N41" si="5">(AC$7*AC9)+(AD$7*AD9)+(AE$7*AE9)</f>
        <v>0</v>
      </c>
      <c r="P9" s="1584" t="str">
        <f t="shared" ref="P9:P73" si="6">IF($P$3=1,AX9,IF($P$3=2,BO9,IF($P$3=3,CG9,IF($P$3=4,CX9,AG9))))</f>
        <v>Q1</v>
      </c>
      <c r="Q9" s="1584" t="str">
        <f t="shared" ref="Q9:Q73" si="7">IF($P$3=1,AY9,IF($P$3=2,BP9,IF($P$3=3,CH9,IF($P$3=4,CY9,AH9))))</f>
        <v xml:space="preserve"> Q</v>
      </c>
      <c r="R9" s="1585" t="str">
        <f t="shared" ref="R9:R73" si="8">IF($P$3=1,AZ9,IF($P$3=2,BQ9,IF($P$3=3,CI9,IF($P$3=4,CZ9,AI9))))</f>
        <v>Indoor Environment</v>
      </c>
      <c r="S9" s="1588">
        <f>IF($P$3=1,BA9,IF($P$3=2,BR9,IF($P$3=3,CJ9,IF($P$3=4,DA9,AJ9))))</f>
        <v>0.4</v>
      </c>
      <c r="T9" s="1588">
        <f t="shared" ref="T9:Z24" si="9">IF($P$3=1,BB9,IF($P$3=2,BS9,IF($P$3=3,CK9,IF($P$3=4,DB9,AK9))))</f>
        <v>0.4</v>
      </c>
      <c r="U9" s="1588">
        <f t="shared" si="9"/>
        <v>0.4</v>
      </c>
      <c r="V9" s="1588">
        <f t="shared" si="9"/>
        <v>0.4</v>
      </c>
      <c r="W9" s="1588">
        <f t="shared" si="9"/>
        <v>0.4</v>
      </c>
      <c r="X9" s="1588">
        <f t="shared" si="9"/>
        <v>0.4</v>
      </c>
      <c r="Y9" s="1588">
        <f t="shared" si="9"/>
        <v>0.4</v>
      </c>
      <c r="Z9" s="1588">
        <f t="shared" si="9"/>
        <v>0.4</v>
      </c>
      <c r="AA9" s="1589">
        <f>IF($Q$3="coCASB",0,IF($P$3=1,BI9,IF($P$3=2,BZ9,IF($P$3=3,CR9,IF($P$3=4,DI9,AR9)))))</f>
        <v>0.3</v>
      </c>
      <c r="AB9" s="1588">
        <f t="shared" ref="AB9:AB63" si="10">IF($P$3=1,BJ9,IF($P$3=2,CA9,IF($P$3=3,CS9,IF($P$3=4,DJ9,AS9))))</f>
        <v>0.4</v>
      </c>
      <c r="AC9" s="1588">
        <f t="shared" ref="AC9:AC63" si="11">IF($P$3=1,BK9,IF($P$3=2,CB9,IF($P$3=3,CT9,IF($P$3=4,DK9,AT9))))</f>
        <v>0</v>
      </c>
      <c r="AD9" s="1588">
        <f t="shared" ref="AD9:AD63" si="12">IF($P$3=1,BL9,IF($P$3=2,CC9,IF($P$3=3,CU9,IF($P$3=4,DL9,AU9))))</f>
        <v>0</v>
      </c>
      <c r="AE9" s="1588">
        <f>IF($P$3=1,BM9,IF($P$3=2,CD9,IF($P$3=3,CV9,IF($P$3=4,DM9,AV9))))</f>
        <v>0</v>
      </c>
      <c r="AG9" s="1584" t="s">
        <v>53</v>
      </c>
      <c r="AH9" s="1590" t="s">
        <v>178</v>
      </c>
      <c r="AI9" s="1585" t="s">
        <v>1725</v>
      </c>
      <c r="AJ9" s="1591">
        <v>0.4</v>
      </c>
      <c r="AK9" s="1591">
        <v>0.4</v>
      </c>
      <c r="AL9" s="1591">
        <v>0.4</v>
      </c>
      <c r="AM9" s="1591">
        <v>0.4</v>
      </c>
      <c r="AN9" s="1591">
        <v>0.4</v>
      </c>
      <c r="AO9" s="1591">
        <v>0.4</v>
      </c>
      <c r="AP9" s="1591">
        <v>0.4</v>
      </c>
      <c r="AQ9" s="1591">
        <v>0.4</v>
      </c>
      <c r="AR9" s="1591">
        <v>0.3</v>
      </c>
      <c r="AS9" s="1592">
        <v>0.4</v>
      </c>
      <c r="AT9" s="1593"/>
      <c r="AU9" s="1592"/>
      <c r="AV9" s="1592"/>
      <c r="AX9" s="1584" t="s">
        <v>53</v>
      </c>
      <c r="AY9" s="1590" t="s">
        <v>178</v>
      </c>
      <c r="AZ9" s="1585" t="s">
        <v>1725</v>
      </c>
      <c r="BA9" s="1592">
        <v>0.4</v>
      </c>
      <c r="BB9" s="1592">
        <v>0.4</v>
      </c>
      <c r="BC9" s="1592">
        <v>0.4</v>
      </c>
      <c r="BD9" s="1592">
        <v>0.4</v>
      </c>
      <c r="BE9" s="1592">
        <v>0.4</v>
      </c>
      <c r="BF9" s="1592">
        <v>0.4</v>
      </c>
      <c r="BG9" s="1592">
        <v>0.4</v>
      </c>
      <c r="BH9" s="1592">
        <v>0.4</v>
      </c>
      <c r="BI9" s="1592">
        <v>0.3</v>
      </c>
      <c r="BJ9" s="1592">
        <v>0.4</v>
      </c>
      <c r="BK9" s="1593"/>
      <c r="BL9" s="1592"/>
      <c r="BM9" s="1592"/>
      <c r="BO9" s="1584" t="s">
        <v>53</v>
      </c>
      <c r="BP9" s="1590" t="s">
        <v>178</v>
      </c>
      <c r="BQ9" s="1585" t="s">
        <v>2519</v>
      </c>
      <c r="BR9" s="1592">
        <v>0.4</v>
      </c>
      <c r="BS9" s="1592">
        <v>0.4</v>
      </c>
      <c r="BT9" s="1592">
        <v>0.4</v>
      </c>
      <c r="BU9" s="1592">
        <v>0.4</v>
      </c>
      <c r="BV9" s="1592">
        <v>0.4</v>
      </c>
      <c r="BW9" s="1592">
        <v>0.4</v>
      </c>
      <c r="BX9" s="1592">
        <v>0.4</v>
      </c>
      <c r="BY9" s="1592">
        <v>0.4</v>
      </c>
      <c r="BZ9" s="1592">
        <v>0.3</v>
      </c>
      <c r="CA9" s="1592">
        <v>0.4</v>
      </c>
      <c r="CB9" s="1593"/>
      <c r="CC9" s="1592"/>
      <c r="CD9" s="1592"/>
      <c r="CE9" s="1594"/>
      <c r="CG9" s="1584" t="s">
        <v>53</v>
      </c>
      <c r="CH9" s="1590" t="s">
        <v>178</v>
      </c>
      <c r="CI9" s="1585" t="s">
        <v>1725</v>
      </c>
      <c r="CJ9" s="1595">
        <v>0.5</v>
      </c>
      <c r="CK9" s="1595">
        <v>0.5</v>
      </c>
      <c r="CL9" s="1595">
        <v>0.5</v>
      </c>
      <c r="CM9" s="1595">
        <v>0.5</v>
      </c>
      <c r="CN9" s="1595">
        <v>0.5</v>
      </c>
      <c r="CO9" s="1595">
        <v>0.5</v>
      </c>
      <c r="CP9" s="1595">
        <v>0.5</v>
      </c>
      <c r="CQ9" s="1595">
        <v>0.5</v>
      </c>
      <c r="CR9" s="1595">
        <v>0.35</v>
      </c>
      <c r="CS9" s="1595">
        <v>0.5</v>
      </c>
      <c r="CT9" s="1596">
        <f t="shared" ref="CT9:CT75" si="13">CB9</f>
        <v>0</v>
      </c>
      <c r="CU9" s="1597">
        <f t="shared" ref="CU9:CU75" si="14">CC9</f>
        <v>0</v>
      </c>
      <c r="CV9" s="1597">
        <f t="shared" ref="CV9:CV75" si="15">CD9</f>
        <v>0</v>
      </c>
      <c r="CX9" s="1584" t="s">
        <v>53</v>
      </c>
      <c r="CY9" s="1590" t="s">
        <v>178</v>
      </c>
      <c r="CZ9" s="1585" t="s">
        <v>1725</v>
      </c>
      <c r="DA9" s="1598">
        <v>0.5</v>
      </c>
      <c r="DB9" s="1595"/>
      <c r="DC9" s="1595"/>
      <c r="DD9" s="1595"/>
      <c r="DE9" s="1595"/>
      <c r="DF9" s="1595"/>
      <c r="DG9" s="1595"/>
      <c r="DH9" s="1595"/>
      <c r="DI9" s="1595"/>
      <c r="DJ9" s="1595"/>
      <c r="DK9" s="1599"/>
      <c r="DL9" s="1595"/>
      <c r="DM9" s="1595"/>
    </row>
    <row r="10" spans="2:117">
      <c r="B10" s="1584">
        <f t="shared" si="0"/>
        <v>1</v>
      </c>
      <c r="C10" s="1600" t="str">
        <f>R10</f>
        <v>Sound Environment</v>
      </c>
      <c r="D10" s="1601">
        <f>IF(I$9=0,0,G10/I$9)</f>
        <v>0.15</v>
      </c>
      <c r="E10" s="1602">
        <f>IF(J$9=0,0,H10/J$9)</f>
        <v>0</v>
      </c>
      <c r="G10" s="1602">
        <f t="shared" si="2"/>
        <v>0.15</v>
      </c>
      <c r="H10" s="1602">
        <f t="shared" si="3"/>
        <v>0</v>
      </c>
      <c r="I10" s="1603">
        <f>G11+G14+G19</f>
        <v>1</v>
      </c>
      <c r="J10" s="1603">
        <f>H11+H14+H19</f>
        <v>0</v>
      </c>
      <c r="K10" s="1602">
        <f>IF(L10&gt;0,1,IF(Score!Z10=0,0,1))</f>
        <v>1</v>
      </c>
      <c r="L10" s="1602">
        <f>IF(Score!AB10=0,0,1)</f>
        <v>0</v>
      </c>
      <c r="M10" s="1602">
        <f t="shared" si="4"/>
        <v>0.15</v>
      </c>
      <c r="N10" s="1602">
        <f t="shared" si="5"/>
        <v>0</v>
      </c>
      <c r="P10" s="1604">
        <f t="shared" si="6"/>
        <v>1</v>
      </c>
      <c r="Q10" s="1604" t="str">
        <f t="shared" si="7"/>
        <v xml:space="preserve"> Q1</v>
      </c>
      <c r="R10" s="1600" t="str">
        <f t="shared" si="8"/>
        <v>Sound Environment</v>
      </c>
      <c r="S10" s="1605">
        <f t="shared" ref="S10:S63" si="16">IF($P$3=1,BA10,IF($P$3=2,BR10,IF($P$3=3,CJ10,IF($P$3=4,DA10,AJ10))))</f>
        <v>0.15</v>
      </c>
      <c r="T10" s="1605">
        <f t="shared" si="9"/>
        <v>0.15</v>
      </c>
      <c r="U10" s="1605">
        <f t="shared" si="9"/>
        <v>0.15</v>
      </c>
      <c r="V10" s="1605">
        <f t="shared" si="9"/>
        <v>0.15</v>
      </c>
      <c r="W10" s="1605">
        <f t="shared" si="9"/>
        <v>0.15</v>
      </c>
      <c r="X10" s="1605">
        <f t="shared" si="9"/>
        <v>0.15</v>
      </c>
      <c r="Y10" s="1605">
        <f t="shared" si="9"/>
        <v>0.15</v>
      </c>
      <c r="Z10" s="1606">
        <f t="shared" si="9"/>
        <v>0.15</v>
      </c>
      <c r="AA10" s="1605">
        <f t="shared" ref="AA10:AA62" si="17">IF($P$3=1,BI10,IF($P$3=2,BZ10,IF($P$3=3,CR10,IF($P$3=4,DI10,AR10))))</f>
        <v>0.15</v>
      </c>
      <c r="AB10" s="1605">
        <f t="shared" si="10"/>
        <v>0.15</v>
      </c>
      <c r="AC10" s="1607">
        <f t="shared" si="11"/>
        <v>0</v>
      </c>
      <c r="AD10" s="1605">
        <f t="shared" si="12"/>
        <v>0</v>
      </c>
      <c r="AE10" s="1605">
        <f t="shared" ref="AE10:AE63" si="18">IF($P$3=1,BM10,IF($P$3=2,CD10,IF($P$3=3,CV10,IF($P$3=4,DM10,AV10))))</f>
        <v>0</v>
      </c>
      <c r="AG10" s="1604">
        <v>1</v>
      </c>
      <c r="AH10" s="1608" t="s">
        <v>179</v>
      </c>
      <c r="AI10" s="1600" t="s">
        <v>1726</v>
      </c>
      <c r="AJ10" s="1609">
        <v>0.15</v>
      </c>
      <c r="AK10" s="1609">
        <v>0.15</v>
      </c>
      <c r="AL10" s="1609">
        <v>0.15</v>
      </c>
      <c r="AM10" s="1609">
        <v>0.15</v>
      </c>
      <c r="AN10" s="1609">
        <v>0.15</v>
      </c>
      <c r="AO10" s="1609">
        <v>0.15</v>
      </c>
      <c r="AP10" s="1609">
        <v>0.15</v>
      </c>
      <c r="AQ10" s="1610">
        <v>0.23</v>
      </c>
      <c r="AR10" s="1609">
        <v>0.15</v>
      </c>
      <c r="AS10" s="1611">
        <v>0.15</v>
      </c>
      <c r="AT10" s="1612"/>
      <c r="AU10" s="1611"/>
      <c r="AV10" s="1611"/>
      <c r="AX10" s="1604">
        <v>1</v>
      </c>
      <c r="AY10" s="1608" t="s">
        <v>179</v>
      </c>
      <c r="AZ10" s="1600" t="s">
        <v>1726</v>
      </c>
      <c r="BA10" s="1611">
        <v>0.15</v>
      </c>
      <c r="BB10" s="1611">
        <v>0.15</v>
      </c>
      <c r="BC10" s="1611">
        <v>0.15</v>
      </c>
      <c r="BD10" s="1611">
        <v>0.15</v>
      </c>
      <c r="BE10" s="1611">
        <v>0.15</v>
      </c>
      <c r="BF10" s="1611">
        <v>0.15</v>
      </c>
      <c r="BG10" s="1611">
        <v>0.15</v>
      </c>
      <c r="BH10" s="1613">
        <v>0.23</v>
      </c>
      <c r="BI10" s="1611">
        <v>0.15</v>
      </c>
      <c r="BJ10" s="1611">
        <v>0.15</v>
      </c>
      <c r="BK10" s="1612"/>
      <c r="BL10" s="1611"/>
      <c r="BM10" s="1611"/>
      <c r="BO10" s="1604">
        <v>1</v>
      </c>
      <c r="BP10" s="1608" t="s">
        <v>179</v>
      </c>
      <c r="BQ10" s="1819" t="s">
        <v>2517</v>
      </c>
      <c r="BR10" s="1611">
        <v>0.15</v>
      </c>
      <c r="BS10" s="1611">
        <v>0.15</v>
      </c>
      <c r="BT10" s="1611">
        <v>0.15</v>
      </c>
      <c r="BU10" s="1611">
        <v>0.15</v>
      </c>
      <c r="BV10" s="1611">
        <v>0.15</v>
      </c>
      <c r="BW10" s="1611">
        <v>0.15</v>
      </c>
      <c r="BX10" s="1611">
        <v>0.15</v>
      </c>
      <c r="BY10" s="1614">
        <v>0.15</v>
      </c>
      <c r="BZ10" s="1611">
        <v>0.15</v>
      </c>
      <c r="CA10" s="1611">
        <v>0.15</v>
      </c>
      <c r="CB10" s="1612"/>
      <c r="CC10" s="1611"/>
      <c r="CD10" s="1611"/>
      <c r="CE10" s="1615"/>
      <c r="CG10" s="1604">
        <v>1</v>
      </c>
      <c r="CH10" s="1608" t="s">
        <v>179</v>
      </c>
      <c r="CI10" s="1600" t="s">
        <v>1726</v>
      </c>
      <c r="CJ10" s="1616">
        <f t="shared" ref="CJ10:CJ76" si="19">BR10</f>
        <v>0.15</v>
      </c>
      <c r="CK10" s="1616">
        <f t="shared" ref="CK10:CK75" si="20">BS10</f>
        <v>0.15</v>
      </c>
      <c r="CL10" s="1616">
        <f t="shared" ref="CL10:CL75" si="21">BT10</f>
        <v>0.15</v>
      </c>
      <c r="CM10" s="1616">
        <f t="shared" ref="CM10:CM75" si="22">BU10</f>
        <v>0.15</v>
      </c>
      <c r="CN10" s="1616">
        <f t="shared" ref="CN10:CN75" si="23">BV10</f>
        <v>0.15</v>
      </c>
      <c r="CO10" s="1616">
        <f t="shared" ref="CO10:CO75" si="24">BW10</f>
        <v>0.15</v>
      </c>
      <c r="CP10" s="1616">
        <f t="shared" ref="CP10:CQ75" si="25">BX10</f>
        <v>0.15</v>
      </c>
      <c r="CQ10" s="1617">
        <f t="shared" ref="CQ10:CQ75" si="26">BY10</f>
        <v>0.15</v>
      </c>
      <c r="CR10" s="1616">
        <f t="shared" ref="CR10:CR75" si="27">BZ10</f>
        <v>0.15</v>
      </c>
      <c r="CS10" s="1616">
        <f t="shared" ref="CS10:CS75" si="28">CA10</f>
        <v>0.15</v>
      </c>
      <c r="CT10" s="1618">
        <f t="shared" si="13"/>
        <v>0</v>
      </c>
      <c r="CU10" s="1616">
        <f t="shared" si="14"/>
        <v>0</v>
      </c>
      <c r="CV10" s="1616">
        <f t="shared" si="15"/>
        <v>0</v>
      </c>
      <c r="CX10" s="1604">
        <v>1</v>
      </c>
      <c r="CY10" s="1608" t="s">
        <v>179</v>
      </c>
      <c r="CZ10" s="1600" t="s">
        <v>1726</v>
      </c>
      <c r="DA10" s="1619">
        <f t="shared" ref="DA10:DA67" si="29">BR10</f>
        <v>0.15</v>
      </c>
      <c r="DB10" s="1619"/>
      <c r="DC10" s="1619"/>
      <c r="DD10" s="1619"/>
      <c r="DE10" s="1619"/>
      <c r="DF10" s="1619"/>
      <c r="DG10" s="1619"/>
      <c r="DH10" s="1620"/>
      <c r="DI10" s="1619"/>
      <c r="DJ10" s="1619"/>
      <c r="DK10" s="1621"/>
      <c r="DL10" s="1619"/>
      <c r="DM10" s="1619"/>
    </row>
    <row r="11" spans="2:117">
      <c r="B11" s="1584">
        <f t="shared" si="0"/>
        <v>1.1000000000000001</v>
      </c>
      <c r="C11" s="1622" t="str">
        <f t="shared" si="1"/>
        <v>Indoor Noise Level</v>
      </c>
      <c r="D11" s="1623">
        <f>IF(I$10=0,0,G11/I$10)</f>
        <v>0.4</v>
      </c>
      <c r="E11" s="1623">
        <f>IF(J$10=0,0,H11/J$10)</f>
        <v>0</v>
      </c>
      <c r="G11" s="1624">
        <f>K11*M11</f>
        <v>0.4</v>
      </c>
      <c r="H11" s="1624">
        <f>L11*N11</f>
        <v>0</v>
      </c>
      <c r="I11" s="1603">
        <f>SUM(G12:G13)</f>
        <v>0</v>
      </c>
      <c r="J11" s="1603">
        <f>SUM(H12:H13)</f>
        <v>0</v>
      </c>
      <c r="K11" s="1624">
        <f>IF(Score!W11=0,0,1)</f>
        <v>1</v>
      </c>
      <c r="L11" s="1624">
        <f>IF(Score!X11=0,0,1)</f>
        <v>1</v>
      </c>
      <c r="M11" s="1624">
        <f t="shared" si="4"/>
        <v>0.4</v>
      </c>
      <c r="N11" s="1624">
        <f t="shared" si="5"/>
        <v>0</v>
      </c>
      <c r="P11" s="1625">
        <f t="shared" si="6"/>
        <v>1.1000000000000001</v>
      </c>
      <c r="Q11" s="1625" t="str">
        <f t="shared" si="7"/>
        <v xml:space="preserve"> Q1 1</v>
      </c>
      <c r="R11" s="1622" t="str">
        <f t="shared" si="8"/>
        <v>Indoor Noise Level</v>
      </c>
      <c r="S11" s="1626">
        <f t="shared" si="16"/>
        <v>0.4</v>
      </c>
      <c r="T11" s="1626">
        <f t="shared" si="9"/>
        <v>0.4</v>
      </c>
      <c r="U11" s="1626">
        <f t="shared" si="9"/>
        <v>0.4</v>
      </c>
      <c r="V11" s="1626">
        <f t="shared" si="9"/>
        <v>0.4</v>
      </c>
      <c r="W11" s="1626">
        <f t="shared" si="9"/>
        <v>0.4</v>
      </c>
      <c r="X11" s="1626">
        <f t="shared" si="9"/>
        <v>0.4</v>
      </c>
      <c r="Y11" s="1626">
        <f t="shared" si="9"/>
        <v>0.5</v>
      </c>
      <c r="Z11" s="1626">
        <f t="shared" si="9"/>
        <v>0.4</v>
      </c>
      <c r="AA11" s="1626">
        <f t="shared" si="17"/>
        <v>0.4</v>
      </c>
      <c r="AB11" s="1626">
        <f t="shared" si="10"/>
        <v>0.4</v>
      </c>
      <c r="AC11" s="1627">
        <f t="shared" si="11"/>
        <v>0.4</v>
      </c>
      <c r="AD11" s="1626">
        <f t="shared" si="12"/>
        <v>0.4</v>
      </c>
      <c r="AE11" s="1626">
        <f t="shared" si="18"/>
        <v>0.5</v>
      </c>
      <c r="AG11" s="1625">
        <v>1.1000000000000001</v>
      </c>
      <c r="AH11" s="1628" t="s">
        <v>180</v>
      </c>
      <c r="AI11" s="1622" t="s">
        <v>1727</v>
      </c>
      <c r="AJ11" s="1629">
        <v>0.4</v>
      </c>
      <c r="AK11" s="1630">
        <v>0.4</v>
      </c>
      <c r="AL11" s="1630">
        <v>0.8</v>
      </c>
      <c r="AM11" s="1630">
        <v>0.4</v>
      </c>
      <c r="AN11" s="1629">
        <v>0.4</v>
      </c>
      <c r="AO11" s="1630">
        <v>0.8</v>
      </c>
      <c r="AP11" s="1630">
        <v>0.8</v>
      </c>
      <c r="AQ11" s="1629">
        <v>0.8</v>
      </c>
      <c r="AR11" s="1629">
        <v>0.5</v>
      </c>
      <c r="AS11" s="1631">
        <v>0.4</v>
      </c>
      <c r="AT11" s="1632">
        <v>0.5</v>
      </c>
      <c r="AU11" s="1631">
        <v>0.4</v>
      </c>
      <c r="AV11" s="1631">
        <v>0.4</v>
      </c>
      <c r="AX11" s="1625">
        <v>1.1000000000000001</v>
      </c>
      <c r="AY11" s="1628" t="s">
        <v>180</v>
      </c>
      <c r="AZ11" s="1622" t="s">
        <v>1727</v>
      </c>
      <c r="BA11" s="1631"/>
      <c r="BB11" s="1631"/>
      <c r="BC11" s="1631"/>
      <c r="BD11" s="1631"/>
      <c r="BE11" s="1631"/>
      <c r="BF11" s="1631"/>
      <c r="BG11" s="1631"/>
      <c r="BH11" s="1633">
        <v>0.4</v>
      </c>
      <c r="BI11" s="1631"/>
      <c r="BJ11" s="1631"/>
      <c r="BK11" s="1632"/>
      <c r="BL11" s="1631"/>
      <c r="BM11" s="1631"/>
      <c r="BO11" s="1625">
        <v>1.1000000000000001</v>
      </c>
      <c r="BP11" s="1628" t="s">
        <v>180</v>
      </c>
      <c r="BQ11" s="1818" t="s">
        <v>1935</v>
      </c>
      <c r="BR11" s="1631">
        <v>0.4</v>
      </c>
      <c r="BS11" s="1631">
        <v>0.4</v>
      </c>
      <c r="BT11" s="1631">
        <v>0.4</v>
      </c>
      <c r="BU11" s="1631">
        <v>0.4</v>
      </c>
      <c r="BV11" s="1631">
        <v>0.4</v>
      </c>
      <c r="BW11" s="1631">
        <v>0.4</v>
      </c>
      <c r="BX11" s="1631">
        <v>0.5</v>
      </c>
      <c r="BY11" s="1634">
        <v>0.4</v>
      </c>
      <c r="BZ11" s="1631">
        <v>0.4</v>
      </c>
      <c r="CA11" s="1631">
        <v>0.4</v>
      </c>
      <c r="CB11" s="1631">
        <v>0.4</v>
      </c>
      <c r="CC11" s="1631">
        <v>0.4</v>
      </c>
      <c r="CD11" s="1631">
        <v>0.5</v>
      </c>
      <c r="CE11" s="1635"/>
      <c r="CG11" s="1625">
        <v>1.1000000000000001</v>
      </c>
      <c r="CH11" s="1628" t="s">
        <v>180</v>
      </c>
      <c r="CI11" s="1622" t="s">
        <v>1728</v>
      </c>
      <c r="CJ11" s="1636">
        <v>0</v>
      </c>
      <c r="CK11" s="1636">
        <v>0</v>
      </c>
      <c r="CL11" s="1636">
        <v>0</v>
      </c>
      <c r="CM11" s="1636">
        <v>0</v>
      </c>
      <c r="CN11" s="1636">
        <v>0</v>
      </c>
      <c r="CO11" s="1636">
        <v>0</v>
      </c>
      <c r="CP11" s="1636">
        <v>0</v>
      </c>
      <c r="CQ11" s="1636">
        <v>0</v>
      </c>
      <c r="CR11" s="1636">
        <v>0</v>
      </c>
      <c r="CS11" s="1636">
        <v>0</v>
      </c>
      <c r="CT11" s="1636">
        <v>0</v>
      </c>
      <c r="CU11" s="1636">
        <v>0</v>
      </c>
      <c r="CV11" s="1636">
        <v>0</v>
      </c>
      <c r="CX11" s="1625">
        <v>1.1000000000000001</v>
      </c>
      <c r="CY11" s="1628" t="s">
        <v>180</v>
      </c>
      <c r="CZ11" s="1622" t="s">
        <v>1728</v>
      </c>
      <c r="DA11" s="1637">
        <v>1</v>
      </c>
      <c r="DB11" s="1638"/>
      <c r="DC11" s="1638"/>
      <c r="DD11" s="1638"/>
      <c r="DE11" s="1638"/>
      <c r="DF11" s="1638"/>
      <c r="DG11" s="1638"/>
      <c r="DH11" s="1638"/>
      <c r="DI11" s="1638"/>
      <c r="DJ11" s="1638"/>
      <c r="DK11" s="1638"/>
      <c r="DL11" s="1638"/>
      <c r="DM11" s="1638"/>
    </row>
    <row r="12" spans="2:117" hidden="1">
      <c r="B12" s="1584" t="str">
        <f t="shared" si="0"/>
        <v>1.1.1</v>
      </c>
      <c r="C12" s="1622" t="str">
        <f t="shared" si="1"/>
        <v>Background noise level</v>
      </c>
      <c r="D12" s="1623">
        <f>IF(I$11=0,0,G12/I$11)</f>
        <v>0</v>
      </c>
      <c r="E12" s="1623">
        <f>IF(J$11=0,0,H12/J$11)</f>
        <v>0</v>
      </c>
      <c r="G12" s="1624">
        <f t="shared" si="2"/>
        <v>0</v>
      </c>
      <c r="H12" s="1624">
        <f t="shared" si="3"/>
        <v>0</v>
      </c>
      <c r="I12" s="1603"/>
      <c r="J12" s="1603"/>
      <c r="K12" s="1624">
        <f>IF(Score!W12=0,0,1)</f>
        <v>0</v>
      </c>
      <c r="L12" s="1624">
        <f>IF(Score!X12=0,0,1)</f>
        <v>0</v>
      </c>
      <c r="M12" s="1624">
        <f t="shared" si="4"/>
        <v>0</v>
      </c>
      <c r="N12" s="1624">
        <f t="shared" si="5"/>
        <v>0</v>
      </c>
      <c r="P12" s="1625" t="str">
        <f t="shared" si="6"/>
        <v>1.1.1</v>
      </c>
      <c r="Q12" s="1625" t="str">
        <f t="shared" si="7"/>
        <v xml:space="preserve"> Q1 1.1</v>
      </c>
      <c r="R12" s="1622" t="str">
        <f t="shared" si="8"/>
        <v>Background noise level</v>
      </c>
      <c r="S12" s="1626">
        <f t="shared" si="16"/>
        <v>0</v>
      </c>
      <c r="T12" s="1626">
        <f t="shared" si="9"/>
        <v>0</v>
      </c>
      <c r="U12" s="1626">
        <f t="shared" si="9"/>
        <v>0</v>
      </c>
      <c r="V12" s="1626">
        <f t="shared" si="9"/>
        <v>0</v>
      </c>
      <c r="W12" s="1626">
        <f t="shared" si="9"/>
        <v>0</v>
      </c>
      <c r="X12" s="1626">
        <f t="shared" si="9"/>
        <v>0</v>
      </c>
      <c r="Y12" s="1626">
        <f t="shared" si="9"/>
        <v>0</v>
      </c>
      <c r="Z12" s="1626">
        <f t="shared" si="9"/>
        <v>0</v>
      </c>
      <c r="AA12" s="1626">
        <f t="shared" si="17"/>
        <v>0</v>
      </c>
      <c r="AB12" s="1626">
        <f t="shared" si="10"/>
        <v>0</v>
      </c>
      <c r="AC12" s="1627">
        <f t="shared" si="11"/>
        <v>0</v>
      </c>
      <c r="AD12" s="1626">
        <f t="shared" si="12"/>
        <v>0</v>
      </c>
      <c r="AE12" s="1626">
        <f t="shared" si="18"/>
        <v>0</v>
      </c>
      <c r="AG12" s="1625" t="s">
        <v>181</v>
      </c>
      <c r="AH12" s="1628" t="s">
        <v>182</v>
      </c>
      <c r="AI12" s="1622" t="s">
        <v>1728</v>
      </c>
      <c r="AJ12" s="1630">
        <v>0.4</v>
      </c>
      <c r="AK12" s="1630">
        <v>1</v>
      </c>
      <c r="AL12" s="1630">
        <v>1</v>
      </c>
      <c r="AM12" s="1630">
        <v>1</v>
      </c>
      <c r="AN12" s="1630">
        <v>0.4</v>
      </c>
      <c r="AO12" s="1630">
        <v>1</v>
      </c>
      <c r="AP12" s="1630">
        <v>1</v>
      </c>
      <c r="AQ12" s="1630">
        <v>1</v>
      </c>
      <c r="AR12" s="1630">
        <v>0.4</v>
      </c>
      <c r="AS12" s="1631">
        <v>1</v>
      </c>
      <c r="AT12" s="1632">
        <v>0.4</v>
      </c>
      <c r="AU12" s="1631">
        <v>1</v>
      </c>
      <c r="AV12" s="1631">
        <v>1</v>
      </c>
      <c r="AX12" s="1625" t="s">
        <v>181</v>
      </c>
      <c r="AY12" s="1628" t="s">
        <v>182</v>
      </c>
      <c r="AZ12" s="1622" t="s">
        <v>1728</v>
      </c>
      <c r="BA12" s="1631"/>
      <c r="BB12" s="1631"/>
      <c r="BC12" s="1631"/>
      <c r="BD12" s="1631"/>
      <c r="BE12" s="1631"/>
      <c r="BF12" s="1631"/>
      <c r="BG12" s="1631"/>
      <c r="BH12" s="1633">
        <v>1</v>
      </c>
      <c r="BI12" s="1631"/>
      <c r="BJ12" s="1631"/>
      <c r="BK12" s="1632"/>
      <c r="BL12" s="1631"/>
      <c r="BM12" s="1631"/>
      <c r="BO12" s="1625" t="s">
        <v>181</v>
      </c>
      <c r="BP12" s="1628" t="s">
        <v>182</v>
      </c>
      <c r="BQ12" s="1622" t="s">
        <v>1545</v>
      </c>
      <c r="BR12" s="1631"/>
      <c r="BS12" s="1631"/>
      <c r="BT12" s="1631"/>
      <c r="BU12" s="1631"/>
      <c r="BV12" s="1631"/>
      <c r="BW12" s="1631"/>
      <c r="BX12" s="1631"/>
      <c r="BY12" s="1634"/>
      <c r="BZ12" s="1631"/>
      <c r="CA12" s="1631"/>
      <c r="CB12" s="1632"/>
      <c r="CC12" s="1631"/>
      <c r="CD12" s="1631"/>
      <c r="CE12" s="1635"/>
      <c r="CG12" s="1625" t="s">
        <v>181</v>
      </c>
      <c r="CH12" s="1628" t="s">
        <v>182</v>
      </c>
      <c r="CI12" s="1622"/>
      <c r="CJ12" s="1636"/>
      <c r="CK12" s="1636"/>
      <c r="CL12" s="1636"/>
      <c r="CM12" s="1636"/>
      <c r="CN12" s="1636"/>
      <c r="CO12" s="1636"/>
      <c r="CP12" s="1636"/>
      <c r="CQ12" s="1639"/>
      <c r="CR12" s="1636"/>
      <c r="CS12" s="1636"/>
      <c r="CT12" s="1640"/>
      <c r="CU12" s="1636"/>
      <c r="CV12" s="1636"/>
      <c r="CX12" s="1625" t="s">
        <v>181</v>
      </c>
      <c r="CY12" s="1628" t="s">
        <v>182</v>
      </c>
      <c r="CZ12" s="1622"/>
      <c r="DA12" s="1637">
        <f t="shared" si="29"/>
        <v>0</v>
      </c>
      <c r="DB12" s="1638"/>
      <c r="DC12" s="1638"/>
      <c r="DD12" s="1638"/>
      <c r="DE12" s="1638"/>
      <c r="DF12" s="1638"/>
      <c r="DG12" s="1638"/>
      <c r="DH12" s="1641"/>
      <c r="DI12" s="1638"/>
      <c r="DJ12" s="1638"/>
      <c r="DK12" s="1642"/>
      <c r="DL12" s="1638"/>
      <c r="DM12" s="1638"/>
    </row>
    <row r="13" spans="2:117" hidden="1">
      <c r="B13" s="1584" t="str">
        <f t="shared" si="0"/>
        <v>1.1.2</v>
      </c>
      <c r="C13" s="1622" t="str">
        <f t="shared" si="1"/>
        <v>Equipment noise</v>
      </c>
      <c r="D13" s="1623">
        <f>IF(I$11=0,0,G13/I$11)</f>
        <v>0</v>
      </c>
      <c r="E13" s="1623">
        <f>IF(J$11=0,0,H13/J$11)</f>
        <v>0</v>
      </c>
      <c r="G13" s="1624">
        <f t="shared" si="2"/>
        <v>0</v>
      </c>
      <c r="H13" s="1624">
        <f t="shared" si="3"/>
        <v>0</v>
      </c>
      <c r="I13" s="1603"/>
      <c r="J13" s="1603"/>
      <c r="K13" s="1624">
        <f>IF(Score!W13=0,0,1)</f>
        <v>0</v>
      </c>
      <c r="L13" s="1624">
        <f>IF(Score!X13=0,0,1)</f>
        <v>0</v>
      </c>
      <c r="M13" s="1624">
        <f t="shared" si="4"/>
        <v>0</v>
      </c>
      <c r="N13" s="1624">
        <f t="shared" si="5"/>
        <v>0</v>
      </c>
      <c r="P13" s="1625" t="str">
        <f t="shared" si="6"/>
        <v>1.1.2</v>
      </c>
      <c r="Q13" s="1625" t="str">
        <f t="shared" si="7"/>
        <v xml:space="preserve"> Q1 1.1</v>
      </c>
      <c r="R13" s="1622" t="str">
        <f t="shared" si="8"/>
        <v>Equipment noise</v>
      </c>
      <c r="S13" s="1626">
        <f t="shared" si="16"/>
        <v>0</v>
      </c>
      <c r="T13" s="1626">
        <f t="shared" si="9"/>
        <v>0</v>
      </c>
      <c r="U13" s="1626">
        <f t="shared" si="9"/>
        <v>0</v>
      </c>
      <c r="V13" s="1626">
        <f t="shared" si="9"/>
        <v>0</v>
      </c>
      <c r="W13" s="1626">
        <f t="shared" si="9"/>
        <v>0</v>
      </c>
      <c r="X13" s="1626">
        <f t="shared" si="9"/>
        <v>0</v>
      </c>
      <c r="Y13" s="1626">
        <f t="shared" si="9"/>
        <v>0</v>
      </c>
      <c r="Z13" s="1626">
        <f t="shared" si="9"/>
        <v>0</v>
      </c>
      <c r="AA13" s="1626">
        <f t="shared" si="17"/>
        <v>0</v>
      </c>
      <c r="AB13" s="1626">
        <f t="shared" si="10"/>
        <v>0</v>
      </c>
      <c r="AC13" s="1627">
        <f t="shared" si="11"/>
        <v>0</v>
      </c>
      <c r="AD13" s="1626">
        <f t="shared" si="12"/>
        <v>0</v>
      </c>
      <c r="AE13" s="1626">
        <f t="shared" si="18"/>
        <v>0</v>
      </c>
      <c r="AG13" s="1625" t="s">
        <v>184</v>
      </c>
      <c r="AH13" s="1628" t="s">
        <v>182</v>
      </c>
      <c r="AI13" s="1622" t="s">
        <v>1729</v>
      </c>
      <c r="AJ13" s="1630">
        <v>0.6</v>
      </c>
      <c r="AK13" s="1630"/>
      <c r="AL13" s="1630"/>
      <c r="AM13" s="1630"/>
      <c r="AN13" s="1630">
        <v>0.6</v>
      </c>
      <c r="AO13" s="1630"/>
      <c r="AP13" s="1630"/>
      <c r="AQ13" s="1630"/>
      <c r="AR13" s="1630">
        <v>0.6</v>
      </c>
      <c r="AS13" s="1631"/>
      <c r="AT13" s="1632">
        <v>0.6</v>
      </c>
      <c r="AU13" s="1631"/>
      <c r="AV13" s="1631"/>
      <c r="AX13" s="1625" t="s">
        <v>184</v>
      </c>
      <c r="AY13" s="1628" t="s">
        <v>182</v>
      </c>
      <c r="AZ13" s="1622" t="s">
        <v>1729</v>
      </c>
      <c r="BA13" s="1631"/>
      <c r="BB13" s="1631"/>
      <c r="BC13" s="1631"/>
      <c r="BD13" s="1631"/>
      <c r="BE13" s="1631"/>
      <c r="BF13" s="1631"/>
      <c r="BG13" s="1631"/>
      <c r="BH13" s="1633"/>
      <c r="BI13" s="1631"/>
      <c r="BJ13" s="1631"/>
      <c r="BK13" s="1632"/>
      <c r="BL13" s="1631"/>
      <c r="BM13" s="1631"/>
      <c r="BO13" s="1625" t="s">
        <v>184</v>
      </c>
      <c r="BP13" s="1628" t="s">
        <v>182</v>
      </c>
      <c r="BQ13" s="1622" t="s">
        <v>1546</v>
      </c>
      <c r="BR13" s="1631"/>
      <c r="BS13" s="1631"/>
      <c r="BT13" s="1631"/>
      <c r="BU13" s="1631"/>
      <c r="BV13" s="1631"/>
      <c r="BW13" s="1631"/>
      <c r="BX13" s="1631"/>
      <c r="BY13" s="1634"/>
      <c r="BZ13" s="1631"/>
      <c r="CA13" s="1631"/>
      <c r="CB13" s="1632"/>
      <c r="CC13" s="1631"/>
      <c r="CD13" s="1631"/>
      <c r="CE13" s="1635"/>
      <c r="CG13" s="1625" t="s">
        <v>184</v>
      </c>
      <c r="CH13" s="1628" t="s">
        <v>182</v>
      </c>
      <c r="CI13" s="1622"/>
      <c r="CJ13" s="1636"/>
      <c r="CK13" s="1636"/>
      <c r="CL13" s="1636"/>
      <c r="CM13" s="1636"/>
      <c r="CN13" s="1636"/>
      <c r="CO13" s="1636"/>
      <c r="CP13" s="1636"/>
      <c r="CQ13" s="1639"/>
      <c r="CR13" s="1636"/>
      <c r="CS13" s="1636"/>
      <c r="CT13" s="1640"/>
      <c r="CU13" s="1636"/>
      <c r="CV13" s="1636"/>
      <c r="CX13" s="1625" t="s">
        <v>184</v>
      </c>
      <c r="CY13" s="1628" t="s">
        <v>182</v>
      </c>
      <c r="CZ13" s="1622"/>
      <c r="DA13" s="1637">
        <f t="shared" si="29"/>
        <v>0</v>
      </c>
      <c r="DB13" s="1638"/>
      <c r="DC13" s="1638"/>
      <c r="DD13" s="1638"/>
      <c r="DE13" s="1638"/>
      <c r="DF13" s="1638"/>
      <c r="DG13" s="1638"/>
      <c r="DH13" s="1641"/>
      <c r="DI13" s="1638"/>
      <c r="DJ13" s="1638"/>
      <c r="DK13" s="1642"/>
      <c r="DL13" s="1638"/>
      <c r="DM13" s="1638"/>
    </row>
    <row r="14" spans="2:117">
      <c r="B14" s="1584">
        <f t="shared" si="0"/>
        <v>1.2</v>
      </c>
      <c r="C14" s="1643" t="str">
        <f t="shared" si="1"/>
        <v>Sound Insulation</v>
      </c>
      <c r="D14" s="1623">
        <f>IF(I$10=0,0,G14/I$10)</f>
        <v>0.4</v>
      </c>
      <c r="E14" s="1623">
        <f>IF(J$10=0,0,H14/J$10)</f>
        <v>0</v>
      </c>
      <c r="G14" s="1624">
        <f t="shared" si="2"/>
        <v>0.4</v>
      </c>
      <c r="H14" s="1624">
        <f t="shared" si="3"/>
        <v>0</v>
      </c>
      <c r="I14" s="1603">
        <f>SUM(G15:G18)</f>
        <v>1</v>
      </c>
      <c r="J14" s="1603">
        <f>SUM(H15:H18)</f>
        <v>0</v>
      </c>
      <c r="K14" s="1624">
        <f>IF(Score!Z14=0,0,1)</f>
        <v>1</v>
      </c>
      <c r="L14" s="1624">
        <f>IF(Score!AB14=0,0,1)</f>
        <v>0</v>
      </c>
      <c r="M14" s="1624">
        <f t="shared" si="4"/>
        <v>0.4</v>
      </c>
      <c r="N14" s="1624">
        <f t="shared" si="5"/>
        <v>0</v>
      </c>
      <c r="P14" s="1625">
        <f t="shared" si="6"/>
        <v>1.2</v>
      </c>
      <c r="Q14" s="1625" t="str">
        <f t="shared" si="7"/>
        <v xml:space="preserve"> Q1 1</v>
      </c>
      <c r="R14" s="1622" t="str">
        <f t="shared" si="8"/>
        <v>Sound Insulation</v>
      </c>
      <c r="S14" s="1626">
        <f t="shared" si="16"/>
        <v>0.4</v>
      </c>
      <c r="T14" s="1626">
        <f t="shared" si="9"/>
        <v>0.4</v>
      </c>
      <c r="U14" s="1626">
        <f t="shared" si="9"/>
        <v>0.4</v>
      </c>
      <c r="V14" s="1626">
        <f t="shared" si="9"/>
        <v>0.4</v>
      </c>
      <c r="W14" s="1626">
        <f t="shared" si="9"/>
        <v>0.4</v>
      </c>
      <c r="X14" s="1626">
        <f t="shared" si="9"/>
        <v>0.4</v>
      </c>
      <c r="Y14" s="1626">
        <f t="shared" si="9"/>
        <v>0.5</v>
      </c>
      <c r="Z14" s="1626">
        <f t="shared" si="9"/>
        <v>0.4</v>
      </c>
      <c r="AA14" s="1626">
        <f t="shared" si="17"/>
        <v>0.4</v>
      </c>
      <c r="AB14" s="1626">
        <f t="shared" si="10"/>
        <v>0.4</v>
      </c>
      <c r="AC14" s="1627">
        <f t="shared" si="11"/>
        <v>0.4</v>
      </c>
      <c r="AD14" s="1626">
        <f t="shared" si="12"/>
        <v>0.4</v>
      </c>
      <c r="AE14" s="1626">
        <f t="shared" si="18"/>
        <v>0.5</v>
      </c>
      <c r="AG14" s="1625">
        <v>1.2</v>
      </c>
      <c r="AH14" s="1628" t="s">
        <v>180</v>
      </c>
      <c r="AI14" s="1643" t="s">
        <v>1730</v>
      </c>
      <c r="AJ14" s="1629">
        <v>0.4</v>
      </c>
      <c r="AK14" s="1630">
        <v>0.4</v>
      </c>
      <c r="AL14" s="1630"/>
      <c r="AM14" s="1630">
        <v>0.4</v>
      </c>
      <c r="AN14" s="1629">
        <v>0.4</v>
      </c>
      <c r="AO14" s="1630"/>
      <c r="AP14" s="1630"/>
      <c r="AQ14" s="1630"/>
      <c r="AR14" s="1629">
        <v>0.5</v>
      </c>
      <c r="AS14" s="1631">
        <v>0.4</v>
      </c>
      <c r="AT14" s="1632">
        <v>0.5</v>
      </c>
      <c r="AU14" s="1631">
        <v>0.4</v>
      </c>
      <c r="AV14" s="1644">
        <v>0.4</v>
      </c>
      <c r="AX14" s="1625">
        <v>1.2</v>
      </c>
      <c r="AY14" s="1628" t="s">
        <v>180</v>
      </c>
      <c r="AZ14" s="1643" t="s">
        <v>1730</v>
      </c>
      <c r="BA14" s="1631">
        <v>0.7</v>
      </c>
      <c r="BB14" s="1631">
        <v>0.7</v>
      </c>
      <c r="BC14" s="1631">
        <v>0.7</v>
      </c>
      <c r="BD14" s="1631">
        <v>0.7</v>
      </c>
      <c r="BE14" s="1631">
        <v>0.7</v>
      </c>
      <c r="BF14" s="1631">
        <v>0.7</v>
      </c>
      <c r="BG14" s="1631">
        <v>1</v>
      </c>
      <c r="BH14" s="1633">
        <v>0.4</v>
      </c>
      <c r="BI14" s="1631">
        <v>0.7</v>
      </c>
      <c r="BJ14" s="1631">
        <v>0.7</v>
      </c>
      <c r="BK14" s="1632">
        <v>0.7</v>
      </c>
      <c r="BL14" s="1631">
        <v>0.7</v>
      </c>
      <c r="BM14" s="1631">
        <v>1</v>
      </c>
      <c r="BO14" s="1625">
        <v>1.2</v>
      </c>
      <c r="BP14" s="1628" t="s">
        <v>180</v>
      </c>
      <c r="BQ14" s="1643" t="s">
        <v>1547</v>
      </c>
      <c r="BR14" s="1631">
        <v>0.4</v>
      </c>
      <c r="BS14" s="1631">
        <v>0.4</v>
      </c>
      <c r="BT14" s="1631">
        <v>0.4</v>
      </c>
      <c r="BU14" s="1631">
        <v>0.4</v>
      </c>
      <c r="BV14" s="1631">
        <v>0.4</v>
      </c>
      <c r="BW14" s="1631">
        <v>0.4</v>
      </c>
      <c r="BX14" s="1631">
        <v>0.5</v>
      </c>
      <c r="BY14" s="1634">
        <v>0.4</v>
      </c>
      <c r="BZ14" s="1631">
        <v>0.4</v>
      </c>
      <c r="CA14" s="1631">
        <v>0.4</v>
      </c>
      <c r="CB14" s="1631">
        <v>0.4</v>
      </c>
      <c r="CC14" s="1631">
        <v>0.4</v>
      </c>
      <c r="CD14" s="1631">
        <v>0.5</v>
      </c>
      <c r="CE14" s="1635"/>
      <c r="CG14" s="1625">
        <v>1.2</v>
      </c>
      <c r="CH14" s="1628" t="s">
        <v>180</v>
      </c>
      <c r="CI14" s="1643" t="s">
        <v>1730</v>
      </c>
      <c r="CJ14" s="1638">
        <v>0.67</v>
      </c>
      <c r="CK14" s="1638">
        <v>0.67</v>
      </c>
      <c r="CL14" s="1638">
        <v>0.67</v>
      </c>
      <c r="CM14" s="1638">
        <v>0.67</v>
      </c>
      <c r="CN14" s="1638">
        <v>0.67</v>
      </c>
      <c r="CO14" s="1638">
        <v>0.67</v>
      </c>
      <c r="CP14" s="1638">
        <v>1</v>
      </c>
      <c r="CQ14" s="1638">
        <v>0.67</v>
      </c>
      <c r="CR14" s="1638">
        <v>0.67</v>
      </c>
      <c r="CS14" s="1638">
        <v>0.67</v>
      </c>
      <c r="CT14" s="1638">
        <v>0.67</v>
      </c>
      <c r="CU14" s="1638">
        <v>0.67</v>
      </c>
      <c r="CV14" s="1638">
        <v>1</v>
      </c>
      <c r="CX14" s="1625">
        <v>1.2</v>
      </c>
      <c r="CY14" s="1628" t="s">
        <v>180</v>
      </c>
      <c r="CZ14" s="1643" t="s">
        <v>1730</v>
      </c>
      <c r="DA14" s="1637">
        <v>0</v>
      </c>
      <c r="DB14" s="1638"/>
      <c r="DC14" s="1638"/>
      <c r="DD14" s="1638"/>
      <c r="DE14" s="1638"/>
      <c r="DF14" s="1638"/>
      <c r="DG14" s="1638"/>
      <c r="DH14" s="1638"/>
      <c r="DI14" s="1638"/>
      <c r="DJ14" s="1638"/>
      <c r="DK14" s="1638"/>
      <c r="DL14" s="1638"/>
      <c r="DM14" s="1638"/>
    </row>
    <row r="15" spans="2:117">
      <c r="B15" s="1584" t="str">
        <f t="shared" si="0"/>
        <v>1.2.1</v>
      </c>
      <c r="C15" s="1643" t="str">
        <f t="shared" si="1"/>
        <v>Sound Insulation of Openings</v>
      </c>
      <c r="D15" s="1623">
        <f>IF(I$14=0,0,G15/I$14)</f>
        <v>0.6</v>
      </c>
      <c r="E15" s="1623">
        <f>IF(J$14=0,0,H15/J$14)</f>
        <v>0</v>
      </c>
      <c r="G15" s="1624">
        <f t="shared" si="2"/>
        <v>0.6</v>
      </c>
      <c r="H15" s="1624">
        <f t="shared" si="3"/>
        <v>0</v>
      </c>
      <c r="I15" s="1603"/>
      <c r="J15" s="1603"/>
      <c r="K15" s="1624">
        <f>IF(Score!W15=0,0,1)</f>
        <v>1</v>
      </c>
      <c r="L15" s="1624">
        <f>IF(Score!X15=0,0,1)</f>
        <v>0</v>
      </c>
      <c r="M15" s="1624">
        <f t="shared" si="4"/>
        <v>0.6</v>
      </c>
      <c r="N15" s="1624">
        <f t="shared" si="5"/>
        <v>0</v>
      </c>
      <c r="P15" s="1625" t="str">
        <f t="shared" si="6"/>
        <v>1.2.1</v>
      </c>
      <c r="Q15" s="1625" t="str">
        <f t="shared" si="7"/>
        <v xml:space="preserve"> Q1 1.2</v>
      </c>
      <c r="R15" s="1622" t="str">
        <f t="shared" si="8"/>
        <v>Sound Insulation of Openings</v>
      </c>
      <c r="S15" s="1626">
        <f t="shared" si="16"/>
        <v>0.6</v>
      </c>
      <c r="T15" s="1626">
        <f t="shared" si="9"/>
        <v>0.3</v>
      </c>
      <c r="U15" s="1626">
        <f t="shared" si="9"/>
        <v>1</v>
      </c>
      <c r="V15" s="1626">
        <f t="shared" si="9"/>
        <v>0.6</v>
      </c>
      <c r="W15" s="1626">
        <f t="shared" si="9"/>
        <v>0.4</v>
      </c>
      <c r="X15" s="1626">
        <f t="shared" si="9"/>
        <v>1</v>
      </c>
      <c r="Y15" s="1626">
        <f t="shared" si="9"/>
        <v>1</v>
      </c>
      <c r="Z15" s="1645">
        <f t="shared" si="9"/>
        <v>1</v>
      </c>
      <c r="AA15" s="1626">
        <f t="shared" si="17"/>
        <v>0.6</v>
      </c>
      <c r="AB15" s="1626">
        <f t="shared" si="10"/>
        <v>0.3</v>
      </c>
      <c r="AC15" s="1627">
        <f t="shared" si="11"/>
        <v>0.3</v>
      </c>
      <c r="AD15" s="1626">
        <f t="shared" si="12"/>
        <v>0.3</v>
      </c>
      <c r="AE15" s="1626">
        <f t="shared" si="18"/>
        <v>0.3</v>
      </c>
      <c r="AG15" s="1625" t="s">
        <v>54</v>
      </c>
      <c r="AH15" s="1628" t="s">
        <v>186</v>
      </c>
      <c r="AI15" s="1643" t="s">
        <v>1731</v>
      </c>
      <c r="AJ15" s="1646"/>
      <c r="AK15" s="1646"/>
      <c r="AL15" s="1646"/>
      <c r="AM15" s="1646"/>
      <c r="AN15" s="1646"/>
      <c r="AO15" s="1646"/>
      <c r="AP15" s="1646"/>
      <c r="AQ15" s="1646"/>
      <c r="AR15" s="1646"/>
      <c r="AS15" s="1631"/>
      <c r="AT15" s="1632"/>
      <c r="AU15" s="1631"/>
      <c r="AV15" s="1631"/>
      <c r="AX15" s="1625" t="s">
        <v>54</v>
      </c>
      <c r="AY15" s="1628" t="s">
        <v>186</v>
      </c>
      <c r="AZ15" s="1643" t="s">
        <v>1731</v>
      </c>
      <c r="BA15" s="1631">
        <v>0.6</v>
      </c>
      <c r="BB15" s="1631">
        <v>0.4</v>
      </c>
      <c r="BC15" s="1631">
        <v>1</v>
      </c>
      <c r="BD15" s="1631">
        <v>0.6</v>
      </c>
      <c r="BE15" s="1631">
        <v>0.4</v>
      </c>
      <c r="BF15" s="1631">
        <v>1</v>
      </c>
      <c r="BG15" s="1631">
        <v>1</v>
      </c>
      <c r="BH15" s="1633">
        <v>1</v>
      </c>
      <c r="BI15" s="1631">
        <v>0.6</v>
      </c>
      <c r="BJ15" s="1631">
        <v>0.4</v>
      </c>
      <c r="BK15" s="1632">
        <v>0.3</v>
      </c>
      <c r="BL15" s="1631">
        <v>0.3</v>
      </c>
      <c r="BM15" s="1631">
        <v>0.3</v>
      </c>
      <c r="BO15" s="1625" t="s">
        <v>54</v>
      </c>
      <c r="BP15" s="1628" t="s">
        <v>186</v>
      </c>
      <c r="BQ15" s="1643" t="s">
        <v>1548</v>
      </c>
      <c r="BR15" s="1631">
        <v>0.6</v>
      </c>
      <c r="BS15" s="1631">
        <v>0.3</v>
      </c>
      <c r="BT15" s="1631">
        <v>1</v>
      </c>
      <c r="BU15" s="1631">
        <v>0.6</v>
      </c>
      <c r="BV15" s="1631">
        <v>0.4</v>
      </c>
      <c r="BW15" s="1631">
        <v>1</v>
      </c>
      <c r="BX15" s="1631">
        <v>1</v>
      </c>
      <c r="BY15" s="1647">
        <v>1</v>
      </c>
      <c r="BZ15" s="1631">
        <v>0.6</v>
      </c>
      <c r="CA15" s="1631">
        <v>0.3</v>
      </c>
      <c r="CB15" s="1631">
        <v>0.3</v>
      </c>
      <c r="CC15" s="1631">
        <v>0.3</v>
      </c>
      <c r="CD15" s="1631">
        <v>0.3</v>
      </c>
      <c r="CE15" s="1635"/>
      <c r="CG15" s="1625" t="s">
        <v>54</v>
      </c>
      <c r="CH15" s="1628" t="s">
        <v>186</v>
      </c>
      <c r="CI15" s="1643" t="s">
        <v>1731</v>
      </c>
      <c r="CJ15" s="1636">
        <f t="shared" si="19"/>
        <v>0.6</v>
      </c>
      <c r="CK15" s="1636">
        <f t="shared" si="20"/>
        <v>0.3</v>
      </c>
      <c r="CL15" s="1636">
        <f t="shared" si="21"/>
        <v>1</v>
      </c>
      <c r="CM15" s="1636">
        <f t="shared" si="22"/>
        <v>0.6</v>
      </c>
      <c r="CN15" s="1636">
        <f t="shared" si="23"/>
        <v>0.4</v>
      </c>
      <c r="CO15" s="1636">
        <f t="shared" si="24"/>
        <v>1</v>
      </c>
      <c r="CP15" s="1636">
        <f t="shared" si="25"/>
        <v>1</v>
      </c>
      <c r="CQ15" s="1639">
        <f t="shared" si="26"/>
        <v>1</v>
      </c>
      <c r="CR15" s="1636">
        <f t="shared" si="27"/>
        <v>0.6</v>
      </c>
      <c r="CS15" s="1636">
        <f t="shared" si="28"/>
        <v>0.3</v>
      </c>
      <c r="CT15" s="1636">
        <f t="shared" si="13"/>
        <v>0.3</v>
      </c>
      <c r="CU15" s="1636">
        <f t="shared" si="14"/>
        <v>0.3</v>
      </c>
      <c r="CV15" s="1636">
        <f t="shared" si="15"/>
        <v>0.3</v>
      </c>
      <c r="CX15" s="1625" t="s">
        <v>54</v>
      </c>
      <c r="CY15" s="1628" t="s">
        <v>186</v>
      </c>
      <c r="CZ15" s="1643" t="s">
        <v>1731</v>
      </c>
      <c r="DA15" s="1637">
        <v>0</v>
      </c>
      <c r="DB15" s="1638"/>
      <c r="DC15" s="1638"/>
      <c r="DD15" s="1638"/>
      <c r="DE15" s="1638"/>
      <c r="DF15" s="1638"/>
      <c r="DG15" s="1638"/>
      <c r="DH15" s="1641"/>
      <c r="DI15" s="1638"/>
      <c r="DJ15" s="1638"/>
      <c r="DK15" s="1638"/>
      <c r="DL15" s="1638"/>
      <c r="DM15" s="1638"/>
    </row>
    <row r="16" spans="2:117">
      <c r="B16" s="1584" t="str">
        <f t="shared" si="0"/>
        <v>1.2.2</v>
      </c>
      <c r="C16" s="1643" t="str">
        <f t="shared" si="1"/>
        <v>Sound Insulation of Partition Walls</v>
      </c>
      <c r="D16" s="1623">
        <f t="shared" ref="D16:E18" si="30">IF(I$14=0,0,G16/I$14)</f>
        <v>0.4</v>
      </c>
      <c r="E16" s="1623">
        <f t="shared" si="30"/>
        <v>0</v>
      </c>
      <c r="G16" s="1624">
        <f t="shared" si="2"/>
        <v>0.4</v>
      </c>
      <c r="H16" s="1624">
        <f t="shared" si="3"/>
        <v>0</v>
      </c>
      <c r="I16" s="1624"/>
      <c r="J16" s="1624"/>
      <c r="K16" s="1624">
        <f>IF(Score!W16=0,0,1)</f>
        <v>1</v>
      </c>
      <c r="L16" s="1624">
        <f>IF(Score!X16=0,0,1)</f>
        <v>1</v>
      </c>
      <c r="M16" s="1624">
        <f t="shared" si="4"/>
        <v>0.4</v>
      </c>
      <c r="N16" s="1624">
        <f t="shared" si="5"/>
        <v>0</v>
      </c>
      <c r="P16" s="1625" t="str">
        <f t="shared" si="6"/>
        <v>1.2.2</v>
      </c>
      <c r="Q16" s="1625" t="str">
        <f t="shared" si="7"/>
        <v xml:space="preserve"> Q1 1.2</v>
      </c>
      <c r="R16" s="1622" t="str">
        <f t="shared" si="8"/>
        <v>Sound Insulation of Partition Walls</v>
      </c>
      <c r="S16" s="1626">
        <f t="shared" si="16"/>
        <v>0.4</v>
      </c>
      <c r="T16" s="1626">
        <f t="shared" si="9"/>
        <v>0.3</v>
      </c>
      <c r="U16" s="1626">
        <f t="shared" si="9"/>
        <v>0</v>
      </c>
      <c r="V16" s="1626">
        <f t="shared" si="9"/>
        <v>0.4</v>
      </c>
      <c r="W16" s="1626">
        <f t="shared" si="9"/>
        <v>0.6</v>
      </c>
      <c r="X16" s="1626">
        <f t="shared" si="9"/>
        <v>0</v>
      </c>
      <c r="Y16" s="1626">
        <f t="shared" si="9"/>
        <v>0</v>
      </c>
      <c r="Z16" s="1645">
        <f t="shared" si="9"/>
        <v>0</v>
      </c>
      <c r="AA16" s="1626">
        <f t="shared" si="17"/>
        <v>0.4</v>
      </c>
      <c r="AB16" s="1626">
        <f t="shared" si="10"/>
        <v>0.3</v>
      </c>
      <c r="AC16" s="1627">
        <f t="shared" si="11"/>
        <v>0.3</v>
      </c>
      <c r="AD16" s="1626">
        <f t="shared" si="12"/>
        <v>0.3</v>
      </c>
      <c r="AE16" s="1626">
        <f t="shared" si="18"/>
        <v>0.3</v>
      </c>
      <c r="AG16" s="1625" t="s">
        <v>55</v>
      </c>
      <c r="AH16" s="1628" t="s">
        <v>186</v>
      </c>
      <c r="AI16" s="1643" t="s">
        <v>1732</v>
      </c>
      <c r="AJ16" s="1648">
        <v>1</v>
      </c>
      <c r="AK16" s="1631">
        <v>0.4</v>
      </c>
      <c r="AL16" s="1631"/>
      <c r="AM16" s="1631">
        <v>1</v>
      </c>
      <c r="AN16" s="1648">
        <v>0.4</v>
      </c>
      <c r="AO16" s="1631"/>
      <c r="AP16" s="1631"/>
      <c r="AQ16" s="1649"/>
      <c r="AR16" s="1648">
        <v>1</v>
      </c>
      <c r="AS16" s="1631">
        <v>0.4</v>
      </c>
      <c r="AT16" s="1632">
        <v>1</v>
      </c>
      <c r="AU16" s="1631">
        <v>0.4</v>
      </c>
      <c r="AV16" s="1631">
        <v>0.4</v>
      </c>
      <c r="AX16" s="1625" t="s">
        <v>55</v>
      </c>
      <c r="AY16" s="1628" t="s">
        <v>186</v>
      </c>
      <c r="AZ16" s="1643" t="s">
        <v>1732</v>
      </c>
      <c r="BA16" s="1631">
        <v>0.4</v>
      </c>
      <c r="BB16" s="1631">
        <v>0.3</v>
      </c>
      <c r="BC16" s="1631"/>
      <c r="BD16" s="1631">
        <v>0.4</v>
      </c>
      <c r="BE16" s="1631">
        <v>0.6</v>
      </c>
      <c r="BF16" s="1631"/>
      <c r="BG16" s="1631"/>
      <c r="BH16" s="1633"/>
      <c r="BI16" s="1631">
        <v>0.4</v>
      </c>
      <c r="BJ16" s="1631">
        <v>0.3</v>
      </c>
      <c r="BK16" s="1632">
        <v>0.3</v>
      </c>
      <c r="BL16" s="1631">
        <v>0.3</v>
      </c>
      <c r="BM16" s="1631">
        <v>0.3</v>
      </c>
      <c r="BO16" s="1625" t="s">
        <v>55</v>
      </c>
      <c r="BP16" s="1628" t="s">
        <v>186</v>
      </c>
      <c r="BQ16" s="1643" t="s">
        <v>1549</v>
      </c>
      <c r="BR16" s="1631">
        <v>0.4</v>
      </c>
      <c r="BS16" s="1631">
        <v>0.3</v>
      </c>
      <c r="BT16" s="1631"/>
      <c r="BU16" s="1631">
        <v>0.4</v>
      </c>
      <c r="BV16" s="1631">
        <v>0.6</v>
      </c>
      <c r="BW16" s="1631"/>
      <c r="BX16" s="1631"/>
      <c r="BY16" s="1634"/>
      <c r="BZ16" s="1631">
        <v>0.4</v>
      </c>
      <c r="CA16" s="1631">
        <v>0.3</v>
      </c>
      <c r="CB16" s="1631">
        <v>0.3</v>
      </c>
      <c r="CC16" s="1631">
        <v>0.3</v>
      </c>
      <c r="CD16" s="1631">
        <v>0.3</v>
      </c>
      <c r="CE16" s="1635"/>
      <c r="CG16" s="1625" t="s">
        <v>55</v>
      </c>
      <c r="CH16" s="1628" t="s">
        <v>186</v>
      </c>
      <c r="CI16" s="1643" t="s">
        <v>1732</v>
      </c>
      <c r="CJ16" s="1636">
        <f t="shared" si="19"/>
        <v>0.4</v>
      </c>
      <c r="CK16" s="1636">
        <f t="shared" si="20"/>
        <v>0.3</v>
      </c>
      <c r="CL16" s="1636">
        <f t="shared" si="21"/>
        <v>0</v>
      </c>
      <c r="CM16" s="1636">
        <f t="shared" si="22"/>
        <v>0.4</v>
      </c>
      <c r="CN16" s="1636">
        <f t="shared" si="23"/>
        <v>0.6</v>
      </c>
      <c r="CO16" s="1636">
        <f t="shared" si="24"/>
        <v>0</v>
      </c>
      <c r="CP16" s="1636">
        <f t="shared" si="25"/>
        <v>0</v>
      </c>
      <c r="CQ16" s="1639">
        <f t="shared" si="26"/>
        <v>0</v>
      </c>
      <c r="CR16" s="1636">
        <f t="shared" si="27"/>
        <v>0.4</v>
      </c>
      <c r="CS16" s="1636">
        <f t="shared" si="28"/>
        <v>0.3</v>
      </c>
      <c r="CT16" s="1636">
        <f t="shared" si="13"/>
        <v>0.3</v>
      </c>
      <c r="CU16" s="1636">
        <f t="shared" si="14"/>
        <v>0.3</v>
      </c>
      <c r="CV16" s="1636">
        <f t="shared" si="15"/>
        <v>0.3</v>
      </c>
      <c r="CX16" s="1625" t="s">
        <v>55</v>
      </c>
      <c r="CY16" s="1628" t="s">
        <v>186</v>
      </c>
      <c r="CZ16" s="1643" t="s">
        <v>1732</v>
      </c>
      <c r="DA16" s="1637">
        <v>0</v>
      </c>
      <c r="DB16" s="1638"/>
      <c r="DC16" s="1638"/>
      <c r="DD16" s="1638"/>
      <c r="DE16" s="1638"/>
      <c r="DF16" s="1638"/>
      <c r="DG16" s="1638"/>
      <c r="DH16" s="1641"/>
      <c r="DI16" s="1638"/>
      <c r="DJ16" s="1638"/>
      <c r="DK16" s="1638"/>
      <c r="DL16" s="1638"/>
      <c r="DM16" s="1638"/>
    </row>
    <row r="17" spans="2:117">
      <c r="B17" s="1584" t="str">
        <f t="shared" si="0"/>
        <v>1.2.3</v>
      </c>
      <c r="C17" s="1643" t="str">
        <f t="shared" si="1"/>
        <v>Sound Insulation Performance of Floor Slabs (light-weight impact source)</v>
      </c>
      <c r="D17" s="1623">
        <f t="shared" si="30"/>
        <v>0</v>
      </c>
      <c r="E17" s="1623">
        <f t="shared" si="30"/>
        <v>0</v>
      </c>
      <c r="G17" s="1624">
        <f t="shared" si="2"/>
        <v>0</v>
      </c>
      <c r="H17" s="1624">
        <f t="shared" si="3"/>
        <v>0</v>
      </c>
      <c r="I17" s="1624"/>
      <c r="J17" s="1624"/>
      <c r="K17" s="1624">
        <f>IF(Score!W17=0,0,1)</f>
        <v>1</v>
      </c>
      <c r="L17" s="1624">
        <f>IF(Score!X17=0,0,1)</f>
        <v>1</v>
      </c>
      <c r="M17" s="1624">
        <f t="shared" si="4"/>
        <v>0</v>
      </c>
      <c r="N17" s="1624">
        <f t="shared" si="5"/>
        <v>0</v>
      </c>
      <c r="P17" s="1625" t="str">
        <f t="shared" si="6"/>
        <v>1.2.3</v>
      </c>
      <c r="Q17" s="1625" t="str">
        <f t="shared" si="7"/>
        <v xml:space="preserve"> Q1 1.2</v>
      </c>
      <c r="R17" s="1622" t="str">
        <f t="shared" si="8"/>
        <v>Sound Insulation Performance of Floor Slabs (light-weight impact source)</v>
      </c>
      <c r="S17" s="1626">
        <f t="shared" si="16"/>
        <v>0</v>
      </c>
      <c r="T17" s="1626">
        <f t="shared" si="9"/>
        <v>0.2</v>
      </c>
      <c r="U17" s="1626">
        <f t="shared" si="9"/>
        <v>0</v>
      </c>
      <c r="V17" s="1626">
        <f t="shared" si="9"/>
        <v>0</v>
      </c>
      <c r="W17" s="1626">
        <f t="shared" si="9"/>
        <v>0</v>
      </c>
      <c r="X17" s="1626">
        <f t="shared" si="9"/>
        <v>0</v>
      </c>
      <c r="Y17" s="1626">
        <f t="shared" si="9"/>
        <v>0</v>
      </c>
      <c r="Z17" s="1645">
        <f t="shared" si="9"/>
        <v>0</v>
      </c>
      <c r="AA17" s="1626">
        <f t="shared" si="17"/>
        <v>0</v>
      </c>
      <c r="AB17" s="1626">
        <f t="shared" si="10"/>
        <v>0.2</v>
      </c>
      <c r="AC17" s="1627">
        <f t="shared" si="11"/>
        <v>0.2</v>
      </c>
      <c r="AD17" s="1626">
        <f t="shared" si="12"/>
        <v>0.2</v>
      </c>
      <c r="AE17" s="1626">
        <f t="shared" si="18"/>
        <v>0.2</v>
      </c>
      <c r="AG17" s="1625" t="s">
        <v>56</v>
      </c>
      <c r="AH17" s="1628" t="s">
        <v>186</v>
      </c>
      <c r="AI17" s="1643" t="s">
        <v>1733</v>
      </c>
      <c r="AJ17" s="1631"/>
      <c r="AK17" s="1631">
        <v>0.3</v>
      </c>
      <c r="AL17" s="1631"/>
      <c r="AM17" s="1631"/>
      <c r="AN17" s="1648">
        <v>0.6</v>
      </c>
      <c r="AO17" s="1631"/>
      <c r="AP17" s="1631"/>
      <c r="AQ17" s="1649"/>
      <c r="AR17" s="1631"/>
      <c r="AS17" s="1631">
        <v>0.3</v>
      </c>
      <c r="AT17" s="1632"/>
      <c r="AU17" s="1631">
        <v>0.3</v>
      </c>
      <c r="AV17" s="1631">
        <v>0.3</v>
      </c>
      <c r="AX17" s="1625" t="s">
        <v>56</v>
      </c>
      <c r="AY17" s="1628" t="s">
        <v>186</v>
      </c>
      <c r="AZ17" s="1643" t="s">
        <v>1733</v>
      </c>
      <c r="BA17" s="1631"/>
      <c r="BB17" s="1631">
        <v>0.15</v>
      </c>
      <c r="BC17" s="1631"/>
      <c r="BD17" s="1631"/>
      <c r="BE17" s="1631"/>
      <c r="BF17" s="1631"/>
      <c r="BG17" s="1631"/>
      <c r="BH17" s="1633"/>
      <c r="BI17" s="1631"/>
      <c r="BJ17" s="1631">
        <v>0.15</v>
      </c>
      <c r="BK17" s="1632">
        <v>0.2</v>
      </c>
      <c r="BL17" s="1631">
        <v>0.2</v>
      </c>
      <c r="BM17" s="1631">
        <v>0.2</v>
      </c>
      <c r="BO17" s="1625" t="s">
        <v>56</v>
      </c>
      <c r="BP17" s="1628" t="s">
        <v>186</v>
      </c>
      <c r="BQ17" s="1643" t="s">
        <v>1665</v>
      </c>
      <c r="BR17" s="1631"/>
      <c r="BS17" s="1631">
        <v>0.2</v>
      </c>
      <c r="BT17" s="1631"/>
      <c r="BU17" s="1631"/>
      <c r="BV17" s="1631"/>
      <c r="BW17" s="1631"/>
      <c r="BX17" s="1631"/>
      <c r="BY17" s="1650"/>
      <c r="BZ17" s="1631"/>
      <c r="CA17" s="1631">
        <v>0.2</v>
      </c>
      <c r="CB17" s="1632">
        <v>0.2</v>
      </c>
      <c r="CC17" s="1631">
        <v>0.2</v>
      </c>
      <c r="CD17" s="1631">
        <v>0.2</v>
      </c>
      <c r="CE17" s="1635"/>
      <c r="CG17" s="1625" t="s">
        <v>56</v>
      </c>
      <c r="CH17" s="1628" t="s">
        <v>186</v>
      </c>
      <c r="CI17" s="1643" t="s">
        <v>1733</v>
      </c>
      <c r="CJ17" s="1636">
        <f t="shared" si="19"/>
        <v>0</v>
      </c>
      <c r="CK17" s="1636">
        <f t="shared" si="20"/>
        <v>0.2</v>
      </c>
      <c r="CL17" s="1636">
        <f t="shared" si="21"/>
        <v>0</v>
      </c>
      <c r="CM17" s="1636">
        <f t="shared" si="22"/>
        <v>0</v>
      </c>
      <c r="CN17" s="1636">
        <f t="shared" si="23"/>
        <v>0</v>
      </c>
      <c r="CO17" s="1636">
        <f t="shared" si="24"/>
        <v>0</v>
      </c>
      <c r="CP17" s="1636">
        <f t="shared" si="25"/>
        <v>0</v>
      </c>
      <c r="CQ17" s="1639">
        <f t="shared" si="26"/>
        <v>0</v>
      </c>
      <c r="CR17" s="1636">
        <f t="shared" si="27"/>
        <v>0</v>
      </c>
      <c r="CS17" s="1636">
        <f t="shared" si="28"/>
        <v>0.2</v>
      </c>
      <c r="CT17" s="1640">
        <f t="shared" si="13"/>
        <v>0.2</v>
      </c>
      <c r="CU17" s="1636">
        <f t="shared" si="14"/>
        <v>0.2</v>
      </c>
      <c r="CV17" s="1636">
        <f t="shared" si="15"/>
        <v>0.2</v>
      </c>
      <c r="CX17" s="1625" t="s">
        <v>56</v>
      </c>
      <c r="CY17" s="1628" t="s">
        <v>186</v>
      </c>
      <c r="CZ17" s="1643" t="s">
        <v>1733</v>
      </c>
      <c r="DA17" s="1637">
        <v>0</v>
      </c>
      <c r="DB17" s="1638"/>
      <c r="DC17" s="1638"/>
      <c r="DD17" s="1638"/>
      <c r="DE17" s="1638"/>
      <c r="DF17" s="1638"/>
      <c r="DG17" s="1638"/>
      <c r="DH17" s="1641"/>
      <c r="DI17" s="1638"/>
      <c r="DJ17" s="1638"/>
      <c r="DK17" s="1642"/>
      <c r="DL17" s="1638"/>
      <c r="DM17" s="1638"/>
    </row>
    <row r="18" spans="2:117">
      <c r="B18" s="1584" t="str">
        <f t="shared" si="0"/>
        <v>1.2.4</v>
      </c>
      <c r="C18" s="1643" t="str">
        <f t="shared" si="1"/>
        <v>Sound Insulation Performance of Floor Slabs (heavy-weight impact source)</v>
      </c>
      <c r="D18" s="1623">
        <f t="shared" si="30"/>
        <v>0</v>
      </c>
      <c r="E18" s="1623">
        <f t="shared" si="30"/>
        <v>0</v>
      </c>
      <c r="G18" s="1624">
        <f t="shared" si="2"/>
        <v>0</v>
      </c>
      <c r="H18" s="1624">
        <f t="shared" si="3"/>
        <v>0</v>
      </c>
      <c r="I18" s="1624"/>
      <c r="J18" s="1624"/>
      <c r="K18" s="1624">
        <f>IF(Score!W18=0,0,1)</f>
        <v>1</v>
      </c>
      <c r="L18" s="1624">
        <f>IF(Score!X18=0,0,1)</f>
        <v>1</v>
      </c>
      <c r="M18" s="1624">
        <f t="shared" si="4"/>
        <v>0</v>
      </c>
      <c r="N18" s="1624">
        <f t="shared" si="5"/>
        <v>0</v>
      </c>
      <c r="P18" s="1625" t="str">
        <f t="shared" si="6"/>
        <v>1.2.4</v>
      </c>
      <c r="Q18" s="1625" t="str">
        <f t="shared" si="7"/>
        <v xml:space="preserve"> Q1 1.2</v>
      </c>
      <c r="R18" s="1622" t="str">
        <f t="shared" si="8"/>
        <v>Sound Insulation Performance of Floor Slabs (heavy-weight impact source)</v>
      </c>
      <c r="S18" s="1626">
        <f t="shared" si="16"/>
        <v>0</v>
      </c>
      <c r="T18" s="1626">
        <f t="shared" si="9"/>
        <v>0.2</v>
      </c>
      <c r="U18" s="1626">
        <f t="shared" si="9"/>
        <v>0</v>
      </c>
      <c r="V18" s="1626">
        <f t="shared" si="9"/>
        <v>0</v>
      </c>
      <c r="W18" s="1626">
        <f t="shared" si="9"/>
        <v>0</v>
      </c>
      <c r="X18" s="1626">
        <f t="shared" si="9"/>
        <v>0</v>
      </c>
      <c r="Y18" s="1626">
        <f t="shared" si="9"/>
        <v>0</v>
      </c>
      <c r="Z18" s="1645">
        <f t="shared" si="9"/>
        <v>0</v>
      </c>
      <c r="AA18" s="1626">
        <f t="shared" si="17"/>
        <v>0</v>
      </c>
      <c r="AB18" s="1626">
        <f t="shared" si="10"/>
        <v>0.2</v>
      </c>
      <c r="AC18" s="1627">
        <f t="shared" si="11"/>
        <v>0.2</v>
      </c>
      <c r="AD18" s="1626">
        <f t="shared" si="12"/>
        <v>0.2</v>
      </c>
      <c r="AE18" s="1626">
        <f t="shared" si="18"/>
        <v>0.2</v>
      </c>
      <c r="AG18" s="1625" t="s">
        <v>57</v>
      </c>
      <c r="AH18" s="1628" t="s">
        <v>186</v>
      </c>
      <c r="AI18" s="1643" t="s">
        <v>1734</v>
      </c>
      <c r="AJ18" s="1631"/>
      <c r="AK18" s="1631">
        <v>0.3</v>
      </c>
      <c r="AL18" s="1631"/>
      <c r="AM18" s="1631"/>
      <c r="AN18" s="1631"/>
      <c r="AO18" s="1631"/>
      <c r="AP18" s="1631"/>
      <c r="AQ18" s="1649"/>
      <c r="AR18" s="1631"/>
      <c r="AS18" s="1631">
        <v>0.3</v>
      </c>
      <c r="AT18" s="1632"/>
      <c r="AU18" s="1631">
        <v>0.3</v>
      </c>
      <c r="AV18" s="1631">
        <v>0.3</v>
      </c>
      <c r="AX18" s="1625" t="s">
        <v>57</v>
      </c>
      <c r="AY18" s="1628" t="s">
        <v>186</v>
      </c>
      <c r="AZ18" s="1643" t="s">
        <v>1734</v>
      </c>
      <c r="BA18" s="1631"/>
      <c r="BB18" s="1631">
        <v>0.15</v>
      </c>
      <c r="BC18" s="1631"/>
      <c r="BD18" s="1631"/>
      <c r="BE18" s="1631"/>
      <c r="BF18" s="1631"/>
      <c r="BG18" s="1631"/>
      <c r="BH18" s="1633"/>
      <c r="BI18" s="1631"/>
      <c r="BJ18" s="1631">
        <v>0.15</v>
      </c>
      <c r="BK18" s="1632">
        <v>0.2</v>
      </c>
      <c r="BL18" s="1631">
        <v>0.2</v>
      </c>
      <c r="BM18" s="1631">
        <v>0.2</v>
      </c>
      <c r="BO18" s="1625" t="s">
        <v>57</v>
      </c>
      <c r="BP18" s="1628" t="s">
        <v>186</v>
      </c>
      <c r="BQ18" s="1643" t="s">
        <v>1666</v>
      </c>
      <c r="BR18" s="1631"/>
      <c r="BS18" s="1631">
        <v>0.2</v>
      </c>
      <c r="BT18" s="1631"/>
      <c r="BU18" s="1631"/>
      <c r="BV18" s="1631"/>
      <c r="BW18" s="1631"/>
      <c r="BX18" s="1631"/>
      <c r="BY18" s="1650"/>
      <c r="BZ18" s="1631"/>
      <c r="CA18" s="1631">
        <v>0.2</v>
      </c>
      <c r="CB18" s="1632">
        <v>0.2</v>
      </c>
      <c r="CC18" s="1631">
        <v>0.2</v>
      </c>
      <c r="CD18" s="1631">
        <v>0.2</v>
      </c>
      <c r="CE18" s="1635"/>
      <c r="CG18" s="1625" t="s">
        <v>57</v>
      </c>
      <c r="CH18" s="1628" t="s">
        <v>186</v>
      </c>
      <c r="CI18" s="1643" t="s">
        <v>1734</v>
      </c>
      <c r="CJ18" s="1636">
        <f t="shared" si="19"/>
        <v>0</v>
      </c>
      <c r="CK18" s="1636">
        <f t="shared" si="20"/>
        <v>0.2</v>
      </c>
      <c r="CL18" s="1636">
        <f t="shared" si="21"/>
        <v>0</v>
      </c>
      <c r="CM18" s="1636">
        <f t="shared" si="22"/>
        <v>0</v>
      </c>
      <c r="CN18" s="1636">
        <f t="shared" si="23"/>
        <v>0</v>
      </c>
      <c r="CO18" s="1636">
        <f t="shared" si="24"/>
        <v>0</v>
      </c>
      <c r="CP18" s="1636">
        <f t="shared" si="25"/>
        <v>0</v>
      </c>
      <c r="CQ18" s="1639">
        <f t="shared" si="26"/>
        <v>0</v>
      </c>
      <c r="CR18" s="1636">
        <f t="shared" si="27"/>
        <v>0</v>
      </c>
      <c r="CS18" s="1636">
        <f t="shared" si="28"/>
        <v>0.2</v>
      </c>
      <c r="CT18" s="1640">
        <f t="shared" si="13"/>
        <v>0.2</v>
      </c>
      <c r="CU18" s="1636">
        <f t="shared" si="14"/>
        <v>0.2</v>
      </c>
      <c r="CV18" s="1636">
        <f t="shared" si="15"/>
        <v>0.2</v>
      </c>
      <c r="CX18" s="1625" t="s">
        <v>57</v>
      </c>
      <c r="CY18" s="1628" t="s">
        <v>186</v>
      </c>
      <c r="CZ18" s="1643" t="s">
        <v>1734</v>
      </c>
      <c r="DA18" s="1637">
        <v>0</v>
      </c>
      <c r="DB18" s="1638"/>
      <c r="DC18" s="1638"/>
      <c r="DD18" s="1638"/>
      <c r="DE18" s="1638"/>
      <c r="DF18" s="1638"/>
      <c r="DG18" s="1638"/>
      <c r="DH18" s="1641"/>
      <c r="DI18" s="1638"/>
      <c r="DJ18" s="1638"/>
      <c r="DK18" s="1642"/>
      <c r="DL18" s="1638"/>
      <c r="DM18" s="1638"/>
    </row>
    <row r="19" spans="2:117">
      <c r="B19" s="1584">
        <f t="shared" si="0"/>
        <v>1.3</v>
      </c>
      <c r="C19" s="1643" t="str">
        <f t="shared" si="1"/>
        <v>Sound Absorption</v>
      </c>
      <c r="D19" s="1623">
        <f>IF(I$10=0,0,G19/I$10)</f>
        <v>0.2</v>
      </c>
      <c r="E19" s="1623">
        <f>IF(J$10=0,0,H19/J$10)</f>
        <v>0</v>
      </c>
      <c r="G19" s="1624">
        <f t="shared" si="2"/>
        <v>0.2</v>
      </c>
      <c r="H19" s="1624">
        <f t="shared" si="3"/>
        <v>0</v>
      </c>
      <c r="I19" s="1624"/>
      <c r="J19" s="1624"/>
      <c r="K19" s="1624">
        <f>IF(Score!W19=0,0,1)</f>
        <v>1</v>
      </c>
      <c r="L19" s="1624">
        <f>IF(Score!X19=0,0,1)</f>
        <v>1</v>
      </c>
      <c r="M19" s="1624">
        <f t="shared" si="4"/>
        <v>0.2</v>
      </c>
      <c r="N19" s="1624">
        <f t="shared" si="5"/>
        <v>0</v>
      </c>
      <c r="P19" s="1625">
        <f t="shared" si="6"/>
        <v>1.3</v>
      </c>
      <c r="Q19" s="1625" t="str">
        <f t="shared" si="7"/>
        <v xml:space="preserve"> Q1 1</v>
      </c>
      <c r="R19" s="1622" t="str">
        <f t="shared" si="8"/>
        <v>Sound Absorption</v>
      </c>
      <c r="S19" s="1626">
        <f t="shared" si="16"/>
        <v>0.2</v>
      </c>
      <c r="T19" s="1626">
        <f t="shared" si="9"/>
        <v>0.2</v>
      </c>
      <c r="U19" s="1626">
        <f t="shared" si="9"/>
        <v>0.2</v>
      </c>
      <c r="V19" s="1626">
        <f t="shared" si="9"/>
        <v>0.2</v>
      </c>
      <c r="W19" s="1626">
        <f t="shared" si="9"/>
        <v>0.2</v>
      </c>
      <c r="X19" s="1626">
        <f t="shared" si="9"/>
        <v>0.2</v>
      </c>
      <c r="Y19" s="1626">
        <f t="shared" si="9"/>
        <v>0</v>
      </c>
      <c r="Z19" s="1645">
        <f t="shared" si="9"/>
        <v>0.2</v>
      </c>
      <c r="AA19" s="1626">
        <f t="shared" si="17"/>
        <v>0.2</v>
      </c>
      <c r="AB19" s="1626">
        <f t="shared" si="10"/>
        <v>0.2</v>
      </c>
      <c r="AC19" s="1627">
        <f t="shared" si="11"/>
        <v>0.2</v>
      </c>
      <c r="AD19" s="1626">
        <f t="shared" si="12"/>
        <v>0.2</v>
      </c>
      <c r="AE19" s="1626">
        <f t="shared" si="18"/>
        <v>0</v>
      </c>
      <c r="AG19" s="1625">
        <v>1.3</v>
      </c>
      <c r="AH19" s="1628" t="s">
        <v>180</v>
      </c>
      <c r="AI19" s="1643" t="s">
        <v>1735</v>
      </c>
      <c r="AJ19" s="1648">
        <v>0.2</v>
      </c>
      <c r="AK19" s="1630">
        <v>0.2</v>
      </c>
      <c r="AL19" s="1630">
        <v>0.2</v>
      </c>
      <c r="AM19" s="1630">
        <v>0.2</v>
      </c>
      <c r="AN19" s="1648">
        <v>0.2</v>
      </c>
      <c r="AO19" s="1630">
        <v>0.2</v>
      </c>
      <c r="AP19" s="1630">
        <v>0.2</v>
      </c>
      <c r="AQ19" s="1648">
        <v>0.2</v>
      </c>
      <c r="AR19" s="1630"/>
      <c r="AS19" s="1631">
        <v>0.2</v>
      </c>
      <c r="AT19" s="1632"/>
      <c r="AU19" s="1631">
        <v>0.2</v>
      </c>
      <c r="AV19" s="1648">
        <v>0.2</v>
      </c>
      <c r="AX19" s="1625">
        <v>1.3</v>
      </c>
      <c r="AY19" s="1628" t="s">
        <v>180</v>
      </c>
      <c r="AZ19" s="1643" t="s">
        <v>1735</v>
      </c>
      <c r="BA19" s="1631">
        <v>0.3</v>
      </c>
      <c r="BB19" s="1631">
        <v>0.3</v>
      </c>
      <c r="BC19" s="1631">
        <v>0.3</v>
      </c>
      <c r="BD19" s="1631">
        <v>0.3</v>
      </c>
      <c r="BE19" s="1631">
        <v>0.3</v>
      </c>
      <c r="BF19" s="1631">
        <v>0.3</v>
      </c>
      <c r="BG19" s="1631">
        <v>0</v>
      </c>
      <c r="BH19" s="1633">
        <v>0.2</v>
      </c>
      <c r="BI19" s="1631">
        <v>0.3</v>
      </c>
      <c r="BJ19" s="1631">
        <v>0.3</v>
      </c>
      <c r="BK19" s="1632">
        <v>0.3</v>
      </c>
      <c r="BL19" s="1631">
        <v>0.3</v>
      </c>
      <c r="BM19" s="1631">
        <v>0</v>
      </c>
      <c r="BO19" s="1625">
        <v>1.3</v>
      </c>
      <c r="BP19" s="1628" t="s">
        <v>180</v>
      </c>
      <c r="BQ19" s="1643" t="s">
        <v>1552</v>
      </c>
      <c r="BR19" s="1631">
        <v>0.2</v>
      </c>
      <c r="BS19" s="1631">
        <v>0.2</v>
      </c>
      <c r="BT19" s="1631">
        <v>0.2</v>
      </c>
      <c r="BU19" s="1631">
        <v>0.2</v>
      </c>
      <c r="BV19" s="1631">
        <v>0.2</v>
      </c>
      <c r="BW19" s="1631">
        <v>0.2</v>
      </c>
      <c r="BX19" s="1631">
        <v>0</v>
      </c>
      <c r="BY19" s="1650">
        <v>0.2</v>
      </c>
      <c r="BZ19" s="1631">
        <v>0.2</v>
      </c>
      <c r="CA19" s="1631">
        <v>0.2</v>
      </c>
      <c r="CB19" s="1632">
        <v>0.2</v>
      </c>
      <c r="CC19" s="1631">
        <v>0.2</v>
      </c>
      <c r="CD19" s="1631">
        <v>0</v>
      </c>
      <c r="CE19" s="1635"/>
      <c r="CG19" s="1625">
        <v>1.3</v>
      </c>
      <c r="CH19" s="1628" t="s">
        <v>180</v>
      </c>
      <c r="CI19" s="1643" t="s">
        <v>1735</v>
      </c>
      <c r="CJ19" s="1638">
        <v>0.33</v>
      </c>
      <c r="CK19" s="1638">
        <v>0.33</v>
      </c>
      <c r="CL19" s="1638">
        <v>0.33</v>
      </c>
      <c r="CM19" s="1638">
        <v>0.33</v>
      </c>
      <c r="CN19" s="1638">
        <v>0.33</v>
      </c>
      <c r="CO19" s="1638">
        <v>0.33</v>
      </c>
      <c r="CP19" s="1636">
        <f t="shared" si="25"/>
        <v>0</v>
      </c>
      <c r="CQ19" s="1638">
        <v>0.33</v>
      </c>
      <c r="CR19" s="1638">
        <v>0.33</v>
      </c>
      <c r="CS19" s="1638">
        <v>0.33</v>
      </c>
      <c r="CT19" s="1638">
        <v>0.33</v>
      </c>
      <c r="CU19" s="1638">
        <v>0.33</v>
      </c>
      <c r="CV19" s="1636">
        <f t="shared" si="15"/>
        <v>0</v>
      </c>
      <c r="CX19" s="1625">
        <v>1.3</v>
      </c>
      <c r="CY19" s="1628" t="s">
        <v>180</v>
      </c>
      <c r="CZ19" s="1643" t="s">
        <v>1735</v>
      </c>
      <c r="DA19" s="1637">
        <v>0</v>
      </c>
      <c r="DB19" s="1638"/>
      <c r="DC19" s="1638"/>
      <c r="DD19" s="1638"/>
      <c r="DE19" s="1638"/>
      <c r="DF19" s="1638"/>
      <c r="DG19" s="1638"/>
      <c r="DH19" s="1638"/>
      <c r="DI19" s="1638"/>
      <c r="DJ19" s="1638"/>
      <c r="DK19" s="1638"/>
      <c r="DL19" s="1638"/>
      <c r="DM19" s="1638"/>
    </row>
    <row r="20" spans="2:117">
      <c r="B20" s="1584">
        <f t="shared" si="0"/>
        <v>2</v>
      </c>
      <c r="C20" s="1600" t="str">
        <f t="shared" si="1"/>
        <v>Thermal Comfort</v>
      </c>
      <c r="D20" s="1601">
        <f>IF(I$9=0,0,G20/I$9)</f>
        <v>0.35</v>
      </c>
      <c r="E20" s="1602">
        <f>IF(J$9=0,0,H20/J$9)</f>
        <v>0</v>
      </c>
      <c r="G20" s="1602">
        <f t="shared" si="2"/>
        <v>0.35</v>
      </c>
      <c r="H20" s="1602">
        <f t="shared" si="3"/>
        <v>0</v>
      </c>
      <c r="I20" s="1602">
        <f>G21+G30+G31+G32</f>
        <v>0.8</v>
      </c>
      <c r="J20" s="1602">
        <f>H21+H30+H31+H32</f>
        <v>0</v>
      </c>
      <c r="K20" s="1602">
        <f>IF(L20&gt;0,1,IF(Score!Z20=0,0,1))</f>
        <v>1</v>
      </c>
      <c r="L20" s="1602">
        <f>IF(Score!AB20=0,0,1)</f>
        <v>0</v>
      </c>
      <c r="M20" s="1602">
        <f t="shared" si="4"/>
        <v>0.35</v>
      </c>
      <c r="N20" s="1602">
        <f t="shared" si="5"/>
        <v>0</v>
      </c>
      <c r="P20" s="1604">
        <f t="shared" si="6"/>
        <v>2</v>
      </c>
      <c r="Q20" s="1604" t="str">
        <f t="shared" si="7"/>
        <v xml:space="preserve"> Q1</v>
      </c>
      <c r="R20" s="1600" t="str">
        <f t="shared" si="8"/>
        <v>Thermal Comfort</v>
      </c>
      <c r="S20" s="1605">
        <f t="shared" si="16"/>
        <v>0.35</v>
      </c>
      <c r="T20" s="1605">
        <f t="shared" si="9"/>
        <v>0.35</v>
      </c>
      <c r="U20" s="1605">
        <f t="shared" si="9"/>
        <v>0.35</v>
      </c>
      <c r="V20" s="1605">
        <f t="shared" si="9"/>
        <v>0.35</v>
      </c>
      <c r="W20" s="1605">
        <f t="shared" si="9"/>
        <v>0.35</v>
      </c>
      <c r="X20" s="1605">
        <f t="shared" si="9"/>
        <v>0.35</v>
      </c>
      <c r="Y20" s="1605">
        <f t="shared" si="9"/>
        <v>0.35</v>
      </c>
      <c r="Z20" s="1651">
        <f t="shared" si="9"/>
        <v>0.35</v>
      </c>
      <c r="AA20" s="1605">
        <f t="shared" si="17"/>
        <v>0.35</v>
      </c>
      <c r="AB20" s="1605">
        <f t="shared" si="10"/>
        <v>0.35</v>
      </c>
      <c r="AC20" s="1607">
        <f t="shared" si="11"/>
        <v>0</v>
      </c>
      <c r="AD20" s="1605">
        <f t="shared" si="12"/>
        <v>0</v>
      </c>
      <c r="AE20" s="1605">
        <f t="shared" si="18"/>
        <v>0</v>
      </c>
      <c r="AG20" s="1604">
        <v>2</v>
      </c>
      <c r="AH20" s="1608" t="s">
        <v>179</v>
      </c>
      <c r="AI20" s="1600" t="s">
        <v>1736</v>
      </c>
      <c r="AJ20" s="1609">
        <v>0.35</v>
      </c>
      <c r="AK20" s="1609">
        <v>0.35</v>
      </c>
      <c r="AL20" s="1609">
        <v>0.35</v>
      </c>
      <c r="AM20" s="1609">
        <v>0.35</v>
      </c>
      <c r="AN20" s="1609">
        <v>0.35</v>
      </c>
      <c r="AO20" s="1609">
        <v>0.35</v>
      </c>
      <c r="AP20" s="1609">
        <v>0.35</v>
      </c>
      <c r="AQ20" s="1609">
        <v>0.44</v>
      </c>
      <c r="AR20" s="1609">
        <v>0.35</v>
      </c>
      <c r="AS20" s="1611">
        <v>0.35</v>
      </c>
      <c r="AT20" s="1612"/>
      <c r="AU20" s="1611"/>
      <c r="AV20" s="1611"/>
      <c r="AX20" s="1604">
        <v>2</v>
      </c>
      <c r="AY20" s="1608" t="s">
        <v>179</v>
      </c>
      <c r="AZ20" s="1600" t="s">
        <v>1736</v>
      </c>
      <c r="BA20" s="1611">
        <v>0.35</v>
      </c>
      <c r="BB20" s="1611">
        <v>0.35</v>
      </c>
      <c r="BC20" s="1611">
        <v>0.35</v>
      </c>
      <c r="BD20" s="1611">
        <v>0.35</v>
      </c>
      <c r="BE20" s="1611">
        <v>0.35</v>
      </c>
      <c r="BF20" s="1611">
        <v>0.35</v>
      </c>
      <c r="BG20" s="1611">
        <v>0.35</v>
      </c>
      <c r="BH20" s="1652">
        <v>0.44</v>
      </c>
      <c r="BI20" s="1611">
        <v>0.35</v>
      </c>
      <c r="BJ20" s="1611">
        <v>0.35</v>
      </c>
      <c r="BK20" s="1612"/>
      <c r="BL20" s="1611"/>
      <c r="BM20" s="1611"/>
      <c r="BO20" s="1604">
        <v>2</v>
      </c>
      <c r="BP20" s="1608" t="s">
        <v>179</v>
      </c>
      <c r="BQ20" s="1600" t="s">
        <v>3334</v>
      </c>
      <c r="BR20" s="1611">
        <v>0.35</v>
      </c>
      <c r="BS20" s="1611">
        <v>0.35</v>
      </c>
      <c r="BT20" s="1611">
        <v>0.35</v>
      </c>
      <c r="BU20" s="1611">
        <v>0.35</v>
      </c>
      <c r="BV20" s="1611">
        <v>0.35</v>
      </c>
      <c r="BW20" s="1611">
        <v>0.35</v>
      </c>
      <c r="BX20" s="1611">
        <v>0.35</v>
      </c>
      <c r="BY20" s="1653">
        <v>0.35</v>
      </c>
      <c r="BZ20" s="1611">
        <v>0.35</v>
      </c>
      <c r="CA20" s="1611">
        <v>0.35</v>
      </c>
      <c r="CB20" s="1612"/>
      <c r="CC20" s="1611"/>
      <c r="CD20" s="1611"/>
      <c r="CE20" s="1615"/>
      <c r="CG20" s="1604">
        <v>2</v>
      </c>
      <c r="CH20" s="1608" t="s">
        <v>179</v>
      </c>
      <c r="CI20" s="1600" t="s">
        <v>1736</v>
      </c>
      <c r="CJ20" s="1616">
        <f t="shared" si="19"/>
        <v>0.35</v>
      </c>
      <c r="CK20" s="1616">
        <f t="shared" si="20"/>
        <v>0.35</v>
      </c>
      <c r="CL20" s="1616">
        <f t="shared" si="21"/>
        <v>0.35</v>
      </c>
      <c r="CM20" s="1616">
        <f t="shared" si="22"/>
        <v>0.35</v>
      </c>
      <c r="CN20" s="1616">
        <f t="shared" si="23"/>
        <v>0.35</v>
      </c>
      <c r="CO20" s="1616">
        <f t="shared" si="24"/>
        <v>0.35</v>
      </c>
      <c r="CP20" s="1616">
        <f t="shared" si="25"/>
        <v>0.35</v>
      </c>
      <c r="CQ20" s="1654">
        <f t="shared" si="26"/>
        <v>0.35</v>
      </c>
      <c r="CR20" s="1616">
        <f t="shared" si="27"/>
        <v>0.35</v>
      </c>
      <c r="CS20" s="1616">
        <f t="shared" si="28"/>
        <v>0.35</v>
      </c>
      <c r="CT20" s="1618">
        <f t="shared" si="13"/>
        <v>0</v>
      </c>
      <c r="CU20" s="1616">
        <f t="shared" si="14"/>
        <v>0</v>
      </c>
      <c r="CV20" s="1616">
        <f t="shared" si="15"/>
        <v>0</v>
      </c>
      <c r="CX20" s="1604">
        <v>2</v>
      </c>
      <c r="CY20" s="1608" t="s">
        <v>179</v>
      </c>
      <c r="CZ20" s="1600" t="s">
        <v>1736</v>
      </c>
      <c r="DA20" s="1619">
        <f t="shared" si="29"/>
        <v>0.35</v>
      </c>
      <c r="DB20" s="1619"/>
      <c r="DC20" s="1619"/>
      <c r="DD20" s="1619"/>
      <c r="DE20" s="1619"/>
      <c r="DF20" s="1619"/>
      <c r="DG20" s="1619"/>
      <c r="DH20" s="1655"/>
      <c r="DI20" s="1619"/>
      <c r="DJ20" s="1619"/>
      <c r="DK20" s="1621"/>
      <c r="DL20" s="1619"/>
      <c r="DM20" s="1619"/>
    </row>
    <row r="21" spans="2:117">
      <c r="B21" s="1584">
        <f t="shared" si="0"/>
        <v>2.1</v>
      </c>
      <c r="C21" s="1622" t="str">
        <f t="shared" si="1"/>
        <v>Room Temperature Control</v>
      </c>
      <c r="D21" s="1623">
        <f>IF(I$20=0,0,G21/I$20)</f>
        <v>0.625</v>
      </c>
      <c r="E21" s="1624">
        <f>IF(J$20=0,0,H21/J$20)</f>
        <v>0</v>
      </c>
      <c r="G21" s="1624">
        <f t="shared" si="2"/>
        <v>0.5</v>
      </c>
      <c r="H21" s="1624">
        <f t="shared" si="3"/>
        <v>0</v>
      </c>
      <c r="I21" s="1624">
        <f>SUM(G22:G29)</f>
        <v>1</v>
      </c>
      <c r="J21" s="1624">
        <f>SUM(H22:H29)</f>
        <v>0</v>
      </c>
      <c r="K21" s="1624">
        <f>IF(Score!Z21=0,0,1)</f>
        <v>1</v>
      </c>
      <c r="L21" s="1624">
        <f>IF(Score!AB21=0,0,1)</f>
        <v>0</v>
      </c>
      <c r="M21" s="1624">
        <f t="shared" si="4"/>
        <v>0.5</v>
      </c>
      <c r="N21" s="1624">
        <f t="shared" si="5"/>
        <v>0</v>
      </c>
      <c r="P21" s="1625">
        <f t="shared" si="6"/>
        <v>2.1</v>
      </c>
      <c r="Q21" s="1625" t="str">
        <f t="shared" si="7"/>
        <v xml:space="preserve"> Q1 2</v>
      </c>
      <c r="R21" s="1622" t="str">
        <f t="shared" si="8"/>
        <v>Room Temperature Control</v>
      </c>
      <c r="S21" s="1626">
        <f t="shared" si="16"/>
        <v>0.5</v>
      </c>
      <c r="T21" s="1626">
        <f t="shared" si="9"/>
        <v>0.5</v>
      </c>
      <c r="U21" s="1626">
        <f t="shared" si="9"/>
        <v>0.5</v>
      </c>
      <c r="V21" s="1626">
        <f t="shared" si="9"/>
        <v>0.5</v>
      </c>
      <c r="W21" s="1626">
        <f t="shared" si="9"/>
        <v>0.5</v>
      </c>
      <c r="X21" s="1626">
        <f t="shared" si="9"/>
        <v>0.5</v>
      </c>
      <c r="Y21" s="1626">
        <f t="shared" si="9"/>
        <v>0.5</v>
      </c>
      <c r="Z21" s="1656">
        <f t="shared" si="9"/>
        <v>0.5</v>
      </c>
      <c r="AA21" s="1626">
        <f t="shared" si="17"/>
        <v>0.5</v>
      </c>
      <c r="AB21" s="1626">
        <f t="shared" si="10"/>
        <v>0.5</v>
      </c>
      <c r="AC21" s="1627">
        <f t="shared" si="11"/>
        <v>0.5</v>
      </c>
      <c r="AD21" s="1626">
        <f t="shared" si="12"/>
        <v>0.5</v>
      </c>
      <c r="AE21" s="1626">
        <f t="shared" si="18"/>
        <v>0.5</v>
      </c>
      <c r="AG21" s="1625">
        <v>2.1</v>
      </c>
      <c r="AH21" s="1628" t="s">
        <v>187</v>
      </c>
      <c r="AI21" s="1622" t="s">
        <v>1737</v>
      </c>
      <c r="AJ21" s="1630">
        <v>0.5</v>
      </c>
      <c r="AK21" s="1630">
        <v>0.5</v>
      </c>
      <c r="AL21" s="1630">
        <v>0.5</v>
      </c>
      <c r="AM21" s="1630">
        <v>0.5</v>
      </c>
      <c r="AN21" s="1630">
        <v>0.5</v>
      </c>
      <c r="AO21" s="1630">
        <v>0.5</v>
      </c>
      <c r="AP21" s="1630">
        <v>0.5</v>
      </c>
      <c r="AQ21" s="1630">
        <v>0.5</v>
      </c>
      <c r="AR21" s="1630">
        <v>0.5</v>
      </c>
      <c r="AS21" s="1631">
        <v>0.5</v>
      </c>
      <c r="AT21" s="1632">
        <v>1</v>
      </c>
      <c r="AU21" s="1631">
        <v>1</v>
      </c>
      <c r="AV21" s="1631">
        <v>1</v>
      </c>
      <c r="AX21" s="1625">
        <v>2.1</v>
      </c>
      <c r="AY21" s="1628" t="s">
        <v>187</v>
      </c>
      <c r="AZ21" s="1622" t="s">
        <v>1737</v>
      </c>
      <c r="BA21" s="1631">
        <v>0.5</v>
      </c>
      <c r="BB21" s="1631">
        <v>0.5</v>
      </c>
      <c r="BC21" s="1631">
        <v>0.5</v>
      </c>
      <c r="BD21" s="1631">
        <v>0.5</v>
      </c>
      <c r="BE21" s="1631">
        <v>0.5</v>
      </c>
      <c r="BF21" s="1631">
        <v>0.5</v>
      </c>
      <c r="BG21" s="1631">
        <v>0.5</v>
      </c>
      <c r="BH21" s="1633">
        <v>0.5</v>
      </c>
      <c r="BI21" s="1631">
        <v>0.5</v>
      </c>
      <c r="BJ21" s="1631">
        <v>0.5</v>
      </c>
      <c r="BK21" s="1632">
        <v>0.5</v>
      </c>
      <c r="BL21" s="1631">
        <v>0.5</v>
      </c>
      <c r="BM21" s="1631">
        <v>0.5</v>
      </c>
      <c r="BO21" s="1625">
        <v>2.1</v>
      </c>
      <c r="BP21" s="1628" t="s">
        <v>187</v>
      </c>
      <c r="BQ21" s="1622" t="s">
        <v>1554</v>
      </c>
      <c r="BR21" s="1631">
        <v>0.5</v>
      </c>
      <c r="BS21" s="1631">
        <v>0.5</v>
      </c>
      <c r="BT21" s="1631">
        <v>0.5</v>
      </c>
      <c r="BU21" s="1631">
        <v>0.5</v>
      </c>
      <c r="BV21" s="1631">
        <v>0.5</v>
      </c>
      <c r="BW21" s="1631">
        <v>0.5</v>
      </c>
      <c r="BX21" s="1631">
        <v>0.5</v>
      </c>
      <c r="BY21" s="1657">
        <v>0.5</v>
      </c>
      <c r="BZ21" s="1631">
        <v>0.5</v>
      </c>
      <c r="CA21" s="1631">
        <v>0.5</v>
      </c>
      <c r="CB21" s="1632">
        <v>0.5</v>
      </c>
      <c r="CC21" s="1631">
        <v>0.5</v>
      </c>
      <c r="CD21" s="1631">
        <v>0.5</v>
      </c>
      <c r="CE21" s="1635"/>
      <c r="CG21" s="1625">
        <v>2.1</v>
      </c>
      <c r="CH21" s="1628" t="s">
        <v>187</v>
      </c>
      <c r="CI21" s="1622" t="s">
        <v>1737</v>
      </c>
      <c r="CJ21" s="1636">
        <f t="shared" si="19"/>
        <v>0.5</v>
      </c>
      <c r="CK21" s="1636">
        <f t="shared" si="20"/>
        <v>0.5</v>
      </c>
      <c r="CL21" s="1636">
        <f t="shared" si="21"/>
        <v>0.5</v>
      </c>
      <c r="CM21" s="1636">
        <f t="shared" si="22"/>
        <v>0.5</v>
      </c>
      <c r="CN21" s="1636">
        <f t="shared" si="23"/>
        <v>0.5</v>
      </c>
      <c r="CO21" s="1636">
        <f t="shared" si="24"/>
        <v>0.5</v>
      </c>
      <c r="CP21" s="1636">
        <f t="shared" si="25"/>
        <v>0.5</v>
      </c>
      <c r="CQ21" s="1658">
        <f t="shared" si="26"/>
        <v>0.5</v>
      </c>
      <c r="CR21" s="1636">
        <f t="shared" si="27"/>
        <v>0.5</v>
      </c>
      <c r="CS21" s="1636">
        <f t="shared" si="28"/>
        <v>0.5</v>
      </c>
      <c r="CT21" s="1640">
        <f t="shared" si="13"/>
        <v>0.5</v>
      </c>
      <c r="CU21" s="1636">
        <f t="shared" si="14"/>
        <v>0.5</v>
      </c>
      <c r="CV21" s="1636">
        <f t="shared" si="15"/>
        <v>0.5</v>
      </c>
      <c r="CX21" s="1625">
        <v>2.1</v>
      </c>
      <c r="CY21" s="1628" t="s">
        <v>187</v>
      </c>
      <c r="CZ21" s="1622" t="s">
        <v>1737</v>
      </c>
      <c r="DA21" s="1638">
        <f t="shared" si="29"/>
        <v>0.5</v>
      </c>
      <c r="DB21" s="1638"/>
      <c r="DC21" s="1638"/>
      <c r="DD21" s="1638"/>
      <c r="DE21" s="1638"/>
      <c r="DF21" s="1638"/>
      <c r="DG21" s="1638"/>
      <c r="DH21" s="1659"/>
      <c r="DI21" s="1638"/>
      <c r="DJ21" s="1638"/>
      <c r="DK21" s="1642"/>
      <c r="DL21" s="1638"/>
      <c r="DM21" s="1638"/>
    </row>
    <row r="22" spans="2:117">
      <c r="B22" s="1584" t="str">
        <f t="shared" si="0"/>
        <v>2.1.1</v>
      </c>
      <c r="C22" s="1622" t="str">
        <f t="shared" si="1"/>
        <v>Room Temperature</v>
      </c>
      <c r="D22" s="1603">
        <f>IF(I$21&gt;0,G22/I$21,0)</f>
        <v>0.37499999999999994</v>
      </c>
      <c r="E22" s="1624">
        <f t="shared" ref="D22:E29" si="31">IF(J$21&gt;0,H22/J$21,0)</f>
        <v>0</v>
      </c>
      <c r="G22" s="1624">
        <f t="shared" si="2"/>
        <v>0.37499999999999994</v>
      </c>
      <c r="H22" s="1624">
        <f t="shared" si="3"/>
        <v>0</v>
      </c>
      <c r="I22" s="1624"/>
      <c r="J22" s="1624"/>
      <c r="K22" s="1624">
        <f>IF(Score!W22=0,0,1)</f>
        <v>1</v>
      </c>
      <c r="L22" s="1624">
        <f>IF(Score!X22=0,0,1)</f>
        <v>1</v>
      </c>
      <c r="M22" s="1624">
        <f t="shared" si="4"/>
        <v>0.37499999999999994</v>
      </c>
      <c r="N22" s="1624">
        <f t="shared" si="5"/>
        <v>0</v>
      </c>
      <c r="P22" s="1625" t="str">
        <f t="shared" si="6"/>
        <v>2.1.1</v>
      </c>
      <c r="Q22" s="1625" t="str">
        <f t="shared" si="7"/>
        <v xml:space="preserve"> Q1 2.1</v>
      </c>
      <c r="R22" s="1622" t="str">
        <f t="shared" si="8"/>
        <v>Room Temperature</v>
      </c>
      <c r="S22" s="1626">
        <f t="shared" si="16"/>
        <v>0.37499999999999994</v>
      </c>
      <c r="T22" s="1626">
        <f t="shared" si="9"/>
        <v>0.6</v>
      </c>
      <c r="U22" s="1626">
        <f t="shared" si="9"/>
        <v>0.49999999999999989</v>
      </c>
      <c r="V22" s="1626">
        <f t="shared" si="9"/>
        <v>0.49999999999999989</v>
      </c>
      <c r="W22" s="1626">
        <f t="shared" si="9"/>
        <v>0.37499999999999994</v>
      </c>
      <c r="X22" s="1626">
        <f t="shared" si="9"/>
        <v>0.37499999999999994</v>
      </c>
      <c r="Y22" s="1626">
        <f t="shared" si="9"/>
        <v>0.625</v>
      </c>
      <c r="Z22" s="1656">
        <f t="shared" si="9"/>
        <v>0.37499999999999994</v>
      </c>
      <c r="AA22" s="1626">
        <f t="shared" si="17"/>
        <v>0.37499999999999994</v>
      </c>
      <c r="AB22" s="1626">
        <f t="shared" si="10"/>
        <v>0.6</v>
      </c>
      <c r="AC22" s="1627">
        <f t="shared" si="11"/>
        <v>0.57142857142857151</v>
      </c>
      <c r="AD22" s="1626">
        <f t="shared" si="12"/>
        <v>0.57142857142857151</v>
      </c>
      <c r="AE22" s="1626">
        <f t="shared" si="18"/>
        <v>0.625</v>
      </c>
      <c r="AG22" s="1625" t="s">
        <v>58</v>
      </c>
      <c r="AH22" s="1628" t="s">
        <v>84</v>
      </c>
      <c r="AI22" s="1622" t="s">
        <v>1738</v>
      </c>
      <c r="AJ22" s="1630">
        <v>0.3</v>
      </c>
      <c r="AK22" s="1630">
        <v>0.3</v>
      </c>
      <c r="AL22" s="1630">
        <v>0.3</v>
      </c>
      <c r="AM22" s="1630">
        <v>0.3</v>
      </c>
      <c r="AN22" s="1630">
        <v>0.3</v>
      </c>
      <c r="AO22" s="1630">
        <v>0.3</v>
      </c>
      <c r="AP22" s="1630">
        <v>0.5</v>
      </c>
      <c r="AQ22" s="1660">
        <v>0.3</v>
      </c>
      <c r="AR22" s="1630">
        <v>0.3</v>
      </c>
      <c r="AS22" s="1631">
        <v>0.3</v>
      </c>
      <c r="AT22" s="1632"/>
      <c r="AU22" s="1631"/>
      <c r="AV22" s="1631"/>
      <c r="AX22" s="1625" t="s">
        <v>58</v>
      </c>
      <c r="AY22" s="1628" t="s">
        <v>84</v>
      </c>
      <c r="AZ22" s="1622" t="s">
        <v>1739</v>
      </c>
      <c r="BA22" s="1631">
        <v>0.3</v>
      </c>
      <c r="BB22" s="1631">
        <v>0.6</v>
      </c>
      <c r="BC22" s="1631">
        <v>0.3</v>
      </c>
      <c r="BD22" s="1631">
        <v>0.3</v>
      </c>
      <c r="BE22" s="1631">
        <v>0.3</v>
      </c>
      <c r="BF22" s="1631">
        <v>0.3</v>
      </c>
      <c r="BG22" s="1631">
        <v>0.6</v>
      </c>
      <c r="BH22" s="1633">
        <v>0.3</v>
      </c>
      <c r="BI22" s="1631">
        <v>0.3</v>
      </c>
      <c r="BJ22" s="1631">
        <v>0.6</v>
      </c>
      <c r="BK22" s="1632">
        <v>0.6</v>
      </c>
      <c r="BL22" s="1631">
        <v>0.6</v>
      </c>
      <c r="BM22" s="1631">
        <v>0.6</v>
      </c>
      <c r="BO22" s="1625" t="s">
        <v>58</v>
      </c>
      <c r="BP22" s="1628" t="s">
        <v>84</v>
      </c>
      <c r="BQ22" s="1818" t="s">
        <v>3372</v>
      </c>
      <c r="BR22" s="1661">
        <f>0.3/(0.3+0.2+0.3)</f>
        <v>0.37499999999999994</v>
      </c>
      <c r="BS22" s="1661">
        <f>0.3/(0.3+0.2)</f>
        <v>0.6</v>
      </c>
      <c r="BT22" s="1661">
        <f>0.3/(0.3+0.1+0.2)</f>
        <v>0.49999999999999989</v>
      </c>
      <c r="BU22" s="1661">
        <f>0.3/(0.3+0.1+0.2)</f>
        <v>0.49999999999999989</v>
      </c>
      <c r="BV22" s="1661">
        <f>0.3/(0.3+0.2+0.3)</f>
        <v>0.37499999999999994</v>
      </c>
      <c r="BW22" s="1661">
        <f>0.3/(0.3+0.2+0.3)</f>
        <v>0.37499999999999994</v>
      </c>
      <c r="BX22" s="1661">
        <f>0.5/(0.5+0.3)</f>
        <v>0.625</v>
      </c>
      <c r="BY22" s="1661">
        <f>0.3/(0.3+0.2+0.3)</f>
        <v>0.37499999999999994</v>
      </c>
      <c r="BZ22" s="1661">
        <f>0.3/(0.3+0.2+0.3)</f>
        <v>0.37499999999999994</v>
      </c>
      <c r="CA22" s="1661">
        <f>0.3/(0.3+0.2)</f>
        <v>0.6</v>
      </c>
      <c r="CB22" s="1661">
        <f>0.4/(0.4+0.3)</f>
        <v>0.57142857142857151</v>
      </c>
      <c r="CC22" s="1661">
        <f>0.4/(0.4+0.3)</f>
        <v>0.57142857142857151</v>
      </c>
      <c r="CD22" s="1661">
        <f>0.5/(0.5+0.3)</f>
        <v>0.625</v>
      </c>
      <c r="CE22" s="1635"/>
      <c r="CG22" s="1625" t="s">
        <v>58</v>
      </c>
      <c r="CH22" s="1628" t="s">
        <v>84</v>
      </c>
      <c r="CI22" s="1622" t="s">
        <v>1739</v>
      </c>
      <c r="CJ22" s="1636">
        <f t="shared" si="19"/>
        <v>0.37499999999999994</v>
      </c>
      <c r="CK22" s="1636">
        <f t="shared" si="20"/>
        <v>0.6</v>
      </c>
      <c r="CL22" s="1636">
        <f t="shared" si="21"/>
        <v>0.49999999999999989</v>
      </c>
      <c r="CM22" s="1636">
        <f t="shared" si="22"/>
        <v>0.49999999999999989</v>
      </c>
      <c r="CN22" s="1636">
        <f t="shared" si="23"/>
        <v>0.37499999999999994</v>
      </c>
      <c r="CO22" s="1636">
        <f t="shared" si="24"/>
        <v>0.37499999999999994</v>
      </c>
      <c r="CP22" s="1636">
        <f t="shared" si="25"/>
        <v>0.625</v>
      </c>
      <c r="CQ22" s="1658">
        <f t="shared" si="26"/>
        <v>0.37499999999999994</v>
      </c>
      <c r="CR22" s="1636">
        <f t="shared" si="27"/>
        <v>0.37499999999999994</v>
      </c>
      <c r="CS22" s="1636">
        <f t="shared" si="28"/>
        <v>0.6</v>
      </c>
      <c r="CT22" s="1640">
        <f t="shared" si="13"/>
        <v>0.57142857142857151</v>
      </c>
      <c r="CU22" s="1636">
        <f t="shared" si="14"/>
        <v>0.57142857142857151</v>
      </c>
      <c r="CV22" s="1636">
        <f t="shared" si="15"/>
        <v>0.625</v>
      </c>
      <c r="CX22" s="1625" t="s">
        <v>58</v>
      </c>
      <c r="CY22" s="1628" t="s">
        <v>84</v>
      </c>
      <c r="CZ22" s="1622" t="s">
        <v>1739</v>
      </c>
      <c r="DA22" s="1638">
        <f t="shared" si="29"/>
        <v>0.37499999999999994</v>
      </c>
      <c r="DB22" s="1638"/>
      <c r="DC22" s="1638"/>
      <c r="DD22" s="1638"/>
      <c r="DE22" s="1638"/>
      <c r="DF22" s="1638"/>
      <c r="DG22" s="1638"/>
      <c r="DH22" s="1659"/>
      <c r="DI22" s="1638"/>
      <c r="DJ22" s="1638"/>
      <c r="DK22" s="1642"/>
      <c r="DL22" s="1638"/>
      <c r="DM22" s="1638"/>
    </row>
    <row r="23" spans="2:117" hidden="1">
      <c r="B23" s="1584" t="str">
        <f t="shared" si="0"/>
        <v>2.1.2</v>
      </c>
      <c r="C23" s="1622" t="str">
        <f t="shared" si="1"/>
        <v>Variable Loads and Following-up Control</v>
      </c>
      <c r="D23" s="1603">
        <f t="shared" si="31"/>
        <v>0</v>
      </c>
      <c r="E23" s="1624">
        <f t="shared" si="31"/>
        <v>0</v>
      </c>
      <c r="G23" s="1624">
        <f t="shared" si="2"/>
        <v>0</v>
      </c>
      <c r="H23" s="1624">
        <f t="shared" si="3"/>
        <v>0</v>
      </c>
      <c r="I23" s="1624"/>
      <c r="J23" s="1624"/>
      <c r="K23" s="1624">
        <f>IF(Score!W23=0,0,1)</f>
        <v>0</v>
      </c>
      <c r="L23" s="1624">
        <f>IF(Score!X23=0,0,1)</f>
        <v>0</v>
      </c>
      <c r="M23" s="1624">
        <f t="shared" si="4"/>
        <v>0</v>
      </c>
      <c r="N23" s="1624">
        <f t="shared" si="5"/>
        <v>0</v>
      </c>
      <c r="P23" s="1625" t="str">
        <f t="shared" si="6"/>
        <v>2.1.2</v>
      </c>
      <c r="Q23" s="1625" t="str">
        <f t="shared" si="7"/>
        <v xml:space="preserve"> Q1 2.1</v>
      </c>
      <c r="R23" s="1622" t="str">
        <f t="shared" si="8"/>
        <v>Variable Loads and Following-up Control</v>
      </c>
      <c r="S23" s="1662">
        <f t="shared" si="16"/>
        <v>0</v>
      </c>
      <c r="T23" s="1626">
        <f t="shared" si="9"/>
        <v>0</v>
      </c>
      <c r="U23" s="1626">
        <f t="shared" si="9"/>
        <v>0</v>
      </c>
      <c r="V23" s="1626">
        <f t="shared" si="9"/>
        <v>0</v>
      </c>
      <c r="W23" s="1626">
        <f t="shared" si="9"/>
        <v>0</v>
      </c>
      <c r="X23" s="1626">
        <f t="shared" si="9"/>
        <v>0</v>
      </c>
      <c r="Y23" s="1626">
        <f t="shared" si="9"/>
        <v>0</v>
      </c>
      <c r="Z23" s="1656">
        <f t="shared" si="9"/>
        <v>0</v>
      </c>
      <c r="AA23" s="1662">
        <f t="shared" si="17"/>
        <v>0</v>
      </c>
      <c r="AB23" s="1626">
        <f t="shared" si="10"/>
        <v>0</v>
      </c>
      <c r="AC23" s="1627">
        <f t="shared" si="11"/>
        <v>0</v>
      </c>
      <c r="AD23" s="1626">
        <f t="shared" si="12"/>
        <v>0</v>
      </c>
      <c r="AE23" s="1626">
        <f t="shared" si="18"/>
        <v>0</v>
      </c>
      <c r="AG23" s="1625" t="s">
        <v>86</v>
      </c>
      <c r="AH23" s="1628" t="s">
        <v>84</v>
      </c>
      <c r="AI23" s="1622" t="s">
        <v>1740</v>
      </c>
      <c r="AJ23" s="1646"/>
      <c r="AK23" s="1646">
        <v>0.2</v>
      </c>
      <c r="AL23" s="1646">
        <v>0.2</v>
      </c>
      <c r="AM23" s="1646">
        <v>0.2</v>
      </c>
      <c r="AN23" s="1646"/>
      <c r="AO23" s="1646"/>
      <c r="AP23" s="1646"/>
      <c r="AQ23" s="1663">
        <v>0.3</v>
      </c>
      <c r="AR23" s="1646"/>
      <c r="AS23" s="1631">
        <v>0.2</v>
      </c>
      <c r="AT23" s="1632"/>
      <c r="AU23" s="1631"/>
      <c r="AV23" s="1631"/>
      <c r="AX23" s="1625" t="s">
        <v>86</v>
      </c>
      <c r="AY23" s="1628" t="s">
        <v>84</v>
      </c>
      <c r="AZ23" s="1622" t="s">
        <v>1740</v>
      </c>
      <c r="BA23" s="1664"/>
      <c r="BB23" s="1631"/>
      <c r="BC23" s="1631"/>
      <c r="BD23" s="1631"/>
      <c r="BE23" s="1631"/>
      <c r="BF23" s="1631"/>
      <c r="BG23" s="1631"/>
      <c r="BH23" s="1633"/>
      <c r="BI23" s="1664"/>
      <c r="BJ23" s="1631"/>
      <c r="BK23" s="1632"/>
      <c r="BL23" s="1631"/>
      <c r="BM23" s="1631"/>
      <c r="BO23" s="1625" t="s">
        <v>86</v>
      </c>
      <c r="BP23" s="1628" t="s">
        <v>84</v>
      </c>
      <c r="BQ23" s="1622" t="s">
        <v>1555</v>
      </c>
      <c r="BR23" s="1664"/>
      <c r="BS23" s="1631"/>
      <c r="BT23" s="1631"/>
      <c r="BU23" s="1631"/>
      <c r="BV23" s="1664"/>
      <c r="BW23" s="1664"/>
      <c r="BX23" s="1631"/>
      <c r="BY23" s="1664"/>
      <c r="BZ23" s="1664"/>
      <c r="CA23" s="1631"/>
      <c r="CB23" s="1632"/>
      <c r="CC23" s="1632"/>
      <c r="CD23" s="1631"/>
      <c r="CE23" s="1635"/>
      <c r="CG23" s="1625" t="s">
        <v>86</v>
      </c>
      <c r="CH23" s="1628" t="s">
        <v>84</v>
      </c>
      <c r="CI23" s="1622"/>
      <c r="CJ23" s="1665">
        <f t="shared" si="19"/>
        <v>0</v>
      </c>
      <c r="CK23" s="1636">
        <f t="shared" si="20"/>
        <v>0</v>
      </c>
      <c r="CL23" s="1636">
        <f t="shared" si="21"/>
        <v>0</v>
      </c>
      <c r="CM23" s="1636">
        <f t="shared" si="22"/>
        <v>0</v>
      </c>
      <c r="CN23" s="1636">
        <f t="shared" si="23"/>
        <v>0</v>
      </c>
      <c r="CO23" s="1636">
        <f t="shared" si="24"/>
        <v>0</v>
      </c>
      <c r="CP23" s="1636">
        <f t="shared" si="25"/>
        <v>0</v>
      </c>
      <c r="CQ23" s="1658">
        <f t="shared" si="26"/>
        <v>0</v>
      </c>
      <c r="CR23" s="1665">
        <f t="shared" si="27"/>
        <v>0</v>
      </c>
      <c r="CS23" s="1636">
        <f t="shared" si="28"/>
        <v>0</v>
      </c>
      <c r="CT23" s="1640">
        <f t="shared" si="13"/>
        <v>0</v>
      </c>
      <c r="CU23" s="1636">
        <f t="shared" si="14"/>
        <v>0</v>
      </c>
      <c r="CV23" s="1636">
        <f t="shared" si="15"/>
        <v>0</v>
      </c>
      <c r="CX23" s="1625" t="s">
        <v>86</v>
      </c>
      <c r="CY23" s="1628" t="s">
        <v>84</v>
      </c>
      <c r="CZ23" s="1622"/>
      <c r="DA23" s="1638">
        <f t="shared" si="29"/>
        <v>0</v>
      </c>
      <c r="DB23" s="1638"/>
      <c r="DC23" s="1638"/>
      <c r="DD23" s="1638"/>
      <c r="DE23" s="1638"/>
      <c r="DF23" s="1638"/>
      <c r="DG23" s="1638"/>
      <c r="DH23" s="1659"/>
      <c r="DI23" s="1666"/>
      <c r="DJ23" s="1638"/>
      <c r="DK23" s="1642"/>
      <c r="DL23" s="1638"/>
      <c r="DM23" s="1638"/>
    </row>
    <row r="24" spans="2:117">
      <c r="B24" s="1584" t="str">
        <f t="shared" si="0"/>
        <v>2.1.2</v>
      </c>
      <c r="C24" s="1622" t="str">
        <f t="shared" si="1"/>
        <v>Perimeter Performance</v>
      </c>
      <c r="D24" s="1603">
        <f t="shared" si="31"/>
        <v>0.25</v>
      </c>
      <c r="E24" s="1624">
        <f t="shared" si="31"/>
        <v>0</v>
      </c>
      <c r="G24" s="1624">
        <f t="shared" si="2"/>
        <v>0.25</v>
      </c>
      <c r="H24" s="1624">
        <f t="shared" si="3"/>
        <v>0</v>
      </c>
      <c r="I24" s="1624"/>
      <c r="J24" s="1624"/>
      <c r="K24" s="1624">
        <f>IF(Score!W24=0,0,1)</f>
        <v>1</v>
      </c>
      <c r="L24" s="1624">
        <f>IF(Score!X24=0,0,1)</f>
        <v>1</v>
      </c>
      <c r="M24" s="1624">
        <f t="shared" si="4"/>
        <v>0.25</v>
      </c>
      <c r="N24" s="1624">
        <f t="shared" si="5"/>
        <v>0</v>
      </c>
      <c r="P24" s="1625" t="str">
        <f t="shared" si="6"/>
        <v>2.1.2</v>
      </c>
      <c r="Q24" s="1625" t="str">
        <f t="shared" si="7"/>
        <v xml:space="preserve"> Q1 2.1</v>
      </c>
      <c r="R24" s="1622" t="str">
        <f t="shared" si="8"/>
        <v>Perimeter Performance</v>
      </c>
      <c r="S24" s="1626">
        <f t="shared" si="16"/>
        <v>0.25</v>
      </c>
      <c r="T24" s="1626">
        <f t="shared" si="9"/>
        <v>0.4</v>
      </c>
      <c r="U24" s="1626">
        <f t="shared" si="9"/>
        <v>0.16666666666666666</v>
      </c>
      <c r="V24" s="1626">
        <f t="shared" si="9"/>
        <v>0.16666666666666666</v>
      </c>
      <c r="W24" s="1626">
        <f t="shared" si="9"/>
        <v>0.25</v>
      </c>
      <c r="X24" s="1626">
        <f t="shared" si="9"/>
        <v>0.25</v>
      </c>
      <c r="Y24" s="1626">
        <f t="shared" si="9"/>
        <v>0.37499999999999994</v>
      </c>
      <c r="Z24" s="1656">
        <f t="shared" si="9"/>
        <v>0.25</v>
      </c>
      <c r="AA24" s="1626">
        <f t="shared" si="17"/>
        <v>0.25</v>
      </c>
      <c r="AB24" s="1626">
        <f t="shared" si="10"/>
        <v>0.4</v>
      </c>
      <c r="AC24" s="1627">
        <f t="shared" si="11"/>
        <v>0.4285714285714286</v>
      </c>
      <c r="AD24" s="1626">
        <f t="shared" si="12"/>
        <v>0.4285714285714286</v>
      </c>
      <c r="AE24" s="1626">
        <f t="shared" si="18"/>
        <v>0.37499999999999994</v>
      </c>
      <c r="AG24" s="1625" t="s">
        <v>88</v>
      </c>
      <c r="AH24" s="1628" t="s">
        <v>84</v>
      </c>
      <c r="AI24" s="1622" t="s">
        <v>1741</v>
      </c>
      <c r="AJ24" s="1630">
        <v>0.2</v>
      </c>
      <c r="AK24" s="1630">
        <v>0.2</v>
      </c>
      <c r="AL24" s="1630">
        <v>0.1</v>
      </c>
      <c r="AM24" s="1630">
        <v>0.1</v>
      </c>
      <c r="AN24" s="1630">
        <v>0.2</v>
      </c>
      <c r="AO24" s="1630">
        <v>0.2</v>
      </c>
      <c r="AP24" s="1630">
        <v>0.3</v>
      </c>
      <c r="AQ24" s="1660">
        <v>0.1</v>
      </c>
      <c r="AR24" s="1630">
        <v>0.2</v>
      </c>
      <c r="AS24" s="1631">
        <v>0.2</v>
      </c>
      <c r="AT24" s="1632">
        <v>0.5</v>
      </c>
      <c r="AU24" s="1631">
        <v>0.5</v>
      </c>
      <c r="AV24" s="1631">
        <v>0.6</v>
      </c>
      <c r="AX24" s="1625" t="s">
        <v>88</v>
      </c>
      <c r="AY24" s="1628" t="s">
        <v>84</v>
      </c>
      <c r="AZ24" s="1622" t="s">
        <v>1741</v>
      </c>
      <c r="BA24" s="1631">
        <v>0.2</v>
      </c>
      <c r="BB24" s="1631">
        <v>0.4</v>
      </c>
      <c r="BC24" s="1631">
        <v>0.2</v>
      </c>
      <c r="BD24" s="1631">
        <v>0.2</v>
      </c>
      <c r="BE24" s="1631">
        <v>0.2</v>
      </c>
      <c r="BF24" s="1631">
        <v>0.2</v>
      </c>
      <c r="BG24" s="1631">
        <v>0.4</v>
      </c>
      <c r="BH24" s="1633">
        <v>0.2</v>
      </c>
      <c r="BI24" s="1631">
        <v>0.2</v>
      </c>
      <c r="BJ24" s="1631">
        <v>0.4</v>
      </c>
      <c r="BK24" s="1632">
        <v>0.4</v>
      </c>
      <c r="BL24" s="1631">
        <v>0.4</v>
      </c>
      <c r="BM24" s="1631">
        <v>0.4</v>
      </c>
      <c r="BO24" s="1625" t="s">
        <v>664</v>
      </c>
      <c r="BP24" s="1628" t="s">
        <v>84</v>
      </c>
      <c r="BQ24" s="1622" t="s">
        <v>1556</v>
      </c>
      <c r="BR24" s="1661">
        <f>0.2/(0.3+0.2+0.3)</f>
        <v>0.25</v>
      </c>
      <c r="BS24" s="1661">
        <f>0.2/(0.3+0.2)</f>
        <v>0.4</v>
      </c>
      <c r="BT24" s="1661">
        <f>0.1/(0.3+0.1+0.2)</f>
        <v>0.16666666666666666</v>
      </c>
      <c r="BU24" s="1661">
        <f>0.1/(0.3+0.1+0.2)</f>
        <v>0.16666666666666666</v>
      </c>
      <c r="BV24" s="1661">
        <f>0.2/(0.3+0.2+0.3)</f>
        <v>0.25</v>
      </c>
      <c r="BW24" s="1661">
        <f>0.2/(0.3+0.2+0.3)</f>
        <v>0.25</v>
      </c>
      <c r="BX24" s="1661">
        <f>0.3/(0.5+0.3)</f>
        <v>0.37499999999999994</v>
      </c>
      <c r="BY24" s="1661">
        <f>0.2/(0.3+0.2+0.3)</f>
        <v>0.25</v>
      </c>
      <c r="BZ24" s="1661">
        <f>0.2/(0.3+0.2+0.3)</f>
        <v>0.25</v>
      </c>
      <c r="CA24" s="1661">
        <f>0.2/(0.3+0.2)</f>
        <v>0.4</v>
      </c>
      <c r="CB24" s="1661">
        <f>0.3/(0.4+0.3)</f>
        <v>0.4285714285714286</v>
      </c>
      <c r="CC24" s="1661">
        <f>0.3/(0.4+0.3)</f>
        <v>0.4285714285714286</v>
      </c>
      <c r="CD24" s="1661">
        <f>0.3/(0.5+0.3)</f>
        <v>0.37499999999999994</v>
      </c>
      <c r="CE24" s="1635"/>
      <c r="CG24" s="1625" t="s">
        <v>88</v>
      </c>
      <c r="CH24" s="1628" t="s">
        <v>84</v>
      </c>
      <c r="CI24" s="1622" t="s">
        <v>1741</v>
      </c>
      <c r="CJ24" s="1636">
        <f t="shared" si="19"/>
        <v>0.25</v>
      </c>
      <c r="CK24" s="1636">
        <f t="shared" si="20"/>
        <v>0.4</v>
      </c>
      <c r="CL24" s="1636">
        <f t="shared" si="21"/>
        <v>0.16666666666666666</v>
      </c>
      <c r="CM24" s="1636">
        <f t="shared" si="22"/>
        <v>0.16666666666666666</v>
      </c>
      <c r="CN24" s="1636">
        <f t="shared" si="23"/>
        <v>0.25</v>
      </c>
      <c r="CO24" s="1636">
        <f t="shared" si="24"/>
        <v>0.25</v>
      </c>
      <c r="CP24" s="1636">
        <f t="shared" si="25"/>
        <v>0.37499999999999994</v>
      </c>
      <c r="CQ24" s="1658">
        <f t="shared" si="26"/>
        <v>0.25</v>
      </c>
      <c r="CR24" s="1636">
        <f t="shared" si="27"/>
        <v>0.25</v>
      </c>
      <c r="CS24" s="1636">
        <f t="shared" si="28"/>
        <v>0.4</v>
      </c>
      <c r="CT24" s="1640">
        <f t="shared" si="13"/>
        <v>0.4285714285714286</v>
      </c>
      <c r="CU24" s="1636">
        <f t="shared" si="14"/>
        <v>0.4285714285714286</v>
      </c>
      <c r="CV24" s="1636">
        <f t="shared" si="15"/>
        <v>0.37499999999999994</v>
      </c>
      <c r="CX24" s="1625" t="s">
        <v>88</v>
      </c>
      <c r="CY24" s="1628" t="s">
        <v>84</v>
      </c>
      <c r="CZ24" s="1622" t="s">
        <v>1741</v>
      </c>
      <c r="DA24" s="1638">
        <f t="shared" si="29"/>
        <v>0.25</v>
      </c>
      <c r="DB24" s="1638"/>
      <c r="DC24" s="1638"/>
      <c r="DD24" s="1638"/>
      <c r="DE24" s="1638"/>
      <c r="DF24" s="1638"/>
      <c r="DG24" s="1638"/>
      <c r="DH24" s="1659"/>
      <c r="DI24" s="1638"/>
      <c r="DJ24" s="1638"/>
      <c r="DK24" s="1642"/>
      <c r="DL24" s="1638"/>
      <c r="DM24" s="1638"/>
    </row>
    <row r="25" spans="2:117">
      <c r="B25" s="1584" t="str">
        <f t="shared" si="0"/>
        <v>2.1.3</v>
      </c>
      <c r="C25" s="1622" t="str">
        <f t="shared" si="1"/>
        <v>Zoned Control</v>
      </c>
      <c r="D25" s="1603">
        <f t="shared" si="31"/>
        <v>0.37499999999999994</v>
      </c>
      <c r="E25" s="1624">
        <f t="shared" si="31"/>
        <v>0</v>
      </c>
      <c r="G25" s="1624">
        <f t="shared" si="2"/>
        <v>0.37499999999999994</v>
      </c>
      <c r="H25" s="1624">
        <f t="shared" si="3"/>
        <v>0</v>
      </c>
      <c r="I25" s="1624"/>
      <c r="J25" s="1624"/>
      <c r="K25" s="1624">
        <f>IF(Score!W25=0,0,1)</f>
        <v>1</v>
      </c>
      <c r="L25" s="1624">
        <f>IF(Score!X25=0,0,1)</f>
        <v>0</v>
      </c>
      <c r="M25" s="1624">
        <f t="shared" si="4"/>
        <v>0.37499999999999994</v>
      </c>
      <c r="N25" s="1624">
        <f t="shared" si="5"/>
        <v>0</v>
      </c>
      <c r="P25" s="1625" t="str">
        <f t="shared" si="6"/>
        <v>2.1.3</v>
      </c>
      <c r="Q25" s="1625" t="str">
        <f t="shared" si="7"/>
        <v xml:space="preserve"> Q1 2.1</v>
      </c>
      <c r="R25" s="1622" t="str">
        <f t="shared" si="8"/>
        <v>Zoned Control</v>
      </c>
      <c r="S25" s="1626">
        <f t="shared" si="16"/>
        <v>0.37499999999999994</v>
      </c>
      <c r="T25" s="1626">
        <f t="shared" ref="T25:T63" si="32">IF($P$3=1,BB25,IF($P$3=2,BS25,IF($P$3=3,CK25,IF($P$3=4,DB25,AK25))))</f>
        <v>0</v>
      </c>
      <c r="U25" s="1626">
        <f t="shared" ref="U25:U63" si="33">IF($P$3=1,BC25,IF($P$3=2,BT25,IF($P$3=3,CL25,IF($P$3=4,DC25,AL25))))</f>
        <v>0.33333333333333331</v>
      </c>
      <c r="V25" s="1626">
        <f t="shared" ref="V25:V63" si="34">IF($P$3=1,BD25,IF($P$3=2,BU25,IF($P$3=3,CM25,IF($P$3=4,DD25,AM25))))</f>
        <v>0.33333333333333331</v>
      </c>
      <c r="W25" s="1626">
        <f t="shared" ref="W25:W63" si="35">IF($P$3=1,BE25,IF($P$3=2,BV25,IF($P$3=3,CN25,IF($P$3=4,DE25,AN25))))</f>
        <v>0.37499999999999994</v>
      </c>
      <c r="X25" s="1626">
        <f t="shared" ref="X25:X63" si="36">IF($P$3=1,BF25,IF($P$3=2,BW25,IF($P$3=3,CO25,IF($P$3=4,DF25,AO25))))</f>
        <v>0.37499999999999994</v>
      </c>
      <c r="Y25" s="1626">
        <f t="shared" ref="Y25:Y63" si="37">IF($P$3=1,BG25,IF($P$3=2,BX25,IF($P$3=3,CP25,IF($P$3=4,DG25,AP25))))</f>
        <v>0</v>
      </c>
      <c r="Z25" s="1656">
        <f t="shared" ref="Z25:Z63" si="38">IF($P$3=1,BH25,IF($P$3=2,BY25,IF($P$3=3,CQ25,IF($P$3=4,DH25,AQ25))))</f>
        <v>0.37499999999999994</v>
      </c>
      <c r="AA25" s="1626">
        <f t="shared" si="17"/>
        <v>0.37499999999999994</v>
      </c>
      <c r="AB25" s="1626">
        <f t="shared" si="10"/>
        <v>0</v>
      </c>
      <c r="AC25" s="1627">
        <f t="shared" si="11"/>
        <v>0</v>
      </c>
      <c r="AD25" s="1626">
        <f t="shared" si="12"/>
        <v>0</v>
      </c>
      <c r="AE25" s="1626">
        <f t="shared" si="18"/>
        <v>0</v>
      </c>
      <c r="AG25" s="1625" t="s">
        <v>572</v>
      </c>
      <c r="AH25" s="1628" t="s">
        <v>84</v>
      </c>
      <c r="AI25" s="1622" t="s">
        <v>1742</v>
      </c>
      <c r="AJ25" s="1630">
        <v>0.3</v>
      </c>
      <c r="AK25" s="1630"/>
      <c r="AL25" s="1630">
        <v>0.2</v>
      </c>
      <c r="AM25" s="1630">
        <v>0.2</v>
      </c>
      <c r="AN25" s="1630">
        <v>0.3</v>
      </c>
      <c r="AO25" s="1630">
        <v>0.3</v>
      </c>
      <c r="AP25" s="1630"/>
      <c r="AQ25" s="1660">
        <v>0.2</v>
      </c>
      <c r="AR25" s="1630">
        <v>0.3</v>
      </c>
      <c r="AS25" s="1631">
        <v>0</v>
      </c>
      <c r="AT25" s="1632"/>
      <c r="AU25" s="1631"/>
      <c r="AV25" s="1631"/>
      <c r="AX25" s="1625" t="s">
        <v>572</v>
      </c>
      <c r="AY25" s="1628" t="s">
        <v>84</v>
      </c>
      <c r="AZ25" s="1622" t="s">
        <v>1742</v>
      </c>
      <c r="BA25" s="1631">
        <v>0.5</v>
      </c>
      <c r="BB25" s="1631"/>
      <c r="BC25" s="1631">
        <v>0.5</v>
      </c>
      <c r="BD25" s="1631">
        <v>0.5</v>
      </c>
      <c r="BE25" s="1631">
        <v>0.5</v>
      </c>
      <c r="BF25" s="1631">
        <v>0.5</v>
      </c>
      <c r="BG25" s="1631"/>
      <c r="BH25" s="1633">
        <v>0.5</v>
      </c>
      <c r="BI25" s="1631">
        <v>0.5</v>
      </c>
      <c r="BJ25" s="1631"/>
      <c r="BK25" s="1632"/>
      <c r="BL25" s="1631"/>
      <c r="BM25" s="1631"/>
      <c r="BO25" s="1625" t="s">
        <v>3336</v>
      </c>
      <c r="BP25" s="1628" t="s">
        <v>84</v>
      </c>
      <c r="BQ25" s="1622" t="s">
        <v>1557</v>
      </c>
      <c r="BR25" s="1661">
        <f>0.3/(0.3+0.2+0.3)</f>
        <v>0.37499999999999994</v>
      </c>
      <c r="BS25" s="1631"/>
      <c r="BT25" s="1661">
        <f>0.2/(0.3+0.1+0.2)</f>
        <v>0.33333333333333331</v>
      </c>
      <c r="BU25" s="1661">
        <f>0.2/(0.3+0.1+0.2)</f>
        <v>0.33333333333333331</v>
      </c>
      <c r="BV25" s="1661">
        <f>0.3/(0.3+0.2+0.3)</f>
        <v>0.37499999999999994</v>
      </c>
      <c r="BW25" s="1661">
        <f>0.3/(0.3+0.2+0.3)</f>
        <v>0.37499999999999994</v>
      </c>
      <c r="BX25" s="1631"/>
      <c r="BY25" s="1661">
        <f>0.3/(0.3+0.2+0.3)</f>
        <v>0.37499999999999994</v>
      </c>
      <c r="BZ25" s="1661">
        <f>0.3/(0.3+0.2+0.3)</f>
        <v>0.37499999999999994</v>
      </c>
      <c r="CA25" s="1631"/>
      <c r="CB25" s="1632"/>
      <c r="CC25" s="1631"/>
      <c r="CD25" s="1631"/>
      <c r="CE25" s="1635"/>
      <c r="CG25" s="1625" t="s">
        <v>572</v>
      </c>
      <c r="CH25" s="1628" t="s">
        <v>84</v>
      </c>
      <c r="CI25" s="1622" t="s">
        <v>1742</v>
      </c>
      <c r="CJ25" s="1636">
        <f t="shared" si="19"/>
        <v>0.37499999999999994</v>
      </c>
      <c r="CK25" s="1636">
        <f t="shared" si="20"/>
        <v>0</v>
      </c>
      <c r="CL25" s="1636">
        <f t="shared" si="21"/>
        <v>0.33333333333333331</v>
      </c>
      <c r="CM25" s="1636">
        <f t="shared" si="22"/>
        <v>0.33333333333333331</v>
      </c>
      <c r="CN25" s="1636">
        <f t="shared" si="23"/>
        <v>0.37499999999999994</v>
      </c>
      <c r="CO25" s="1636">
        <f t="shared" si="24"/>
        <v>0.37499999999999994</v>
      </c>
      <c r="CP25" s="1636">
        <f t="shared" si="25"/>
        <v>0</v>
      </c>
      <c r="CQ25" s="1658">
        <f t="shared" si="26"/>
        <v>0.37499999999999994</v>
      </c>
      <c r="CR25" s="1636">
        <f t="shared" si="27"/>
        <v>0.37499999999999994</v>
      </c>
      <c r="CS25" s="1636">
        <f t="shared" si="28"/>
        <v>0</v>
      </c>
      <c r="CT25" s="1640">
        <f t="shared" si="13"/>
        <v>0</v>
      </c>
      <c r="CU25" s="1636">
        <f t="shared" si="14"/>
        <v>0</v>
      </c>
      <c r="CV25" s="1636">
        <f t="shared" si="15"/>
        <v>0</v>
      </c>
      <c r="CX25" s="1625" t="s">
        <v>572</v>
      </c>
      <c r="CY25" s="1628" t="s">
        <v>84</v>
      </c>
      <c r="CZ25" s="1622" t="s">
        <v>1742</v>
      </c>
      <c r="DA25" s="1638">
        <f t="shared" si="29"/>
        <v>0.37499999999999994</v>
      </c>
      <c r="DB25" s="1638"/>
      <c r="DC25" s="1638"/>
      <c r="DD25" s="1638"/>
      <c r="DE25" s="1638"/>
      <c r="DF25" s="1638"/>
      <c r="DG25" s="1638"/>
      <c r="DH25" s="1659"/>
      <c r="DI25" s="1638"/>
      <c r="DJ25" s="1638"/>
      <c r="DK25" s="1642"/>
      <c r="DL25" s="1638"/>
      <c r="DM25" s="1638"/>
    </row>
    <row r="26" spans="2:117" hidden="1">
      <c r="B26" s="1584" t="str">
        <f t="shared" si="0"/>
        <v>2.1.5</v>
      </c>
      <c r="C26" s="1622" t="str">
        <f t="shared" si="1"/>
        <v>Temperature and Humidity Control</v>
      </c>
      <c r="D26" s="1603">
        <f t="shared" si="31"/>
        <v>0</v>
      </c>
      <c r="E26" s="1624">
        <f t="shared" si="31"/>
        <v>0</v>
      </c>
      <c r="G26" s="1624">
        <f t="shared" si="2"/>
        <v>0</v>
      </c>
      <c r="H26" s="1624">
        <f t="shared" si="3"/>
        <v>0</v>
      </c>
      <c r="I26" s="1624"/>
      <c r="J26" s="1624"/>
      <c r="K26" s="1624">
        <f>IF(Score!W26=0,0,1)</f>
        <v>0</v>
      </c>
      <c r="L26" s="1624">
        <f>IF(Score!X26=0,0,1)</f>
        <v>0</v>
      </c>
      <c r="M26" s="1624">
        <f t="shared" si="4"/>
        <v>0</v>
      </c>
      <c r="N26" s="1624">
        <f t="shared" si="5"/>
        <v>0</v>
      </c>
      <c r="P26" s="1625" t="str">
        <f t="shared" si="6"/>
        <v>2.1.5</v>
      </c>
      <c r="Q26" s="1625" t="str">
        <f t="shared" si="7"/>
        <v xml:space="preserve"> Q1 2.1</v>
      </c>
      <c r="R26" s="1622" t="str">
        <f t="shared" si="8"/>
        <v>Temperature and Humidity Control</v>
      </c>
      <c r="S26" s="1626">
        <f t="shared" si="16"/>
        <v>0</v>
      </c>
      <c r="T26" s="1626">
        <f t="shared" si="32"/>
        <v>0</v>
      </c>
      <c r="U26" s="1626">
        <f t="shared" si="33"/>
        <v>0</v>
      </c>
      <c r="V26" s="1626">
        <f t="shared" si="34"/>
        <v>0</v>
      </c>
      <c r="W26" s="1626">
        <f t="shared" si="35"/>
        <v>0</v>
      </c>
      <c r="X26" s="1626">
        <f t="shared" si="36"/>
        <v>0</v>
      </c>
      <c r="Y26" s="1626">
        <f t="shared" si="37"/>
        <v>0</v>
      </c>
      <c r="Z26" s="1656">
        <f t="shared" si="38"/>
        <v>0</v>
      </c>
      <c r="AA26" s="1626">
        <f t="shared" si="17"/>
        <v>0</v>
      </c>
      <c r="AB26" s="1626">
        <f t="shared" si="10"/>
        <v>0</v>
      </c>
      <c r="AC26" s="1627">
        <f t="shared" si="11"/>
        <v>0</v>
      </c>
      <c r="AD26" s="1626">
        <f t="shared" si="12"/>
        <v>0</v>
      </c>
      <c r="AE26" s="1626">
        <f t="shared" si="18"/>
        <v>0</v>
      </c>
      <c r="AG26" s="1625" t="s">
        <v>574</v>
      </c>
      <c r="AH26" s="1628" t="s">
        <v>84</v>
      </c>
      <c r="AI26" s="1622" t="s">
        <v>1743</v>
      </c>
      <c r="AJ26" s="1646">
        <v>0.1</v>
      </c>
      <c r="AK26" s="1646">
        <v>0.1</v>
      </c>
      <c r="AL26" s="1646">
        <v>0.1</v>
      </c>
      <c r="AM26" s="1646">
        <v>0.1</v>
      </c>
      <c r="AN26" s="1646">
        <v>0.1</v>
      </c>
      <c r="AO26" s="1646">
        <v>0.1</v>
      </c>
      <c r="AP26" s="1646">
        <v>0.2</v>
      </c>
      <c r="AQ26" s="1663">
        <v>0.1</v>
      </c>
      <c r="AR26" s="1646">
        <v>0.1</v>
      </c>
      <c r="AS26" s="1631">
        <v>0.1</v>
      </c>
      <c r="AT26" s="1632">
        <v>0.3</v>
      </c>
      <c r="AU26" s="1631">
        <v>0.3</v>
      </c>
      <c r="AV26" s="1631"/>
      <c r="AX26" s="1625" t="s">
        <v>574</v>
      </c>
      <c r="AY26" s="1628" t="s">
        <v>84</v>
      </c>
      <c r="AZ26" s="1622" t="s">
        <v>1743</v>
      </c>
      <c r="BA26" s="1631"/>
      <c r="BB26" s="1631"/>
      <c r="BC26" s="1631"/>
      <c r="BD26" s="1631"/>
      <c r="BE26" s="1631"/>
      <c r="BF26" s="1631"/>
      <c r="BG26" s="1631"/>
      <c r="BH26" s="1633"/>
      <c r="BI26" s="1631"/>
      <c r="BJ26" s="1631"/>
      <c r="BK26" s="1632"/>
      <c r="BL26" s="1631"/>
      <c r="BM26" s="1631"/>
      <c r="BO26" s="1625" t="s">
        <v>574</v>
      </c>
      <c r="BP26" s="1628" t="s">
        <v>84</v>
      </c>
      <c r="BQ26" s="1622" t="s">
        <v>1558</v>
      </c>
      <c r="BR26" s="1631"/>
      <c r="BS26" s="1631"/>
      <c r="BT26" s="1631"/>
      <c r="BU26" s="1631"/>
      <c r="BV26" s="1631"/>
      <c r="BW26" s="1631"/>
      <c r="BX26" s="1631"/>
      <c r="BY26" s="1657"/>
      <c r="BZ26" s="1631"/>
      <c r="CA26" s="1631"/>
      <c r="CB26" s="1632"/>
      <c r="CC26" s="1631"/>
      <c r="CD26" s="1631"/>
      <c r="CE26" s="1635"/>
      <c r="CG26" s="1625" t="s">
        <v>574</v>
      </c>
      <c r="CH26" s="1628" t="s">
        <v>84</v>
      </c>
      <c r="CI26" s="1622"/>
      <c r="CJ26" s="1636">
        <f t="shared" si="19"/>
        <v>0</v>
      </c>
      <c r="CK26" s="1636">
        <f t="shared" si="20"/>
        <v>0</v>
      </c>
      <c r="CL26" s="1636">
        <f t="shared" si="21"/>
        <v>0</v>
      </c>
      <c r="CM26" s="1636">
        <f t="shared" si="22"/>
        <v>0</v>
      </c>
      <c r="CN26" s="1636">
        <f t="shared" si="23"/>
        <v>0</v>
      </c>
      <c r="CO26" s="1636">
        <f t="shared" si="24"/>
        <v>0</v>
      </c>
      <c r="CP26" s="1636">
        <f t="shared" si="25"/>
        <v>0</v>
      </c>
      <c r="CQ26" s="1658">
        <f t="shared" si="26"/>
        <v>0</v>
      </c>
      <c r="CR26" s="1636">
        <f t="shared" si="27"/>
        <v>0</v>
      </c>
      <c r="CS26" s="1636">
        <f t="shared" si="28"/>
        <v>0</v>
      </c>
      <c r="CT26" s="1640">
        <f t="shared" si="13"/>
        <v>0</v>
      </c>
      <c r="CU26" s="1636">
        <f t="shared" si="14"/>
        <v>0</v>
      </c>
      <c r="CV26" s="1636">
        <f t="shared" si="15"/>
        <v>0</v>
      </c>
      <c r="CX26" s="1625" t="s">
        <v>574</v>
      </c>
      <c r="CY26" s="1628" t="s">
        <v>84</v>
      </c>
      <c r="CZ26" s="1622"/>
      <c r="DA26" s="1638">
        <f t="shared" si="29"/>
        <v>0</v>
      </c>
      <c r="DB26" s="1638"/>
      <c r="DC26" s="1638"/>
      <c r="DD26" s="1638"/>
      <c r="DE26" s="1638"/>
      <c r="DF26" s="1638"/>
      <c r="DG26" s="1638"/>
      <c r="DH26" s="1659"/>
      <c r="DI26" s="1638"/>
      <c r="DJ26" s="1638"/>
      <c r="DK26" s="1642"/>
      <c r="DL26" s="1638"/>
      <c r="DM26" s="1638"/>
    </row>
    <row r="27" spans="2:117" hidden="1">
      <c r="B27" s="1584" t="str">
        <f t="shared" si="0"/>
        <v>2.1.6</v>
      </c>
      <c r="C27" s="1622" t="str">
        <f t="shared" si="1"/>
        <v>Individual Control</v>
      </c>
      <c r="D27" s="1603">
        <f t="shared" si="31"/>
        <v>0</v>
      </c>
      <c r="E27" s="1624">
        <f t="shared" si="31"/>
        <v>0</v>
      </c>
      <c r="G27" s="1624">
        <f t="shared" si="2"/>
        <v>0</v>
      </c>
      <c r="H27" s="1624">
        <f t="shared" si="3"/>
        <v>0</v>
      </c>
      <c r="I27" s="1624"/>
      <c r="J27" s="1624"/>
      <c r="K27" s="1624">
        <f>IF(Score!W27=0,0,1)</f>
        <v>0</v>
      </c>
      <c r="L27" s="1624">
        <f>IF(Score!X27=0,0,1)</f>
        <v>0</v>
      </c>
      <c r="M27" s="1624">
        <f t="shared" si="4"/>
        <v>0</v>
      </c>
      <c r="N27" s="1624">
        <f t="shared" si="5"/>
        <v>0</v>
      </c>
      <c r="P27" s="1625" t="str">
        <f t="shared" si="6"/>
        <v>2.1.6</v>
      </c>
      <c r="Q27" s="1625" t="str">
        <f t="shared" si="7"/>
        <v xml:space="preserve"> Q1 2.1</v>
      </c>
      <c r="R27" s="1622" t="str">
        <f t="shared" si="8"/>
        <v>Individual Control</v>
      </c>
      <c r="S27" s="1626">
        <f t="shared" si="16"/>
        <v>0</v>
      </c>
      <c r="T27" s="1626">
        <f t="shared" si="32"/>
        <v>0</v>
      </c>
      <c r="U27" s="1626">
        <f t="shared" si="33"/>
        <v>0</v>
      </c>
      <c r="V27" s="1626">
        <f t="shared" si="34"/>
        <v>0</v>
      </c>
      <c r="W27" s="1626">
        <f t="shared" si="35"/>
        <v>0</v>
      </c>
      <c r="X27" s="1626">
        <f t="shared" si="36"/>
        <v>0</v>
      </c>
      <c r="Y27" s="1626">
        <f t="shared" si="37"/>
        <v>0</v>
      </c>
      <c r="Z27" s="1656">
        <f t="shared" si="38"/>
        <v>0</v>
      </c>
      <c r="AA27" s="1626">
        <f t="shared" si="17"/>
        <v>0</v>
      </c>
      <c r="AB27" s="1626">
        <f t="shared" si="10"/>
        <v>0</v>
      </c>
      <c r="AC27" s="1627">
        <f t="shared" si="11"/>
        <v>0</v>
      </c>
      <c r="AD27" s="1626">
        <f t="shared" si="12"/>
        <v>0</v>
      </c>
      <c r="AE27" s="1626">
        <f t="shared" si="18"/>
        <v>0</v>
      </c>
      <c r="AG27" s="1625" t="s">
        <v>576</v>
      </c>
      <c r="AH27" s="1628" t="s">
        <v>84</v>
      </c>
      <c r="AI27" s="1622" t="s">
        <v>1744</v>
      </c>
      <c r="AJ27" s="1646"/>
      <c r="AK27" s="1646"/>
      <c r="AL27" s="1646"/>
      <c r="AM27" s="1646"/>
      <c r="AN27" s="1646"/>
      <c r="AO27" s="1646"/>
      <c r="AP27" s="1646"/>
      <c r="AQ27" s="1663"/>
      <c r="AR27" s="1646"/>
      <c r="AS27" s="1631">
        <v>0</v>
      </c>
      <c r="AT27" s="1632">
        <v>0.2</v>
      </c>
      <c r="AU27" s="1631">
        <v>0.2</v>
      </c>
      <c r="AV27" s="1631">
        <v>0.4</v>
      </c>
      <c r="AX27" s="1625" t="s">
        <v>576</v>
      </c>
      <c r="AY27" s="1628" t="s">
        <v>84</v>
      </c>
      <c r="AZ27" s="1622" t="s">
        <v>1744</v>
      </c>
      <c r="BA27" s="1631"/>
      <c r="BB27" s="1631"/>
      <c r="BC27" s="1631"/>
      <c r="BD27" s="1631"/>
      <c r="BE27" s="1631"/>
      <c r="BF27" s="1631"/>
      <c r="BG27" s="1631"/>
      <c r="BH27" s="1633"/>
      <c r="BI27" s="1631"/>
      <c r="BJ27" s="1631"/>
      <c r="BK27" s="1632"/>
      <c r="BL27" s="1631"/>
      <c r="BM27" s="1631"/>
      <c r="BO27" s="1625" t="s">
        <v>576</v>
      </c>
      <c r="BP27" s="1628" t="s">
        <v>84</v>
      </c>
      <c r="BQ27" s="1622" t="s">
        <v>1559</v>
      </c>
      <c r="BR27" s="1631"/>
      <c r="BS27" s="1631"/>
      <c r="BT27" s="1631"/>
      <c r="BU27" s="1631"/>
      <c r="BV27" s="1631"/>
      <c r="BW27" s="1631"/>
      <c r="BX27" s="1631"/>
      <c r="BY27" s="1657"/>
      <c r="BZ27" s="1631"/>
      <c r="CA27" s="1631"/>
      <c r="CB27" s="1632"/>
      <c r="CC27" s="1631"/>
      <c r="CD27" s="1631"/>
      <c r="CE27" s="1635"/>
      <c r="CG27" s="1625" t="s">
        <v>576</v>
      </c>
      <c r="CH27" s="1628" t="s">
        <v>84</v>
      </c>
      <c r="CI27" s="1622"/>
      <c r="CJ27" s="1636">
        <f t="shared" si="19"/>
        <v>0</v>
      </c>
      <c r="CK27" s="1636">
        <f t="shared" si="20"/>
        <v>0</v>
      </c>
      <c r="CL27" s="1636">
        <f t="shared" si="21"/>
        <v>0</v>
      </c>
      <c r="CM27" s="1636">
        <f t="shared" si="22"/>
        <v>0</v>
      </c>
      <c r="CN27" s="1636">
        <f t="shared" si="23"/>
        <v>0</v>
      </c>
      <c r="CO27" s="1636">
        <f t="shared" si="24"/>
        <v>0</v>
      </c>
      <c r="CP27" s="1636">
        <f t="shared" si="25"/>
        <v>0</v>
      </c>
      <c r="CQ27" s="1658">
        <f t="shared" si="26"/>
        <v>0</v>
      </c>
      <c r="CR27" s="1636">
        <f t="shared" si="27"/>
        <v>0</v>
      </c>
      <c r="CS27" s="1636">
        <f t="shared" si="28"/>
        <v>0</v>
      </c>
      <c r="CT27" s="1640">
        <f t="shared" si="13"/>
        <v>0</v>
      </c>
      <c r="CU27" s="1636">
        <f t="shared" si="14"/>
        <v>0</v>
      </c>
      <c r="CV27" s="1636">
        <f t="shared" si="15"/>
        <v>0</v>
      </c>
      <c r="CX27" s="1625" t="s">
        <v>576</v>
      </c>
      <c r="CY27" s="1628" t="s">
        <v>84</v>
      </c>
      <c r="CZ27" s="1622"/>
      <c r="DA27" s="1638">
        <f t="shared" si="29"/>
        <v>0</v>
      </c>
      <c r="DB27" s="1638"/>
      <c r="DC27" s="1638"/>
      <c r="DD27" s="1638"/>
      <c r="DE27" s="1638"/>
      <c r="DF27" s="1638"/>
      <c r="DG27" s="1638"/>
      <c r="DH27" s="1659"/>
      <c r="DI27" s="1638"/>
      <c r="DJ27" s="1638"/>
      <c r="DK27" s="1642"/>
      <c r="DL27" s="1638"/>
      <c r="DM27" s="1638"/>
    </row>
    <row r="28" spans="2:117" hidden="1">
      <c r="B28" s="1584" t="str">
        <f t="shared" si="0"/>
        <v>2.1.7</v>
      </c>
      <c r="C28" s="1622" t="str">
        <f t="shared" si="1"/>
        <v>Allowance for After-hours Air Conditioning</v>
      </c>
      <c r="D28" s="1603">
        <f t="shared" si="31"/>
        <v>0</v>
      </c>
      <c r="E28" s="1624">
        <f t="shared" si="31"/>
        <v>0</v>
      </c>
      <c r="G28" s="1624">
        <f t="shared" si="2"/>
        <v>0</v>
      </c>
      <c r="H28" s="1624">
        <f t="shared" si="3"/>
        <v>0</v>
      </c>
      <c r="I28" s="1624"/>
      <c r="J28" s="1624"/>
      <c r="K28" s="1624">
        <f>IF(Score!W28=0,0,1)</f>
        <v>0</v>
      </c>
      <c r="L28" s="1624">
        <f>IF(Score!X28=0,0,1)</f>
        <v>0</v>
      </c>
      <c r="M28" s="1624">
        <f t="shared" si="4"/>
        <v>0</v>
      </c>
      <c r="N28" s="1624">
        <f t="shared" si="5"/>
        <v>0</v>
      </c>
      <c r="P28" s="1625" t="str">
        <f t="shared" si="6"/>
        <v>2.1.7</v>
      </c>
      <c r="Q28" s="1625" t="str">
        <f t="shared" si="7"/>
        <v xml:space="preserve"> Q1 2.1</v>
      </c>
      <c r="R28" s="1622" t="str">
        <f t="shared" si="8"/>
        <v>Allowance for After-hours Air Conditioning</v>
      </c>
      <c r="S28" s="1626">
        <f t="shared" si="16"/>
        <v>0</v>
      </c>
      <c r="T28" s="1626">
        <f t="shared" si="32"/>
        <v>0</v>
      </c>
      <c r="U28" s="1626">
        <f t="shared" si="33"/>
        <v>0</v>
      </c>
      <c r="V28" s="1626">
        <f t="shared" si="34"/>
        <v>0</v>
      </c>
      <c r="W28" s="1626">
        <f t="shared" si="35"/>
        <v>0</v>
      </c>
      <c r="X28" s="1626">
        <f t="shared" si="36"/>
        <v>0</v>
      </c>
      <c r="Y28" s="1626">
        <f t="shared" si="37"/>
        <v>0</v>
      </c>
      <c r="Z28" s="1656">
        <f t="shared" si="38"/>
        <v>0</v>
      </c>
      <c r="AA28" s="1626">
        <f t="shared" si="17"/>
        <v>0</v>
      </c>
      <c r="AB28" s="1626">
        <f t="shared" si="10"/>
        <v>0</v>
      </c>
      <c r="AC28" s="1627">
        <f t="shared" si="11"/>
        <v>0</v>
      </c>
      <c r="AD28" s="1626">
        <f t="shared" si="12"/>
        <v>0</v>
      </c>
      <c r="AE28" s="1626">
        <f t="shared" si="18"/>
        <v>0</v>
      </c>
      <c r="AG28" s="1625" t="s">
        <v>578</v>
      </c>
      <c r="AH28" s="1628" t="s">
        <v>84</v>
      </c>
      <c r="AI28" s="1622" t="s">
        <v>1745</v>
      </c>
      <c r="AJ28" s="1646">
        <v>0.1</v>
      </c>
      <c r="AK28" s="1646">
        <v>0.2</v>
      </c>
      <c r="AL28" s="1646"/>
      <c r="AM28" s="1646"/>
      <c r="AN28" s="1646">
        <v>0.1</v>
      </c>
      <c r="AO28" s="1646">
        <v>0.1</v>
      </c>
      <c r="AP28" s="1646"/>
      <c r="AQ28" s="1663"/>
      <c r="AR28" s="1646">
        <v>0.1</v>
      </c>
      <c r="AS28" s="1631">
        <v>0.2</v>
      </c>
      <c r="AT28" s="1632"/>
      <c r="AU28" s="1631"/>
      <c r="AV28" s="1631"/>
      <c r="AX28" s="1625" t="s">
        <v>578</v>
      </c>
      <c r="AY28" s="1628" t="s">
        <v>84</v>
      </c>
      <c r="AZ28" s="1622" t="s">
        <v>1745</v>
      </c>
      <c r="BA28" s="1631"/>
      <c r="BB28" s="1631"/>
      <c r="BC28" s="1631"/>
      <c r="BD28" s="1631"/>
      <c r="BE28" s="1631"/>
      <c r="BF28" s="1631"/>
      <c r="BG28" s="1631"/>
      <c r="BH28" s="1633"/>
      <c r="BI28" s="1631"/>
      <c r="BJ28" s="1631"/>
      <c r="BK28" s="1632"/>
      <c r="BL28" s="1631"/>
      <c r="BM28" s="1631"/>
      <c r="BO28" s="1625" t="s">
        <v>578</v>
      </c>
      <c r="BP28" s="1628" t="s">
        <v>84</v>
      </c>
      <c r="BQ28" s="1622" t="s">
        <v>1560</v>
      </c>
      <c r="BR28" s="1631"/>
      <c r="BS28" s="1631"/>
      <c r="BT28" s="1631"/>
      <c r="BU28" s="1631"/>
      <c r="BV28" s="1631"/>
      <c r="BW28" s="1631"/>
      <c r="BX28" s="1631"/>
      <c r="BY28" s="1657"/>
      <c r="BZ28" s="1631"/>
      <c r="CA28" s="1631"/>
      <c r="CB28" s="1632"/>
      <c r="CC28" s="1631"/>
      <c r="CD28" s="1631"/>
      <c r="CE28" s="1635"/>
      <c r="CG28" s="1625" t="s">
        <v>578</v>
      </c>
      <c r="CH28" s="1628" t="s">
        <v>84</v>
      </c>
      <c r="CI28" s="1622"/>
      <c r="CJ28" s="1636">
        <f t="shared" si="19"/>
        <v>0</v>
      </c>
      <c r="CK28" s="1636">
        <f t="shared" si="20"/>
        <v>0</v>
      </c>
      <c r="CL28" s="1636">
        <f t="shared" si="21"/>
        <v>0</v>
      </c>
      <c r="CM28" s="1636">
        <f t="shared" si="22"/>
        <v>0</v>
      </c>
      <c r="CN28" s="1636">
        <f t="shared" si="23"/>
        <v>0</v>
      </c>
      <c r="CO28" s="1636">
        <f t="shared" si="24"/>
        <v>0</v>
      </c>
      <c r="CP28" s="1636">
        <f t="shared" si="25"/>
        <v>0</v>
      </c>
      <c r="CQ28" s="1658">
        <f t="shared" si="26"/>
        <v>0</v>
      </c>
      <c r="CR28" s="1636">
        <f t="shared" si="27"/>
        <v>0</v>
      </c>
      <c r="CS28" s="1636">
        <f t="shared" si="28"/>
        <v>0</v>
      </c>
      <c r="CT28" s="1640">
        <f t="shared" si="13"/>
        <v>0</v>
      </c>
      <c r="CU28" s="1636">
        <f t="shared" si="14"/>
        <v>0</v>
      </c>
      <c r="CV28" s="1636">
        <f t="shared" si="15"/>
        <v>0</v>
      </c>
      <c r="CX28" s="1625" t="s">
        <v>578</v>
      </c>
      <c r="CY28" s="1628" t="s">
        <v>84</v>
      </c>
      <c r="CZ28" s="1622"/>
      <c r="DA28" s="1638">
        <f t="shared" si="29"/>
        <v>0</v>
      </c>
      <c r="DB28" s="1638"/>
      <c r="DC28" s="1638"/>
      <c r="DD28" s="1638"/>
      <c r="DE28" s="1638"/>
      <c r="DF28" s="1638"/>
      <c r="DG28" s="1638"/>
      <c r="DH28" s="1659"/>
      <c r="DI28" s="1638"/>
      <c r="DJ28" s="1638"/>
      <c r="DK28" s="1642"/>
      <c r="DL28" s="1638"/>
      <c r="DM28" s="1638"/>
    </row>
    <row r="29" spans="2:117" hidden="1">
      <c r="B29" s="1584" t="str">
        <f t="shared" si="0"/>
        <v>2.1.8</v>
      </c>
      <c r="C29" s="1622" t="str">
        <f t="shared" si="1"/>
        <v>Monitoring Systems</v>
      </c>
      <c r="D29" s="1603">
        <f t="shared" si="31"/>
        <v>0</v>
      </c>
      <c r="E29" s="1624">
        <f t="shared" si="31"/>
        <v>0</v>
      </c>
      <c r="G29" s="1624">
        <f t="shared" si="2"/>
        <v>0</v>
      </c>
      <c r="H29" s="1624">
        <f t="shared" si="3"/>
        <v>0</v>
      </c>
      <c r="I29" s="1624"/>
      <c r="J29" s="1624"/>
      <c r="K29" s="1624">
        <f>IF(Score!W29=0,0,1)</f>
        <v>0</v>
      </c>
      <c r="L29" s="1624">
        <f>IF(Score!X29=0,0,1)</f>
        <v>0</v>
      </c>
      <c r="M29" s="1624">
        <f t="shared" si="4"/>
        <v>0</v>
      </c>
      <c r="N29" s="1624">
        <f t="shared" si="5"/>
        <v>0</v>
      </c>
      <c r="P29" s="1625" t="str">
        <f t="shared" si="6"/>
        <v>2.1.8</v>
      </c>
      <c r="Q29" s="1625" t="str">
        <f t="shared" si="7"/>
        <v xml:space="preserve"> Q1 2.1</v>
      </c>
      <c r="R29" s="1622" t="str">
        <f t="shared" si="8"/>
        <v>Monitoring Systems</v>
      </c>
      <c r="S29" s="1626">
        <f t="shared" si="16"/>
        <v>0</v>
      </c>
      <c r="T29" s="1626">
        <f t="shared" si="32"/>
        <v>0</v>
      </c>
      <c r="U29" s="1626">
        <f t="shared" si="33"/>
        <v>0</v>
      </c>
      <c r="V29" s="1626">
        <f t="shared" si="34"/>
        <v>0</v>
      </c>
      <c r="W29" s="1626">
        <f t="shared" si="35"/>
        <v>0</v>
      </c>
      <c r="X29" s="1626">
        <f t="shared" si="36"/>
        <v>0</v>
      </c>
      <c r="Y29" s="1626">
        <f t="shared" si="37"/>
        <v>0</v>
      </c>
      <c r="Z29" s="1656">
        <f t="shared" si="38"/>
        <v>0</v>
      </c>
      <c r="AA29" s="1626">
        <f t="shared" si="17"/>
        <v>0</v>
      </c>
      <c r="AB29" s="1626">
        <f t="shared" si="10"/>
        <v>0</v>
      </c>
      <c r="AC29" s="1627">
        <f t="shared" si="11"/>
        <v>0</v>
      </c>
      <c r="AD29" s="1626">
        <f t="shared" si="12"/>
        <v>0</v>
      </c>
      <c r="AE29" s="1626">
        <f t="shared" si="18"/>
        <v>0</v>
      </c>
      <c r="AG29" s="1625" t="s">
        <v>580</v>
      </c>
      <c r="AH29" s="1628" t="s">
        <v>84</v>
      </c>
      <c r="AI29" s="1622" t="s">
        <v>1746</v>
      </c>
      <c r="AJ29" s="1646"/>
      <c r="AK29" s="1646"/>
      <c r="AL29" s="1646">
        <v>0.1</v>
      </c>
      <c r="AM29" s="1646">
        <v>0.1</v>
      </c>
      <c r="AN29" s="1646"/>
      <c r="AO29" s="1646"/>
      <c r="AP29" s="1646"/>
      <c r="AQ29" s="1663"/>
      <c r="AR29" s="1646"/>
      <c r="AS29" s="1631">
        <v>0</v>
      </c>
      <c r="AT29" s="1632"/>
      <c r="AU29" s="1631"/>
      <c r="AV29" s="1631"/>
      <c r="AX29" s="1625" t="s">
        <v>580</v>
      </c>
      <c r="AY29" s="1628" t="s">
        <v>84</v>
      </c>
      <c r="AZ29" s="1622" t="s">
        <v>1746</v>
      </c>
      <c r="BA29" s="1631"/>
      <c r="BB29" s="1631"/>
      <c r="BC29" s="1631"/>
      <c r="BD29" s="1631"/>
      <c r="BE29" s="1631"/>
      <c r="BF29" s="1631"/>
      <c r="BG29" s="1631"/>
      <c r="BH29" s="1633"/>
      <c r="BI29" s="1631"/>
      <c r="BJ29" s="1631"/>
      <c r="BK29" s="1632"/>
      <c r="BL29" s="1631"/>
      <c r="BM29" s="1631"/>
      <c r="BO29" s="1625" t="s">
        <v>580</v>
      </c>
      <c r="BP29" s="1628" t="s">
        <v>84</v>
      </c>
      <c r="BQ29" s="1622" t="s">
        <v>1561</v>
      </c>
      <c r="BR29" s="1631"/>
      <c r="BS29" s="1631"/>
      <c r="BT29" s="1631"/>
      <c r="BU29" s="1631"/>
      <c r="BV29" s="1631"/>
      <c r="BW29" s="1631"/>
      <c r="BX29" s="1631"/>
      <c r="BY29" s="1657"/>
      <c r="BZ29" s="1631"/>
      <c r="CA29" s="1631"/>
      <c r="CB29" s="1632"/>
      <c r="CC29" s="1631"/>
      <c r="CD29" s="1631"/>
      <c r="CE29" s="1635"/>
      <c r="CG29" s="1625" t="s">
        <v>580</v>
      </c>
      <c r="CH29" s="1628" t="s">
        <v>84</v>
      </c>
      <c r="CI29" s="1622"/>
      <c r="CJ29" s="1636">
        <f t="shared" si="19"/>
        <v>0</v>
      </c>
      <c r="CK29" s="1636">
        <f t="shared" si="20"/>
        <v>0</v>
      </c>
      <c r="CL29" s="1636">
        <f t="shared" si="21"/>
        <v>0</v>
      </c>
      <c r="CM29" s="1636">
        <f t="shared" si="22"/>
        <v>0</v>
      </c>
      <c r="CN29" s="1636">
        <f t="shared" si="23"/>
        <v>0</v>
      </c>
      <c r="CO29" s="1636">
        <f t="shared" si="24"/>
        <v>0</v>
      </c>
      <c r="CP29" s="1636">
        <f t="shared" si="25"/>
        <v>0</v>
      </c>
      <c r="CQ29" s="1658">
        <f t="shared" si="26"/>
        <v>0</v>
      </c>
      <c r="CR29" s="1636">
        <f t="shared" si="27"/>
        <v>0</v>
      </c>
      <c r="CS29" s="1636">
        <f t="shared" si="28"/>
        <v>0</v>
      </c>
      <c r="CT29" s="1640">
        <f t="shared" si="13"/>
        <v>0</v>
      </c>
      <c r="CU29" s="1636">
        <f t="shared" si="14"/>
        <v>0</v>
      </c>
      <c r="CV29" s="1636">
        <f t="shared" si="15"/>
        <v>0</v>
      </c>
      <c r="CX29" s="1625" t="s">
        <v>580</v>
      </c>
      <c r="CY29" s="1628" t="s">
        <v>84</v>
      </c>
      <c r="CZ29" s="1622"/>
      <c r="DA29" s="1638">
        <f t="shared" si="29"/>
        <v>0</v>
      </c>
      <c r="DB29" s="1638"/>
      <c r="DC29" s="1638"/>
      <c r="DD29" s="1638"/>
      <c r="DE29" s="1638"/>
      <c r="DF29" s="1638"/>
      <c r="DG29" s="1638"/>
      <c r="DH29" s="1659"/>
      <c r="DI29" s="1638"/>
      <c r="DJ29" s="1638"/>
      <c r="DK29" s="1642"/>
      <c r="DL29" s="1638"/>
      <c r="DM29" s="1638"/>
    </row>
    <row r="30" spans="2:117">
      <c r="B30" s="1584">
        <f t="shared" si="0"/>
        <v>2.2000000000000002</v>
      </c>
      <c r="C30" s="1622" t="str">
        <f t="shared" si="1"/>
        <v>Humidity Control</v>
      </c>
      <c r="D30" s="1623">
        <f t="shared" ref="D30:E32" si="39">IF(I$20=0,0,G30/I$20)</f>
        <v>0</v>
      </c>
      <c r="E30" s="1624">
        <f t="shared" si="39"/>
        <v>0</v>
      </c>
      <c r="G30" s="1624">
        <f t="shared" si="2"/>
        <v>0</v>
      </c>
      <c r="H30" s="1624">
        <f t="shared" si="3"/>
        <v>0</v>
      </c>
      <c r="I30" s="1624"/>
      <c r="J30" s="1624"/>
      <c r="K30" s="1624">
        <f>IF(Score!W30=0,0,1)</f>
        <v>0</v>
      </c>
      <c r="L30" s="1624">
        <f>IF(Score!X30=0,0,1)</f>
        <v>1</v>
      </c>
      <c r="M30" s="1624">
        <f t="shared" si="4"/>
        <v>0.2</v>
      </c>
      <c r="N30" s="1624">
        <f t="shared" si="5"/>
        <v>0</v>
      </c>
      <c r="P30" s="1625">
        <f t="shared" si="6"/>
        <v>2.2000000000000002</v>
      </c>
      <c r="Q30" s="1625" t="str">
        <f t="shared" si="7"/>
        <v xml:space="preserve"> Q1 2</v>
      </c>
      <c r="R30" s="1622" t="str">
        <f t="shared" si="8"/>
        <v>Humidity Control</v>
      </c>
      <c r="S30" s="1626">
        <f t="shared" si="16"/>
        <v>0.2</v>
      </c>
      <c r="T30" s="1626">
        <f t="shared" si="32"/>
        <v>0.2</v>
      </c>
      <c r="U30" s="1626">
        <f t="shared" si="33"/>
        <v>0.2</v>
      </c>
      <c r="V30" s="1626">
        <f t="shared" si="34"/>
        <v>0.2</v>
      </c>
      <c r="W30" s="1626">
        <f t="shared" si="35"/>
        <v>0.2</v>
      </c>
      <c r="X30" s="1626">
        <f t="shared" si="36"/>
        <v>0.2</v>
      </c>
      <c r="Y30" s="1626">
        <f t="shared" si="37"/>
        <v>0.2</v>
      </c>
      <c r="Z30" s="1656">
        <f t="shared" si="38"/>
        <v>0.2</v>
      </c>
      <c r="AA30" s="1626">
        <f t="shared" si="17"/>
        <v>0.2</v>
      </c>
      <c r="AB30" s="1626">
        <f t="shared" si="10"/>
        <v>0.2</v>
      </c>
      <c r="AC30" s="1627">
        <f t="shared" si="11"/>
        <v>0.2</v>
      </c>
      <c r="AD30" s="1626">
        <f t="shared" si="12"/>
        <v>0.2</v>
      </c>
      <c r="AE30" s="1626">
        <f t="shared" si="18"/>
        <v>0.2</v>
      </c>
      <c r="AG30" s="1625">
        <v>2.2000000000000002</v>
      </c>
      <c r="AH30" s="1628" t="s">
        <v>187</v>
      </c>
      <c r="AI30" s="1622" t="s">
        <v>1747</v>
      </c>
      <c r="AJ30" s="1630">
        <v>0.2</v>
      </c>
      <c r="AK30" s="1630">
        <v>0.2</v>
      </c>
      <c r="AL30" s="1630">
        <v>0.2</v>
      </c>
      <c r="AM30" s="1630">
        <v>0.2</v>
      </c>
      <c r="AN30" s="1630">
        <v>0.2</v>
      </c>
      <c r="AO30" s="1630">
        <v>0.2</v>
      </c>
      <c r="AP30" s="1630">
        <v>0.2</v>
      </c>
      <c r="AQ30" s="1660">
        <v>0.2</v>
      </c>
      <c r="AR30" s="1630">
        <v>0.2</v>
      </c>
      <c r="AS30" s="1631">
        <v>0.2</v>
      </c>
      <c r="AT30" s="1632"/>
      <c r="AU30" s="1631"/>
      <c r="AV30" s="1631"/>
      <c r="AX30" s="1625">
        <v>2.2000000000000002</v>
      </c>
      <c r="AY30" s="1628" t="s">
        <v>187</v>
      </c>
      <c r="AZ30" s="1622" t="s">
        <v>1747</v>
      </c>
      <c r="BA30" s="1631">
        <v>0.2</v>
      </c>
      <c r="BB30" s="1631">
        <v>0.2</v>
      </c>
      <c r="BC30" s="1631">
        <v>0.2</v>
      </c>
      <c r="BD30" s="1631">
        <v>0.2</v>
      </c>
      <c r="BE30" s="1631">
        <v>0.2</v>
      </c>
      <c r="BF30" s="1631">
        <v>0.2</v>
      </c>
      <c r="BG30" s="1631">
        <v>0.2</v>
      </c>
      <c r="BH30" s="1633">
        <v>0.2</v>
      </c>
      <c r="BI30" s="1631">
        <v>0.2</v>
      </c>
      <c r="BJ30" s="1631">
        <v>0.2</v>
      </c>
      <c r="BK30" s="1632">
        <v>0.2</v>
      </c>
      <c r="BL30" s="1631">
        <v>0.2</v>
      </c>
      <c r="BM30" s="1631">
        <v>0.2</v>
      </c>
      <c r="BO30" s="1625">
        <v>2.2000000000000002</v>
      </c>
      <c r="BP30" s="1628" t="s">
        <v>187</v>
      </c>
      <c r="BQ30" s="1622" t="s">
        <v>1562</v>
      </c>
      <c r="BR30" s="1631">
        <v>0.2</v>
      </c>
      <c r="BS30" s="1631">
        <v>0.2</v>
      </c>
      <c r="BT30" s="1631">
        <v>0.2</v>
      </c>
      <c r="BU30" s="1631">
        <v>0.2</v>
      </c>
      <c r="BV30" s="1631">
        <v>0.2</v>
      </c>
      <c r="BW30" s="1631">
        <v>0.2</v>
      </c>
      <c r="BX30" s="1631">
        <v>0.2</v>
      </c>
      <c r="BY30" s="1657">
        <v>0.2</v>
      </c>
      <c r="BZ30" s="1631">
        <v>0.2</v>
      </c>
      <c r="CA30" s="1631">
        <v>0.2</v>
      </c>
      <c r="CB30" s="1632">
        <v>0.2</v>
      </c>
      <c r="CC30" s="1631">
        <v>0.2</v>
      </c>
      <c r="CD30" s="1631">
        <v>0.2</v>
      </c>
      <c r="CE30" s="1635"/>
      <c r="CG30" s="1625">
        <v>2.2000000000000002</v>
      </c>
      <c r="CH30" s="1628" t="s">
        <v>187</v>
      </c>
      <c r="CI30" s="1622" t="s">
        <v>1747</v>
      </c>
      <c r="CJ30" s="1636">
        <f t="shared" si="19"/>
        <v>0.2</v>
      </c>
      <c r="CK30" s="1636">
        <f t="shared" si="20"/>
        <v>0.2</v>
      </c>
      <c r="CL30" s="1636">
        <f t="shared" si="21"/>
        <v>0.2</v>
      </c>
      <c r="CM30" s="1636">
        <f t="shared" si="22"/>
        <v>0.2</v>
      </c>
      <c r="CN30" s="1636">
        <f t="shared" si="23"/>
        <v>0.2</v>
      </c>
      <c r="CO30" s="1636">
        <f t="shared" si="24"/>
        <v>0.2</v>
      </c>
      <c r="CP30" s="1636">
        <f t="shared" si="25"/>
        <v>0.2</v>
      </c>
      <c r="CQ30" s="1658">
        <f t="shared" si="26"/>
        <v>0.2</v>
      </c>
      <c r="CR30" s="1636">
        <f t="shared" si="27"/>
        <v>0.2</v>
      </c>
      <c r="CS30" s="1636">
        <f t="shared" si="28"/>
        <v>0.2</v>
      </c>
      <c r="CT30" s="1640">
        <f t="shared" si="13"/>
        <v>0.2</v>
      </c>
      <c r="CU30" s="1636">
        <f t="shared" si="14"/>
        <v>0.2</v>
      </c>
      <c r="CV30" s="1636">
        <f t="shared" si="15"/>
        <v>0.2</v>
      </c>
      <c r="CX30" s="1625">
        <v>2.2000000000000002</v>
      </c>
      <c r="CY30" s="1628" t="s">
        <v>187</v>
      </c>
      <c r="CZ30" s="1622" t="s">
        <v>1747</v>
      </c>
      <c r="DA30" s="1638">
        <f t="shared" si="29"/>
        <v>0.2</v>
      </c>
      <c r="DB30" s="1638"/>
      <c r="DC30" s="1638"/>
      <c r="DD30" s="1638"/>
      <c r="DE30" s="1638"/>
      <c r="DF30" s="1638"/>
      <c r="DG30" s="1638"/>
      <c r="DH30" s="1659"/>
      <c r="DI30" s="1638"/>
      <c r="DJ30" s="1638"/>
      <c r="DK30" s="1642"/>
      <c r="DL30" s="1638"/>
      <c r="DM30" s="1638"/>
    </row>
    <row r="31" spans="2:117">
      <c r="B31" s="1584">
        <f t="shared" si="0"/>
        <v>2.2999999999999998</v>
      </c>
      <c r="C31" s="1622" t="str">
        <f t="shared" si="1"/>
        <v>Type of Air Conditioning System</v>
      </c>
      <c r="D31" s="1623">
        <f t="shared" si="39"/>
        <v>0.37499999999999994</v>
      </c>
      <c r="E31" s="1624">
        <f t="shared" si="39"/>
        <v>0</v>
      </c>
      <c r="G31" s="1624">
        <f t="shared" si="2"/>
        <v>0.3</v>
      </c>
      <c r="H31" s="1624">
        <f t="shared" si="3"/>
        <v>0</v>
      </c>
      <c r="I31" s="1624"/>
      <c r="J31" s="1624"/>
      <c r="K31" s="1624">
        <f>IF(Score!W31=0,0,1)</f>
        <v>1</v>
      </c>
      <c r="L31" s="1624">
        <f>IF(Score!X31=0,0,1)</f>
        <v>1</v>
      </c>
      <c r="M31" s="1624">
        <f t="shared" si="4"/>
        <v>0.3</v>
      </c>
      <c r="N31" s="1624">
        <f t="shared" si="5"/>
        <v>0</v>
      </c>
      <c r="P31" s="1625">
        <f t="shared" si="6"/>
        <v>2.2999999999999998</v>
      </c>
      <c r="Q31" s="1625" t="str">
        <f t="shared" si="7"/>
        <v xml:space="preserve"> Q1 2</v>
      </c>
      <c r="R31" s="1622" t="str">
        <f t="shared" si="8"/>
        <v>Type of Air Conditioning System</v>
      </c>
      <c r="S31" s="1626">
        <f t="shared" si="16"/>
        <v>0.3</v>
      </c>
      <c r="T31" s="1626">
        <f t="shared" si="32"/>
        <v>0.3</v>
      </c>
      <c r="U31" s="1626">
        <f t="shared" si="33"/>
        <v>0.3</v>
      </c>
      <c r="V31" s="1626">
        <f t="shared" si="34"/>
        <v>0.3</v>
      </c>
      <c r="W31" s="1626">
        <f t="shared" si="35"/>
        <v>0.3</v>
      </c>
      <c r="X31" s="1626">
        <f t="shared" si="36"/>
        <v>0.3</v>
      </c>
      <c r="Y31" s="1626">
        <f t="shared" si="37"/>
        <v>0.3</v>
      </c>
      <c r="Z31" s="1656">
        <f t="shared" si="38"/>
        <v>0.3</v>
      </c>
      <c r="AA31" s="1626">
        <f t="shared" si="17"/>
        <v>0.3</v>
      </c>
      <c r="AB31" s="1626">
        <f t="shared" si="10"/>
        <v>0.3</v>
      </c>
      <c r="AC31" s="1627">
        <f t="shared" si="11"/>
        <v>0.3</v>
      </c>
      <c r="AD31" s="1626">
        <f t="shared" si="12"/>
        <v>0.3</v>
      </c>
      <c r="AE31" s="1626">
        <f t="shared" si="18"/>
        <v>0.3</v>
      </c>
      <c r="AG31" s="1625">
        <v>2.2999999999999998</v>
      </c>
      <c r="AH31" s="1628" t="s">
        <v>187</v>
      </c>
      <c r="AI31" s="1622"/>
      <c r="AJ31" s="1630"/>
      <c r="AK31" s="1630"/>
      <c r="AL31" s="1630"/>
      <c r="AM31" s="1630"/>
      <c r="AN31" s="1630"/>
      <c r="AO31" s="1630"/>
      <c r="AP31" s="1630"/>
      <c r="AQ31" s="1660"/>
      <c r="AR31" s="1630"/>
      <c r="AS31" s="1667"/>
      <c r="AT31" s="1632"/>
      <c r="AU31" s="1631"/>
      <c r="AV31" s="1631"/>
      <c r="AX31" s="1625">
        <v>2.2999999999999998</v>
      </c>
      <c r="AY31" s="1628" t="s">
        <v>187</v>
      </c>
      <c r="AZ31" s="1622" t="s">
        <v>1748</v>
      </c>
      <c r="BA31" s="1631">
        <v>0.3</v>
      </c>
      <c r="BB31" s="1631">
        <v>0.3</v>
      </c>
      <c r="BC31" s="1631">
        <v>0.3</v>
      </c>
      <c r="BD31" s="1631">
        <v>0.3</v>
      </c>
      <c r="BE31" s="1631">
        <v>0.3</v>
      </c>
      <c r="BF31" s="1631">
        <v>0.3</v>
      </c>
      <c r="BG31" s="1631">
        <v>0.3</v>
      </c>
      <c r="BH31" s="1633">
        <v>0.3</v>
      </c>
      <c r="BI31" s="1631">
        <v>0.3</v>
      </c>
      <c r="BJ31" s="1631">
        <v>0.3</v>
      </c>
      <c r="BK31" s="1632">
        <v>0.3</v>
      </c>
      <c r="BL31" s="1631">
        <v>0.3</v>
      </c>
      <c r="BM31" s="1631">
        <v>0.3</v>
      </c>
      <c r="BO31" s="1625">
        <v>2.2999999999999998</v>
      </c>
      <c r="BP31" s="1628" t="s">
        <v>187</v>
      </c>
      <c r="BQ31" s="1622" t="s">
        <v>1563</v>
      </c>
      <c r="BR31" s="1631">
        <v>0.3</v>
      </c>
      <c r="BS31" s="1631">
        <v>0.3</v>
      </c>
      <c r="BT31" s="1631">
        <v>0.3</v>
      </c>
      <c r="BU31" s="1631">
        <v>0.3</v>
      </c>
      <c r="BV31" s="1631">
        <v>0.3</v>
      </c>
      <c r="BW31" s="1631">
        <v>0.3</v>
      </c>
      <c r="BX31" s="1631">
        <v>0.3</v>
      </c>
      <c r="BY31" s="1657">
        <v>0.3</v>
      </c>
      <c r="BZ31" s="1631">
        <v>0.3</v>
      </c>
      <c r="CA31" s="1631">
        <v>0.3</v>
      </c>
      <c r="CB31" s="1632">
        <v>0.3</v>
      </c>
      <c r="CC31" s="1631">
        <v>0.3</v>
      </c>
      <c r="CD31" s="1631">
        <v>0.3</v>
      </c>
      <c r="CE31" s="1635"/>
      <c r="CG31" s="1625">
        <v>2.2999999999999998</v>
      </c>
      <c r="CH31" s="1628" t="s">
        <v>187</v>
      </c>
      <c r="CI31" s="1622" t="s">
        <v>1748</v>
      </c>
      <c r="CJ31" s="1636">
        <f t="shared" si="19"/>
        <v>0.3</v>
      </c>
      <c r="CK31" s="1636">
        <f t="shared" si="20"/>
        <v>0.3</v>
      </c>
      <c r="CL31" s="1636">
        <f t="shared" si="21"/>
        <v>0.3</v>
      </c>
      <c r="CM31" s="1636">
        <f t="shared" si="22"/>
        <v>0.3</v>
      </c>
      <c r="CN31" s="1636">
        <f t="shared" si="23"/>
        <v>0.3</v>
      </c>
      <c r="CO31" s="1636">
        <f t="shared" si="24"/>
        <v>0.3</v>
      </c>
      <c r="CP31" s="1636">
        <f t="shared" si="25"/>
        <v>0.3</v>
      </c>
      <c r="CQ31" s="1658">
        <f t="shared" si="26"/>
        <v>0.3</v>
      </c>
      <c r="CR31" s="1636">
        <f t="shared" si="27"/>
        <v>0.3</v>
      </c>
      <c r="CS31" s="1636">
        <f t="shared" si="28"/>
        <v>0.3</v>
      </c>
      <c r="CT31" s="1640">
        <f t="shared" si="13"/>
        <v>0.3</v>
      </c>
      <c r="CU31" s="1636">
        <f t="shared" si="14"/>
        <v>0.3</v>
      </c>
      <c r="CV31" s="1636">
        <f t="shared" si="15"/>
        <v>0.3</v>
      </c>
      <c r="CX31" s="1625">
        <v>2.2999999999999998</v>
      </c>
      <c r="CY31" s="1628" t="s">
        <v>187</v>
      </c>
      <c r="CZ31" s="1622" t="s">
        <v>1748</v>
      </c>
      <c r="DA31" s="1638">
        <f t="shared" si="29"/>
        <v>0.3</v>
      </c>
      <c r="DB31" s="1638"/>
      <c r="DC31" s="1638"/>
      <c r="DD31" s="1638"/>
      <c r="DE31" s="1638"/>
      <c r="DF31" s="1638"/>
      <c r="DG31" s="1638"/>
      <c r="DH31" s="1659"/>
      <c r="DI31" s="1638"/>
      <c r="DJ31" s="1638"/>
      <c r="DK31" s="1642"/>
      <c r="DL31" s="1638"/>
      <c r="DM31" s="1638"/>
    </row>
    <row r="32" spans="2:117" hidden="1">
      <c r="B32" s="1584">
        <f>P32</f>
        <v>2.2999999999999998</v>
      </c>
      <c r="C32" s="1622">
        <f t="shared" si="1"/>
        <v>0</v>
      </c>
      <c r="D32" s="1623">
        <f t="shared" si="39"/>
        <v>0</v>
      </c>
      <c r="E32" s="1624">
        <f t="shared" si="39"/>
        <v>0</v>
      </c>
      <c r="G32" s="1624">
        <f>K32*M32</f>
        <v>0</v>
      </c>
      <c r="H32" s="1624">
        <f>L32*N32</f>
        <v>0</v>
      </c>
      <c r="I32" s="1624">
        <f>SUM(G33:G34)</f>
        <v>0</v>
      </c>
      <c r="J32" s="1624">
        <f>SUM(H33:H34)</f>
        <v>0</v>
      </c>
      <c r="K32" s="1624">
        <f>IF(Score!W32=0,0,1)</f>
        <v>0</v>
      </c>
      <c r="L32" s="1624">
        <f>IF(Score!X32=0,0,1)</f>
        <v>0</v>
      </c>
      <c r="M32" s="1624">
        <f>SUMPRODUCT($S$7:$AB$7,S32:AB32)</f>
        <v>0</v>
      </c>
      <c r="N32" s="1624">
        <f>(AC$7*AC32)+(AD$7*AD32)+(AE$7*AE32)</f>
        <v>0</v>
      </c>
      <c r="P32" s="1625">
        <f t="shared" ref="P32:AE32" si="40">IF($P$3=1,AX32,IF($P$3=2,BO32,IF($P$3=3,CG32,IF($P$3=4,CX32,AG32))))</f>
        <v>2.2999999999999998</v>
      </c>
      <c r="Q32" s="1625" t="str">
        <f t="shared" si="40"/>
        <v xml:space="preserve"> Q1 2</v>
      </c>
      <c r="R32" s="1622">
        <f t="shared" si="40"/>
        <v>0</v>
      </c>
      <c r="S32" s="1626">
        <f t="shared" si="40"/>
        <v>0</v>
      </c>
      <c r="T32" s="1626">
        <f t="shared" si="40"/>
        <v>0</v>
      </c>
      <c r="U32" s="1626">
        <f t="shared" si="40"/>
        <v>0</v>
      </c>
      <c r="V32" s="1626">
        <f t="shared" si="40"/>
        <v>0</v>
      </c>
      <c r="W32" s="1626">
        <f t="shared" si="40"/>
        <v>0</v>
      </c>
      <c r="X32" s="1626">
        <f t="shared" si="40"/>
        <v>0</v>
      </c>
      <c r="Y32" s="1626">
        <f t="shared" si="40"/>
        <v>0</v>
      </c>
      <c r="Z32" s="1656">
        <f t="shared" si="40"/>
        <v>0</v>
      </c>
      <c r="AA32" s="1626">
        <f t="shared" si="40"/>
        <v>0</v>
      </c>
      <c r="AB32" s="1626">
        <f t="shared" si="40"/>
        <v>0</v>
      </c>
      <c r="AC32" s="1627">
        <f t="shared" si="40"/>
        <v>0</v>
      </c>
      <c r="AD32" s="1626">
        <f t="shared" si="40"/>
        <v>0</v>
      </c>
      <c r="AE32" s="1626">
        <f t="shared" si="40"/>
        <v>0</v>
      </c>
      <c r="AG32" s="1625">
        <v>2.2999999999999998</v>
      </c>
      <c r="AH32" s="1628" t="s">
        <v>187</v>
      </c>
      <c r="AI32" s="1622" t="s">
        <v>1749</v>
      </c>
      <c r="AJ32" s="1630">
        <v>0.3</v>
      </c>
      <c r="AK32" s="1630">
        <v>0.3</v>
      </c>
      <c r="AL32" s="1630">
        <v>0.3</v>
      </c>
      <c r="AM32" s="1630">
        <v>0.3</v>
      </c>
      <c r="AN32" s="1630">
        <v>0.3</v>
      </c>
      <c r="AO32" s="1630">
        <v>0.3</v>
      </c>
      <c r="AP32" s="1630">
        <v>0.3</v>
      </c>
      <c r="AQ32" s="1660">
        <v>0.3</v>
      </c>
      <c r="AR32" s="1630">
        <v>0.3</v>
      </c>
      <c r="AS32" s="1667">
        <v>0.3</v>
      </c>
      <c r="AT32" s="1632"/>
      <c r="AU32" s="1631"/>
      <c r="AV32" s="1631"/>
      <c r="AX32" s="1625">
        <v>2.2999999999999998</v>
      </c>
      <c r="AY32" s="1628" t="s">
        <v>187</v>
      </c>
      <c r="AZ32" s="1622" t="s">
        <v>1748</v>
      </c>
      <c r="BA32" s="1631">
        <v>0.3</v>
      </c>
      <c r="BB32" s="1631">
        <v>0.3</v>
      </c>
      <c r="BC32" s="1631">
        <v>0.3</v>
      </c>
      <c r="BD32" s="1631">
        <v>0.3</v>
      </c>
      <c r="BE32" s="1631">
        <v>0.3</v>
      </c>
      <c r="BF32" s="1631">
        <v>0.3</v>
      </c>
      <c r="BG32" s="1631">
        <v>0.3</v>
      </c>
      <c r="BH32" s="1633">
        <v>0.3</v>
      </c>
      <c r="BI32" s="1631">
        <v>0.3</v>
      </c>
      <c r="BJ32" s="1631">
        <v>0.3</v>
      </c>
      <c r="BK32" s="1632">
        <v>0.3</v>
      </c>
      <c r="BL32" s="1631">
        <v>0.3</v>
      </c>
      <c r="BM32" s="1631">
        <v>0.3</v>
      </c>
      <c r="BO32" s="1625">
        <v>2.2999999999999998</v>
      </c>
      <c r="BP32" s="1628" t="s">
        <v>187</v>
      </c>
      <c r="BQ32" s="1622"/>
      <c r="BR32" s="1631"/>
      <c r="BS32" s="1631"/>
      <c r="BT32" s="1631"/>
      <c r="BU32" s="1631"/>
      <c r="BV32" s="1631"/>
      <c r="BW32" s="1631"/>
      <c r="BX32" s="1631"/>
      <c r="BY32" s="1657"/>
      <c r="BZ32" s="1631"/>
      <c r="CA32" s="1631"/>
      <c r="CB32" s="1632"/>
      <c r="CC32" s="1631"/>
      <c r="CD32" s="1631"/>
      <c r="CE32" s="1635"/>
      <c r="CG32" s="1625">
        <v>2.2999999999999998</v>
      </c>
      <c r="CH32" s="1628" t="s">
        <v>187</v>
      </c>
      <c r="CI32" s="1622"/>
      <c r="CJ32" s="1636"/>
      <c r="CK32" s="1636"/>
      <c r="CL32" s="1636"/>
      <c r="CM32" s="1636"/>
      <c r="CN32" s="1636"/>
      <c r="CO32" s="1636"/>
      <c r="CP32" s="1636"/>
      <c r="CQ32" s="1658"/>
      <c r="CR32" s="1636"/>
      <c r="CS32" s="1636"/>
      <c r="CT32" s="1640"/>
      <c r="CU32" s="1636"/>
      <c r="CV32" s="1636"/>
      <c r="CX32" s="1625">
        <v>2.2999999999999998</v>
      </c>
      <c r="CY32" s="1628" t="s">
        <v>187</v>
      </c>
      <c r="CZ32" s="1622"/>
      <c r="DA32" s="1638">
        <f>BR32</f>
        <v>0</v>
      </c>
      <c r="DB32" s="1638"/>
      <c r="DC32" s="1638"/>
      <c r="DD32" s="1638"/>
      <c r="DE32" s="1638"/>
      <c r="DF32" s="1638"/>
      <c r="DG32" s="1638"/>
      <c r="DH32" s="1659"/>
      <c r="DI32" s="1638"/>
      <c r="DJ32" s="1638"/>
      <c r="DK32" s="1642"/>
      <c r="DL32" s="1638"/>
      <c r="DM32" s="1638"/>
    </row>
    <row r="33" spans="2:117" s="1668" customFormat="1" hidden="1">
      <c r="B33" s="1584" t="str">
        <f t="shared" si="0"/>
        <v>2.3.1</v>
      </c>
      <c r="C33" s="1622">
        <f t="shared" si="1"/>
        <v>0</v>
      </c>
      <c r="D33" s="1603">
        <f>IF(I$32&gt;0,G33/I$32,0)</f>
        <v>0</v>
      </c>
      <c r="E33" s="1603">
        <f>IF(J$32&gt;0,H33/J$32,0)</f>
        <v>0</v>
      </c>
      <c r="G33" s="1624">
        <f t="shared" si="2"/>
        <v>0</v>
      </c>
      <c r="H33" s="1624">
        <f t="shared" si="3"/>
        <v>0</v>
      </c>
      <c r="I33" s="1624"/>
      <c r="J33" s="1624"/>
      <c r="K33" s="1624">
        <f>IF(Score!W33=0,0,1)</f>
        <v>0</v>
      </c>
      <c r="L33" s="1624">
        <f>IF(Score!X33=0,0,1)</f>
        <v>0</v>
      </c>
      <c r="M33" s="1624">
        <f t="shared" si="4"/>
        <v>0</v>
      </c>
      <c r="N33" s="1624">
        <f t="shared" si="5"/>
        <v>0</v>
      </c>
      <c r="P33" s="1625" t="str">
        <f t="shared" si="6"/>
        <v>2.3.1</v>
      </c>
      <c r="Q33" s="1625" t="str">
        <f t="shared" si="7"/>
        <v xml:space="preserve"> Q1 2.3</v>
      </c>
      <c r="R33" s="1622">
        <f t="shared" si="8"/>
        <v>0</v>
      </c>
      <c r="S33" s="1626">
        <f t="shared" si="16"/>
        <v>0</v>
      </c>
      <c r="T33" s="1626">
        <f t="shared" si="32"/>
        <v>0</v>
      </c>
      <c r="U33" s="1626">
        <f t="shared" si="33"/>
        <v>0</v>
      </c>
      <c r="V33" s="1626">
        <f t="shared" si="34"/>
        <v>0</v>
      </c>
      <c r="W33" s="1626">
        <f t="shared" si="35"/>
        <v>0</v>
      </c>
      <c r="X33" s="1626">
        <f t="shared" si="36"/>
        <v>0</v>
      </c>
      <c r="Y33" s="1626">
        <f t="shared" si="37"/>
        <v>0</v>
      </c>
      <c r="Z33" s="1645">
        <f t="shared" si="38"/>
        <v>0</v>
      </c>
      <c r="AA33" s="1626">
        <f t="shared" si="17"/>
        <v>0</v>
      </c>
      <c r="AB33" s="1626">
        <f t="shared" si="10"/>
        <v>0</v>
      </c>
      <c r="AC33" s="1627">
        <f t="shared" si="11"/>
        <v>0</v>
      </c>
      <c r="AD33" s="1626">
        <f t="shared" si="12"/>
        <v>0</v>
      </c>
      <c r="AE33" s="1626">
        <f t="shared" si="18"/>
        <v>0</v>
      </c>
      <c r="AG33" s="1625" t="s">
        <v>59</v>
      </c>
      <c r="AH33" s="1628" t="s">
        <v>582</v>
      </c>
      <c r="AI33" s="1622" t="s">
        <v>1750</v>
      </c>
      <c r="AJ33" s="1630">
        <v>0.5</v>
      </c>
      <c r="AK33" s="1630">
        <v>0.5</v>
      </c>
      <c r="AL33" s="1630">
        <v>0.5</v>
      </c>
      <c r="AM33" s="1630">
        <v>0.5</v>
      </c>
      <c r="AN33" s="1630">
        <v>0.5</v>
      </c>
      <c r="AO33" s="1630">
        <v>0.5</v>
      </c>
      <c r="AP33" s="1630">
        <v>0.5</v>
      </c>
      <c r="AQ33" s="1660">
        <v>0.5</v>
      </c>
      <c r="AR33" s="1630">
        <v>0.5</v>
      </c>
      <c r="AS33" s="1667">
        <v>0.5</v>
      </c>
      <c r="AT33" s="1632"/>
      <c r="AU33" s="1632"/>
      <c r="AV33" s="1632"/>
      <c r="AX33" s="1625" t="s">
        <v>60</v>
      </c>
      <c r="AY33" s="1628" t="s">
        <v>582</v>
      </c>
      <c r="AZ33" s="1622" t="s">
        <v>1750</v>
      </c>
      <c r="BA33" s="1631"/>
      <c r="BB33" s="1631"/>
      <c r="BC33" s="1631"/>
      <c r="BD33" s="1631"/>
      <c r="BE33" s="1631"/>
      <c r="BF33" s="1631"/>
      <c r="BG33" s="1631"/>
      <c r="BH33" s="1649"/>
      <c r="BI33" s="1631"/>
      <c r="BJ33" s="1631"/>
      <c r="BK33" s="1632"/>
      <c r="BL33" s="1631"/>
      <c r="BM33" s="1631"/>
      <c r="BO33" s="1625" t="s">
        <v>60</v>
      </c>
      <c r="BP33" s="1628" t="s">
        <v>582</v>
      </c>
      <c r="BQ33" s="1622"/>
      <c r="BR33" s="1669"/>
      <c r="BS33" s="1669"/>
      <c r="BT33" s="1669"/>
      <c r="BU33" s="1669"/>
      <c r="BV33" s="1669"/>
      <c r="BW33" s="1669"/>
      <c r="BX33" s="1669"/>
      <c r="BY33" s="1670">
        <v>0</v>
      </c>
      <c r="BZ33" s="1669"/>
      <c r="CA33" s="1669"/>
      <c r="CB33" s="1671"/>
      <c r="CC33" s="1669"/>
      <c r="CD33" s="1669"/>
      <c r="CE33" s="1672"/>
      <c r="CG33" s="1625" t="s">
        <v>59</v>
      </c>
      <c r="CH33" s="1628" t="s">
        <v>582</v>
      </c>
      <c r="CI33" s="1622"/>
      <c r="CJ33" s="1636"/>
      <c r="CK33" s="1636"/>
      <c r="CL33" s="1636"/>
      <c r="CM33" s="1636"/>
      <c r="CN33" s="1636"/>
      <c r="CO33" s="1636"/>
      <c r="CP33" s="1636"/>
      <c r="CQ33" s="1673"/>
      <c r="CR33" s="1636"/>
      <c r="CS33" s="1636"/>
      <c r="CT33" s="1640"/>
      <c r="CU33" s="1636"/>
      <c r="CV33" s="1636"/>
      <c r="CX33" s="1625" t="s">
        <v>59</v>
      </c>
      <c r="CY33" s="1628" t="s">
        <v>582</v>
      </c>
      <c r="CZ33" s="1622"/>
      <c r="DA33" s="1638">
        <f t="shared" si="29"/>
        <v>0</v>
      </c>
      <c r="DB33" s="1638"/>
      <c r="DC33" s="1638"/>
      <c r="DD33" s="1638"/>
      <c r="DE33" s="1638"/>
      <c r="DF33" s="1638"/>
      <c r="DG33" s="1638"/>
      <c r="DH33" s="1674"/>
      <c r="DI33" s="1638"/>
      <c r="DJ33" s="1638"/>
      <c r="DK33" s="1642"/>
      <c r="DL33" s="1638"/>
      <c r="DM33" s="1638"/>
    </row>
    <row r="34" spans="2:117" s="1668" customFormat="1" hidden="1">
      <c r="B34" s="1584" t="str">
        <f t="shared" si="0"/>
        <v>2.3.2</v>
      </c>
      <c r="C34" s="1622">
        <f t="shared" si="1"/>
        <v>0</v>
      </c>
      <c r="D34" s="1603">
        <f>IF(I$32&gt;0,G34/I$32,0)</f>
        <v>0</v>
      </c>
      <c r="E34" s="1603">
        <f>IF(J$32&gt;0,H34/J$32,0)</f>
        <v>0</v>
      </c>
      <c r="G34" s="1624">
        <f t="shared" si="2"/>
        <v>0</v>
      </c>
      <c r="H34" s="1624">
        <f t="shared" si="3"/>
        <v>0</v>
      </c>
      <c r="I34" s="1624"/>
      <c r="J34" s="1624"/>
      <c r="K34" s="1624">
        <f>IF(Score!W34=0,0,1)</f>
        <v>0</v>
      </c>
      <c r="L34" s="1624">
        <f>IF(Score!X34=0,0,1)</f>
        <v>0</v>
      </c>
      <c r="M34" s="1624">
        <f t="shared" si="4"/>
        <v>0</v>
      </c>
      <c r="N34" s="1624">
        <f t="shared" si="5"/>
        <v>0</v>
      </c>
      <c r="P34" s="1625" t="str">
        <f t="shared" si="6"/>
        <v>2.3.2</v>
      </c>
      <c r="Q34" s="1625" t="str">
        <f t="shared" si="7"/>
        <v xml:space="preserve"> Q1 2.3</v>
      </c>
      <c r="R34" s="1622">
        <f t="shared" si="8"/>
        <v>0</v>
      </c>
      <c r="S34" s="1626">
        <f t="shared" si="16"/>
        <v>0</v>
      </c>
      <c r="T34" s="1626">
        <f t="shared" si="32"/>
        <v>0</v>
      </c>
      <c r="U34" s="1626">
        <f t="shared" si="33"/>
        <v>0</v>
      </c>
      <c r="V34" s="1626">
        <f t="shared" si="34"/>
        <v>0</v>
      </c>
      <c r="W34" s="1626">
        <f t="shared" si="35"/>
        <v>0</v>
      </c>
      <c r="X34" s="1626">
        <f t="shared" si="36"/>
        <v>0</v>
      </c>
      <c r="Y34" s="1626">
        <f t="shared" si="37"/>
        <v>0</v>
      </c>
      <c r="Z34" s="1645">
        <f t="shared" si="38"/>
        <v>0</v>
      </c>
      <c r="AA34" s="1626">
        <f t="shared" si="17"/>
        <v>0</v>
      </c>
      <c r="AB34" s="1626">
        <f t="shared" si="10"/>
        <v>0</v>
      </c>
      <c r="AC34" s="1627">
        <f t="shared" si="11"/>
        <v>0</v>
      </c>
      <c r="AD34" s="1626">
        <f t="shared" si="12"/>
        <v>0</v>
      </c>
      <c r="AE34" s="1626">
        <f t="shared" si="18"/>
        <v>0</v>
      </c>
      <c r="AG34" s="1625" t="s">
        <v>61</v>
      </c>
      <c r="AH34" s="1628" t="s">
        <v>582</v>
      </c>
      <c r="AI34" s="1622" t="s">
        <v>1751</v>
      </c>
      <c r="AJ34" s="1630">
        <v>0.5</v>
      </c>
      <c r="AK34" s="1630">
        <v>0.5</v>
      </c>
      <c r="AL34" s="1630">
        <v>0.5</v>
      </c>
      <c r="AM34" s="1630">
        <v>0.5</v>
      </c>
      <c r="AN34" s="1630">
        <v>0.5</v>
      </c>
      <c r="AO34" s="1630">
        <v>0.5</v>
      </c>
      <c r="AP34" s="1630">
        <v>0.5</v>
      </c>
      <c r="AQ34" s="1630">
        <v>0.5</v>
      </c>
      <c r="AR34" s="1630">
        <v>0.5</v>
      </c>
      <c r="AS34" s="1667">
        <v>0.5</v>
      </c>
      <c r="AT34" s="1632"/>
      <c r="AU34" s="1632"/>
      <c r="AV34" s="1632"/>
      <c r="AX34" s="1625" t="s">
        <v>62</v>
      </c>
      <c r="AY34" s="1628" t="s">
        <v>582</v>
      </c>
      <c r="AZ34" s="1622" t="s">
        <v>1751</v>
      </c>
      <c r="BA34" s="1631"/>
      <c r="BB34" s="1631"/>
      <c r="BC34" s="1631"/>
      <c r="BD34" s="1631"/>
      <c r="BE34" s="1631"/>
      <c r="BF34" s="1631"/>
      <c r="BG34" s="1631"/>
      <c r="BH34" s="1649"/>
      <c r="BI34" s="1631"/>
      <c r="BJ34" s="1631"/>
      <c r="BK34" s="1632"/>
      <c r="BL34" s="1631"/>
      <c r="BM34" s="1631"/>
      <c r="BO34" s="1625" t="s">
        <v>62</v>
      </c>
      <c r="BP34" s="1628" t="s">
        <v>582</v>
      </c>
      <c r="BQ34" s="1622"/>
      <c r="BR34" s="1669"/>
      <c r="BS34" s="1669"/>
      <c r="BT34" s="1669"/>
      <c r="BU34" s="1669"/>
      <c r="BV34" s="1669"/>
      <c r="BW34" s="1669"/>
      <c r="BX34" s="1669"/>
      <c r="BY34" s="1670">
        <v>0</v>
      </c>
      <c r="BZ34" s="1669"/>
      <c r="CA34" s="1669"/>
      <c r="CB34" s="1671"/>
      <c r="CC34" s="1669"/>
      <c r="CD34" s="1669"/>
      <c r="CE34" s="1672"/>
      <c r="CG34" s="1625" t="s">
        <v>61</v>
      </c>
      <c r="CH34" s="1628" t="s">
        <v>582</v>
      </c>
      <c r="CI34" s="1622"/>
      <c r="CJ34" s="1636"/>
      <c r="CK34" s="1636"/>
      <c r="CL34" s="1636"/>
      <c r="CM34" s="1636"/>
      <c r="CN34" s="1636"/>
      <c r="CO34" s="1636"/>
      <c r="CP34" s="1636"/>
      <c r="CQ34" s="1673"/>
      <c r="CR34" s="1636"/>
      <c r="CS34" s="1636"/>
      <c r="CT34" s="1640"/>
      <c r="CU34" s="1636"/>
      <c r="CV34" s="1636"/>
      <c r="CX34" s="1625" t="s">
        <v>61</v>
      </c>
      <c r="CY34" s="1628" t="s">
        <v>582</v>
      </c>
      <c r="CZ34" s="1622"/>
      <c r="DA34" s="1638">
        <f t="shared" si="29"/>
        <v>0</v>
      </c>
      <c r="DB34" s="1638"/>
      <c r="DC34" s="1638"/>
      <c r="DD34" s="1638"/>
      <c r="DE34" s="1638"/>
      <c r="DF34" s="1638"/>
      <c r="DG34" s="1638"/>
      <c r="DH34" s="1674"/>
      <c r="DI34" s="1638"/>
      <c r="DJ34" s="1638"/>
      <c r="DK34" s="1642"/>
      <c r="DL34" s="1638"/>
      <c r="DM34" s="1638"/>
    </row>
    <row r="35" spans="2:117">
      <c r="B35" s="1584">
        <f t="shared" si="0"/>
        <v>3</v>
      </c>
      <c r="C35" s="1600" t="str">
        <f t="shared" si="1"/>
        <v>Lighting &amp; Illumination</v>
      </c>
      <c r="D35" s="1601">
        <f>IF(I$9=0,0,G35/I$9)</f>
        <v>0.25</v>
      </c>
      <c r="E35" s="1602">
        <f>IF(J$9=0,0,H35/J$9)</f>
        <v>0</v>
      </c>
      <c r="G35" s="1602">
        <f t="shared" si="2"/>
        <v>0.25</v>
      </c>
      <c r="H35" s="1602">
        <f t="shared" si="3"/>
        <v>0</v>
      </c>
      <c r="I35" s="1602">
        <f>G36+G40+G44+G47</f>
        <v>1</v>
      </c>
      <c r="J35" s="1602">
        <f>H36+H40+H44+H47</f>
        <v>0</v>
      </c>
      <c r="K35" s="1602">
        <f>IF(L35&gt;0,1,IF(Score!Z35=0,0,1))</f>
        <v>1</v>
      </c>
      <c r="L35" s="1602">
        <f>IF(Score!AB35=0,0,1)</f>
        <v>0</v>
      </c>
      <c r="M35" s="1602">
        <f t="shared" si="4"/>
        <v>0.25</v>
      </c>
      <c r="N35" s="1602">
        <f t="shared" si="5"/>
        <v>0</v>
      </c>
      <c r="P35" s="1604">
        <f t="shared" si="6"/>
        <v>3</v>
      </c>
      <c r="Q35" s="1604" t="str">
        <f t="shared" si="7"/>
        <v xml:space="preserve"> Q1</v>
      </c>
      <c r="R35" s="1600" t="str">
        <f t="shared" si="8"/>
        <v>Lighting &amp; Illumination</v>
      </c>
      <c r="S35" s="1605">
        <f t="shared" si="16"/>
        <v>0.25</v>
      </c>
      <c r="T35" s="1605">
        <f t="shared" si="32"/>
        <v>0.25</v>
      </c>
      <c r="U35" s="1605">
        <f t="shared" si="33"/>
        <v>0.25</v>
      </c>
      <c r="V35" s="1605">
        <f t="shared" si="34"/>
        <v>0.25</v>
      </c>
      <c r="W35" s="1605">
        <f t="shared" si="35"/>
        <v>0.25</v>
      </c>
      <c r="X35" s="1605">
        <f t="shared" si="36"/>
        <v>0.25</v>
      </c>
      <c r="Y35" s="1605">
        <f t="shared" si="37"/>
        <v>0.25</v>
      </c>
      <c r="Z35" s="1651">
        <f t="shared" si="38"/>
        <v>0.25</v>
      </c>
      <c r="AA35" s="1605">
        <f t="shared" si="17"/>
        <v>0.25</v>
      </c>
      <c r="AB35" s="1605">
        <f t="shared" si="10"/>
        <v>0.25</v>
      </c>
      <c r="AC35" s="1607">
        <f t="shared" si="11"/>
        <v>0</v>
      </c>
      <c r="AD35" s="1605">
        <f t="shared" si="12"/>
        <v>0</v>
      </c>
      <c r="AE35" s="1605">
        <f t="shared" si="18"/>
        <v>0</v>
      </c>
      <c r="AG35" s="1604">
        <v>3</v>
      </c>
      <c r="AH35" s="1608" t="s">
        <v>179</v>
      </c>
      <c r="AI35" s="1600" t="s">
        <v>1752</v>
      </c>
      <c r="AJ35" s="1609">
        <v>0.25</v>
      </c>
      <c r="AK35" s="1609">
        <v>0.25</v>
      </c>
      <c r="AL35" s="1609">
        <v>0.25</v>
      </c>
      <c r="AM35" s="1609">
        <v>0.25</v>
      </c>
      <c r="AN35" s="1609">
        <v>0.25</v>
      </c>
      <c r="AO35" s="1609">
        <v>0.25</v>
      </c>
      <c r="AP35" s="1609">
        <v>0.25</v>
      </c>
      <c r="AQ35" s="1675">
        <v>0</v>
      </c>
      <c r="AR35" s="1609">
        <v>0.25</v>
      </c>
      <c r="AS35" s="1611">
        <v>0.25</v>
      </c>
      <c r="AT35" s="1612"/>
      <c r="AU35" s="1611"/>
      <c r="AV35" s="1611"/>
      <c r="AX35" s="1604">
        <v>3</v>
      </c>
      <c r="AY35" s="1608" t="s">
        <v>179</v>
      </c>
      <c r="AZ35" s="1600" t="s">
        <v>1752</v>
      </c>
      <c r="BA35" s="1611">
        <v>0.25</v>
      </c>
      <c r="BB35" s="1611">
        <v>0.25</v>
      </c>
      <c r="BC35" s="1611">
        <v>0.25</v>
      </c>
      <c r="BD35" s="1611">
        <v>0.25</v>
      </c>
      <c r="BE35" s="1611">
        <v>0.25</v>
      </c>
      <c r="BF35" s="1611">
        <v>0.25</v>
      </c>
      <c r="BG35" s="1611">
        <v>0.25</v>
      </c>
      <c r="BH35" s="1652"/>
      <c r="BI35" s="1611">
        <v>0.25</v>
      </c>
      <c r="BJ35" s="1611">
        <v>0.25</v>
      </c>
      <c r="BK35" s="1612"/>
      <c r="BL35" s="1611"/>
      <c r="BM35" s="1611"/>
      <c r="BO35" s="1604">
        <v>3</v>
      </c>
      <c r="BP35" s="1608" t="s">
        <v>179</v>
      </c>
      <c r="BQ35" s="1600" t="s">
        <v>2718</v>
      </c>
      <c r="BR35" s="1611">
        <v>0.25</v>
      </c>
      <c r="BS35" s="1611">
        <v>0.25</v>
      </c>
      <c r="BT35" s="1611">
        <v>0.25</v>
      </c>
      <c r="BU35" s="1611">
        <v>0.25</v>
      </c>
      <c r="BV35" s="1611">
        <v>0.25</v>
      </c>
      <c r="BW35" s="1611">
        <v>0.25</v>
      </c>
      <c r="BX35" s="1611">
        <v>0.25</v>
      </c>
      <c r="BY35" s="1653">
        <v>0.25</v>
      </c>
      <c r="BZ35" s="1611">
        <v>0.25</v>
      </c>
      <c r="CA35" s="1611">
        <v>0.25</v>
      </c>
      <c r="CB35" s="1612"/>
      <c r="CC35" s="1611"/>
      <c r="CD35" s="1611"/>
      <c r="CE35" s="1615"/>
      <c r="CG35" s="1604">
        <v>3</v>
      </c>
      <c r="CH35" s="1608" t="s">
        <v>179</v>
      </c>
      <c r="CI35" s="1600" t="s">
        <v>1752</v>
      </c>
      <c r="CJ35" s="1616">
        <f t="shared" si="19"/>
        <v>0.25</v>
      </c>
      <c r="CK35" s="1616">
        <f t="shared" si="20"/>
        <v>0.25</v>
      </c>
      <c r="CL35" s="1616">
        <f t="shared" si="21"/>
        <v>0.25</v>
      </c>
      <c r="CM35" s="1616">
        <f t="shared" si="22"/>
        <v>0.25</v>
      </c>
      <c r="CN35" s="1616">
        <f t="shared" si="23"/>
        <v>0.25</v>
      </c>
      <c r="CO35" s="1616">
        <f t="shared" si="24"/>
        <v>0.25</v>
      </c>
      <c r="CP35" s="1616">
        <f t="shared" si="25"/>
        <v>0.25</v>
      </c>
      <c r="CQ35" s="1654">
        <f t="shared" si="26"/>
        <v>0.25</v>
      </c>
      <c r="CR35" s="1616">
        <f t="shared" si="27"/>
        <v>0.25</v>
      </c>
      <c r="CS35" s="1616">
        <f t="shared" si="28"/>
        <v>0.25</v>
      </c>
      <c r="CT35" s="1618">
        <f t="shared" si="13"/>
        <v>0</v>
      </c>
      <c r="CU35" s="1616">
        <f t="shared" si="14"/>
        <v>0</v>
      </c>
      <c r="CV35" s="1616">
        <f t="shared" si="15"/>
        <v>0</v>
      </c>
      <c r="CX35" s="1604">
        <v>3</v>
      </c>
      <c r="CY35" s="1608" t="s">
        <v>179</v>
      </c>
      <c r="CZ35" s="1600" t="s">
        <v>1752</v>
      </c>
      <c r="DA35" s="1619">
        <f t="shared" si="29"/>
        <v>0.25</v>
      </c>
      <c r="DB35" s="1619"/>
      <c r="DC35" s="1619"/>
      <c r="DD35" s="1619"/>
      <c r="DE35" s="1619"/>
      <c r="DF35" s="1619"/>
      <c r="DG35" s="1619"/>
      <c r="DH35" s="1655"/>
      <c r="DI35" s="1619"/>
      <c r="DJ35" s="1619"/>
      <c r="DK35" s="1621"/>
      <c r="DL35" s="1619"/>
      <c r="DM35" s="1619"/>
    </row>
    <row r="36" spans="2:117">
      <c r="B36" s="1584">
        <f t="shared" si="0"/>
        <v>3.1</v>
      </c>
      <c r="C36" s="1622" t="str">
        <f t="shared" si="1"/>
        <v>Daylighting</v>
      </c>
      <c r="D36" s="1623">
        <f>IF(I$35=0,0,G36/I$35)</f>
        <v>0.3</v>
      </c>
      <c r="E36" s="1624">
        <f>IF(J$35=0,0,H36/J$35)</f>
        <v>0</v>
      </c>
      <c r="G36" s="1624">
        <f t="shared" si="2"/>
        <v>0.3</v>
      </c>
      <c r="H36" s="1624">
        <f t="shared" si="3"/>
        <v>0</v>
      </c>
      <c r="I36" s="1624">
        <f>SUM(G37:G39)</f>
        <v>1</v>
      </c>
      <c r="J36" s="1624">
        <f>SUM(H37:H39)</f>
        <v>0</v>
      </c>
      <c r="K36" s="1624">
        <f>IF(Score!Z36=0,0,1)</f>
        <v>1</v>
      </c>
      <c r="L36" s="1624">
        <f>IF(Score!AB36=0,0,1)</f>
        <v>0</v>
      </c>
      <c r="M36" s="1624">
        <f t="shared" si="4"/>
        <v>0.3</v>
      </c>
      <c r="N36" s="1624">
        <f t="shared" si="5"/>
        <v>0</v>
      </c>
      <c r="P36" s="1625">
        <f t="shared" si="6"/>
        <v>3.1</v>
      </c>
      <c r="Q36" s="1625" t="str">
        <f t="shared" si="7"/>
        <v xml:space="preserve"> Q1 3</v>
      </c>
      <c r="R36" s="1622" t="str">
        <f t="shared" si="8"/>
        <v>Daylighting</v>
      </c>
      <c r="S36" s="1626">
        <f t="shared" si="16"/>
        <v>0.3</v>
      </c>
      <c r="T36" s="1626">
        <f t="shared" si="32"/>
        <v>0.3</v>
      </c>
      <c r="U36" s="1626">
        <f t="shared" si="33"/>
        <v>0.5</v>
      </c>
      <c r="V36" s="1626">
        <f t="shared" si="34"/>
        <v>1</v>
      </c>
      <c r="W36" s="1626">
        <f t="shared" si="35"/>
        <v>0.3</v>
      </c>
      <c r="X36" s="1626">
        <f t="shared" si="36"/>
        <v>0.3</v>
      </c>
      <c r="Y36" s="1626">
        <f t="shared" si="37"/>
        <v>0.3</v>
      </c>
      <c r="Z36" s="1656">
        <f t="shared" si="38"/>
        <v>0.3</v>
      </c>
      <c r="AA36" s="1626">
        <f t="shared" si="17"/>
        <v>0.3</v>
      </c>
      <c r="AB36" s="1626">
        <f t="shared" si="10"/>
        <v>0.3</v>
      </c>
      <c r="AC36" s="1627">
        <f t="shared" si="11"/>
        <v>0.3</v>
      </c>
      <c r="AD36" s="1626">
        <f t="shared" si="12"/>
        <v>0.3</v>
      </c>
      <c r="AE36" s="1626">
        <f t="shared" si="18"/>
        <v>0.3</v>
      </c>
      <c r="AG36" s="1625">
        <v>3.1</v>
      </c>
      <c r="AH36" s="1628" t="s">
        <v>583</v>
      </c>
      <c r="AI36" s="1622" t="s">
        <v>1753</v>
      </c>
      <c r="AJ36" s="1630">
        <v>0.3</v>
      </c>
      <c r="AK36" s="1630">
        <v>0.3</v>
      </c>
      <c r="AL36" s="1630">
        <v>0.5</v>
      </c>
      <c r="AM36" s="1630">
        <v>1</v>
      </c>
      <c r="AN36" s="1630">
        <v>0.3</v>
      </c>
      <c r="AO36" s="1630">
        <v>0.3</v>
      </c>
      <c r="AP36" s="1630">
        <v>0.3</v>
      </c>
      <c r="AQ36" s="1660"/>
      <c r="AR36" s="1630">
        <v>0.3</v>
      </c>
      <c r="AS36" s="1631">
        <v>0.3</v>
      </c>
      <c r="AT36" s="1632">
        <v>0.3</v>
      </c>
      <c r="AU36" s="1631">
        <v>0.3</v>
      </c>
      <c r="AV36" s="1631">
        <v>0.3</v>
      </c>
      <c r="AX36" s="1625">
        <v>3.1</v>
      </c>
      <c r="AY36" s="1628" t="s">
        <v>583</v>
      </c>
      <c r="AZ36" s="1622" t="s">
        <v>1753</v>
      </c>
      <c r="BA36" s="1631">
        <v>0.3</v>
      </c>
      <c r="BB36" s="1631">
        <v>0.3</v>
      </c>
      <c r="BC36" s="1631">
        <v>0.5</v>
      </c>
      <c r="BD36" s="1631">
        <v>1</v>
      </c>
      <c r="BE36" s="1631">
        <v>0.3</v>
      </c>
      <c r="BF36" s="1631">
        <v>0.3</v>
      </c>
      <c r="BG36" s="1631">
        <v>0.3</v>
      </c>
      <c r="BH36" s="1633"/>
      <c r="BI36" s="1631">
        <v>0.3</v>
      </c>
      <c r="BJ36" s="1631">
        <v>0.3</v>
      </c>
      <c r="BK36" s="1632">
        <v>0.3</v>
      </c>
      <c r="BL36" s="1631">
        <v>0.3</v>
      </c>
      <c r="BM36" s="1631">
        <v>0.3</v>
      </c>
      <c r="BO36" s="1625">
        <v>3.1</v>
      </c>
      <c r="BP36" s="1628" t="s">
        <v>583</v>
      </c>
      <c r="BQ36" s="1622" t="s">
        <v>1577</v>
      </c>
      <c r="BR36" s="1631">
        <v>0.3</v>
      </c>
      <c r="BS36" s="1631">
        <v>0.3</v>
      </c>
      <c r="BT36" s="1631">
        <v>0.5</v>
      </c>
      <c r="BU36" s="1631">
        <v>1</v>
      </c>
      <c r="BV36" s="1631">
        <v>0.3</v>
      </c>
      <c r="BW36" s="1631">
        <v>0.3</v>
      </c>
      <c r="BX36" s="1631">
        <v>0.3</v>
      </c>
      <c r="BY36" s="1676">
        <v>0.3</v>
      </c>
      <c r="BZ36" s="1631">
        <v>0.3</v>
      </c>
      <c r="CA36" s="1631">
        <v>0.3</v>
      </c>
      <c r="CB36" s="1632">
        <v>0.3</v>
      </c>
      <c r="CC36" s="1631">
        <v>0.3</v>
      </c>
      <c r="CD36" s="1631">
        <v>0.3</v>
      </c>
      <c r="CE36" s="1635"/>
      <c r="CG36" s="1625">
        <v>3.1</v>
      </c>
      <c r="CH36" s="1628" t="s">
        <v>583</v>
      </c>
      <c r="CI36" s="1622" t="s">
        <v>1753</v>
      </c>
      <c r="CJ36" s="1636">
        <f t="shared" si="19"/>
        <v>0.3</v>
      </c>
      <c r="CK36" s="1636">
        <f t="shared" si="20"/>
        <v>0.3</v>
      </c>
      <c r="CL36" s="1636">
        <f t="shared" si="21"/>
        <v>0.5</v>
      </c>
      <c r="CM36" s="1636">
        <f t="shared" si="22"/>
        <v>1</v>
      </c>
      <c r="CN36" s="1636">
        <f t="shared" si="23"/>
        <v>0.3</v>
      </c>
      <c r="CO36" s="1636">
        <f t="shared" si="24"/>
        <v>0.3</v>
      </c>
      <c r="CP36" s="1636">
        <f t="shared" si="25"/>
        <v>0.3</v>
      </c>
      <c r="CQ36" s="1636">
        <f t="shared" si="25"/>
        <v>0.3</v>
      </c>
      <c r="CR36" s="1636">
        <f t="shared" si="27"/>
        <v>0.3</v>
      </c>
      <c r="CS36" s="1636">
        <f t="shared" si="28"/>
        <v>0.3</v>
      </c>
      <c r="CT36" s="1640">
        <f t="shared" si="13"/>
        <v>0.3</v>
      </c>
      <c r="CU36" s="1636">
        <f t="shared" si="14"/>
        <v>0.3</v>
      </c>
      <c r="CV36" s="1636">
        <f t="shared" si="15"/>
        <v>0.3</v>
      </c>
      <c r="CX36" s="1625">
        <v>3.1</v>
      </c>
      <c r="CY36" s="1628" t="s">
        <v>583</v>
      </c>
      <c r="CZ36" s="1622" t="s">
        <v>1753</v>
      </c>
      <c r="DA36" s="1638">
        <f t="shared" si="29"/>
        <v>0.3</v>
      </c>
      <c r="DB36" s="1638"/>
      <c r="DC36" s="1638"/>
      <c r="DD36" s="1638"/>
      <c r="DE36" s="1638"/>
      <c r="DF36" s="1638"/>
      <c r="DG36" s="1638"/>
      <c r="DH36" s="1638"/>
      <c r="DI36" s="1638"/>
      <c r="DJ36" s="1638"/>
      <c r="DK36" s="1642"/>
      <c r="DL36" s="1638"/>
      <c r="DM36" s="1638"/>
    </row>
    <row r="37" spans="2:117">
      <c r="B37" s="1584" t="str">
        <f t="shared" si="0"/>
        <v>3.1.1</v>
      </c>
      <c r="C37" s="1622" t="str">
        <f t="shared" si="1"/>
        <v>Daylight Factor</v>
      </c>
      <c r="D37" s="1603">
        <f t="shared" ref="D37:E39" si="41">IF(I$36&gt;0,G37/I$36,0)</f>
        <v>0.6</v>
      </c>
      <c r="E37" s="1624">
        <f t="shared" si="41"/>
        <v>0</v>
      </c>
      <c r="G37" s="1624">
        <f t="shared" si="2"/>
        <v>0.6</v>
      </c>
      <c r="H37" s="1624">
        <f t="shared" si="3"/>
        <v>0</v>
      </c>
      <c r="I37" s="1624"/>
      <c r="J37" s="1624"/>
      <c r="K37" s="1624">
        <f>IF(Score!W37=0,0,1)</f>
        <v>1</v>
      </c>
      <c r="L37" s="1624">
        <f>IF(Score!X37=0,0,1)</f>
        <v>1</v>
      </c>
      <c r="M37" s="1624">
        <f t="shared" si="4"/>
        <v>0.6</v>
      </c>
      <c r="N37" s="1624">
        <f t="shared" si="5"/>
        <v>0</v>
      </c>
      <c r="P37" s="1625" t="str">
        <f t="shared" si="6"/>
        <v>3.1.1</v>
      </c>
      <c r="Q37" s="1625" t="str">
        <f t="shared" si="7"/>
        <v xml:space="preserve"> Q1 3.1</v>
      </c>
      <c r="R37" s="1622" t="str">
        <f t="shared" si="8"/>
        <v>Daylight Factor</v>
      </c>
      <c r="S37" s="1626">
        <f t="shared" si="16"/>
        <v>0.6</v>
      </c>
      <c r="T37" s="1626">
        <f t="shared" si="32"/>
        <v>0.6</v>
      </c>
      <c r="U37" s="1626">
        <f t="shared" si="33"/>
        <v>0</v>
      </c>
      <c r="V37" s="1626">
        <f t="shared" si="34"/>
        <v>0</v>
      </c>
      <c r="W37" s="1626">
        <f t="shared" si="35"/>
        <v>0.6</v>
      </c>
      <c r="X37" s="1626">
        <f t="shared" si="36"/>
        <v>0.6</v>
      </c>
      <c r="Y37" s="1626">
        <f t="shared" si="37"/>
        <v>0.6</v>
      </c>
      <c r="Z37" s="1656">
        <f t="shared" si="38"/>
        <v>0.6</v>
      </c>
      <c r="AA37" s="1626">
        <f t="shared" si="17"/>
        <v>0.6</v>
      </c>
      <c r="AB37" s="1626">
        <f t="shared" si="10"/>
        <v>0.6</v>
      </c>
      <c r="AC37" s="1627">
        <f t="shared" si="11"/>
        <v>0.6</v>
      </c>
      <c r="AD37" s="1626">
        <f t="shared" si="12"/>
        <v>0.6</v>
      </c>
      <c r="AE37" s="1626">
        <f t="shared" si="18"/>
        <v>0.5</v>
      </c>
      <c r="AG37" s="1625" t="s">
        <v>238</v>
      </c>
      <c r="AH37" s="1628" t="s">
        <v>584</v>
      </c>
      <c r="AI37" s="1622" t="s">
        <v>1754</v>
      </c>
      <c r="AJ37" s="1630">
        <v>0.6</v>
      </c>
      <c r="AK37" s="1630">
        <v>0.6</v>
      </c>
      <c r="AL37" s="1630"/>
      <c r="AM37" s="1630"/>
      <c r="AN37" s="1630">
        <v>0.6</v>
      </c>
      <c r="AO37" s="1630">
        <v>0.6</v>
      </c>
      <c r="AP37" s="1630">
        <v>0.6</v>
      </c>
      <c r="AQ37" s="1660"/>
      <c r="AR37" s="1630">
        <v>0.6</v>
      </c>
      <c r="AS37" s="1631">
        <v>0.6</v>
      </c>
      <c r="AT37" s="1632">
        <v>0.6</v>
      </c>
      <c r="AU37" s="1631">
        <v>0.6</v>
      </c>
      <c r="AV37" s="1631">
        <v>0.5</v>
      </c>
      <c r="AX37" s="1625" t="s">
        <v>238</v>
      </c>
      <c r="AY37" s="1628" t="s">
        <v>584</v>
      </c>
      <c r="AZ37" s="1622" t="s">
        <v>1754</v>
      </c>
      <c r="BA37" s="1631">
        <v>0.6</v>
      </c>
      <c r="BB37" s="1631">
        <v>0.6</v>
      </c>
      <c r="BC37" s="1631"/>
      <c r="BD37" s="1631"/>
      <c r="BE37" s="1631">
        <v>0.6</v>
      </c>
      <c r="BF37" s="1631">
        <v>0.6</v>
      </c>
      <c r="BG37" s="1631">
        <v>0.6</v>
      </c>
      <c r="BH37" s="1633"/>
      <c r="BI37" s="1631">
        <v>0.6</v>
      </c>
      <c r="BJ37" s="1631">
        <v>0.6</v>
      </c>
      <c r="BK37" s="1632">
        <v>0.6</v>
      </c>
      <c r="BL37" s="1631">
        <v>0.6</v>
      </c>
      <c r="BM37" s="1631">
        <v>0.5</v>
      </c>
      <c r="BO37" s="1625" t="s">
        <v>238</v>
      </c>
      <c r="BP37" s="1628" t="s">
        <v>584</v>
      </c>
      <c r="BQ37" s="1622" t="s">
        <v>1568</v>
      </c>
      <c r="BR37" s="1631">
        <v>0.6</v>
      </c>
      <c r="BS37" s="1631">
        <v>0.6</v>
      </c>
      <c r="BT37" s="1631"/>
      <c r="BU37" s="1631"/>
      <c r="BV37" s="1631">
        <v>0.6</v>
      </c>
      <c r="BW37" s="1631">
        <v>0.6</v>
      </c>
      <c r="BX37" s="1631">
        <v>0.6</v>
      </c>
      <c r="BY37" s="1657">
        <v>0.6</v>
      </c>
      <c r="BZ37" s="1631">
        <v>0.6</v>
      </c>
      <c r="CA37" s="1631">
        <v>0.6</v>
      </c>
      <c r="CB37" s="1632">
        <v>0.6</v>
      </c>
      <c r="CC37" s="1631">
        <v>0.6</v>
      </c>
      <c r="CD37" s="1631">
        <v>0.5</v>
      </c>
      <c r="CE37" s="1635"/>
      <c r="CG37" s="1625" t="s">
        <v>238</v>
      </c>
      <c r="CH37" s="1628" t="s">
        <v>584</v>
      </c>
      <c r="CI37" s="1622" t="s">
        <v>1754</v>
      </c>
      <c r="CJ37" s="1636">
        <f t="shared" si="19"/>
        <v>0.6</v>
      </c>
      <c r="CK37" s="1636">
        <f t="shared" si="20"/>
        <v>0.6</v>
      </c>
      <c r="CL37" s="1636">
        <f t="shared" si="21"/>
        <v>0</v>
      </c>
      <c r="CM37" s="1636">
        <f t="shared" si="22"/>
        <v>0</v>
      </c>
      <c r="CN37" s="1636">
        <f t="shared" si="23"/>
        <v>0.6</v>
      </c>
      <c r="CO37" s="1636">
        <f t="shared" si="24"/>
        <v>0.6</v>
      </c>
      <c r="CP37" s="1636">
        <f t="shared" si="25"/>
        <v>0.6</v>
      </c>
      <c r="CQ37" s="1636">
        <f t="shared" si="25"/>
        <v>0.6</v>
      </c>
      <c r="CR37" s="1636">
        <f t="shared" si="27"/>
        <v>0.6</v>
      </c>
      <c r="CS37" s="1636">
        <f t="shared" si="28"/>
        <v>0.6</v>
      </c>
      <c r="CT37" s="1640">
        <f t="shared" si="13"/>
        <v>0.6</v>
      </c>
      <c r="CU37" s="1636">
        <f t="shared" si="14"/>
        <v>0.6</v>
      </c>
      <c r="CV37" s="1636">
        <f t="shared" si="15"/>
        <v>0.5</v>
      </c>
      <c r="CX37" s="1625" t="s">
        <v>238</v>
      </c>
      <c r="CY37" s="1628" t="s">
        <v>584</v>
      </c>
      <c r="CZ37" s="1622" t="s">
        <v>1754</v>
      </c>
      <c r="DA37" s="1638">
        <f t="shared" si="29"/>
        <v>0.6</v>
      </c>
      <c r="DB37" s="1638"/>
      <c r="DC37" s="1638"/>
      <c r="DD37" s="1638"/>
      <c r="DE37" s="1638"/>
      <c r="DF37" s="1638"/>
      <c r="DG37" s="1638"/>
      <c r="DH37" s="1638"/>
      <c r="DI37" s="1638"/>
      <c r="DJ37" s="1638"/>
      <c r="DK37" s="1642"/>
      <c r="DL37" s="1638"/>
      <c r="DM37" s="1638"/>
    </row>
    <row r="38" spans="2:117">
      <c r="B38" s="1584" t="str">
        <f t="shared" si="0"/>
        <v>3.1.2</v>
      </c>
      <c r="C38" s="1622" t="str">
        <f t="shared" si="1"/>
        <v>Openings by Orientation</v>
      </c>
      <c r="D38" s="1603">
        <f t="shared" si="41"/>
        <v>0</v>
      </c>
      <c r="E38" s="1624">
        <f t="shared" si="41"/>
        <v>0</v>
      </c>
      <c r="G38" s="1624">
        <f t="shared" si="2"/>
        <v>0</v>
      </c>
      <c r="H38" s="1624">
        <f t="shared" si="3"/>
        <v>0</v>
      </c>
      <c r="I38" s="1624"/>
      <c r="J38" s="1624"/>
      <c r="K38" s="1624">
        <f>IF(Score!W38=0,0,1)</f>
        <v>0</v>
      </c>
      <c r="L38" s="1624">
        <f>IF(Score!X38=0,0,1)</f>
        <v>1</v>
      </c>
      <c r="M38" s="1624">
        <f t="shared" si="4"/>
        <v>0</v>
      </c>
      <c r="N38" s="1624">
        <f t="shared" si="5"/>
        <v>0</v>
      </c>
      <c r="P38" s="1625" t="str">
        <f t="shared" si="6"/>
        <v>3.1.2</v>
      </c>
      <c r="Q38" s="1625" t="str">
        <f t="shared" si="7"/>
        <v xml:space="preserve"> Q1 3.1</v>
      </c>
      <c r="R38" s="1622" t="str">
        <f t="shared" si="8"/>
        <v>Openings by Orientation</v>
      </c>
      <c r="S38" s="1626">
        <f t="shared" si="16"/>
        <v>0</v>
      </c>
      <c r="T38" s="1626">
        <f t="shared" si="32"/>
        <v>0</v>
      </c>
      <c r="U38" s="1626">
        <f t="shared" si="33"/>
        <v>0</v>
      </c>
      <c r="V38" s="1626">
        <f t="shared" si="34"/>
        <v>0</v>
      </c>
      <c r="W38" s="1626">
        <f t="shared" si="35"/>
        <v>0</v>
      </c>
      <c r="X38" s="1626">
        <f t="shared" si="36"/>
        <v>0</v>
      </c>
      <c r="Y38" s="1626">
        <f t="shared" si="37"/>
        <v>0</v>
      </c>
      <c r="Z38" s="1656">
        <f t="shared" si="38"/>
        <v>0</v>
      </c>
      <c r="AA38" s="1626">
        <f t="shared" si="17"/>
        <v>0</v>
      </c>
      <c r="AB38" s="1626">
        <f t="shared" si="10"/>
        <v>0</v>
      </c>
      <c r="AC38" s="1627">
        <f t="shared" si="11"/>
        <v>0</v>
      </c>
      <c r="AD38" s="1626">
        <f t="shared" si="12"/>
        <v>0</v>
      </c>
      <c r="AE38" s="1626">
        <f t="shared" si="18"/>
        <v>0.3</v>
      </c>
      <c r="AG38" s="1625" t="s">
        <v>239</v>
      </c>
      <c r="AH38" s="1628" t="s">
        <v>584</v>
      </c>
      <c r="AI38" s="1622" t="s">
        <v>1755</v>
      </c>
      <c r="AJ38" s="1630"/>
      <c r="AK38" s="1630"/>
      <c r="AL38" s="1630"/>
      <c r="AM38" s="1630"/>
      <c r="AN38" s="1630"/>
      <c r="AO38" s="1630"/>
      <c r="AP38" s="1630"/>
      <c r="AQ38" s="1660"/>
      <c r="AR38" s="1630"/>
      <c r="AS38" s="1631"/>
      <c r="AT38" s="1632"/>
      <c r="AU38" s="1631"/>
      <c r="AV38" s="1631">
        <v>0.3</v>
      </c>
      <c r="AX38" s="1625" t="s">
        <v>239</v>
      </c>
      <c r="AY38" s="1628" t="s">
        <v>584</v>
      </c>
      <c r="AZ38" s="1622" t="s">
        <v>1755</v>
      </c>
      <c r="BA38" s="1631"/>
      <c r="BB38" s="1631"/>
      <c r="BC38" s="1631"/>
      <c r="BD38" s="1631"/>
      <c r="BE38" s="1631"/>
      <c r="BF38" s="1631"/>
      <c r="BG38" s="1631"/>
      <c r="BH38" s="1633"/>
      <c r="BI38" s="1631"/>
      <c r="BJ38" s="1631"/>
      <c r="BK38" s="1632"/>
      <c r="BL38" s="1631"/>
      <c r="BM38" s="1631">
        <v>0.3</v>
      </c>
      <c r="BO38" s="1625" t="s">
        <v>239</v>
      </c>
      <c r="BP38" s="1628" t="s">
        <v>584</v>
      </c>
      <c r="BQ38" s="1622" t="s">
        <v>1569</v>
      </c>
      <c r="BR38" s="1631"/>
      <c r="BS38" s="1631"/>
      <c r="BT38" s="1631"/>
      <c r="BU38" s="1631"/>
      <c r="BV38" s="1631"/>
      <c r="BW38" s="1631"/>
      <c r="BX38" s="1631"/>
      <c r="BY38" s="1657"/>
      <c r="BZ38" s="1631"/>
      <c r="CA38" s="1631"/>
      <c r="CB38" s="1632"/>
      <c r="CC38" s="1631"/>
      <c r="CD38" s="1631">
        <v>0.3</v>
      </c>
      <c r="CE38" s="1635"/>
      <c r="CG38" s="1625" t="s">
        <v>239</v>
      </c>
      <c r="CH38" s="1628" t="s">
        <v>584</v>
      </c>
      <c r="CI38" s="1622" t="s">
        <v>1755</v>
      </c>
      <c r="CJ38" s="1636">
        <f t="shared" si="19"/>
        <v>0</v>
      </c>
      <c r="CK38" s="1636">
        <f t="shared" si="20"/>
        <v>0</v>
      </c>
      <c r="CL38" s="1636">
        <f t="shared" si="21"/>
        <v>0</v>
      </c>
      <c r="CM38" s="1636">
        <f t="shared" si="22"/>
        <v>0</v>
      </c>
      <c r="CN38" s="1636">
        <f t="shared" si="23"/>
        <v>0</v>
      </c>
      <c r="CO38" s="1636">
        <f t="shared" si="24"/>
        <v>0</v>
      </c>
      <c r="CP38" s="1636">
        <f t="shared" si="25"/>
        <v>0</v>
      </c>
      <c r="CQ38" s="1636">
        <f t="shared" si="25"/>
        <v>0</v>
      </c>
      <c r="CR38" s="1636">
        <f t="shared" si="27"/>
        <v>0</v>
      </c>
      <c r="CS38" s="1636">
        <f t="shared" si="28"/>
        <v>0</v>
      </c>
      <c r="CT38" s="1640">
        <f t="shared" si="13"/>
        <v>0</v>
      </c>
      <c r="CU38" s="1636">
        <f t="shared" si="14"/>
        <v>0</v>
      </c>
      <c r="CV38" s="1636">
        <f t="shared" si="15"/>
        <v>0.3</v>
      </c>
      <c r="CX38" s="1625" t="s">
        <v>239</v>
      </c>
      <c r="CY38" s="1628" t="s">
        <v>584</v>
      </c>
      <c r="CZ38" s="1622" t="s">
        <v>1755</v>
      </c>
      <c r="DA38" s="1638">
        <f t="shared" si="29"/>
        <v>0</v>
      </c>
      <c r="DB38" s="1638"/>
      <c r="DC38" s="1638"/>
      <c r="DD38" s="1638"/>
      <c r="DE38" s="1638"/>
      <c r="DF38" s="1638"/>
      <c r="DG38" s="1638"/>
      <c r="DH38" s="1638"/>
      <c r="DI38" s="1638"/>
      <c r="DJ38" s="1638"/>
      <c r="DK38" s="1642"/>
      <c r="DL38" s="1638"/>
      <c r="DM38" s="1638"/>
    </row>
    <row r="39" spans="2:117">
      <c r="B39" s="1584" t="str">
        <f t="shared" si="0"/>
        <v>3.1.3</v>
      </c>
      <c r="C39" s="1622" t="str">
        <f t="shared" si="1"/>
        <v>Daylight Devices</v>
      </c>
      <c r="D39" s="1603">
        <f t="shared" si="41"/>
        <v>0.4</v>
      </c>
      <c r="E39" s="1624">
        <f t="shared" si="41"/>
        <v>0</v>
      </c>
      <c r="G39" s="1624">
        <f t="shared" si="2"/>
        <v>0.4</v>
      </c>
      <c r="H39" s="1624">
        <f t="shared" si="3"/>
        <v>0</v>
      </c>
      <c r="I39" s="1624"/>
      <c r="J39" s="1624"/>
      <c r="K39" s="1624">
        <f>IF(Score!W39=0,0,1)</f>
        <v>1</v>
      </c>
      <c r="L39" s="1624">
        <f>IF(Score!X39=0,0,1)</f>
        <v>1</v>
      </c>
      <c r="M39" s="1624">
        <f t="shared" si="4"/>
        <v>0.4</v>
      </c>
      <c r="N39" s="1624">
        <f t="shared" si="5"/>
        <v>0</v>
      </c>
      <c r="P39" s="1625" t="str">
        <f t="shared" si="6"/>
        <v>3.1.3</v>
      </c>
      <c r="Q39" s="1625" t="str">
        <f t="shared" si="7"/>
        <v xml:space="preserve"> Q1 3.1</v>
      </c>
      <c r="R39" s="1622" t="str">
        <f t="shared" si="8"/>
        <v>Daylight Devices</v>
      </c>
      <c r="S39" s="1626">
        <f t="shared" si="16"/>
        <v>0.4</v>
      </c>
      <c r="T39" s="1626">
        <f t="shared" si="32"/>
        <v>0.4</v>
      </c>
      <c r="U39" s="1626">
        <f t="shared" si="33"/>
        <v>1</v>
      </c>
      <c r="V39" s="1626">
        <f t="shared" si="34"/>
        <v>1</v>
      </c>
      <c r="W39" s="1626">
        <f t="shared" si="35"/>
        <v>0.4</v>
      </c>
      <c r="X39" s="1626">
        <f t="shared" si="36"/>
        <v>0.4</v>
      </c>
      <c r="Y39" s="1626">
        <f t="shared" si="37"/>
        <v>0.4</v>
      </c>
      <c r="Z39" s="1656">
        <f t="shared" si="38"/>
        <v>0.4</v>
      </c>
      <c r="AA39" s="1626">
        <f t="shared" si="17"/>
        <v>0.4</v>
      </c>
      <c r="AB39" s="1626">
        <f t="shared" si="10"/>
        <v>0.4</v>
      </c>
      <c r="AC39" s="1627">
        <f t="shared" si="11"/>
        <v>0.4</v>
      </c>
      <c r="AD39" s="1626">
        <f t="shared" si="12"/>
        <v>0.4</v>
      </c>
      <c r="AE39" s="1626">
        <f t="shared" si="18"/>
        <v>0.2</v>
      </c>
      <c r="AG39" s="1625" t="s">
        <v>240</v>
      </c>
      <c r="AH39" s="1628" t="s">
        <v>584</v>
      </c>
      <c r="AI39" s="1622" t="s">
        <v>1756</v>
      </c>
      <c r="AJ39" s="1630">
        <v>0.4</v>
      </c>
      <c r="AK39" s="1630">
        <v>0.4</v>
      </c>
      <c r="AL39" s="1630">
        <v>1</v>
      </c>
      <c r="AM39" s="1630">
        <v>1</v>
      </c>
      <c r="AN39" s="1630">
        <v>0.4</v>
      </c>
      <c r="AO39" s="1630">
        <v>0.4</v>
      </c>
      <c r="AP39" s="1630">
        <v>0.4</v>
      </c>
      <c r="AQ39" s="1660"/>
      <c r="AR39" s="1630">
        <v>0.4</v>
      </c>
      <c r="AS39" s="1631">
        <v>0.4</v>
      </c>
      <c r="AT39" s="1632">
        <v>0.4</v>
      </c>
      <c r="AU39" s="1631">
        <v>0.4</v>
      </c>
      <c r="AV39" s="1631">
        <v>0.2</v>
      </c>
      <c r="AX39" s="1625" t="s">
        <v>240</v>
      </c>
      <c r="AY39" s="1628" t="s">
        <v>584</v>
      </c>
      <c r="AZ39" s="1622" t="s">
        <v>1756</v>
      </c>
      <c r="BA39" s="1631">
        <v>0.4</v>
      </c>
      <c r="BB39" s="1631">
        <v>0.4</v>
      </c>
      <c r="BC39" s="1631">
        <v>1</v>
      </c>
      <c r="BD39" s="1631">
        <v>1</v>
      </c>
      <c r="BE39" s="1631">
        <v>0.4</v>
      </c>
      <c r="BF39" s="1631">
        <v>0.4</v>
      </c>
      <c r="BG39" s="1631">
        <v>0.4</v>
      </c>
      <c r="BH39" s="1633"/>
      <c r="BI39" s="1631">
        <v>0.4</v>
      </c>
      <c r="BJ39" s="1631">
        <v>0.4</v>
      </c>
      <c r="BK39" s="1632">
        <v>0.4</v>
      </c>
      <c r="BL39" s="1631">
        <v>0.4</v>
      </c>
      <c r="BM39" s="1631">
        <v>0.2</v>
      </c>
      <c r="BO39" s="1625" t="s">
        <v>240</v>
      </c>
      <c r="BP39" s="1628" t="s">
        <v>584</v>
      </c>
      <c r="BQ39" s="1622" t="s">
        <v>1570</v>
      </c>
      <c r="BR39" s="1631">
        <v>0.4</v>
      </c>
      <c r="BS39" s="1631">
        <v>0.4</v>
      </c>
      <c r="BT39" s="1631">
        <v>1</v>
      </c>
      <c r="BU39" s="1631">
        <v>1</v>
      </c>
      <c r="BV39" s="1631">
        <v>0.4</v>
      </c>
      <c r="BW39" s="1631">
        <v>0.4</v>
      </c>
      <c r="BX39" s="1631">
        <v>0.4</v>
      </c>
      <c r="BY39" s="1657">
        <v>0.4</v>
      </c>
      <c r="BZ39" s="1631">
        <v>0.4</v>
      </c>
      <c r="CA39" s="1631">
        <v>0.4</v>
      </c>
      <c r="CB39" s="1632">
        <v>0.4</v>
      </c>
      <c r="CC39" s="1631">
        <v>0.4</v>
      </c>
      <c r="CD39" s="1631">
        <v>0.2</v>
      </c>
      <c r="CE39" s="1635"/>
      <c r="CG39" s="1625" t="s">
        <v>240</v>
      </c>
      <c r="CH39" s="1628" t="s">
        <v>584</v>
      </c>
      <c r="CI39" s="1622" t="s">
        <v>1756</v>
      </c>
      <c r="CJ39" s="1636">
        <f t="shared" si="19"/>
        <v>0.4</v>
      </c>
      <c r="CK39" s="1636">
        <f t="shared" si="20"/>
        <v>0.4</v>
      </c>
      <c r="CL39" s="1636">
        <f t="shared" si="21"/>
        <v>1</v>
      </c>
      <c r="CM39" s="1636">
        <f t="shared" si="22"/>
        <v>1</v>
      </c>
      <c r="CN39" s="1636">
        <f t="shared" si="23"/>
        <v>0.4</v>
      </c>
      <c r="CO39" s="1636">
        <f t="shared" si="24"/>
        <v>0.4</v>
      </c>
      <c r="CP39" s="1636">
        <f t="shared" si="25"/>
        <v>0.4</v>
      </c>
      <c r="CQ39" s="1636">
        <f t="shared" si="25"/>
        <v>0.4</v>
      </c>
      <c r="CR39" s="1636">
        <f t="shared" si="27"/>
        <v>0.4</v>
      </c>
      <c r="CS39" s="1636">
        <f t="shared" si="28"/>
        <v>0.4</v>
      </c>
      <c r="CT39" s="1640">
        <f t="shared" si="13"/>
        <v>0.4</v>
      </c>
      <c r="CU39" s="1636">
        <f t="shared" si="14"/>
        <v>0.4</v>
      </c>
      <c r="CV39" s="1636">
        <f t="shared" si="15"/>
        <v>0.2</v>
      </c>
      <c r="CX39" s="1625" t="s">
        <v>240</v>
      </c>
      <c r="CY39" s="1628" t="s">
        <v>584</v>
      </c>
      <c r="CZ39" s="1622" t="s">
        <v>1756</v>
      </c>
      <c r="DA39" s="1638">
        <f t="shared" si="29"/>
        <v>0.4</v>
      </c>
      <c r="DB39" s="1638"/>
      <c r="DC39" s="1638"/>
      <c r="DD39" s="1638"/>
      <c r="DE39" s="1638"/>
      <c r="DF39" s="1638"/>
      <c r="DG39" s="1638"/>
      <c r="DH39" s="1638"/>
      <c r="DI39" s="1638"/>
      <c r="DJ39" s="1638"/>
      <c r="DK39" s="1642"/>
      <c r="DL39" s="1638"/>
      <c r="DM39" s="1638"/>
    </row>
    <row r="40" spans="2:117">
      <c r="B40" s="1584">
        <f t="shared" si="0"/>
        <v>3.2</v>
      </c>
      <c r="C40" s="1622" t="str">
        <f t="shared" si="1"/>
        <v>Anti-glare Measures</v>
      </c>
      <c r="D40" s="1623">
        <f>IF(I$35=0,0,G40/I$35)</f>
        <v>0.3</v>
      </c>
      <c r="E40" s="1624">
        <f>IF(J$35=0,0,H40/J$35)</f>
        <v>0</v>
      </c>
      <c r="G40" s="1624">
        <f>K40*M40</f>
        <v>0.3</v>
      </c>
      <c r="H40" s="1624">
        <f t="shared" si="3"/>
        <v>0</v>
      </c>
      <c r="I40" s="1624">
        <f>SUM(G41:G43)</f>
        <v>1</v>
      </c>
      <c r="J40" s="1624">
        <f>SUM(H41:H43)</f>
        <v>0</v>
      </c>
      <c r="K40" s="1624">
        <f>IF(Score!Z40=0,0,1)</f>
        <v>1</v>
      </c>
      <c r="L40" s="1624">
        <f>IF(Score!AB40=0,0,1)</f>
        <v>0</v>
      </c>
      <c r="M40" s="1624">
        <f t="shared" si="4"/>
        <v>0.3</v>
      </c>
      <c r="N40" s="1624">
        <f t="shared" si="5"/>
        <v>0</v>
      </c>
      <c r="P40" s="1625">
        <f t="shared" si="6"/>
        <v>3.2</v>
      </c>
      <c r="Q40" s="1625" t="str">
        <f t="shared" si="7"/>
        <v xml:space="preserve"> Q1 3</v>
      </c>
      <c r="R40" s="1622" t="str">
        <f t="shared" si="8"/>
        <v>Anti-glare Measures</v>
      </c>
      <c r="S40" s="1626">
        <f t="shared" si="16"/>
        <v>0.3</v>
      </c>
      <c r="T40" s="1626">
        <f t="shared" si="32"/>
        <v>0.3</v>
      </c>
      <c r="U40" s="1626">
        <f t="shared" si="33"/>
        <v>0</v>
      </c>
      <c r="V40" s="1626">
        <f t="shared" si="34"/>
        <v>0</v>
      </c>
      <c r="W40" s="1626">
        <f t="shared" si="35"/>
        <v>0.3</v>
      </c>
      <c r="X40" s="1626">
        <f t="shared" si="36"/>
        <v>0.3</v>
      </c>
      <c r="Y40" s="1626">
        <f t="shared" si="37"/>
        <v>0.3</v>
      </c>
      <c r="Z40" s="1656">
        <f t="shared" si="38"/>
        <v>0</v>
      </c>
      <c r="AA40" s="1626">
        <f t="shared" si="17"/>
        <v>0.3</v>
      </c>
      <c r="AB40" s="1626">
        <f t="shared" si="10"/>
        <v>0.3</v>
      </c>
      <c r="AC40" s="1627">
        <f t="shared" si="11"/>
        <v>0.3</v>
      </c>
      <c r="AD40" s="1626">
        <f t="shared" si="12"/>
        <v>0.3</v>
      </c>
      <c r="AE40" s="1626">
        <f t="shared" si="18"/>
        <v>0.3</v>
      </c>
      <c r="AG40" s="1625">
        <v>3.2</v>
      </c>
      <c r="AH40" s="1628" t="s">
        <v>583</v>
      </c>
      <c r="AI40" s="1622" t="s">
        <v>1757</v>
      </c>
      <c r="AJ40" s="1630">
        <v>0.3</v>
      </c>
      <c r="AK40" s="1630">
        <v>0.3</v>
      </c>
      <c r="AL40" s="1630"/>
      <c r="AM40" s="1630"/>
      <c r="AN40" s="1630">
        <v>0.3</v>
      </c>
      <c r="AO40" s="1630">
        <v>0.3</v>
      </c>
      <c r="AP40" s="1630">
        <v>0.3</v>
      </c>
      <c r="AQ40" s="1660"/>
      <c r="AR40" s="1630">
        <v>0.3</v>
      </c>
      <c r="AS40" s="1631">
        <v>0.3</v>
      </c>
      <c r="AT40" s="1632">
        <v>0.3</v>
      </c>
      <c r="AU40" s="1631">
        <v>0.3</v>
      </c>
      <c r="AV40" s="1631">
        <v>0.3</v>
      </c>
      <c r="AX40" s="1625">
        <v>3.2</v>
      </c>
      <c r="AY40" s="1628" t="s">
        <v>583</v>
      </c>
      <c r="AZ40" s="1622" t="s">
        <v>1757</v>
      </c>
      <c r="BA40" s="1631">
        <v>0.3</v>
      </c>
      <c r="BB40" s="1631">
        <v>0.3</v>
      </c>
      <c r="BC40" s="1631"/>
      <c r="BD40" s="1631"/>
      <c r="BE40" s="1631">
        <v>0.3</v>
      </c>
      <c r="BF40" s="1631">
        <v>0.3</v>
      </c>
      <c r="BG40" s="1631">
        <v>0.3</v>
      </c>
      <c r="BH40" s="1633"/>
      <c r="BI40" s="1631">
        <v>0.3</v>
      </c>
      <c r="BJ40" s="1631">
        <v>0.3</v>
      </c>
      <c r="BK40" s="1632">
        <v>0.3</v>
      </c>
      <c r="BL40" s="1631">
        <v>0.3</v>
      </c>
      <c r="BM40" s="1631">
        <v>0.3</v>
      </c>
      <c r="BO40" s="1625">
        <v>3.2</v>
      </c>
      <c r="BP40" s="1628" t="s">
        <v>583</v>
      </c>
      <c r="BQ40" s="1622" t="s">
        <v>1565</v>
      </c>
      <c r="BR40" s="1631">
        <v>0.3</v>
      </c>
      <c r="BS40" s="1631">
        <v>0.3</v>
      </c>
      <c r="BT40" s="1631"/>
      <c r="BU40" s="1631"/>
      <c r="BV40" s="1631">
        <v>0.3</v>
      </c>
      <c r="BW40" s="1631">
        <v>0.3</v>
      </c>
      <c r="BX40" s="1631">
        <v>0.3</v>
      </c>
      <c r="BY40" s="1677"/>
      <c r="BZ40" s="1631">
        <v>0.3</v>
      </c>
      <c r="CA40" s="1631">
        <v>0.3</v>
      </c>
      <c r="CB40" s="1632">
        <v>0.3</v>
      </c>
      <c r="CC40" s="1631">
        <v>0.3</v>
      </c>
      <c r="CD40" s="1631">
        <v>0.3</v>
      </c>
      <c r="CE40" s="1635"/>
      <c r="CG40" s="1625">
        <v>3.2</v>
      </c>
      <c r="CH40" s="1628" t="s">
        <v>583</v>
      </c>
      <c r="CI40" s="1622" t="s">
        <v>1757</v>
      </c>
      <c r="CJ40" s="1636">
        <f t="shared" si="19"/>
        <v>0.3</v>
      </c>
      <c r="CK40" s="1636">
        <f t="shared" si="20"/>
        <v>0.3</v>
      </c>
      <c r="CL40" s="1636">
        <f t="shared" si="21"/>
        <v>0</v>
      </c>
      <c r="CM40" s="1636">
        <f t="shared" si="22"/>
        <v>0</v>
      </c>
      <c r="CN40" s="1636">
        <f t="shared" si="23"/>
        <v>0.3</v>
      </c>
      <c r="CO40" s="1636">
        <f t="shared" si="24"/>
        <v>0.3</v>
      </c>
      <c r="CP40" s="1636">
        <f t="shared" si="25"/>
        <v>0.3</v>
      </c>
      <c r="CQ40" s="1636">
        <f t="shared" si="25"/>
        <v>0</v>
      </c>
      <c r="CR40" s="1636">
        <f t="shared" si="27"/>
        <v>0.3</v>
      </c>
      <c r="CS40" s="1636">
        <f t="shared" si="28"/>
        <v>0.3</v>
      </c>
      <c r="CT40" s="1640">
        <f t="shared" si="13"/>
        <v>0.3</v>
      </c>
      <c r="CU40" s="1636">
        <f t="shared" si="14"/>
        <v>0.3</v>
      </c>
      <c r="CV40" s="1636">
        <f t="shared" si="15"/>
        <v>0.3</v>
      </c>
      <c r="CX40" s="1625">
        <v>3.2</v>
      </c>
      <c r="CY40" s="1628" t="s">
        <v>583</v>
      </c>
      <c r="CZ40" s="1622" t="s">
        <v>1757</v>
      </c>
      <c r="DA40" s="1638">
        <f t="shared" si="29"/>
        <v>0.3</v>
      </c>
      <c r="DB40" s="1638"/>
      <c r="DC40" s="1638"/>
      <c r="DD40" s="1638"/>
      <c r="DE40" s="1638"/>
      <c r="DF40" s="1638"/>
      <c r="DG40" s="1638"/>
      <c r="DH40" s="1638"/>
      <c r="DI40" s="1638"/>
      <c r="DJ40" s="1638"/>
      <c r="DK40" s="1642"/>
      <c r="DL40" s="1638"/>
      <c r="DM40" s="1638"/>
    </row>
    <row r="41" spans="2:117" hidden="1">
      <c r="B41" s="1584" t="str">
        <f t="shared" si="0"/>
        <v>3.2.1</v>
      </c>
      <c r="C41" s="1622" t="str">
        <f>R41</f>
        <v>Glare from Light Fixtures</v>
      </c>
      <c r="D41" s="1603">
        <f t="shared" ref="D41:E43" si="42">IF(I$40&gt;0,G41/I$40,0)</f>
        <v>0</v>
      </c>
      <c r="E41" s="1624">
        <f t="shared" si="42"/>
        <v>0</v>
      </c>
      <c r="G41" s="1624">
        <f t="shared" si="2"/>
        <v>0</v>
      </c>
      <c r="H41" s="1624">
        <f t="shared" si="3"/>
        <v>0</v>
      </c>
      <c r="I41" s="1624"/>
      <c r="J41" s="1624"/>
      <c r="K41" s="1624">
        <f>IF(Score!W41=0,0,1)</f>
        <v>0</v>
      </c>
      <c r="L41" s="1624">
        <f>IF(Score!X41=0,0,1)</f>
        <v>0</v>
      </c>
      <c r="M41" s="1624">
        <f t="shared" si="4"/>
        <v>0</v>
      </c>
      <c r="N41" s="1624">
        <f t="shared" si="5"/>
        <v>0</v>
      </c>
      <c r="P41" s="1625" t="str">
        <f t="shared" si="6"/>
        <v>3.2.1</v>
      </c>
      <c r="Q41" s="1625" t="str">
        <f t="shared" si="7"/>
        <v xml:space="preserve"> Q1 3.2</v>
      </c>
      <c r="R41" s="1622" t="str">
        <f t="shared" si="8"/>
        <v>Glare from Light Fixtures</v>
      </c>
      <c r="S41" s="1626">
        <f t="shared" si="16"/>
        <v>0</v>
      </c>
      <c r="T41" s="1626">
        <f t="shared" si="32"/>
        <v>0</v>
      </c>
      <c r="U41" s="1626">
        <f t="shared" si="33"/>
        <v>0</v>
      </c>
      <c r="V41" s="1626">
        <f t="shared" si="34"/>
        <v>0</v>
      </c>
      <c r="W41" s="1626">
        <f t="shared" si="35"/>
        <v>0</v>
      </c>
      <c r="X41" s="1626">
        <f t="shared" si="36"/>
        <v>0</v>
      </c>
      <c r="Y41" s="1626">
        <f t="shared" si="37"/>
        <v>0</v>
      </c>
      <c r="Z41" s="1656">
        <f t="shared" si="38"/>
        <v>0</v>
      </c>
      <c r="AA41" s="1626">
        <f t="shared" si="17"/>
        <v>0</v>
      </c>
      <c r="AB41" s="1626">
        <f t="shared" si="10"/>
        <v>0</v>
      </c>
      <c r="AC41" s="1627">
        <f t="shared" si="11"/>
        <v>0</v>
      </c>
      <c r="AD41" s="1626">
        <f t="shared" si="12"/>
        <v>0</v>
      </c>
      <c r="AE41" s="1626">
        <f t="shared" si="18"/>
        <v>0</v>
      </c>
      <c r="AG41" s="1625" t="s">
        <v>241</v>
      </c>
      <c r="AH41" s="1628" t="s">
        <v>588</v>
      </c>
      <c r="AI41" s="1622" t="s">
        <v>1758</v>
      </c>
      <c r="AJ41" s="1646">
        <v>0.4</v>
      </c>
      <c r="AK41" s="1646">
        <v>0.4</v>
      </c>
      <c r="AL41" s="1646"/>
      <c r="AM41" s="1646"/>
      <c r="AN41" s="1646">
        <v>0.4</v>
      </c>
      <c r="AO41" s="1646">
        <v>0.4</v>
      </c>
      <c r="AP41" s="1646">
        <v>0.4</v>
      </c>
      <c r="AQ41" s="1663"/>
      <c r="AR41" s="1646">
        <v>0.4</v>
      </c>
      <c r="AS41" s="1667">
        <v>0.3</v>
      </c>
      <c r="AT41" s="1632">
        <v>0.4</v>
      </c>
      <c r="AU41" s="1631">
        <v>0.4</v>
      </c>
      <c r="AV41" s="1631">
        <v>0.4</v>
      </c>
      <c r="AX41" s="1625" t="s">
        <v>241</v>
      </c>
      <c r="AY41" s="1628" t="s">
        <v>588</v>
      </c>
      <c r="AZ41" s="1622" t="s">
        <v>1758</v>
      </c>
      <c r="BA41" s="1631"/>
      <c r="BB41" s="1631"/>
      <c r="BC41" s="1631"/>
      <c r="BD41" s="1631"/>
      <c r="BE41" s="1631"/>
      <c r="BF41" s="1631"/>
      <c r="BG41" s="1631"/>
      <c r="BH41" s="1633"/>
      <c r="BI41" s="1631"/>
      <c r="BJ41" s="1631"/>
      <c r="BK41" s="1632"/>
      <c r="BL41" s="1631"/>
      <c r="BM41" s="1631"/>
      <c r="BO41" s="1625" t="s">
        <v>241</v>
      </c>
      <c r="BP41" s="1628" t="s">
        <v>588</v>
      </c>
      <c r="BQ41" s="1622" t="s">
        <v>1571</v>
      </c>
      <c r="BR41" s="1661"/>
      <c r="BS41" s="1661"/>
      <c r="BT41" s="1661"/>
      <c r="BU41" s="1661"/>
      <c r="BV41" s="1661"/>
      <c r="BW41" s="1661"/>
      <c r="BX41" s="1661"/>
      <c r="BY41" s="1678"/>
      <c r="BZ41" s="1661"/>
      <c r="CA41" s="1661"/>
      <c r="CB41" s="1661"/>
      <c r="CC41" s="1661"/>
      <c r="CD41" s="1661"/>
      <c r="CE41" s="1635"/>
      <c r="CG41" s="1625" t="s">
        <v>241</v>
      </c>
      <c r="CH41" s="1628" t="s">
        <v>588</v>
      </c>
      <c r="CI41" s="1622" t="s">
        <v>1758</v>
      </c>
      <c r="CJ41" s="1636">
        <f t="shared" si="19"/>
        <v>0</v>
      </c>
      <c r="CK41" s="1636">
        <f t="shared" si="20"/>
        <v>0</v>
      </c>
      <c r="CL41" s="1636">
        <f t="shared" si="21"/>
        <v>0</v>
      </c>
      <c r="CM41" s="1636">
        <f t="shared" si="22"/>
        <v>0</v>
      </c>
      <c r="CN41" s="1636">
        <f t="shared" si="23"/>
        <v>0</v>
      </c>
      <c r="CO41" s="1636">
        <f t="shared" si="24"/>
        <v>0</v>
      </c>
      <c r="CP41" s="1636">
        <f t="shared" si="25"/>
        <v>0</v>
      </c>
      <c r="CQ41" s="1636">
        <f t="shared" si="25"/>
        <v>0</v>
      </c>
      <c r="CR41" s="1636">
        <f t="shared" si="27"/>
        <v>0</v>
      </c>
      <c r="CS41" s="1636">
        <f t="shared" si="28"/>
        <v>0</v>
      </c>
      <c r="CT41" s="1640">
        <f t="shared" si="13"/>
        <v>0</v>
      </c>
      <c r="CU41" s="1636">
        <f t="shared" si="14"/>
        <v>0</v>
      </c>
      <c r="CV41" s="1636">
        <f t="shared" si="15"/>
        <v>0</v>
      </c>
      <c r="CX41" s="1625" t="s">
        <v>241</v>
      </c>
      <c r="CY41" s="1628" t="s">
        <v>588</v>
      </c>
      <c r="CZ41" s="1622" t="s">
        <v>1758</v>
      </c>
      <c r="DA41" s="1637">
        <v>0</v>
      </c>
      <c r="DB41" s="1638"/>
      <c r="DC41" s="1638"/>
      <c r="DD41" s="1638"/>
      <c r="DE41" s="1638"/>
      <c r="DF41" s="1638"/>
      <c r="DG41" s="1638"/>
      <c r="DH41" s="1638"/>
      <c r="DI41" s="1638"/>
      <c r="DJ41" s="1638"/>
      <c r="DK41" s="1642"/>
      <c r="DL41" s="1638"/>
      <c r="DM41" s="1638"/>
    </row>
    <row r="42" spans="2:117">
      <c r="B42" s="1584" t="str">
        <f t="shared" si="0"/>
        <v>3.2.1</v>
      </c>
      <c r="C42" s="1622" t="str">
        <f t="shared" si="1"/>
        <v>Daylight Control</v>
      </c>
      <c r="D42" s="1603">
        <f t="shared" si="42"/>
        <v>1</v>
      </c>
      <c r="E42" s="1624">
        <f t="shared" si="42"/>
        <v>0</v>
      </c>
      <c r="G42" s="1624">
        <f t="shared" ref="G42:G75" si="43">K42*M42</f>
        <v>1</v>
      </c>
      <c r="H42" s="1624">
        <f t="shared" ref="H42:H75" si="44">L42*N42</f>
        <v>0</v>
      </c>
      <c r="I42" s="1624"/>
      <c r="J42" s="1624"/>
      <c r="K42" s="1624">
        <f>IF(Score!W42=0,0,1)</f>
        <v>1</v>
      </c>
      <c r="L42" s="1624">
        <f>IF(Score!X42=0,0,1)</f>
        <v>1</v>
      </c>
      <c r="M42" s="1624">
        <f t="shared" ref="M42:M75" si="45">SUMPRODUCT($S$7:$AB$7,S42:AB42)</f>
        <v>1</v>
      </c>
      <c r="N42" s="1624">
        <f t="shared" ref="N42:N75" si="46">(AC$7*AC42)+(AD$7*AD42)+(AE$7*AE42)</f>
        <v>0</v>
      </c>
      <c r="P42" s="1625" t="str">
        <f t="shared" si="6"/>
        <v>3.2.1</v>
      </c>
      <c r="Q42" s="1625" t="str">
        <f t="shared" si="7"/>
        <v xml:space="preserve"> Q1 3.2</v>
      </c>
      <c r="R42" s="1622" t="str">
        <f t="shared" si="8"/>
        <v>Daylight Control</v>
      </c>
      <c r="S42" s="1626">
        <f t="shared" si="16"/>
        <v>1</v>
      </c>
      <c r="T42" s="1626">
        <f t="shared" si="32"/>
        <v>1</v>
      </c>
      <c r="U42" s="1626">
        <f t="shared" si="33"/>
        <v>0</v>
      </c>
      <c r="V42" s="1626">
        <f t="shared" si="34"/>
        <v>0</v>
      </c>
      <c r="W42" s="1626">
        <f t="shared" si="35"/>
        <v>1</v>
      </c>
      <c r="X42" s="1626">
        <f t="shared" si="36"/>
        <v>1</v>
      </c>
      <c r="Y42" s="1626">
        <f t="shared" si="37"/>
        <v>1</v>
      </c>
      <c r="Z42" s="1656">
        <f t="shared" si="38"/>
        <v>0</v>
      </c>
      <c r="AA42" s="1626">
        <f t="shared" si="17"/>
        <v>1</v>
      </c>
      <c r="AB42" s="1626">
        <f t="shared" si="10"/>
        <v>1</v>
      </c>
      <c r="AC42" s="1627">
        <f t="shared" si="11"/>
        <v>1</v>
      </c>
      <c r="AD42" s="1626">
        <f t="shared" si="12"/>
        <v>1</v>
      </c>
      <c r="AE42" s="1626">
        <f t="shared" si="18"/>
        <v>1</v>
      </c>
      <c r="AG42" s="1625" t="s">
        <v>242</v>
      </c>
      <c r="AH42" s="1628" t="s">
        <v>588</v>
      </c>
      <c r="AI42" s="1622" t="s">
        <v>1759</v>
      </c>
      <c r="AJ42" s="1630">
        <v>0.6</v>
      </c>
      <c r="AK42" s="1630">
        <v>0.6</v>
      </c>
      <c r="AL42" s="1630"/>
      <c r="AM42" s="1630"/>
      <c r="AN42" s="1630">
        <v>0.6</v>
      </c>
      <c r="AO42" s="1630">
        <v>0.6</v>
      </c>
      <c r="AP42" s="1630">
        <v>0.6</v>
      </c>
      <c r="AQ42" s="1660"/>
      <c r="AR42" s="1630">
        <v>0.6</v>
      </c>
      <c r="AS42" s="1667">
        <v>0.4</v>
      </c>
      <c r="AT42" s="1632">
        <v>0.6</v>
      </c>
      <c r="AU42" s="1631">
        <v>0.6</v>
      </c>
      <c r="AV42" s="1631">
        <v>0.6</v>
      </c>
      <c r="AX42" s="1625" t="s">
        <v>242</v>
      </c>
      <c r="AY42" s="1628" t="s">
        <v>588</v>
      </c>
      <c r="AZ42" s="1622" t="s">
        <v>1759</v>
      </c>
      <c r="BA42" s="1631">
        <v>1</v>
      </c>
      <c r="BB42" s="1631">
        <v>1</v>
      </c>
      <c r="BC42" s="1631"/>
      <c r="BD42" s="1631"/>
      <c r="BE42" s="1631">
        <v>1</v>
      </c>
      <c r="BF42" s="1631">
        <v>1</v>
      </c>
      <c r="BG42" s="1631">
        <v>1</v>
      </c>
      <c r="BH42" s="1633"/>
      <c r="BI42" s="1631">
        <v>1</v>
      </c>
      <c r="BJ42" s="1631">
        <v>1</v>
      </c>
      <c r="BK42" s="1632">
        <v>1</v>
      </c>
      <c r="BL42" s="1631">
        <v>1</v>
      </c>
      <c r="BM42" s="1631">
        <v>1</v>
      </c>
      <c r="BO42" s="1625" t="s">
        <v>241</v>
      </c>
      <c r="BP42" s="1628" t="s">
        <v>588</v>
      </c>
      <c r="BQ42" s="1622" t="s">
        <v>1572</v>
      </c>
      <c r="BR42" s="1661">
        <v>1</v>
      </c>
      <c r="BS42" s="1661">
        <v>1</v>
      </c>
      <c r="BT42" s="1661"/>
      <c r="BU42" s="1661"/>
      <c r="BV42" s="1661">
        <v>1</v>
      </c>
      <c r="BW42" s="1661">
        <v>1</v>
      </c>
      <c r="BX42" s="1661">
        <v>1</v>
      </c>
      <c r="BY42" s="1678"/>
      <c r="BZ42" s="1661">
        <v>1</v>
      </c>
      <c r="CA42" s="1661">
        <v>1</v>
      </c>
      <c r="CB42" s="1661">
        <v>1</v>
      </c>
      <c r="CC42" s="1661">
        <v>1</v>
      </c>
      <c r="CD42" s="1661">
        <v>1</v>
      </c>
      <c r="CE42" s="1635"/>
      <c r="CG42" s="1625" t="s">
        <v>242</v>
      </c>
      <c r="CH42" s="1628" t="s">
        <v>588</v>
      </c>
      <c r="CI42" s="1622" t="s">
        <v>1759</v>
      </c>
      <c r="CJ42" s="1636">
        <f t="shared" si="19"/>
        <v>1</v>
      </c>
      <c r="CK42" s="1636">
        <f t="shared" si="20"/>
        <v>1</v>
      </c>
      <c r="CL42" s="1636">
        <f t="shared" si="21"/>
        <v>0</v>
      </c>
      <c r="CM42" s="1636">
        <f t="shared" si="22"/>
        <v>0</v>
      </c>
      <c r="CN42" s="1636">
        <f t="shared" si="23"/>
        <v>1</v>
      </c>
      <c r="CO42" s="1636">
        <f t="shared" si="24"/>
        <v>1</v>
      </c>
      <c r="CP42" s="1636">
        <f t="shared" si="25"/>
        <v>1</v>
      </c>
      <c r="CQ42" s="1636">
        <f t="shared" si="25"/>
        <v>0</v>
      </c>
      <c r="CR42" s="1636">
        <f t="shared" si="27"/>
        <v>1</v>
      </c>
      <c r="CS42" s="1636">
        <f t="shared" si="28"/>
        <v>1</v>
      </c>
      <c r="CT42" s="1640">
        <f t="shared" si="13"/>
        <v>1</v>
      </c>
      <c r="CU42" s="1636">
        <f t="shared" si="14"/>
        <v>1</v>
      </c>
      <c r="CV42" s="1636">
        <f t="shared" si="15"/>
        <v>1</v>
      </c>
      <c r="CX42" s="1625" t="s">
        <v>242</v>
      </c>
      <c r="CY42" s="1628" t="s">
        <v>588</v>
      </c>
      <c r="CZ42" s="1622" t="s">
        <v>1759</v>
      </c>
      <c r="DA42" s="1637">
        <v>1</v>
      </c>
      <c r="DB42" s="1638"/>
      <c r="DC42" s="1638"/>
      <c r="DD42" s="1638"/>
      <c r="DE42" s="1638"/>
      <c r="DF42" s="1638"/>
      <c r="DG42" s="1638"/>
      <c r="DH42" s="1638"/>
      <c r="DI42" s="1638"/>
      <c r="DJ42" s="1638"/>
      <c r="DK42" s="1642"/>
      <c r="DL42" s="1638"/>
      <c r="DM42" s="1638"/>
    </row>
    <row r="43" spans="2:117">
      <c r="B43" s="1584" t="s">
        <v>243</v>
      </c>
      <c r="C43" s="1679" t="str">
        <f t="shared" si="1"/>
        <v>Reflection Control</v>
      </c>
      <c r="D43" s="1680">
        <f>IF(I$40&gt;0,G43/I$40,0)</f>
        <v>0</v>
      </c>
      <c r="E43" s="1681">
        <f t="shared" si="42"/>
        <v>0</v>
      </c>
      <c r="G43" s="1681">
        <f t="shared" si="43"/>
        <v>0</v>
      </c>
      <c r="H43" s="1681">
        <f t="shared" si="44"/>
        <v>0</v>
      </c>
      <c r="I43" s="1681"/>
      <c r="J43" s="1681"/>
      <c r="K43" s="1681">
        <f>IF(Score!W43=0,0,1)</f>
        <v>0</v>
      </c>
      <c r="L43" s="1681">
        <f>IF(Score!X43=0,0,1)</f>
        <v>0</v>
      </c>
      <c r="M43" s="1681">
        <f t="shared" si="45"/>
        <v>0</v>
      </c>
      <c r="N43" s="1681">
        <f t="shared" si="46"/>
        <v>0</v>
      </c>
      <c r="P43" s="1682" t="str">
        <f t="shared" si="6"/>
        <v>3.2.3</v>
      </c>
      <c r="Q43" s="1682" t="str">
        <f t="shared" si="7"/>
        <v xml:space="preserve"> Q1 3.3</v>
      </c>
      <c r="R43" s="1679" t="str">
        <f t="shared" si="8"/>
        <v>Reflection Control</v>
      </c>
      <c r="S43" s="1683">
        <f t="shared" si="16"/>
        <v>0</v>
      </c>
      <c r="T43" s="1683">
        <f t="shared" si="32"/>
        <v>0</v>
      </c>
      <c r="U43" s="1683">
        <f t="shared" si="33"/>
        <v>0</v>
      </c>
      <c r="V43" s="1683">
        <f t="shared" si="34"/>
        <v>0</v>
      </c>
      <c r="W43" s="1683">
        <f t="shared" si="35"/>
        <v>0</v>
      </c>
      <c r="X43" s="1683">
        <f t="shared" si="36"/>
        <v>0</v>
      </c>
      <c r="Y43" s="1683">
        <f t="shared" si="37"/>
        <v>0</v>
      </c>
      <c r="Z43" s="1684">
        <f t="shared" si="38"/>
        <v>0</v>
      </c>
      <c r="AA43" s="1683">
        <f t="shared" si="17"/>
        <v>0</v>
      </c>
      <c r="AB43" s="1683">
        <f t="shared" si="10"/>
        <v>0</v>
      </c>
      <c r="AC43" s="1685">
        <f t="shared" si="11"/>
        <v>0</v>
      </c>
      <c r="AD43" s="1683">
        <f t="shared" si="12"/>
        <v>0</v>
      </c>
      <c r="AE43" s="1683">
        <f t="shared" si="18"/>
        <v>0</v>
      </c>
      <c r="AG43" s="1625" t="s">
        <v>591</v>
      </c>
      <c r="AH43" s="1628" t="s">
        <v>592</v>
      </c>
      <c r="AI43" s="1622" t="s">
        <v>1574</v>
      </c>
      <c r="AJ43" s="1630"/>
      <c r="AK43" s="1630"/>
      <c r="AL43" s="1630"/>
      <c r="AM43" s="1630"/>
      <c r="AN43" s="1630"/>
      <c r="AO43" s="1630"/>
      <c r="AP43" s="1630"/>
      <c r="AQ43" s="1660"/>
      <c r="AR43" s="1630"/>
      <c r="AS43" s="1667">
        <v>0.3</v>
      </c>
      <c r="AT43" s="1632"/>
      <c r="AU43" s="1631"/>
      <c r="AV43" s="1631"/>
      <c r="AX43" s="1682" t="s">
        <v>244</v>
      </c>
      <c r="AY43" s="1686" t="s">
        <v>592</v>
      </c>
      <c r="AZ43" s="1679" t="s">
        <v>1574</v>
      </c>
      <c r="BA43" s="1687"/>
      <c r="BB43" s="1687"/>
      <c r="BC43" s="1687"/>
      <c r="BD43" s="1687"/>
      <c r="BE43" s="1687"/>
      <c r="BF43" s="1687"/>
      <c r="BG43" s="1687"/>
      <c r="BH43" s="1688"/>
      <c r="BI43" s="1687"/>
      <c r="BJ43" s="1687"/>
      <c r="BK43" s="1689"/>
      <c r="BL43" s="1687"/>
      <c r="BM43" s="1687"/>
      <c r="BO43" s="1682" t="s">
        <v>244</v>
      </c>
      <c r="BP43" s="1686" t="s">
        <v>592</v>
      </c>
      <c r="BQ43" s="1679" t="s">
        <v>3374</v>
      </c>
      <c r="BR43" s="1690"/>
      <c r="BS43" s="1690"/>
      <c r="BT43" s="1690"/>
      <c r="BU43" s="1690"/>
      <c r="BV43" s="1690"/>
      <c r="BW43" s="1690"/>
      <c r="BX43" s="1690"/>
      <c r="BY43" s="1691"/>
      <c r="BZ43" s="1690"/>
      <c r="CA43" s="1690"/>
      <c r="CB43" s="1692"/>
      <c r="CC43" s="1690"/>
      <c r="CD43" s="1690"/>
      <c r="CE43" s="1693"/>
      <c r="CG43" s="1682" t="s">
        <v>243</v>
      </c>
      <c r="CH43" s="1686" t="s">
        <v>592</v>
      </c>
      <c r="CI43" s="1679"/>
      <c r="CJ43" s="1694"/>
      <c r="CK43" s="1694"/>
      <c r="CL43" s="1694"/>
      <c r="CM43" s="1694"/>
      <c r="CN43" s="1694"/>
      <c r="CO43" s="1694"/>
      <c r="CP43" s="1694"/>
      <c r="CQ43" s="1695"/>
      <c r="CR43" s="1694"/>
      <c r="CS43" s="1694"/>
      <c r="CT43" s="1696"/>
      <c r="CU43" s="1694"/>
      <c r="CV43" s="1694"/>
      <c r="CX43" s="1682"/>
      <c r="CY43" s="1686"/>
      <c r="CZ43" s="1679"/>
      <c r="DA43" s="1697"/>
      <c r="DB43" s="1697"/>
      <c r="DC43" s="1697"/>
      <c r="DD43" s="1697"/>
      <c r="DE43" s="1697"/>
      <c r="DF43" s="1697"/>
      <c r="DG43" s="1697"/>
      <c r="DH43" s="1698"/>
      <c r="DI43" s="1697"/>
      <c r="DJ43" s="1697"/>
      <c r="DK43" s="1699"/>
      <c r="DL43" s="1697"/>
      <c r="DM43" s="1697"/>
    </row>
    <row r="44" spans="2:117">
      <c r="B44" s="1584">
        <f t="shared" ref="B44:B77" si="47">P44</f>
        <v>3.3</v>
      </c>
      <c r="C44" s="1622" t="str">
        <f t="shared" si="1"/>
        <v>Illuminance Level</v>
      </c>
      <c r="D44" s="1623">
        <f>IF(I$35=0,0,G44/I$35)</f>
        <v>0.15</v>
      </c>
      <c r="E44" s="1624">
        <f>IF(J$35=0,0,H44/J$35)</f>
        <v>0</v>
      </c>
      <c r="G44" s="1624">
        <f>K44*M44</f>
        <v>0.15</v>
      </c>
      <c r="H44" s="1624">
        <f t="shared" si="44"/>
        <v>0</v>
      </c>
      <c r="I44" s="1624">
        <f>SUM(G45:G46)</f>
        <v>0</v>
      </c>
      <c r="J44" s="1624">
        <f>SUM(H45:H46)</f>
        <v>0</v>
      </c>
      <c r="K44" s="1624">
        <f>IF(Score!W44=0,0,1)</f>
        <v>1</v>
      </c>
      <c r="L44" s="1624">
        <f>IF(Score!X44=0,0,1)</f>
        <v>1</v>
      </c>
      <c r="M44" s="1624">
        <f t="shared" si="45"/>
        <v>0.15</v>
      </c>
      <c r="N44" s="1624">
        <f t="shared" si="46"/>
        <v>0</v>
      </c>
      <c r="P44" s="1625">
        <f t="shared" si="6"/>
        <v>3.3</v>
      </c>
      <c r="Q44" s="1625" t="str">
        <f t="shared" si="7"/>
        <v xml:space="preserve"> Q1 3</v>
      </c>
      <c r="R44" s="1622" t="str">
        <f t="shared" si="8"/>
        <v>Illuminance Level</v>
      </c>
      <c r="S44" s="1626">
        <f t="shared" si="16"/>
        <v>0.15</v>
      </c>
      <c r="T44" s="1626">
        <f t="shared" si="32"/>
        <v>0.15</v>
      </c>
      <c r="U44" s="1626">
        <f t="shared" si="33"/>
        <v>0</v>
      </c>
      <c r="V44" s="1626">
        <f t="shared" si="34"/>
        <v>0</v>
      </c>
      <c r="W44" s="1626">
        <f t="shared" si="35"/>
        <v>0.15</v>
      </c>
      <c r="X44" s="1626">
        <f t="shared" si="36"/>
        <v>0.15</v>
      </c>
      <c r="Y44" s="1626">
        <f t="shared" si="37"/>
        <v>0.15</v>
      </c>
      <c r="Z44" s="1656">
        <f t="shared" si="38"/>
        <v>0.2</v>
      </c>
      <c r="AA44" s="1626">
        <f t="shared" si="17"/>
        <v>0.15</v>
      </c>
      <c r="AB44" s="1626">
        <f t="shared" si="10"/>
        <v>0.15</v>
      </c>
      <c r="AC44" s="1627">
        <f t="shared" si="11"/>
        <v>0.15</v>
      </c>
      <c r="AD44" s="1626">
        <f t="shared" si="12"/>
        <v>0.15</v>
      </c>
      <c r="AE44" s="1626">
        <f t="shared" si="18"/>
        <v>0.15</v>
      </c>
      <c r="AG44" s="1625">
        <v>3.3</v>
      </c>
      <c r="AH44" s="1628" t="s">
        <v>583</v>
      </c>
      <c r="AI44" s="1622" t="s">
        <v>1760</v>
      </c>
      <c r="AJ44" s="1630">
        <v>0.15</v>
      </c>
      <c r="AK44" s="1630">
        <v>0.15</v>
      </c>
      <c r="AL44" s="1630"/>
      <c r="AM44" s="1630"/>
      <c r="AN44" s="1630">
        <v>0.15</v>
      </c>
      <c r="AO44" s="1630">
        <v>0.15</v>
      </c>
      <c r="AP44" s="1630">
        <v>0.15</v>
      </c>
      <c r="AQ44" s="1660"/>
      <c r="AR44" s="1630">
        <v>0.15</v>
      </c>
      <c r="AS44" s="1631">
        <v>0.15</v>
      </c>
      <c r="AT44" s="1632">
        <v>0.15</v>
      </c>
      <c r="AU44" s="1631">
        <v>0.15</v>
      </c>
      <c r="AV44" s="1631">
        <v>0.15</v>
      </c>
      <c r="AX44" s="1625">
        <v>3.3</v>
      </c>
      <c r="AY44" s="1628" t="s">
        <v>583</v>
      </c>
      <c r="AZ44" s="1622" t="s">
        <v>1760</v>
      </c>
      <c r="BA44" s="1631">
        <v>0.15</v>
      </c>
      <c r="BB44" s="1631">
        <v>0.15</v>
      </c>
      <c r="BC44" s="1631"/>
      <c r="BD44" s="1631"/>
      <c r="BE44" s="1631">
        <v>0.15</v>
      </c>
      <c r="BF44" s="1631">
        <v>0.15</v>
      </c>
      <c r="BG44" s="1631">
        <v>0.15</v>
      </c>
      <c r="BH44" s="1633"/>
      <c r="BI44" s="1631">
        <v>0.15</v>
      </c>
      <c r="BJ44" s="1631">
        <v>0.15</v>
      </c>
      <c r="BK44" s="1632">
        <v>0.15</v>
      </c>
      <c r="BL44" s="1631">
        <v>0.15</v>
      </c>
      <c r="BM44" s="1631">
        <v>0.15</v>
      </c>
      <c r="BO44" s="1625">
        <v>3.3</v>
      </c>
      <c r="BP44" s="1628" t="s">
        <v>583</v>
      </c>
      <c r="BQ44" s="1622" t="s">
        <v>1566</v>
      </c>
      <c r="BR44" s="1631">
        <v>0.15</v>
      </c>
      <c r="BS44" s="1631">
        <v>0.15</v>
      </c>
      <c r="BT44" s="1631"/>
      <c r="BU44" s="1631"/>
      <c r="BV44" s="1631">
        <v>0.15</v>
      </c>
      <c r="BW44" s="1631">
        <v>0.15</v>
      </c>
      <c r="BX44" s="1631">
        <v>0.15</v>
      </c>
      <c r="BY44" s="1676">
        <v>0.2</v>
      </c>
      <c r="BZ44" s="1631">
        <v>0.15</v>
      </c>
      <c r="CA44" s="1631">
        <v>0.15</v>
      </c>
      <c r="CB44" s="1632">
        <v>0.15</v>
      </c>
      <c r="CC44" s="1631">
        <v>0.15</v>
      </c>
      <c r="CD44" s="1631">
        <v>0.15</v>
      </c>
      <c r="CE44" s="1635"/>
      <c r="CG44" s="1625">
        <v>3.3</v>
      </c>
      <c r="CH44" s="1628" t="s">
        <v>583</v>
      </c>
      <c r="CI44" s="1622" t="s">
        <v>1760</v>
      </c>
      <c r="CJ44" s="1636">
        <f t="shared" si="19"/>
        <v>0.15</v>
      </c>
      <c r="CK44" s="1636">
        <f t="shared" si="20"/>
        <v>0.15</v>
      </c>
      <c r="CL44" s="1636">
        <f t="shared" si="21"/>
        <v>0</v>
      </c>
      <c r="CM44" s="1636">
        <f t="shared" si="22"/>
        <v>0</v>
      </c>
      <c r="CN44" s="1636">
        <f t="shared" si="23"/>
        <v>0.15</v>
      </c>
      <c r="CO44" s="1636">
        <f t="shared" si="24"/>
        <v>0.15</v>
      </c>
      <c r="CP44" s="1636">
        <f t="shared" si="25"/>
        <v>0.15</v>
      </c>
      <c r="CQ44" s="1636">
        <f t="shared" si="25"/>
        <v>0.2</v>
      </c>
      <c r="CR44" s="1636">
        <f t="shared" si="27"/>
        <v>0.15</v>
      </c>
      <c r="CS44" s="1636">
        <f t="shared" si="28"/>
        <v>0.15</v>
      </c>
      <c r="CT44" s="1640">
        <f t="shared" si="13"/>
        <v>0.15</v>
      </c>
      <c r="CU44" s="1636">
        <f t="shared" si="14"/>
        <v>0.15</v>
      </c>
      <c r="CV44" s="1636">
        <f t="shared" si="15"/>
        <v>0.15</v>
      </c>
      <c r="CX44" s="1625">
        <v>3.3</v>
      </c>
      <c r="CY44" s="1628" t="s">
        <v>583</v>
      </c>
      <c r="CZ44" s="1622" t="s">
        <v>1760</v>
      </c>
      <c r="DA44" s="1638">
        <f t="shared" si="29"/>
        <v>0.15</v>
      </c>
      <c r="DB44" s="1638"/>
      <c r="DC44" s="1638"/>
      <c r="DD44" s="1638"/>
      <c r="DE44" s="1638"/>
      <c r="DF44" s="1638"/>
      <c r="DG44" s="1638"/>
      <c r="DH44" s="1638"/>
      <c r="DI44" s="1638"/>
      <c r="DJ44" s="1638"/>
      <c r="DK44" s="1642"/>
      <c r="DL44" s="1638"/>
      <c r="DM44" s="1638"/>
    </row>
    <row r="45" spans="2:117" ht="13.9" hidden="1" customHeight="1">
      <c r="B45" s="1584" t="str">
        <f t="shared" si="47"/>
        <v>3.3.1</v>
      </c>
      <c r="C45" s="1679" t="str">
        <f t="shared" si="1"/>
        <v>照度</v>
      </c>
      <c r="D45" s="1680">
        <f>IF(I$44&gt;0,G45/I$44,0)</f>
        <v>0</v>
      </c>
      <c r="E45" s="1681">
        <f>IF(J$44&gt;0,H45/J$44,0)</f>
        <v>0</v>
      </c>
      <c r="G45" s="1681">
        <f t="shared" si="43"/>
        <v>0</v>
      </c>
      <c r="H45" s="1681">
        <f t="shared" si="44"/>
        <v>0</v>
      </c>
      <c r="I45" s="1681"/>
      <c r="J45" s="1681"/>
      <c r="K45" s="1681">
        <f>IF(Score!W45=0,0,1)</f>
        <v>0</v>
      </c>
      <c r="L45" s="1681">
        <f>IF(Score!X45=0,0,1)</f>
        <v>0</v>
      </c>
      <c r="M45" s="1681">
        <f t="shared" si="45"/>
        <v>0</v>
      </c>
      <c r="N45" s="1681">
        <f t="shared" si="46"/>
        <v>0</v>
      </c>
      <c r="P45" s="1682" t="str">
        <f t="shared" si="6"/>
        <v>3.3.1</v>
      </c>
      <c r="Q45" s="1682" t="str">
        <f t="shared" si="7"/>
        <v xml:space="preserve"> Q1 3.3</v>
      </c>
      <c r="R45" s="1679" t="str">
        <f t="shared" si="8"/>
        <v>照度</v>
      </c>
      <c r="S45" s="1683">
        <f t="shared" si="16"/>
        <v>0</v>
      </c>
      <c r="T45" s="1683">
        <f t="shared" si="32"/>
        <v>0</v>
      </c>
      <c r="U45" s="1683">
        <f t="shared" si="33"/>
        <v>0</v>
      </c>
      <c r="V45" s="1683">
        <f t="shared" si="34"/>
        <v>0</v>
      </c>
      <c r="W45" s="1683">
        <f t="shared" si="35"/>
        <v>0</v>
      </c>
      <c r="X45" s="1683">
        <f t="shared" si="36"/>
        <v>0</v>
      </c>
      <c r="Y45" s="1683">
        <f t="shared" si="37"/>
        <v>0</v>
      </c>
      <c r="Z45" s="1684">
        <f t="shared" si="38"/>
        <v>0</v>
      </c>
      <c r="AA45" s="1683">
        <f t="shared" si="17"/>
        <v>0</v>
      </c>
      <c r="AB45" s="1683">
        <f t="shared" si="10"/>
        <v>0</v>
      </c>
      <c r="AC45" s="1685">
        <f t="shared" si="11"/>
        <v>0</v>
      </c>
      <c r="AD45" s="1683">
        <f t="shared" si="12"/>
        <v>0</v>
      </c>
      <c r="AE45" s="1683">
        <f t="shared" si="18"/>
        <v>0</v>
      </c>
      <c r="AG45" s="1682" t="s">
        <v>502</v>
      </c>
      <c r="AH45" s="1686" t="s">
        <v>592</v>
      </c>
      <c r="AI45" s="1679" t="s">
        <v>1761</v>
      </c>
      <c r="AJ45" s="1630"/>
      <c r="AK45" s="1630"/>
      <c r="AL45" s="1630"/>
      <c r="AM45" s="1630"/>
      <c r="AN45" s="1630"/>
      <c r="AO45" s="1630"/>
      <c r="AP45" s="1630"/>
      <c r="AQ45" s="1660"/>
      <c r="AR45" s="1630"/>
      <c r="AS45" s="1687"/>
      <c r="AT45" s="1689"/>
      <c r="AU45" s="1687"/>
      <c r="AV45" s="1687"/>
      <c r="AX45" s="1682" t="s">
        <v>502</v>
      </c>
      <c r="AY45" s="1686" t="s">
        <v>592</v>
      </c>
      <c r="AZ45" s="1679" t="s">
        <v>1761</v>
      </c>
      <c r="BA45" s="1687"/>
      <c r="BB45" s="1687"/>
      <c r="BC45" s="1687"/>
      <c r="BD45" s="1687"/>
      <c r="BE45" s="1687"/>
      <c r="BF45" s="1687"/>
      <c r="BG45" s="1687"/>
      <c r="BH45" s="1688"/>
      <c r="BI45" s="1687"/>
      <c r="BJ45" s="1687"/>
      <c r="BK45" s="1689"/>
      <c r="BL45" s="1687"/>
      <c r="BM45" s="1687"/>
      <c r="BO45" s="1682" t="s">
        <v>502</v>
      </c>
      <c r="BP45" s="1686" t="s">
        <v>592</v>
      </c>
      <c r="BQ45" s="1679" t="s">
        <v>1575</v>
      </c>
      <c r="BR45" s="1690"/>
      <c r="BS45" s="1690"/>
      <c r="BT45" s="1690"/>
      <c r="BU45" s="1690"/>
      <c r="BV45" s="1690"/>
      <c r="BW45" s="1690"/>
      <c r="BX45" s="1690"/>
      <c r="BY45" s="1700">
        <v>0</v>
      </c>
      <c r="BZ45" s="1690"/>
      <c r="CA45" s="1690"/>
      <c r="CB45" s="1692"/>
      <c r="CC45" s="1690"/>
      <c r="CD45" s="1690"/>
      <c r="CE45" s="1693"/>
      <c r="CG45" s="1682" t="s">
        <v>323</v>
      </c>
      <c r="CH45" s="1686" t="s">
        <v>592</v>
      </c>
      <c r="CI45" s="1679" t="s">
        <v>1761</v>
      </c>
      <c r="CJ45" s="1694">
        <f t="shared" si="19"/>
        <v>0</v>
      </c>
      <c r="CK45" s="1694">
        <f t="shared" si="20"/>
        <v>0</v>
      </c>
      <c r="CL45" s="1694">
        <f t="shared" si="21"/>
        <v>0</v>
      </c>
      <c r="CM45" s="1694">
        <f t="shared" si="22"/>
        <v>0</v>
      </c>
      <c r="CN45" s="1694">
        <f t="shared" si="23"/>
        <v>0</v>
      </c>
      <c r="CO45" s="1694">
        <f t="shared" si="24"/>
        <v>0</v>
      </c>
      <c r="CP45" s="1694">
        <f t="shared" si="25"/>
        <v>0</v>
      </c>
      <c r="CQ45" s="1694">
        <f t="shared" si="25"/>
        <v>0</v>
      </c>
      <c r="CR45" s="1694">
        <f t="shared" si="27"/>
        <v>0</v>
      </c>
      <c r="CS45" s="1694">
        <f t="shared" si="28"/>
        <v>0</v>
      </c>
      <c r="CT45" s="1696">
        <f t="shared" si="13"/>
        <v>0</v>
      </c>
      <c r="CU45" s="1694">
        <f t="shared" si="14"/>
        <v>0</v>
      </c>
      <c r="CV45" s="1694">
        <f t="shared" si="15"/>
        <v>0</v>
      </c>
      <c r="CX45" s="1682" t="s">
        <v>323</v>
      </c>
      <c r="CY45" s="1686" t="s">
        <v>592</v>
      </c>
      <c r="CZ45" s="1679" t="s">
        <v>1761</v>
      </c>
      <c r="DA45" s="1697">
        <f t="shared" si="29"/>
        <v>0</v>
      </c>
      <c r="DB45" s="1697"/>
      <c r="DC45" s="1697"/>
      <c r="DD45" s="1697"/>
      <c r="DE45" s="1697"/>
      <c r="DF45" s="1697"/>
      <c r="DG45" s="1697"/>
      <c r="DH45" s="1697"/>
      <c r="DI45" s="1697"/>
      <c r="DJ45" s="1697"/>
      <c r="DK45" s="1699"/>
      <c r="DL45" s="1697"/>
      <c r="DM45" s="1697"/>
    </row>
    <row r="46" spans="2:117" ht="13.9" hidden="1" customHeight="1">
      <c r="B46" s="1584" t="str">
        <f t="shared" si="47"/>
        <v>3.3.2</v>
      </c>
      <c r="C46" s="1679" t="str">
        <f t="shared" si="1"/>
        <v>照度均斉度</v>
      </c>
      <c r="D46" s="1680">
        <f>IF(I$44&gt;0,G46/I$44,0)</f>
        <v>0</v>
      </c>
      <c r="E46" s="1681">
        <f>IF(J$44&gt;0,H46/J$44,0)</f>
        <v>0</v>
      </c>
      <c r="G46" s="1681">
        <f t="shared" si="43"/>
        <v>0</v>
      </c>
      <c r="H46" s="1681">
        <f t="shared" si="44"/>
        <v>0</v>
      </c>
      <c r="I46" s="1681"/>
      <c r="J46" s="1681"/>
      <c r="K46" s="1681">
        <f>IF(Score!W46=0,0,1)</f>
        <v>0</v>
      </c>
      <c r="L46" s="1681">
        <f>IF(Score!X46=0,0,1)</f>
        <v>0</v>
      </c>
      <c r="M46" s="1681">
        <f t="shared" si="45"/>
        <v>0</v>
      </c>
      <c r="N46" s="1681">
        <f t="shared" si="46"/>
        <v>0</v>
      </c>
      <c r="P46" s="1682" t="str">
        <f t="shared" si="6"/>
        <v>3.3.2</v>
      </c>
      <c r="Q46" s="1682" t="str">
        <f t="shared" si="7"/>
        <v xml:space="preserve"> Q1 3.3</v>
      </c>
      <c r="R46" s="1679" t="str">
        <f t="shared" si="8"/>
        <v>照度均斉度</v>
      </c>
      <c r="S46" s="1683">
        <f t="shared" si="16"/>
        <v>0</v>
      </c>
      <c r="T46" s="1683">
        <f t="shared" si="32"/>
        <v>0</v>
      </c>
      <c r="U46" s="1683">
        <f t="shared" si="33"/>
        <v>0</v>
      </c>
      <c r="V46" s="1683">
        <f t="shared" si="34"/>
        <v>0</v>
      </c>
      <c r="W46" s="1683">
        <f t="shared" si="35"/>
        <v>0</v>
      </c>
      <c r="X46" s="1683">
        <f t="shared" si="36"/>
        <v>0</v>
      </c>
      <c r="Y46" s="1683">
        <f t="shared" si="37"/>
        <v>0</v>
      </c>
      <c r="Z46" s="1684">
        <f t="shared" si="38"/>
        <v>0</v>
      </c>
      <c r="AA46" s="1683">
        <f t="shared" si="17"/>
        <v>0</v>
      </c>
      <c r="AB46" s="1683">
        <f t="shared" si="10"/>
        <v>0</v>
      </c>
      <c r="AC46" s="1685">
        <f t="shared" si="11"/>
        <v>0</v>
      </c>
      <c r="AD46" s="1683">
        <f t="shared" si="12"/>
        <v>0</v>
      </c>
      <c r="AE46" s="1683">
        <f t="shared" si="18"/>
        <v>0</v>
      </c>
      <c r="AG46" s="1682" t="s">
        <v>503</v>
      </c>
      <c r="AH46" s="1686" t="s">
        <v>592</v>
      </c>
      <c r="AI46" s="1679" t="s">
        <v>1762</v>
      </c>
      <c r="AJ46" s="1646"/>
      <c r="AK46" s="1646"/>
      <c r="AL46" s="1646"/>
      <c r="AM46" s="1646"/>
      <c r="AN46" s="1646"/>
      <c r="AO46" s="1646"/>
      <c r="AP46" s="1646"/>
      <c r="AQ46" s="1663"/>
      <c r="AR46" s="1646"/>
      <c r="AS46" s="1687"/>
      <c r="AT46" s="1689"/>
      <c r="AU46" s="1687"/>
      <c r="AV46" s="1687"/>
      <c r="AX46" s="1682" t="s">
        <v>503</v>
      </c>
      <c r="AY46" s="1686" t="s">
        <v>592</v>
      </c>
      <c r="AZ46" s="1679" t="s">
        <v>1762</v>
      </c>
      <c r="BA46" s="1687"/>
      <c r="BB46" s="1687"/>
      <c r="BC46" s="1687"/>
      <c r="BD46" s="1687"/>
      <c r="BE46" s="1687"/>
      <c r="BF46" s="1687"/>
      <c r="BG46" s="1687"/>
      <c r="BH46" s="1688"/>
      <c r="BI46" s="1687"/>
      <c r="BJ46" s="1687"/>
      <c r="BK46" s="1689"/>
      <c r="BL46" s="1687"/>
      <c r="BM46" s="1687"/>
      <c r="BO46" s="1682" t="s">
        <v>503</v>
      </c>
      <c r="BP46" s="1686" t="s">
        <v>592</v>
      </c>
      <c r="BQ46" s="1679" t="s">
        <v>1576</v>
      </c>
      <c r="BR46" s="1690"/>
      <c r="BS46" s="1690"/>
      <c r="BT46" s="1690"/>
      <c r="BU46" s="1690"/>
      <c r="BV46" s="1690"/>
      <c r="BW46" s="1690"/>
      <c r="BX46" s="1690"/>
      <c r="BY46" s="1700">
        <v>0</v>
      </c>
      <c r="BZ46" s="1690"/>
      <c r="CA46" s="1690"/>
      <c r="CB46" s="1692"/>
      <c r="CC46" s="1690"/>
      <c r="CD46" s="1690"/>
      <c r="CE46" s="1693"/>
      <c r="CG46" s="1682" t="s">
        <v>324</v>
      </c>
      <c r="CH46" s="1686" t="s">
        <v>592</v>
      </c>
      <c r="CI46" s="1679" t="s">
        <v>1762</v>
      </c>
      <c r="CJ46" s="1694">
        <f t="shared" si="19"/>
        <v>0</v>
      </c>
      <c r="CK46" s="1694">
        <f t="shared" si="20"/>
        <v>0</v>
      </c>
      <c r="CL46" s="1694">
        <f t="shared" si="21"/>
        <v>0</v>
      </c>
      <c r="CM46" s="1694">
        <f t="shared" si="22"/>
        <v>0</v>
      </c>
      <c r="CN46" s="1694">
        <f t="shared" si="23"/>
        <v>0</v>
      </c>
      <c r="CO46" s="1694">
        <f t="shared" si="24"/>
        <v>0</v>
      </c>
      <c r="CP46" s="1694">
        <f t="shared" si="25"/>
        <v>0</v>
      </c>
      <c r="CQ46" s="1694">
        <f t="shared" si="25"/>
        <v>0</v>
      </c>
      <c r="CR46" s="1694">
        <f t="shared" si="27"/>
        <v>0</v>
      </c>
      <c r="CS46" s="1694">
        <f t="shared" si="28"/>
        <v>0</v>
      </c>
      <c r="CT46" s="1696">
        <f t="shared" si="13"/>
        <v>0</v>
      </c>
      <c r="CU46" s="1694">
        <f t="shared" si="14"/>
        <v>0</v>
      </c>
      <c r="CV46" s="1694">
        <f t="shared" si="15"/>
        <v>0</v>
      </c>
      <c r="CX46" s="1682" t="s">
        <v>324</v>
      </c>
      <c r="CY46" s="1686" t="s">
        <v>592</v>
      </c>
      <c r="CZ46" s="1679" t="s">
        <v>1762</v>
      </c>
      <c r="DA46" s="1697">
        <f t="shared" si="29"/>
        <v>0</v>
      </c>
      <c r="DB46" s="1697"/>
      <c r="DC46" s="1697"/>
      <c r="DD46" s="1697"/>
      <c r="DE46" s="1697"/>
      <c r="DF46" s="1697"/>
      <c r="DG46" s="1697"/>
      <c r="DH46" s="1697"/>
      <c r="DI46" s="1697"/>
      <c r="DJ46" s="1697"/>
      <c r="DK46" s="1699"/>
      <c r="DL46" s="1697"/>
      <c r="DM46" s="1697"/>
    </row>
    <row r="47" spans="2:117">
      <c r="B47" s="1584">
        <f t="shared" si="47"/>
        <v>3.4</v>
      </c>
      <c r="C47" s="1622" t="str">
        <f t="shared" si="1"/>
        <v>Lighting Controllability</v>
      </c>
      <c r="D47" s="1623">
        <f>IF(I$35=0,0,G47/I$35)</f>
        <v>0.25</v>
      </c>
      <c r="E47" s="1624">
        <f>IF(J$35=0,0,H47/J$35)</f>
        <v>0</v>
      </c>
      <c r="G47" s="1624">
        <f t="shared" si="43"/>
        <v>0.25</v>
      </c>
      <c r="H47" s="1624">
        <f t="shared" si="44"/>
        <v>0</v>
      </c>
      <c r="I47" s="1624"/>
      <c r="J47" s="1624"/>
      <c r="K47" s="1624">
        <f>IF(Score!W47=0,0,1)</f>
        <v>1</v>
      </c>
      <c r="L47" s="1624">
        <f>IF(Score!X47=0,0,1)</f>
        <v>1</v>
      </c>
      <c r="M47" s="1624">
        <f t="shared" si="45"/>
        <v>0.25</v>
      </c>
      <c r="N47" s="1624">
        <f t="shared" si="46"/>
        <v>0</v>
      </c>
      <c r="P47" s="1625">
        <f t="shared" si="6"/>
        <v>3.4</v>
      </c>
      <c r="Q47" s="1625" t="str">
        <f t="shared" si="7"/>
        <v xml:space="preserve"> Q1 3</v>
      </c>
      <c r="R47" s="1622" t="str">
        <f t="shared" si="8"/>
        <v>Lighting Controllability</v>
      </c>
      <c r="S47" s="1626">
        <f t="shared" si="16"/>
        <v>0.25</v>
      </c>
      <c r="T47" s="1626">
        <f t="shared" si="32"/>
        <v>0.25</v>
      </c>
      <c r="U47" s="1626">
        <f t="shared" si="33"/>
        <v>0.5</v>
      </c>
      <c r="V47" s="1626">
        <f t="shared" si="34"/>
        <v>0</v>
      </c>
      <c r="W47" s="1626">
        <f t="shared" si="35"/>
        <v>0.25</v>
      </c>
      <c r="X47" s="1626">
        <f t="shared" si="36"/>
        <v>0.25</v>
      </c>
      <c r="Y47" s="1626">
        <f t="shared" si="37"/>
        <v>0.25</v>
      </c>
      <c r="Z47" s="1656">
        <f t="shared" si="38"/>
        <v>0.5</v>
      </c>
      <c r="AA47" s="1626">
        <f t="shared" si="17"/>
        <v>0.25</v>
      </c>
      <c r="AB47" s="1626">
        <f t="shared" si="10"/>
        <v>0.25</v>
      </c>
      <c r="AC47" s="1627">
        <f t="shared" si="11"/>
        <v>0.25</v>
      </c>
      <c r="AD47" s="1626">
        <f t="shared" si="12"/>
        <v>0.25</v>
      </c>
      <c r="AE47" s="1626">
        <f t="shared" si="18"/>
        <v>0.25</v>
      </c>
      <c r="AG47" s="1625">
        <v>3.4</v>
      </c>
      <c r="AH47" s="1628" t="s">
        <v>583</v>
      </c>
      <c r="AI47" s="1622" t="s">
        <v>1763</v>
      </c>
      <c r="AJ47" s="1630">
        <v>0.25</v>
      </c>
      <c r="AK47" s="1630">
        <v>0.25</v>
      </c>
      <c r="AL47" s="1630">
        <v>0.5</v>
      </c>
      <c r="AM47" s="1630"/>
      <c r="AN47" s="1630">
        <v>0.25</v>
      </c>
      <c r="AO47" s="1630">
        <v>0.25</v>
      </c>
      <c r="AP47" s="1630">
        <v>0.25</v>
      </c>
      <c r="AQ47" s="1660"/>
      <c r="AR47" s="1630">
        <v>0.25</v>
      </c>
      <c r="AS47" s="1631">
        <v>0.25</v>
      </c>
      <c r="AT47" s="1632">
        <v>0.25</v>
      </c>
      <c r="AU47" s="1631">
        <v>0.25</v>
      </c>
      <c r="AV47" s="1631">
        <v>0.25</v>
      </c>
      <c r="AX47" s="1625">
        <v>3.4</v>
      </c>
      <c r="AY47" s="1628" t="s">
        <v>583</v>
      </c>
      <c r="AZ47" s="1622" t="s">
        <v>1763</v>
      </c>
      <c r="BA47" s="1631">
        <v>0.25</v>
      </c>
      <c r="BB47" s="1631">
        <v>0.25</v>
      </c>
      <c r="BC47" s="1631">
        <v>0.5</v>
      </c>
      <c r="BD47" s="1631">
        <v>0</v>
      </c>
      <c r="BE47" s="1631">
        <v>0.25</v>
      </c>
      <c r="BF47" s="1631">
        <v>0.25</v>
      </c>
      <c r="BG47" s="1631">
        <v>0.25</v>
      </c>
      <c r="BH47" s="1633"/>
      <c r="BI47" s="1631">
        <v>0.25</v>
      </c>
      <c r="BJ47" s="1631">
        <v>0.25</v>
      </c>
      <c r="BK47" s="1632">
        <v>0.25</v>
      </c>
      <c r="BL47" s="1631">
        <v>0.25</v>
      </c>
      <c r="BM47" s="1631">
        <v>0.25</v>
      </c>
      <c r="BO47" s="1625">
        <v>3.4</v>
      </c>
      <c r="BP47" s="1628" t="s">
        <v>583</v>
      </c>
      <c r="BQ47" s="1622" t="s">
        <v>1567</v>
      </c>
      <c r="BR47" s="1631">
        <v>0.25</v>
      </c>
      <c r="BS47" s="1631">
        <v>0.25</v>
      </c>
      <c r="BT47" s="1631">
        <v>0.5</v>
      </c>
      <c r="BU47" s="1631"/>
      <c r="BV47" s="1631">
        <v>0.25</v>
      </c>
      <c r="BW47" s="1631">
        <v>0.25</v>
      </c>
      <c r="BX47" s="1631">
        <v>0.25</v>
      </c>
      <c r="BY47" s="1676">
        <v>0.5</v>
      </c>
      <c r="BZ47" s="1631">
        <v>0.25</v>
      </c>
      <c r="CA47" s="1631">
        <v>0.25</v>
      </c>
      <c r="CB47" s="1632">
        <v>0.25</v>
      </c>
      <c r="CC47" s="1631">
        <v>0.25</v>
      </c>
      <c r="CD47" s="1631">
        <v>0.25</v>
      </c>
      <c r="CE47" s="1635"/>
      <c r="CG47" s="1625">
        <v>3.4</v>
      </c>
      <c r="CH47" s="1628" t="s">
        <v>583</v>
      </c>
      <c r="CI47" s="1622" t="s">
        <v>1763</v>
      </c>
      <c r="CJ47" s="1636">
        <f t="shared" si="19"/>
        <v>0.25</v>
      </c>
      <c r="CK47" s="1636">
        <f t="shared" si="20"/>
        <v>0.25</v>
      </c>
      <c r="CL47" s="1636">
        <f t="shared" si="21"/>
        <v>0.5</v>
      </c>
      <c r="CM47" s="1636">
        <f t="shared" si="22"/>
        <v>0</v>
      </c>
      <c r="CN47" s="1636">
        <f t="shared" si="23"/>
        <v>0.25</v>
      </c>
      <c r="CO47" s="1636">
        <f t="shared" si="24"/>
        <v>0.25</v>
      </c>
      <c r="CP47" s="1636">
        <f t="shared" si="25"/>
        <v>0.25</v>
      </c>
      <c r="CQ47" s="1636">
        <f t="shared" si="25"/>
        <v>0.5</v>
      </c>
      <c r="CR47" s="1636">
        <f t="shared" si="27"/>
        <v>0.25</v>
      </c>
      <c r="CS47" s="1636">
        <f t="shared" si="28"/>
        <v>0.25</v>
      </c>
      <c r="CT47" s="1640">
        <f t="shared" si="13"/>
        <v>0.25</v>
      </c>
      <c r="CU47" s="1636">
        <f t="shared" si="14"/>
        <v>0.25</v>
      </c>
      <c r="CV47" s="1636">
        <f t="shared" si="15"/>
        <v>0.25</v>
      </c>
      <c r="CX47" s="1625">
        <v>3.4</v>
      </c>
      <c r="CY47" s="1628" t="s">
        <v>583</v>
      </c>
      <c r="CZ47" s="1622" t="s">
        <v>1763</v>
      </c>
      <c r="DA47" s="1638">
        <f t="shared" si="29"/>
        <v>0.25</v>
      </c>
      <c r="DB47" s="1638"/>
      <c r="DC47" s="1638"/>
      <c r="DD47" s="1638"/>
      <c r="DE47" s="1638"/>
      <c r="DF47" s="1638"/>
      <c r="DG47" s="1638"/>
      <c r="DH47" s="1638"/>
      <c r="DI47" s="1638"/>
      <c r="DJ47" s="1638"/>
      <c r="DK47" s="1642"/>
      <c r="DL47" s="1638"/>
      <c r="DM47" s="1638"/>
    </row>
    <row r="48" spans="2:117">
      <c r="B48" s="1584">
        <f t="shared" si="47"/>
        <v>4</v>
      </c>
      <c r="C48" s="1600" t="str">
        <f t="shared" si="1"/>
        <v>Air Quality</v>
      </c>
      <c r="D48" s="1601">
        <f>IF(I$9=0,0,G48/I$9)</f>
        <v>0.25</v>
      </c>
      <c r="E48" s="1602">
        <f>IF(J$9=0,0,H48/J$9)</f>
        <v>0</v>
      </c>
      <c r="G48" s="1602">
        <f t="shared" si="43"/>
        <v>0.25</v>
      </c>
      <c r="H48" s="1602">
        <f t="shared" si="44"/>
        <v>0</v>
      </c>
      <c r="I48" s="1602">
        <f>G49+G54+G59</f>
        <v>1</v>
      </c>
      <c r="J48" s="1602">
        <f>H49+H54+H59</f>
        <v>0</v>
      </c>
      <c r="K48" s="1602">
        <f>IF(L48&gt;0,1,IF(Score!Z48=0,0,1))</f>
        <v>1</v>
      </c>
      <c r="L48" s="1602">
        <f>IF(Score!AB48=0,0,1)</f>
        <v>0</v>
      </c>
      <c r="M48" s="1602">
        <f t="shared" si="45"/>
        <v>0.25</v>
      </c>
      <c r="N48" s="1602">
        <f t="shared" si="46"/>
        <v>0</v>
      </c>
      <c r="P48" s="1604">
        <f t="shared" si="6"/>
        <v>4</v>
      </c>
      <c r="Q48" s="1604" t="str">
        <f t="shared" si="7"/>
        <v xml:space="preserve"> Q1</v>
      </c>
      <c r="R48" s="1600" t="str">
        <f t="shared" si="8"/>
        <v>Air Quality</v>
      </c>
      <c r="S48" s="1605">
        <f t="shared" si="16"/>
        <v>0.25</v>
      </c>
      <c r="T48" s="1605">
        <f t="shared" si="32"/>
        <v>0.25</v>
      </c>
      <c r="U48" s="1605">
        <f t="shared" si="33"/>
        <v>0.25</v>
      </c>
      <c r="V48" s="1605">
        <f t="shared" si="34"/>
        <v>0.25</v>
      </c>
      <c r="W48" s="1605">
        <f t="shared" si="35"/>
        <v>0.25</v>
      </c>
      <c r="X48" s="1605">
        <f t="shared" si="36"/>
        <v>0.25</v>
      </c>
      <c r="Y48" s="1605">
        <f t="shared" si="37"/>
        <v>0.25</v>
      </c>
      <c r="Z48" s="1651">
        <f t="shared" si="38"/>
        <v>0.25</v>
      </c>
      <c r="AA48" s="1605">
        <f t="shared" si="17"/>
        <v>0.25</v>
      </c>
      <c r="AB48" s="1605">
        <f t="shared" si="10"/>
        <v>0.25</v>
      </c>
      <c r="AC48" s="1607">
        <f t="shared" si="11"/>
        <v>0</v>
      </c>
      <c r="AD48" s="1605">
        <f t="shared" si="12"/>
        <v>0</v>
      </c>
      <c r="AE48" s="1605">
        <f t="shared" si="18"/>
        <v>0</v>
      </c>
      <c r="AG48" s="1604">
        <v>4</v>
      </c>
      <c r="AH48" s="1608" t="s">
        <v>179</v>
      </c>
      <c r="AI48" s="1600" t="s">
        <v>1764</v>
      </c>
      <c r="AJ48" s="1701">
        <v>0.25</v>
      </c>
      <c r="AK48" s="1701">
        <v>0.25</v>
      </c>
      <c r="AL48" s="1701">
        <v>0.25</v>
      </c>
      <c r="AM48" s="1701">
        <v>0.25</v>
      </c>
      <c r="AN48" s="1701">
        <v>0.25</v>
      </c>
      <c r="AO48" s="1701">
        <v>0.25</v>
      </c>
      <c r="AP48" s="1701">
        <v>0.25</v>
      </c>
      <c r="AQ48" s="1652">
        <v>0.33</v>
      </c>
      <c r="AR48" s="1701">
        <v>0.25</v>
      </c>
      <c r="AS48" s="1611">
        <v>0.25</v>
      </c>
      <c r="AT48" s="1612"/>
      <c r="AU48" s="1611"/>
      <c r="AV48" s="1611"/>
      <c r="AX48" s="1604">
        <v>4</v>
      </c>
      <c r="AY48" s="1608" t="s">
        <v>179</v>
      </c>
      <c r="AZ48" s="1600" t="s">
        <v>1764</v>
      </c>
      <c r="BA48" s="1611">
        <v>0.25</v>
      </c>
      <c r="BB48" s="1611">
        <v>0.25</v>
      </c>
      <c r="BC48" s="1611">
        <v>0.25</v>
      </c>
      <c r="BD48" s="1611">
        <v>0.25</v>
      </c>
      <c r="BE48" s="1611">
        <v>0.25</v>
      </c>
      <c r="BF48" s="1611">
        <v>0.25</v>
      </c>
      <c r="BG48" s="1611">
        <v>0.25</v>
      </c>
      <c r="BH48" s="1652">
        <v>0.33</v>
      </c>
      <c r="BI48" s="1611">
        <v>0.25</v>
      </c>
      <c r="BJ48" s="1611">
        <v>0.25</v>
      </c>
      <c r="BK48" s="1612"/>
      <c r="BL48" s="1611"/>
      <c r="BM48" s="1611"/>
      <c r="BO48" s="1604">
        <v>4</v>
      </c>
      <c r="BP48" s="1608" t="s">
        <v>179</v>
      </c>
      <c r="BQ48" s="1600" t="s">
        <v>1578</v>
      </c>
      <c r="BR48" s="1701">
        <v>0.25</v>
      </c>
      <c r="BS48" s="1701">
        <v>0.25</v>
      </c>
      <c r="BT48" s="1701">
        <v>0.25</v>
      </c>
      <c r="BU48" s="1701">
        <v>0.25</v>
      </c>
      <c r="BV48" s="1701">
        <v>0.25</v>
      </c>
      <c r="BW48" s="1701">
        <v>0.25</v>
      </c>
      <c r="BX48" s="1701">
        <v>0.25</v>
      </c>
      <c r="BY48" s="1653">
        <v>0.25</v>
      </c>
      <c r="BZ48" s="1701">
        <v>0.25</v>
      </c>
      <c r="CA48" s="1701">
        <v>0.25</v>
      </c>
      <c r="CB48" s="1702"/>
      <c r="CC48" s="1701"/>
      <c r="CD48" s="1701"/>
      <c r="CE48" s="1703"/>
      <c r="CG48" s="1604">
        <v>4</v>
      </c>
      <c r="CH48" s="1608" t="s">
        <v>179</v>
      </c>
      <c r="CI48" s="1600" t="s">
        <v>1764</v>
      </c>
      <c r="CJ48" s="1616">
        <f t="shared" si="19"/>
        <v>0.25</v>
      </c>
      <c r="CK48" s="1616">
        <f t="shared" si="20"/>
        <v>0.25</v>
      </c>
      <c r="CL48" s="1616">
        <f t="shared" si="21"/>
        <v>0.25</v>
      </c>
      <c r="CM48" s="1616">
        <f t="shared" si="22"/>
        <v>0.25</v>
      </c>
      <c r="CN48" s="1616">
        <f t="shared" si="23"/>
        <v>0.25</v>
      </c>
      <c r="CO48" s="1616">
        <f t="shared" si="24"/>
        <v>0.25</v>
      </c>
      <c r="CP48" s="1616">
        <f t="shared" si="25"/>
        <v>0.25</v>
      </c>
      <c r="CQ48" s="1616">
        <f t="shared" si="25"/>
        <v>0.25</v>
      </c>
      <c r="CR48" s="1616">
        <f t="shared" si="27"/>
        <v>0.25</v>
      </c>
      <c r="CS48" s="1616">
        <f t="shared" si="28"/>
        <v>0.25</v>
      </c>
      <c r="CT48" s="1618">
        <f t="shared" si="13"/>
        <v>0</v>
      </c>
      <c r="CU48" s="1616">
        <f t="shared" si="14"/>
        <v>0</v>
      </c>
      <c r="CV48" s="1616">
        <f t="shared" si="15"/>
        <v>0</v>
      </c>
      <c r="CX48" s="1604">
        <v>4</v>
      </c>
      <c r="CY48" s="1608" t="s">
        <v>179</v>
      </c>
      <c r="CZ48" s="1600" t="s">
        <v>1764</v>
      </c>
      <c r="DA48" s="1619">
        <f t="shared" si="29"/>
        <v>0.25</v>
      </c>
      <c r="DB48" s="1619"/>
      <c r="DC48" s="1619"/>
      <c r="DD48" s="1619"/>
      <c r="DE48" s="1619"/>
      <c r="DF48" s="1619"/>
      <c r="DG48" s="1619"/>
      <c r="DH48" s="1619"/>
      <c r="DI48" s="1619"/>
      <c r="DJ48" s="1619"/>
      <c r="DK48" s="1621"/>
      <c r="DL48" s="1619"/>
      <c r="DM48" s="1619"/>
    </row>
    <row r="49" spans="2:117">
      <c r="B49" s="1584">
        <f t="shared" si="47"/>
        <v>4.0999999999999996</v>
      </c>
      <c r="C49" s="1622" t="str">
        <f t="shared" si="1"/>
        <v>Source Control</v>
      </c>
      <c r="D49" s="1623">
        <f>IF(I$48=0,0,G49/I$48)</f>
        <v>0.5</v>
      </c>
      <c r="E49" s="1624">
        <f>IF(J$48=0,0,H49/J$48)</f>
        <v>0</v>
      </c>
      <c r="G49" s="1624">
        <f>K49*M49</f>
        <v>0.5</v>
      </c>
      <c r="H49" s="1624">
        <f t="shared" si="44"/>
        <v>0</v>
      </c>
      <c r="I49" s="1624">
        <f>SUM(G50:G53)</f>
        <v>1</v>
      </c>
      <c r="J49" s="1624">
        <f>SUM(H50:H53)</f>
        <v>0</v>
      </c>
      <c r="K49" s="1624">
        <f>IF(Score!Z49=0,0,1)</f>
        <v>1</v>
      </c>
      <c r="L49" s="1624">
        <f>IF(Score!AB49=0,0,1)</f>
        <v>0</v>
      </c>
      <c r="M49" s="1624">
        <f t="shared" si="45"/>
        <v>0.5</v>
      </c>
      <c r="N49" s="1624">
        <f t="shared" si="46"/>
        <v>0</v>
      </c>
      <c r="P49" s="1625">
        <f t="shared" si="6"/>
        <v>4.0999999999999996</v>
      </c>
      <c r="Q49" s="1625" t="str">
        <f t="shared" si="7"/>
        <v xml:space="preserve"> Q1 4</v>
      </c>
      <c r="R49" s="1622" t="str">
        <f t="shared" si="8"/>
        <v>Source Control</v>
      </c>
      <c r="S49" s="1626">
        <f t="shared" si="16"/>
        <v>0.5</v>
      </c>
      <c r="T49" s="1626">
        <f t="shared" si="32"/>
        <v>0.5</v>
      </c>
      <c r="U49" s="1626">
        <f t="shared" si="33"/>
        <v>0.5</v>
      </c>
      <c r="V49" s="1626">
        <f t="shared" si="34"/>
        <v>0.5</v>
      </c>
      <c r="W49" s="1626">
        <f t="shared" si="35"/>
        <v>0.5</v>
      </c>
      <c r="X49" s="1626">
        <f t="shared" si="36"/>
        <v>0.5</v>
      </c>
      <c r="Y49" s="1626">
        <f t="shared" si="37"/>
        <v>0.6</v>
      </c>
      <c r="Z49" s="1645">
        <f t="shared" si="38"/>
        <v>0.5</v>
      </c>
      <c r="AA49" s="1626">
        <f t="shared" si="17"/>
        <v>0.5</v>
      </c>
      <c r="AB49" s="1626">
        <f t="shared" si="10"/>
        <v>0.5</v>
      </c>
      <c r="AC49" s="1627">
        <f t="shared" si="11"/>
        <v>0.625</v>
      </c>
      <c r="AD49" s="1626">
        <f t="shared" si="12"/>
        <v>0.625</v>
      </c>
      <c r="AE49" s="1626">
        <f t="shared" si="18"/>
        <v>0.625</v>
      </c>
      <c r="AG49" s="1625">
        <v>4.0999999999999996</v>
      </c>
      <c r="AH49" s="1628" t="s">
        <v>593</v>
      </c>
      <c r="AI49" s="1622" t="s">
        <v>1765</v>
      </c>
      <c r="AJ49" s="1669">
        <v>0.5</v>
      </c>
      <c r="AK49" s="1669">
        <v>0.5</v>
      </c>
      <c r="AL49" s="1669">
        <v>0.5</v>
      </c>
      <c r="AM49" s="1669">
        <v>0.5</v>
      </c>
      <c r="AN49" s="1669">
        <v>0.5</v>
      </c>
      <c r="AO49" s="1669">
        <v>0.5</v>
      </c>
      <c r="AP49" s="1669">
        <v>0.6</v>
      </c>
      <c r="AQ49" s="1704">
        <v>0.5</v>
      </c>
      <c r="AR49" s="1669">
        <v>0.5</v>
      </c>
      <c r="AS49" s="1631">
        <v>0.5</v>
      </c>
      <c r="AT49" s="1632">
        <v>0.625</v>
      </c>
      <c r="AU49" s="1631">
        <v>0.625</v>
      </c>
      <c r="AV49" s="1631">
        <v>0.625</v>
      </c>
      <c r="AX49" s="1625">
        <v>4.0999999999999996</v>
      </c>
      <c r="AY49" s="1628" t="s">
        <v>593</v>
      </c>
      <c r="AZ49" s="1622" t="s">
        <v>1765</v>
      </c>
      <c r="BA49" s="1631">
        <v>0.5</v>
      </c>
      <c r="BB49" s="1631">
        <v>0.5</v>
      </c>
      <c r="BC49" s="1631">
        <v>0.5</v>
      </c>
      <c r="BD49" s="1631">
        <v>0.5</v>
      </c>
      <c r="BE49" s="1631">
        <v>0.5</v>
      </c>
      <c r="BF49" s="1631">
        <v>0.5</v>
      </c>
      <c r="BG49" s="1631">
        <v>0.6</v>
      </c>
      <c r="BH49" s="1649">
        <v>0.5</v>
      </c>
      <c r="BI49" s="1631">
        <v>0.5</v>
      </c>
      <c r="BJ49" s="1631">
        <v>0.5</v>
      </c>
      <c r="BK49" s="1632">
        <v>0.625</v>
      </c>
      <c r="BL49" s="1631">
        <v>0.625</v>
      </c>
      <c r="BM49" s="1631">
        <v>0.625</v>
      </c>
      <c r="BO49" s="1625">
        <v>4.0999999999999996</v>
      </c>
      <c r="BP49" s="1628" t="s">
        <v>593</v>
      </c>
      <c r="BQ49" s="1622" t="s">
        <v>1579</v>
      </c>
      <c r="BR49" s="1669">
        <v>0.5</v>
      </c>
      <c r="BS49" s="1669">
        <v>0.5</v>
      </c>
      <c r="BT49" s="1669">
        <v>0.5</v>
      </c>
      <c r="BU49" s="1669">
        <v>0.5</v>
      </c>
      <c r="BV49" s="1669">
        <v>0.5</v>
      </c>
      <c r="BW49" s="1669">
        <v>0.5</v>
      </c>
      <c r="BX49" s="1669">
        <v>0.6</v>
      </c>
      <c r="BY49" s="1670">
        <v>0.5</v>
      </c>
      <c r="BZ49" s="1669">
        <v>0.5</v>
      </c>
      <c r="CA49" s="1669">
        <v>0.5</v>
      </c>
      <c r="CB49" s="1671">
        <v>0.625</v>
      </c>
      <c r="CC49" s="1669">
        <v>0.625</v>
      </c>
      <c r="CD49" s="1669">
        <v>0.625</v>
      </c>
      <c r="CE49" s="1693"/>
      <c r="CG49" s="1625">
        <v>4.0999999999999996</v>
      </c>
      <c r="CH49" s="1628" t="s">
        <v>593</v>
      </c>
      <c r="CI49" s="1622" t="s">
        <v>1765</v>
      </c>
      <c r="CJ49" s="1636">
        <f t="shared" si="19"/>
        <v>0.5</v>
      </c>
      <c r="CK49" s="1636">
        <f t="shared" si="20"/>
        <v>0.5</v>
      </c>
      <c r="CL49" s="1636">
        <f t="shared" si="21"/>
        <v>0.5</v>
      </c>
      <c r="CM49" s="1636">
        <f t="shared" si="22"/>
        <v>0.5</v>
      </c>
      <c r="CN49" s="1636">
        <f t="shared" si="23"/>
        <v>0.5</v>
      </c>
      <c r="CO49" s="1636">
        <f t="shared" si="24"/>
        <v>0.5</v>
      </c>
      <c r="CP49" s="1636">
        <f t="shared" si="25"/>
        <v>0.6</v>
      </c>
      <c r="CQ49" s="1636">
        <f t="shared" si="25"/>
        <v>0.5</v>
      </c>
      <c r="CR49" s="1636">
        <f t="shared" si="27"/>
        <v>0.5</v>
      </c>
      <c r="CS49" s="1636">
        <f t="shared" si="28"/>
        <v>0.5</v>
      </c>
      <c r="CT49" s="1640">
        <f t="shared" si="13"/>
        <v>0.625</v>
      </c>
      <c r="CU49" s="1636">
        <f t="shared" si="14"/>
        <v>0.625</v>
      </c>
      <c r="CV49" s="1636">
        <f t="shared" si="15"/>
        <v>0.625</v>
      </c>
      <c r="CX49" s="1625">
        <v>4.0999999999999996</v>
      </c>
      <c r="CY49" s="1628" t="s">
        <v>593</v>
      </c>
      <c r="CZ49" s="1622" t="s">
        <v>1765</v>
      </c>
      <c r="DA49" s="1638">
        <f t="shared" si="29"/>
        <v>0.5</v>
      </c>
      <c r="DB49" s="1638"/>
      <c r="DC49" s="1638"/>
      <c r="DD49" s="1638"/>
      <c r="DE49" s="1638"/>
      <c r="DF49" s="1638"/>
      <c r="DG49" s="1638"/>
      <c r="DH49" s="1638"/>
      <c r="DI49" s="1638"/>
      <c r="DJ49" s="1638"/>
      <c r="DK49" s="1642"/>
      <c r="DL49" s="1638"/>
      <c r="DM49" s="1638"/>
    </row>
    <row r="50" spans="2:117">
      <c r="B50" s="1584" t="str">
        <f t="shared" si="47"/>
        <v>4.1.1</v>
      </c>
      <c r="C50" s="1622" t="str">
        <f t="shared" si="1"/>
        <v>Chemical Pollutants</v>
      </c>
      <c r="D50" s="1603">
        <f t="shared" ref="D50:E53" si="48">IF(I$49&gt;0,G50/I$49,0)</f>
        <v>1</v>
      </c>
      <c r="E50" s="1624">
        <f t="shared" si="48"/>
        <v>0</v>
      </c>
      <c r="G50" s="1624">
        <f t="shared" si="43"/>
        <v>1</v>
      </c>
      <c r="H50" s="1624">
        <f t="shared" si="44"/>
        <v>0</v>
      </c>
      <c r="I50" s="1624"/>
      <c r="J50" s="1624"/>
      <c r="K50" s="1624">
        <f>IF(Score!W50=0,0,1)</f>
        <v>1</v>
      </c>
      <c r="L50" s="1624">
        <f>IF(Score!X50=0,0,1)</f>
        <v>1</v>
      </c>
      <c r="M50" s="1624">
        <f t="shared" si="45"/>
        <v>1</v>
      </c>
      <c r="N50" s="1624">
        <f t="shared" si="46"/>
        <v>0</v>
      </c>
      <c r="P50" s="1625" t="str">
        <f t="shared" si="6"/>
        <v>4.1.1</v>
      </c>
      <c r="Q50" s="1625" t="str">
        <f t="shared" si="7"/>
        <v xml:space="preserve"> Q1 4.1</v>
      </c>
      <c r="R50" s="1622" t="str">
        <f t="shared" si="8"/>
        <v>Chemical Pollutants</v>
      </c>
      <c r="S50" s="1626">
        <f t="shared" si="16"/>
        <v>1</v>
      </c>
      <c r="T50" s="1626">
        <f t="shared" si="32"/>
        <v>1</v>
      </c>
      <c r="U50" s="1626">
        <f t="shared" si="33"/>
        <v>1</v>
      </c>
      <c r="V50" s="1626">
        <f t="shared" si="34"/>
        <v>1</v>
      </c>
      <c r="W50" s="1626">
        <f t="shared" si="35"/>
        <v>1</v>
      </c>
      <c r="X50" s="1626">
        <f t="shared" si="36"/>
        <v>1</v>
      </c>
      <c r="Y50" s="1626">
        <f t="shared" si="37"/>
        <v>1</v>
      </c>
      <c r="Z50" s="1645">
        <f t="shared" si="38"/>
        <v>1</v>
      </c>
      <c r="AA50" s="1626">
        <f t="shared" si="17"/>
        <v>1</v>
      </c>
      <c r="AB50" s="1626">
        <f t="shared" si="10"/>
        <v>1</v>
      </c>
      <c r="AC50" s="1627">
        <f t="shared" si="11"/>
        <v>1</v>
      </c>
      <c r="AD50" s="1626">
        <f t="shared" si="12"/>
        <v>1</v>
      </c>
      <c r="AE50" s="1626">
        <f t="shared" si="18"/>
        <v>1</v>
      </c>
      <c r="AG50" s="1625" t="s">
        <v>640</v>
      </c>
      <c r="AH50" s="1628" t="s">
        <v>594</v>
      </c>
      <c r="AI50" s="1622" t="s">
        <v>1766</v>
      </c>
      <c r="AJ50" s="1669">
        <v>0.25</v>
      </c>
      <c r="AK50" s="1669">
        <v>0.25</v>
      </c>
      <c r="AL50" s="1669">
        <v>0.25</v>
      </c>
      <c r="AM50" s="1669">
        <v>0.25</v>
      </c>
      <c r="AN50" s="1705">
        <v>0.25</v>
      </c>
      <c r="AO50" s="1705">
        <v>0.33</v>
      </c>
      <c r="AP50" s="1705">
        <v>0.33</v>
      </c>
      <c r="AQ50" s="1704">
        <v>0.25</v>
      </c>
      <c r="AR50" s="1669">
        <v>0.25</v>
      </c>
      <c r="AS50" s="1631">
        <v>0.25</v>
      </c>
      <c r="AT50" s="1632">
        <v>0.25</v>
      </c>
      <c r="AU50" s="1631">
        <v>0.25</v>
      </c>
      <c r="AV50" s="1631">
        <v>0.25</v>
      </c>
      <c r="AX50" s="1625" t="s">
        <v>640</v>
      </c>
      <c r="AY50" s="1628" t="s">
        <v>594</v>
      </c>
      <c r="AZ50" s="1622" t="s">
        <v>1766</v>
      </c>
      <c r="BA50" s="1631">
        <v>1</v>
      </c>
      <c r="BB50" s="1631">
        <v>1</v>
      </c>
      <c r="BC50" s="1631">
        <v>1</v>
      </c>
      <c r="BD50" s="1631">
        <v>1</v>
      </c>
      <c r="BE50" s="1631">
        <v>1</v>
      </c>
      <c r="BF50" s="1631">
        <v>1</v>
      </c>
      <c r="BG50" s="1631">
        <v>1</v>
      </c>
      <c r="BH50" s="1649">
        <v>1</v>
      </c>
      <c r="BI50" s="1631">
        <v>1</v>
      </c>
      <c r="BJ50" s="1631">
        <v>1</v>
      </c>
      <c r="BK50" s="1632">
        <v>1</v>
      </c>
      <c r="BL50" s="1631">
        <v>1</v>
      </c>
      <c r="BM50" s="1631">
        <v>1</v>
      </c>
      <c r="BO50" s="1625" t="s">
        <v>640</v>
      </c>
      <c r="BP50" s="1628" t="s">
        <v>594</v>
      </c>
      <c r="BQ50" s="1622" t="s">
        <v>1580</v>
      </c>
      <c r="BR50" s="1706">
        <v>1</v>
      </c>
      <c r="BS50" s="1706">
        <v>1</v>
      </c>
      <c r="BT50" s="1706">
        <v>1</v>
      </c>
      <c r="BU50" s="1706">
        <v>1</v>
      </c>
      <c r="BV50" s="1706">
        <v>1</v>
      </c>
      <c r="BW50" s="1706">
        <v>1</v>
      </c>
      <c r="BX50" s="1706">
        <v>1</v>
      </c>
      <c r="BY50" s="1706">
        <v>1</v>
      </c>
      <c r="BZ50" s="1706">
        <v>1</v>
      </c>
      <c r="CA50" s="1706">
        <v>1</v>
      </c>
      <c r="CB50" s="1706">
        <v>1</v>
      </c>
      <c r="CC50" s="1706">
        <v>1</v>
      </c>
      <c r="CD50" s="1706">
        <v>1</v>
      </c>
      <c r="CE50" s="1693"/>
      <c r="CG50" s="1625" t="s">
        <v>365</v>
      </c>
      <c r="CH50" s="1628" t="s">
        <v>594</v>
      </c>
      <c r="CI50" s="1622" t="s">
        <v>1766</v>
      </c>
      <c r="CJ50" s="1636">
        <f t="shared" si="19"/>
        <v>1</v>
      </c>
      <c r="CK50" s="1636">
        <f t="shared" si="20"/>
        <v>1</v>
      </c>
      <c r="CL50" s="1636">
        <f t="shared" si="21"/>
        <v>1</v>
      </c>
      <c r="CM50" s="1636">
        <f t="shared" si="22"/>
        <v>1</v>
      </c>
      <c r="CN50" s="1636">
        <f t="shared" si="23"/>
        <v>1</v>
      </c>
      <c r="CO50" s="1636">
        <f t="shared" si="24"/>
        <v>1</v>
      </c>
      <c r="CP50" s="1636">
        <f t="shared" si="25"/>
        <v>1</v>
      </c>
      <c r="CQ50" s="1636">
        <f t="shared" si="25"/>
        <v>1</v>
      </c>
      <c r="CR50" s="1636">
        <f t="shared" si="27"/>
        <v>1</v>
      </c>
      <c r="CS50" s="1636">
        <f t="shared" si="28"/>
        <v>1</v>
      </c>
      <c r="CT50" s="1636">
        <f t="shared" si="13"/>
        <v>1</v>
      </c>
      <c r="CU50" s="1636">
        <f t="shared" si="14"/>
        <v>1</v>
      </c>
      <c r="CV50" s="1636">
        <f t="shared" si="15"/>
        <v>1</v>
      </c>
      <c r="CX50" s="1625" t="s">
        <v>365</v>
      </c>
      <c r="CY50" s="1628" t="s">
        <v>594</v>
      </c>
      <c r="CZ50" s="1622" t="s">
        <v>1766</v>
      </c>
      <c r="DA50" s="1638">
        <f t="shared" si="29"/>
        <v>1</v>
      </c>
      <c r="DB50" s="1638"/>
      <c r="DC50" s="1638"/>
      <c r="DD50" s="1638"/>
      <c r="DE50" s="1638"/>
      <c r="DF50" s="1638"/>
      <c r="DG50" s="1638"/>
      <c r="DH50" s="1638"/>
      <c r="DI50" s="1638"/>
      <c r="DJ50" s="1638"/>
      <c r="DK50" s="1638"/>
      <c r="DL50" s="1638"/>
      <c r="DM50" s="1638"/>
    </row>
    <row r="51" spans="2:117">
      <c r="B51" s="1584" t="str">
        <f t="shared" si="47"/>
        <v>4.1.2</v>
      </c>
      <c r="C51" s="1679" t="str">
        <f t="shared" si="1"/>
        <v>Asbestos</v>
      </c>
      <c r="D51" s="1680">
        <f t="shared" si="48"/>
        <v>0</v>
      </c>
      <c r="E51" s="1681">
        <f t="shared" si="48"/>
        <v>0</v>
      </c>
      <c r="G51" s="1681">
        <f t="shared" si="43"/>
        <v>0</v>
      </c>
      <c r="H51" s="1681">
        <f t="shared" si="44"/>
        <v>0</v>
      </c>
      <c r="I51" s="1681"/>
      <c r="J51" s="1681"/>
      <c r="K51" s="1681">
        <f>IF(Score!W51=0,0,1)</f>
        <v>0</v>
      </c>
      <c r="L51" s="1681">
        <f>IF(Score!X51=0,0,1)</f>
        <v>0</v>
      </c>
      <c r="M51" s="1681">
        <f t="shared" si="45"/>
        <v>0</v>
      </c>
      <c r="N51" s="1681">
        <f t="shared" si="46"/>
        <v>0</v>
      </c>
      <c r="P51" s="1682" t="str">
        <f t="shared" si="6"/>
        <v>4.1.2</v>
      </c>
      <c r="Q51" s="1682" t="str">
        <f t="shared" si="7"/>
        <v xml:space="preserve"> Q1 4.1</v>
      </c>
      <c r="R51" s="1679" t="str">
        <f t="shared" si="8"/>
        <v>Asbestos</v>
      </c>
      <c r="S51" s="1683">
        <f t="shared" si="16"/>
        <v>0</v>
      </c>
      <c r="T51" s="1683">
        <f t="shared" si="32"/>
        <v>0</v>
      </c>
      <c r="U51" s="1683">
        <f t="shared" si="33"/>
        <v>0</v>
      </c>
      <c r="V51" s="1683">
        <f t="shared" si="34"/>
        <v>0</v>
      </c>
      <c r="W51" s="1683">
        <f t="shared" si="35"/>
        <v>0</v>
      </c>
      <c r="X51" s="1683">
        <f t="shared" si="36"/>
        <v>0</v>
      </c>
      <c r="Y51" s="1683">
        <f t="shared" si="37"/>
        <v>0</v>
      </c>
      <c r="Z51" s="1684">
        <f t="shared" si="38"/>
        <v>0</v>
      </c>
      <c r="AA51" s="1683">
        <f t="shared" si="17"/>
        <v>0</v>
      </c>
      <c r="AB51" s="1683">
        <f t="shared" si="10"/>
        <v>0</v>
      </c>
      <c r="AC51" s="1685">
        <f t="shared" si="11"/>
        <v>0</v>
      </c>
      <c r="AD51" s="1683">
        <f t="shared" si="12"/>
        <v>0</v>
      </c>
      <c r="AE51" s="1683">
        <f t="shared" si="18"/>
        <v>0</v>
      </c>
      <c r="AG51" s="1625" t="s">
        <v>641</v>
      </c>
      <c r="AH51" s="1628" t="s">
        <v>594</v>
      </c>
      <c r="AI51" s="1622" t="s">
        <v>1767</v>
      </c>
      <c r="AJ51" s="1669">
        <v>0.25</v>
      </c>
      <c r="AK51" s="1669">
        <v>0.25</v>
      </c>
      <c r="AL51" s="1669">
        <v>0.25</v>
      </c>
      <c r="AM51" s="1669">
        <v>0.25</v>
      </c>
      <c r="AN51" s="1705">
        <v>0.25</v>
      </c>
      <c r="AO51" s="1705">
        <v>0.33</v>
      </c>
      <c r="AP51" s="1705">
        <v>0.33</v>
      </c>
      <c r="AQ51" s="1704">
        <v>0.25</v>
      </c>
      <c r="AR51" s="1669">
        <v>0.25</v>
      </c>
      <c r="AS51" s="1631">
        <v>0.25</v>
      </c>
      <c r="AT51" s="1632">
        <v>0.25</v>
      </c>
      <c r="AU51" s="1631">
        <v>0.25</v>
      </c>
      <c r="AV51" s="1631">
        <v>0.25</v>
      </c>
      <c r="AX51" s="1682" t="s">
        <v>641</v>
      </c>
      <c r="AY51" s="1686" t="s">
        <v>594</v>
      </c>
      <c r="AZ51" s="1679" t="s">
        <v>1767</v>
      </c>
      <c r="BA51" s="1687"/>
      <c r="BB51" s="1687"/>
      <c r="BC51" s="1687"/>
      <c r="BD51" s="1687"/>
      <c r="BE51" s="1687"/>
      <c r="BF51" s="1687"/>
      <c r="BG51" s="1687"/>
      <c r="BH51" s="1688"/>
      <c r="BI51" s="1687"/>
      <c r="BJ51" s="1687"/>
      <c r="BK51" s="1689"/>
      <c r="BL51" s="1687"/>
      <c r="BM51" s="1687"/>
      <c r="BO51" s="1682" t="s">
        <v>641</v>
      </c>
      <c r="BP51" s="1686" t="s">
        <v>594</v>
      </c>
      <c r="BQ51" s="1679" t="s">
        <v>1581</v>
      </c>
      <c r="BR51" s="1690"/>
      <c r="BS51" s="1690"/>
      <c r="BT51" s="1690"/>
      <c r="BU51" s="1690"/>
      <c r="BV51" s="1690"/>
      <c r="BW51" s="1690"/>
      <c r="BX51" s="1690"/>
      <c r="BY51" s="1691"/>
      <c r="BZ51" s="1690"/>
      <c r="CA51" s="1690"/>
      <c r="CB51" s="1692"/>
      <c r="CC51" s="1690"/>
      <c r="CD51" s="1690"/>
      <c r="CE51" s="1693"/>
      <c r="CG51" s="1682" t="s">
        <v>366</v>
      </c>
      <c r="CH51" s="1686" t="s">
        <v>594</v>
      </c>
      <c r="CI51" s="1679"/>
      <c r="CJ51" s="1694"/>
      <c r="CK51" s="1694"/>
      <c r="CL51" s="1694"/>
      <c r="CM51" s="1694"/>
      <c r="CN51" s="1694"/>
      <c r="CO51" s="1694"/>
      <c r="CP51" s="1694"/>
      <c r="CQ51" s="1695"/>
      <c r="CR51" s="1694"/>
      <c r="CS51" s="1694"/>
      <c r="CT51" s="1696"/>
      <c r="CU51" s="1694"/>
      <c r="CV51" s="1694"/>
      <c r="CX51" s="1682"/>
      <c r="CY51" s="1686"/>
      <c r="CZ51" s="1679"/>
      <c r="DA51" s="1697"/>
      <c r="DB51" s="1697"/>
      <c r="DC51" s="1697"/>
      <c r="DD51" s="1697"/>
      <c r="DE51" s="1697"/>
      <c r="DF51" s="1697"/>
      <c r="DG51" s="1697"/>
      <c r="DH51" s="1698"/>
      <c r="DI51" s="1697"/>
      <c r="DJ51" s="1697"/>
      <c r="DK51" s="1699"/>
      <c r="DL51" s="1697"/>
      <c r="DM51" s="1697"/>
    </row>
    <row r="52" spans="2:117" hidden="1">
      <c r="B52" s="1584" t="str">
        <f t="shared" si="47"/>
        <v>4.1.3</v>
      </c>
      <c r="C52" s="1622" t="str">
        <f t="shared" si="1"/>
        <v>Mites, Mold etc.</v>
      </c>
      <c r="D52" s="1603">
        <f t="shared" si="48"/>
        <v>0</v>
      </c>
      <c r="E52" s="1624">
        <f t="shared" si="48"/>
        <v>0</v>
      </c>
      <c r="G52" s="1624">
        <f t="shared" si="43"/>
        <v>0</v>
      </c>
      <c r="H52" s="1624">
        <f t="shared" si="44"/>
        <v>0</v>
      </c>
      <c r="I52" s="1624"/>
      <c r="J52" s="1624"/>
      <c r="K52" s="1624">
        <f>IF(Score!W52=0,0,1)</f>
        <v>0</v>
      </c>
      <c r="L52" s="1624">
        <f>IF(Score!X52=0,0,1)</f>
        <v>0</v>
      </c>
      <c r="M52" s="1624">
        <f t="shared" si="45"/>
        <v>0</v>
      </c>
      <c r="N52" s="1624">
        <f t="shared" si="46"/>
        <v>0</v>
      </c>
      <c r="P52" s="1625" t="str">
        <f t="shared" si="6"/>
        <v>4.1.3</v>
      </c>
      <c r="Q52" s="1625" t="str">
        <f t="shared" si="7"/>
        <v xml:space="preserve"> Q1 4.1</v>
      </c>
      <c r="R52" s="1622" t="str">
        <f t="shared" si="8"/>
        <v>Mites, Mold etc.</v>
      </c>
      <c r="S52" s="1626">
        <f t="shared" si="16"/>
        <v>0</v>
      </c>
      <c r="T52" s="1626">
        <f t="shared" si="32"/>
        <v>0</v>
      </c>
      <c r="U52" s="1626">
        <f t="shared" si="33"/>
        <v>0</v>
      </c>
      <c r="V52" s="1626">
        <f t="shared" si="34"/>
        <v>0</v>
      </c>
      <c r="W52" s="1626">
        <f t="shared" si="35"/>
        <v>0</v>
      </c>
      <c r="X52" s="1626">
        <f t="shared" si="36"/>
        <v>0</v>
      </c>
      <c r="Y52" s="1626">
        <f t="shared" si="37"/>
        <v>0</v>
      </c>
      <c r="Z52" s="1645">
        <f t="shared" si="38"/>
        <v>0</v>
      </c>
      <c r="AA52" s="1626">
        <f t="shared" si="17"/>
        <v>0</v>
      </c>
      <c r="AB52" s="1626">
        <f t="shared" si="10"/>
        <v>0</v>
      </c>
      <c r="AC52" s="1627">
        <f t="shared" si="11"/>
        <v>0</v>
      </c>
      <c r="AD52" s="1626">
        <f t="shared" si="12"/>
        <v>0</v>
      </c>
      <c r="AE52" s="1626">
        <f t="shared" si="18"/>
        <v>0</v>
      </c>
      <c r="AG52" s="1625" t="s">
        <v>642</v>
      </c>
      <c r="AH52" s="1628" t="s">
        <v>594</v>
      </c>
      <c r="AI52" s="1622"/>
      <c r="AJ52" s="1690">
        <v>0.25</v>
      </c>
      <c r="AK52" s="1690">
        <v>0.25</v>
      </c>
      <c r="AL52" s="1690">
        <v>0.25</v>
      </c>
      <c r="AM52" s="1690">
        <v>0.25</v>
      </c>
      <c r="AN52" s="1707">
        <v>0.25</v>
      </c>
      <c r="AO52" s="1707">
        <v>0.33</v>
      </c>
      <c r="AP52" s="1707">
        <v>0.33</v>
      </c>
      <c r="AQ52" s="1708">
        <v>0.25</v>
      </c>
      <c r="AR52" s="1690">
        <v>0.25</v>
      </c>
      <c r="AS52" s="1631">
        <v>0.25</v>
      </c>
      <c r="AT52" s="1632">
        <v>0.25</v>
      </c>
      <c r="AU52" s="1631">
        <v>0.25</v>
      </c>
      <c r="AV52" s="1631">
        <v>0.25</v>
      </c>
      <c r="AX52" s="1625" t="s">
        <v>642</v>
      </c>
      <c r="AY52" s="1628" t="s">
        <v>594</v>
      </c>
      <c r="AZ52" s="1622" t="s">
        <v>1768</v>
      </c>
      <c r="BA52" s="1631"/>
      <c r="BB52" s="1631"/>
      <c r="BC52" s="1631"/>
      <c r="BD52" s="1631"/>
      <c r="BE52" s="1631"/>
      <c r="BF52" s="1631"/>
      <c r="BG52" s="1631"/>
      <c r="BH52" s="1649"/>
      <c r="BI52" s="1631"/>
      <c r="BJ52" s="1631"/>
      <c r="BK52" s="1632"/>
      <c r="BL52" s="1631"/>
      <c r="BM52" s="1631"/>
      <c r="BO52" s="1625" t="s">
        <v>642</v>
      </c>
      <c r="BP52" s="1628" t="s">
        <v>594</v>
      </c>
      <c r="BQ52" s="1622" t="s">
        <v>3407</v>
      </c>
      <c r="BR52" s="1669"/>
      <c r="BS52" s="1669"/>
      <c r="BT52" s="1669"/>
      <c r="BU52" s="1669"/>
      <c r="BV52" s="1669"/>
      <c r="BW52" s="1669"/>
      <c r="BX52" s="1669"/>
      <c r="BY52" s="1709"/>
      <c r="BZ52" s="1669"/>
      <c r="CA52" s="1669"/>
      <c r="CB52" s="1669"/>
      <c r="CC52" s="1669"/>
      <c r="CD52" s="1669"/>
      <c r="CE52" s="1693"/>
      <c r="CG52" s="1625" t="s">
        <v>642</v>
      </c>
      <c r="CH52" s="1628" t="s">
        <v>594</v>
      </c>
      <c r="CI52" s="1622" t="s">
        <v>1768</v>
      </c>
      <c r="CJ52" s="1636">
        <f t="shared" si="19"/>
        <v>0</v>
      </c>
      <c r="CK52" s="1636">
        <f t="shared" si="20"/>
        <v>0</v>
      </c>
      <c r="CL52" s="1636">
        <f t="shared" si="21"/>
        <v>0</v>
      </c>
      <c r="CM52" s="1636">
        <f t="shared" si="22"/>
        <v>0</v>
      </c>
      <c r="CN52" s="1636">
        <f t="shared" si="23"/>
        <v>0</v>
      </c>
      <c r="CO52" s="1636">
        <f t="shared" si="24"/>
        <v>0</v>
      </c>
      <c r="CP52" s="1636">
        <f t="shared" si="25"/>
        <v>0</v>
      </c>
      <c r="CQ52" s="1639">
        <f t="shared" si="26"/>
        <v>0</v>
      </c>
      <c r="CR52" s="1636">
        <f t="shared" si="27"/>
        <v>0</v>
      </c>
      <c r="CS52" s="1636">
        <f t="shared" si="28"/>
        <v>0</v>
      </c>
      <c r="CT52" s="1636">
        <f t="shared" si="13"/>
        <v>0</v>
      </c>
      <c r="CU52" s="1636">
        <f t="shared" si="14"/>
        <v>0</v>
      </c>
      <c r="CV52" s="1636">
        <f t="shared" si="15"/>
        <v>0</v>
      </c>
      <c r="CX52" s="1625" t="s">
        <v>642</v>
      </c>
      <c r="CY52" s="1628" t="s">
        <v>594</v>
      </c>
      <c r="CZ52" s="1622" t="s">
        <v>1768</v>
      </c>
      <c r="DA52" s="1638">
        <f t="shared" si="29"/>
        <v>0</v>
      </c>
      <c r="DB52" s="1638"/>
      <c r="DC52" s="1638"/>
      <c r="DD52" s="1638"/>
      <c r="DE52" s="1638"/>
      <c r="DF52" s="1638"/>
      <c r="DG52" s="1638"/>
      <c r="DH52" s="1641"/>
      <c r="DI52" s="1638"/>
      <c r="DJ52" s="1638"/>
      <c r="DK52" s="1638"/>
      <c r="DL52" s="1638"/>
      <c r="DM52" s="1638"/>
    </row>
    <row r="53" spans="2:117" hidden="1">
      <c r="B53" s="1584" t="str">
        <f t="shared" si="47"/>
        <v>4.1.4</v>
      </c>
      <c r="C53" s="1622" t="str">
        <f t="shared" si="1"/>
        <v>Legionella</v>
      </c>
      <c r="D53" s="1603">
        <f t="shared" si="48"/>
        <v>0</v>
      </c>
      <c r="E53" s="1624">
        <f t="shared" si="48"/>
        <v>0</v>
      </c>
      <c r="G53" s="1624">
        <f t="shared" si="43"/>
        <v>0</v>
      </c>
      <c r="H53" s="1624">
        <f t="shared" si="44"/>
        <v>0</v>
      </c>
      <c r="I53" s="1624"/>
      <c r="J53" s="1624"/>
      <c r="K53" s="1624">
        <f>IF(Score!W53=0,0,1)</f>
        <v>0</v>
      </c>
      <c r="L53" s="1624">
        <f>IF(Score!X53=0,0,1)</f>
        <v>0</v>
      </c>
      <c r="M53" s="1624">
        <f t="shared" si="45"/>
        <v>0</v>
      </c>
      <c r="N53" s="1624">
        <f t="shared" si="46"/>
        <v>0</v>
      </c>
      <c r="P53" s="1625" t="str">
        <f t="shared" si="6"/>
        <v>4.1.4</v>
      </c>
      <c r="Q53" s="1625" t="str">
        <f t="shared" si="7"/>
        <v xml:space="preserve"> Q1 4.1</v>
      </c>
      <c r="R53" s="1622" t="str">
        <f t="shared" si="8"/>
        <v>Legionella</v>
      </c>
      <c r="S53" s="1626">
        <f t="shared" si="16"/>
        <v>0</v>
      </c>
      <c r="T53" s="1626">
        <f t="shared" si="32"/>
        <v>0</v>
      </c>
      <c r="U53" s="1626">
        <f t="shared" si="33"/>
        <v>0</v>
      </c>
      <c r="V53" s="1626">
        <f t="shared" si="34"/>
        <v>0</v>
      </c>
      <c r="W53" s="1626">
        <f t="shared" si="35"/>
        <v>0</v>
      </c>
      <c r="X53" s="1626">
        <f t="shared" si="36"/>
        <v>0</v>
      </c>
      <c r="Y53" s="1626">
        <f t="shared" si="37"/>
        <v>0</v>
      </c>
      <c r="Z53" s="1645">
        <f t="shared" si="38"/>
        <v>0</v>
      </c>
      <c r="AA53" s="1626">
        <f t="shared" si="17"/>
        <v>0</v>
      </c>
      <c r="AB53" s="1626">
        <f t="shared" si="10"/>
        <v>0</v>
      </c>
      <c r="AC53" s="1627">
        <f t="shared" si="11"/>
        <v>0</v>
      </c>
      <c r="AD53" s="1626">
        <f t="shared" si="12"/>
        <v>0</v>
      </c>
      <c r="AE53" s="1626">
        <f t="shared" si="18"/>
        <v>0</v>
      </c>
      <c r="AG53" s="1625" t="s">
        <v>643</v>
      </c>
      <c r="AH53" s="1628" t="s">
        <v>594</v>
      </c>
      <c r="AI53" s="1622" t="s">
        <v>1769</v>
      </c>
      <c r="AJ53" s="1669">
        <v>0.25</v>
      </c>
      <c r="AK53" s="1669">
        <v>0.25</v>
      </c>
      <c r="AL53" s="1669">
        <v>0.25</v>
      </c>
      <c r="AM53" s="1669">
        <v>0.25</v>
      </c>
      <c r="AN53" s="1669">
        <v>0.25</v>
      </c>
      <c r="AO53" s="1669"/>
      <c r="AP53" s="1669"/>
      <c r="AQ53" s="1704">
        <v>0.25</v>
      </c>
      <c r="AR53" s="1669">
        <v>0.25</v>
      </c>
      <c r="AS53" s="1631">
        <v>0.25</v>
      </c>
      <c r="AT53" s="1632">
        <v>0.25</v>
      </c>
      <c r="AU53" s="1631">
        <v>0.25</v>
      </c>
      <c r="AV53" s="1631">
        <v>0.25</v>
      </c>
      <c r="AX53" s="1625" t="s">
        <v>643</v>
      </c>
      <c r="AY53" s="1628" t="s">
        <v>594</v>
      </c>
      <c r="AZ53" s="1622" t="s">
        <v>1769</v>
      </c>
      <c r="BA53" s="1631"/>
      <c r="BB53" s="1631"/>
      <c r="BC53" s="1631"/>
      <c r="BD53" s="1631"/>
      <c r="BE53" s="1631"/>
      <c r="BF53" s="1631"/>
      <c r="BG53" s="1631"/>
      <c r="BH53" s="1649"/>
      <c r="BI53" s="1631"/>
      <c r="BJ53" s="1631"/>
      <c r="BK53" s="1632"/>
      <c r="BL53" s="1631"/>
      <c r="BM53" s="1631"/>
      <c r="BO53" s="1625" t="s">
        <v>643</v>
      </c>
      <c r="BP53" s="1628" t="s">
        <v>594</v>
      </c>
      <c r="BQ53" s="1622" t="s">
        <v>1582</v>
      </c>
      <c r="BR53" s="1669"/>
      <c r="BS53" s="1669"/>
      <c r="BT53" s="1669"/>
      <c r="BU53" s="1669"/>
      <c r="BV53" s="1669"/>
      <c r="BW53" s="1669"/>
      <c r="BX53" s="1669"/>
      <c r="BY53" s="1709"/>
      <c r="BZ53" s="1669"/>
      <c r="CA53" s="1669"/>
      <c r="CB53" s="1669"/>
      <c r="CC53" s="1669"/>
      <c r="CD53" s="1669"/>
      <c r="CE53" s="1693"/>
      <c r="CG53" s="1625" t="s">
        <v>643</v>
      </c>
      <c r="CH53" s="1628" t="s">
        <v>594</v>
      </c>
      <c r="CI53" s="1622" t="s">
        <v>1769</v>
      </c>
      <c r="CJ53" s="1636">
        <f t="shared" si="19"/>
        <v>0</v>
      </c>
      <c r="CK53" s="1636">
        <f t="shared" si="20"/>
        <v>0</v>
      </c>
      <c r="CL53" s="1636">
        <f t="shared" si="21"/>
        <v>0</v>
      </c>
      <c r="CM53" s="1636">
        <f t="shared" si="22"/>
        <v>0</v>
      </c>
      <c r="CN53" s="1636">
        <f t="shared" si="23"/>
        <v>0</v>
      </c>
      <c r="CO53" s="1636">
        <f t="shared" si="24"/>
        <v>0</v>
      </c>
      <c r="CP53" s="1636">
        <f t="shared" si="25"/>
        <v>0</v>
      </c>
      <c r="CQ53" s="1639">
        <f t="shared" si="26"/>
        <v>0</v>
      </c>
      <c r="CR53" s="1636">
        <f t="shared" si="27"/>
        <v>0</v>
      </c>
      <c r="CS53" s="1636">
        <f t="shared" si="28"/>
        <v>0</v>
      </c>
      <c r="CT53" s="1636">
        <f t="shared" si="13"/>
        <v>0</v>
      </c>
      <c r="CU53" s="1636">
        <f t="shared" si="14"/>
        <v>0</v>
      </c>
      <c r="CV53" s="1636">
        <f t="shared" si="15"/>
        <v>0</v>
      </c>
      <c r="CX53" s="1625" t="s">
        <v>643</v>
      </c>
      <c r="CY53" s="1628" t="s">
        <v>594</v>
      </c>
      <c r="CZ53" s="1622" t="s">
        <v>1769</v>
      </c>
      <c r="DA53" s="1638">
        <f t="shared" si="29"/>
        <v>0</v>
      </c>
      <c r="DB53" s="1638"/>
      <c r="DC53" s="1638"/>
      <c r="DD53" s="1638"/>
      <c r="DE53" s="1638"/>
      <c r="DF53" s="1638"/>
      <c r="DG53" s="1638"/>
      <c r="DH53" s="1641"/>
      <c r="DI53" s="1638"/>
      <c r="DJ53" s="1638"/>
      <c r="DK53" s="1638"/>
      <c r="DL53" s="1638"/>
      <c r="DM53" s="1638"/>
    </row>
    <row r="54" spans="2:117">
      <c r="B54" s="1584">
        <f t="shared" si="47"/>
        <v>4.2</v>
      </c>
      <c r="C54" s="1622" t="str">
        <f t="shared" si="1"/>
        <v>Ventilation</v>
      </c>
      <c r="D54" s="1623">
        <f>IF(I$48=0,0,G54/I$48)</f>
        <v>0.3</v>
      </c>
      <c r="E54" s="1624">
        <f>IF(J$48=0,0,H54/J$48)</f>
        <v>0</v>
      </c>
      <c r="G54" s="1624">
        <f t="shared" si="43"/>
        <v>0.3</v>
      </c>
      <c r="H54" s="1624">
        <f t="shared" si="44"/>
        <v>0</v>
      </c>
      <c r="I54" s="1624">
        <f>SUM(G55:G58)</f>
        <v>1</v>
      </c>
      <c r="J54" s="1624">
        <f>SUM(H55:H58)</f>
        <v>0</v>
      </c>
      <c r="K54" s="1624">
        <f>IF(Score!Z54=0,0,1)</f>
        <v>1</v>
      </c>
      <c r="L54" s="1624">
        <f>IF(Score!AB54=0,0,1)</f>
        <v>0</v>
      </c>
      <c r="M54" s="1624">
        <f t="shared" si="45"/>
        <v>0.3</v>
      </c>
      <c r="N54" s="1624">
        <f t="shared" si="46"/>
        <v>0</v>
      </c>
      <c r="P54" s="1625">
        <f t="shared" si="6"/>
        <v>4.2</v>
      </c>
      <c r="Q54" s="1625" t="str">
        <f t="shared" si="7"/>
        <v xml:space="preserve"> Q1 4</v>
      </c>
      <c r="R54" s="1622" t="str">
        <f t="shared" si="8"/>
        <v>Ventilation</v>
      </c>
      <c r="S54" s="1626">
        <f t="shared" si="16"/>
        <v>0.3</v>
      </c>
      <c r="T54" s="1626">
        <f t="shared" si="32"/>
        <v>0.3</v>
      </c>
      <c r="U54" s="1626">
        <f t="shared" si="33"/>
        <v>0.3</v>
      </c>
      <c r="V54" s="1626">
        <f t="shared" si="34"/>
        <v>0.3</v>
      </c>
      <c r="W54" s="1626">
        <f t="shared" si="35"/>
        <v>0.3</v>
      </c>
      <c r="X54" s="1626">
        <f t="shared" si="36"/>
        <v>0.3</v>
      </c>
      <c r="Y54" s="1626">
        <f t="shared" si="37"/>
        <v>0.4</v>
      </c>
      <c r="Z54" s="1645">
        <f t="shared" si="38"/>
        <v>0.3</v>
      </c>
      <c r="AA54" s="1626">
        <f t="shared" si="17"/>
        <v>0.3</v>
      </c>
      <c r="AB54" s="1626">
        <f t="shared" si="10"/>
        <v>0.3</v>
      </c>
      <c r="AC54" s="1627">
        <f t="shared" si="11"/>
        <v>0.375</v>
      </c>
      <c r="AD54" s="1626">
        <f t="shared" si="12"/>
        <v>0.375</v>
      </c>
      <c r="AE54" s="1626">
        <f t="shared" si="18"/>
        <v>0.375</v>
      </c>
      <c r="AG54" s="1625">
        <v>4.2</v>
      </c>
      <c r="AH54" s="1628" t="s">
        <v>593</v>
      </c>
      <c r="AI54" s="1622" t="s">
        <v>1770</v>
      </c>
      <c r="AJ54" s="1669">
        <v>0.3</v>
      </c>
      <c r="AK54" s="1669">
        <v>0.3</v>
      </c>
      <c r="AL54" s="1669">
        <v>0.3</v>
      </c>
      <c r="AM54" s="1669">
        <v>0.3</v>
      </c>
      <c r="AN54" s="1669">
        <v>0.3</v>
      </c>
      <c r="AO54" s="1669">
        <v>0.3</v>
      </c>
      <c r="AP54" s="1669">
        <v>0.4</v>
      </c>
      <c r="AQ54" s="1704">
        <v>0.3</v>
      </c>
      <c r="AR54" s="1669">
        <v>0.3</v>
      </c>
      <c r="AS54" s="1631">
        <v>0.3</v>
      </c>
      <c r="AT54" s="1632">
        <v>0.375</v>
      </c>
      <c r="AU54" s="1631">
        <v>0.375</v>
      </c>
      <c r="AV54" s="1631">
        <v>0.375</v>
      </c>
      <c r="AX54" s="1625">
        <v>4.2</v>
      </c>
      <c r="AY54" s="1628" t="s">
        <v>593</v>
      </c>
      <c r="AZ54" s="1622" t="s">
        <v>1770</v>
      </c>
      <c r="BA54" s="1631">
        <v>0.3</v>
      </c>
      <c r="BB54" s="1631">
        <v>0.3</v>
      </c>
      <c r="BC54" s="1631">
        <v>0.3</v>
      </c>
      <c r="BD54" s="1631">
        <v>0.3</v>
      </c>
      <c r="BE54" s="1631">
        <v>0.3</v>
      </c>
      <c r="BF54" s="1631">
        <v>0.3</v>
      </c>
      <c r="BG54" s="1631">
        <v>0.4</v>
      </c>
      <c r="BH54" s="1649">
        <v>0.3</v>
      </c>
      <c r="BI54" s="1631">
        <v>0.3</v>
      </c>
      <c r="BJ54" s="1631">
        <v>0.3</v>
      </c>
      <c r="BK54" s="1632">
        <v>0.375</v>
      </c>
      <c r="BL54" s="1631">
        <v>0.375</v>
      </c>
      <c r="BM54" s="1631">
        <v>0.375</v>
      </c>
      <c r="BO54" s="1625">
        <v>4.2</v>
      </c>
      <c r="BP54" s="1628" t="s">
        <v>593</v>
      </c>
      <c r="BQ54" s="1622" t="s">
        <v>1583</v>
      </c>
      <c r="BR54" s="1669">
        <v>0.3</v>
      </c>
      <c r="BS54" s="1669">
        <v>0.3</v>
      </c>
      <c r="BT54" s="1669">
        <v>0.3</v>
      </c>
      <c r="BU54" s="1669">
        <v>0.3</v>
      </c>
      <c r="BV54" s="1669">
        <v>0.3</v>
      </c>
      <c r="BW54" s="1669">
        <v>0.3</v>
      </c>
      <c r="BX54" s="1669">
        <v>0.4</v>
      </c>
      <c r="BY54" s="1670">
        <v>0.3</v>
      </c>
      <c r="BZ54" s="1669">
        <v>0.3</v>
      </c>
      <c r="CA54" s="1669">
        <v>0.3</v>
      </c>
      <c r="CB54" s="1671">
        <v>0.375</v>
      </c>
      <c r="CC54" s="1669">
        <v>0.375</v>
      </c>
      <c r="CD54" s="1669">
        <v>0.375</v>
      </c>
      <c r="CE54" s="1693"/>
      <c r="CG54" s="1625">
        <v>4.2</v>
      </c>
      <c r="CH54" s="1628" t="s">
        <v>593</v>
      </c>
      <c r="CI54" s="1622" t="s">
        <v>1770</v>
      </c>
      <c r="CJ54" s="1636">
        <f t="shared" si="19"/>
        <v>0.3</v>
      </c>
      <c r="CK54" s="1636">
        <f t="shared" si="20"/>
        <v>0.3</v>
      </c>
      <c r="CL54" s="1636">
        <f t="shared" si="21"/>
        <v>0.3</v>
      </c>
      <c r="CM54" s="1636">
        <f t="shared" si="22"/>
        <v>0.3</v>
      </c>
      <c r="CN54" s="1636">
        <f t="shared" si="23"/>
        <v>0.3</v>
      </c>
      <c r="CO54" s="1636">
        <f t="shared" si="24"/>
        <v>0.3</v>
      </c>
      <c r="CP54" s="1636">
        <f t="shared" si="25"/>
        <v>0.4</v>
      </c>
      <c r="CQ54" s="1673">
        <f t="shared" si="26"/>
        <v>0.3</v>
      </c>
      <c r="CR54" s="1636">
        <f t="shared" si="27"/>
        <v>0.3</v>
      </c>
      <c r="CS54" s="1636">
        <f t="shared" si="28"/>
        <v>0.3</v>
      </c>
      <c r="CT54" s="1640">
        <f t="shared" si="13"/>
        <v>0.375</v>
      </c>
      <c r="CU54" s="1636">
        <f t="shared" si="14"/>
        <v>0.375</v>
      </c>
      <c r="CV54" s="1636">
        <f t="shared" si="15"/>
        <v>0.375</v>
      </c>
      <c r="CX54" s="1625">
        <v>4.2</v>
      </c>
      <c r="CY54" s="1628" t="s">
        <v>593</v>
      </c>
      <c r="CZ54" s="1622" t="s">
        <v>1770</v>
      </c>
      <c r="DA54" s="1638">
        <f t="shared" si="29"/>
        <v>0.3</v>
      </c>
      <c r="DB54" s="1638"/>
      <c r="DC54" s="1638"/>
      <c r="DD54" s="1638"/>
      <c r="DE54" s="1638"/>
      <c r="DF54" s="1638"/>
      <c r="DG54" s="1638"/>
      <c r="DH54" s="1674"/>
      <c r="DI54" s="1638"/>
      <c r="DJ54" s="1638"/>
      <c r="DK54" s="1642"/>
      <c r="DL54" s="1638"/>
      <c r="DM54" s="1638"/>
    </row>
    <row r="55" spans="2:117">
      <c r="B55" s="1584" t="str">
        <f t="shared" si="47"/>
        <v>4.2.1</v>
      </c>
      <c r="C55" s="1622" t="str">
        <f t="shared" si="1"/>
        <v>Ventilation Rate</v>
      </c>
      <c r="D55" s="1603">
        <f t="shared" ref="D55:E58" si="49">IF(I$54&gt;0,G55/I$54,0)</f>
        <v>0.33333333333333331</v>
      </c>
      <c r="E55" s="1624">
        <f t="shared" si="49"/>
        <v>0</v>
      </c>
      <c r="G55" s="1624">
        <f t="shared" si="43"/>
        <v>0.33333333333333331</v>
      </c>
      <c r="H55" s="1624">
        <f t="shared" si="44"/>
        <v>0</v>
      </c>
      <c r="I55" s="1624"/>
      <c r="J55" s="1624"/>
      <c r="K55" s="1624">
        <f>IF(Score!W55=0,0,1)</f>
        <v>1</v>
      </c>
      <c r="L55" s="1624">
        <f>IF(Score!X55=0,0,1)</f>
        <v>1</v>
      </c>
      <c r="M55" s="1624">
        <f t="shared" si="45"/>
        <v>0.33333333333333331</v>
      </c>
      <c r="N55" s="1624">
        <f t="shared" si="46"/>
        <v>0</v>
      </c>
      <c r="P55" s="1625" t="str">
        <f t="shared" si="6"/>
        <v>4.2.1</v>
      </c>
      <c r="Q55" s="1625" t="str">
        <f t="shared" si="7"/>
        <v xml:space="preserve"> Q1 4.2</v>
      </c>
      <c r="R55" s="1622" t="str">
        <f t="shared" si="8"/>
        <v>Ventilation Rate</v>
      </c>
      <c r="S55" s="1626">
        <f t="shared" si="16"/>
        <v>0.33333333333333331</v>
      </c>
      <c r="T55" s="1626">
        <f t="shared" si="32"/>
        <v>0.33333333333333331</v>
      </c>
      <c r="U55" s="1626">
        <f t="shared" si="33"/>
        <v>0.5</v>
      </c>
      <c r="V55" s="1626">
        <f t="shared" si="34"/>
        <v>0.5</v>
      </c>
      <c r="W55" s="1626">
        <f t="shared" si="35"/>
        <v>0.5</v>
      </c>
      <c r="X55" s="1626">
        <f t="shared" si="36"/>
        <v>0.5</v>
      </c>
      <c r="Y55" s="1626">
        <f t="shared" si="37"/>
        <v>0.5</v>
      </c>
      <c r="Z55" s="1645">
        <f t="shared" si="38"/>
        <v>0.33333333333333331</v>
      </c>
      <c r="AA55" s="1626">
        <f t="shared" si="17"/>
        <v>0.33333333333333331</v>
      </c>
      <c r="AB55" s="1626">
        <f t="shared" si="10"/>
        <v>0.33333333333333331</v>
      </c>
      <c r="AC55" s="1627">
        <f t="shared" si="11"/>
        <v>0.33333333333333331</v>
      </c>
      <c r="AD55" s="1626">
        <f t="shared" si="12"/>
        <v>0.33333333333333331</v>
      </c>
      <c r="AE55" s="1626">
        <f t="shared" si="18"/>
        <v>0.33333333333333331</v>
      </c>
      <c r="AG55" s="1625" t="s">
        <v>644</v>
      </c>
      <c r="AH55" s="1628" t="s">
        <v>598</v>
      </c>
      <c r="AI55" s="1622" t="s">
        <v>1771</v>
      </c>
      <c r="AJ55" s="1669">
        <v>0.25</v>
      </c>
      <c r="AK55" s="1669">
        <v>0.25</v>
      </c>
      <c r="AL55" s="1705">
        <v>0.33333333333333331</v>
      </c>
      <c r="AM55" s="1705">
        <v>0.33333333333333331</v>
      </c>
      <c r="AN55" s="1705">
        <v>0.33333333333333331</v>
      </c>
      <c r="AO55" s="1705">
        <v>0.33333333333333331</v>
      </c>
      <c r="AP55" s="1669"/>
      <c r="AQ55" s="1705">
        <v>0.33333333333333331</v>
      </c>
      <c r="AR55" s="1669">
        <v>0.25</v>
      </c>
      <c r="AS55" s="1631">
        <v>0.25</v>
      </c>
      <c r="AT55" s="1632">
        <v>0.25</v>
      </c>
      <c r="AU55" s="1631">
        <v>0.25</v>
      </c>
      <c r="AV55" s="1631"/>
      <c r="AX55" s="1625" t="s">
        <v>644</v>
      </c>
      <c r="AY55" s="1628" t="s">
        <v>598</v>
      </c>
      <c r="AZ55" s="1622" t="s">
        <v>1771</v>
      </c>
      <c r="BA55" s="1631">
        <v>0.33333333333333331</v>
      </c>
      <c r="BB55" s="1631">
        <v>0.33333333333333331</v>
      </c>
      <c r="BC55" s="1631">
        <v>0.5</v>
      </c>
      <c r="BD55" s="1631">
        <v>0.5</v>
      </c>
      <c r="BE55" s="1631">
        <v>0.5</v>
      </c>
      <c r="BF55" s="1631">
        <v>0.5</v>
      </c>
      <c r="BG55" s="1631">
        <v>0.5</v>
      </c>
      <c r="BH55" s="1649">
        <v>0.5</v>
      </c>
      <c r="BI55" s="1631">
        <v>0.33333333333333331</v>
      </c>
      <c r="BJ55" s="1631">
        <v>0.33333333333333331</v>
      </c>
      <c r="BK55" s="1632">
        <v>0.33333333333333331</v>
      </c>
      <c r="BL55" s="1631">
        <v>0.33333333333333331</v>
      </c>
      <c r="BM55" s="1631">
        <v>0.33333333333333331</v>
      </c>
      <c r="BO55" s="1625" t="s">
        <v>644</v>
      </c>
      <c r="BP55" s="1628" t="s">
        <v>598</v>
      </c>
      <c r="BQ55" s="1622" t="s">
        <v>1584</v>
      </c>
      <c r="BR55" s="1706">
        <f t="shared" ref="BR55:BS57" si="50">0.25/(0.25+0.25+0.25)</f>
        <v>0.33333333333333331</v>
      </c>
      <c r="BS55" s="1706">
        <f t="shared" si="50"/>
        <v>0.33333333333333331</v>
      </c>
      <c r="BT55" s="1706">
        <f>0.33/(0.33+0.33)</f>
        <v>0.5</v>
      </c>
      <c r="BU55" s="1706">
        <f>0.33/(0.33+0.33)</f>
        <v>0.5</v>
      </c>
      <c r="BV55" s="1706">
        <f>0.33/(0.33+0.33)</f>
        <v>0.5</v>
      </c>
      <c r="BW55" s="1706">
        <f>0.33/(0.33+0.33)</f>
        <v>0.5</v>
      </c>
      <c r="BX55" s="1669">
        <v>0.5</v>
      </c>
      <c r="BY55" s="1706">
        <f t="shared" ref="BY55:CD57" si="51">0.25/(0.25+0.25+0.25)</f>
        <v>0.33333333333333331</v>
      </c>
      <c r="BZ55" s="1706">
        <f t="shared" si="51"/>
        <v>0.33333333333333331</v>
      </c>
      <c r="CA55" s="1706">
        <f t="shared" si="51"/>
        <v>0.33333333333333331</v>
      </c>
      <c r="CB55" s="1706">
        <f t="shared" si="51"/>
        <v>0.33333333333333331</v>
      </c>
      <c r="CC55" s="1706">
        <f t="shared" si="51"/>
        <v>0.33333333333333331</v>
      </c>
      <c r="CD55" s="1706">
        <f t="shared" si="51"/>
        <v>0.33333333333333331</v>
      </c>
      <c r="CE55" s="1693"/>
      <c r="CG55" s="1625" t="s">
        <v>367</v>
      </c>
      <c r="CH55" s="1628" t="s">
        <v>598</v>
      </c>
      <c r="CI55" s="1622" t="s">
        <v>1771</v>
      </c>
      <c r="CJ55" s="1636">
        <f t="shared" si="19"/>
        <v>0.33333333333333331</v>
      </c>
      <c r="CK55" s="1636">
        <f t="shared" si="20"/>
        <v>0.33333333333333331</v>
      </c>
      <c r="CL55" s="1636">
        <f t="shared" si="21"/>
        <v>0.5</v>
      </c>
      <c r="CM55" s="1636">
        <f t="shared" si="22"/>
        <v>0.5</v>
      </c>
      <c r="CN55" s="1636">
        <f t="shared" si="23"/>
        <v>0.5</v>
      </c>
      <c r="CO55" s="1636">
        <f t="shared" si="24"/>
        <v>0.5</v>
      </c>
      <c r="CP55" s="1636">
        <f t="shared" si="25"/>
        <v>0.5</v>
      </c>
      <c r="CQ55" s="1639">
        <f t="shared" si="26"/>
        <v>0.33333333333333331</v>
      </c>
      <c r="CR55" s="1636">
        <f t="shared" si="27"/>
        <v>0.33333333333333331</v>
      </c>
      <c r="CS55" s="1636">
        <f t="shared" si="28"/>
        <v>0.33333333333333331</v>
      </c>
      <c r="CT55" s="1640">
        <f t="shared" si="13"/>
        <v>0.33333333333333331</v>
      </c>
      <c r="CU55" s="1636">
        <f t="shared" si="14"/>
        <v>0.33333333333333331</v>
      </c>
      <c r="CV55" s="1636">
        <f t="shared" si="15"/>
        <v>0.33333333333333331</v>
      </c>
      <c r="CX55" s="1625" t="s">
        <v>367</v>
      </c>
      <c r="CY55" s="1628" t="s">
        <v>598</v>
      </c>
      <c r="CZ55" s="1622" t="s">
        <v>1771</v>
      </c>
      <c r="DA55" s="1638">
        <f t="shared" si="29"/>
        <v>0.33333333333333331</v>
      </c>
      <c r="DB55" s="1638"/>
      <c r="DC55" s="1638"/>
      <c r="DD55" s="1638"/>
      <c r="DE55" s="1638"/>
      <c r="DF55" s="1638"/>
      <c r="DG55" s="1638"/>
      <c r="DH55" s="1641"/>
      <c r="DI55" s="1638"/>
      <c r="DJ55" s="1638"/>
      <c r="DK55" s="1642"/>
      <c r="DL55" s="1638"/>
      <c r="DM55" s="1638"/>
    </row>
    <row r="56" spans="2:117">
      <c r="B56" s="1584" t="str">
        <f t="shared" si="47"/>
        <v>4.2.2</v>
      </c>
      <c r="C56" s="1622" t="str">
        <f t="shared" si="1"/>
        <v>Natural Ventilation Performance</v>
      </c>
      <c r="D56" s="1603">
        <f t="shared" si="49"/>
        <v>0.33333333333333331</v>
      </c>
      <c r="E56" s="1624">
        <f t="shared" si="49"/>
        <v>0</v>
      </c>
      <c r="G56" s="1624">
        <f t="shared" si="43"/>
        <v>0.33333333333333331</v>
      </c>
      <c r="H56" s="1624">
        <f t="shared" si="44"/>
        <v>0</v>
      </c>
      <c r="I56" s="1624"/>
      <c r="J56" s="1624"/>
      <c r="K56" s="1624">
        <f>IF(Score!W56=0,0,1)</f>
        <v>1</v>
      </c>
      <c r="L56" s="1624">
        <f>IF(Score!X56=0,0,1)</f>
        <v>1</v>
      </c>
      <c r="M56" s="1624">
        <f t="shared" si="45"/>
        <v>0.33333333333333331</v>
      </c>
      <c r="N56" s="1624">
        <f t="shared" si="46"/>
        <v>0</v>
      </c>
      <c r="P56" s="1625" t="str">
        <f t="shared" si="6"/>
        <v>4.2.2</v>
      </c>
      <c r="Q56" s="1625" t="str">
        <f t="shared" si="7"/>
        <v xml:space="preserve"> Q1 4.2</v>
      </c>
      <c r="R56" s="1622" t="str">
        <f t="shared" si="8"/>
        <v>Natural Ventilation Performance</v>
      </c>
      <c r="S56" s="1626">
        <f t="shared" si="16"/>
        <v>0.33333333333333331</v>
      </c>
      <c r="T56" s="1626">
        <f t="shared" si="32"/>
        <v>0.33333333333333331</v>
      </c>
      <c r="U56" s="1626">
        <f t="shared" si="33"/>
        <v>0</v>
      </c>
      <c r="V56" s="1626">
        <f t="shared" si="34"/>
        <v>0</v>
      </c>
      <c r="W56" s="1626">
        <f t="shared" si="35"/>
        <v>0</v>
      </c>
      <c r="X56" s="1626">
        <f t="shared" si="36"/>
        <v>0</v>
      </c>
      <c r="Y56" s="1626">
        <f t="shared" si="37"/>
        <v>0</v>
      </c>
      <c r="Z56" s="1645">
        <f t="shared" si="38"/>
        <v>0.33333333333333331</v>
      </c>
      <c r="AA56" s="1626">
        <f t="shared" si="17"/>
        <v>0.33333333333333331</v>
      </c>
      <c r="AB56" s="1626">
        <f t="shared" si="10"/>
        <v>0.33333333333333331</v>
      </c>
      <c r="AC56" s="1627">
        <f t="shared" si="11"/>
        <v>0.33333333333333331</v>
      </c>
      <c r="AD56" s="1626">
        <f t="shared" si="12"/>
        <v>0.33333333333333331</v>
      </c>
      <c r="AE56" s="1626">
        <f t="shared" si="18"/>
        <v>0.33333333333333331</v>
      </c>
      <c r="AG56" s="1625" t="s">
        <v>645</v>
      </c>
      <c r="AH56" s="1628" t="s">
        <v>598</v>
      </c>
      <c r="AI56" s="1622" t="s">
        <v>1772</v>
      </c>
      <c r="AJ56" s="1669">
        <v>0.25</v>
      </c>
      <c r="AK56" s="1669">
        <v>0.25</v>
      </c>
      <c r="AL56" s="1669"/>
      <c r="AM56" s="1669"/>
      <c r="AN56" s="1669"/>
      <c r="AO56" s="1669"/>
      <c r="AP56" s="1669"/>
      <c r="AQ56" s="1704"/>
      <c r="AR56" s="1669">
        <v>0.25</v>
      </c>
      <c r="AS56" s="1631">
        <v>0.25</v>
      </c>
      <c r="AT56" s="1632">
        <v>0.25</v>
      </c>
      <c r="AU56" s="1631">
        <v>0.25</v>
      </c>
      <c r="AV56" s="1631">
        <v>0.33</v>
      </c>
      <c r="AX56" s="1625" t="s">
        <v>645</v>
      </c>
      <c r="AY56" s="1628" t="s">
        <v>598</v>
      </c>
      <c r="AZ56" s="1622" t="s">
        <v>1772</v>
      </c>
      <c r="BA56" s="1631">
        <v>0.33333333333333331</v>
      </c>
      <c r="BB56" s="1631">
        <v>0.33333333333333331</v>
      </c>
      <c r="BC56" s="1631"/>
      <c r="BD56" s="1631"/>
      <c r="BE56" s="1631"/>
      <c r="BF56" s="1631"/>
      <c r="BG56" s="1631"/>
      <c r="BH56" s="1649"/>
      <c r="BI56" s="1631">
        <v>0.33333333333333331</v>
      </c>
      <c r="BJ56" s="1631">
        <v>0.33333333333333331</v>
      </c>
      <c r="BK56" s="1632">
        <v>0.33333333333333331</v>
      </c>
      <c r="BL56" s="1631">
        <v>0.33333333333333331</v>
      </c>
      <c r="BM56" s="1631">
        <v>0.33333333333333331</v>
      </c>
      <c r="BO56" s="1625" t="s">
        <v>645</v>
      </c>
      <c r="BP56" s="1628" t="s">
        <v>598</v>
      </c>
      <c r="BQ56" s="1622" t="s">
        <v>1585</v>
      </c>
      <c r="BR56" s="1706">
        <f t="shared" si="50"/>
        <v>0.33333333333333331</v>
      </c>
      <c r="BS56" s="1706">
        <f t="shared" si="50"/>
        <v>0.33333333333333331</v>
      </c>
      <c r="BT56" s="1669"/>
      <c r="BU56" s="1669"/>
      <c r="BV56" s="1669"/>
      <c r="BW56" s="1669"/>
      <c r="BX56" s="1669"/>
      <c r="BY56" s="1706">
        <f t="shared" si="51"/>
        <v>0.33333333333333331</v>
      </c>
      <c r="BZ56" s="1706">
        <f t="shared" si="51"/>
        <v>0.33333333333333331</v>
      </c>
      <c r="CA56" s="1706">
        <f t="shared" si="51"/>
        <v>0.33333333333333331</v>
      </c>
      <c r="CB56" s="1706">
        <f t="shared" si="51"/>
        <v>0.33333333333333331</v>
      </c>
      <c r="CC56" s="1706">
        <f t="shared" si="51"/>
        <v>0.33333333333333331</v>
      </c>
      <c r="CD56" s="1706">
        <f t="shared" si="51"/>
        <v>0.33333333333333331</v>
      </c>
      <c r="CE56" s="1693"/>
      <c r="CG56" s="1625" t="s">
        <v>368</v>
      </c>
      <c r="CH56" s="1628" t="s">
        <v>598</v>
      </c>
      <c r="CI56" s="1622" t="s">
        <v>1772</v>
      </c>
      <c r="CJ56" s="1636">
        <f t="shared" si="19"/>
        <v>0.33333333333333331</v>
      </c>
      <c r="CK56" s="1636">
        <f t="shared" si="20"/>
        <v>0.33333333333333331</v>
      </c>
      <c r="CL56" s="1636">
        <f t="shared" si="21"/>
        <v>0</v>
      </c>
      <c r="CM56" s="1636">
        <f t="shared" si="22"/>
        <v>0</v>
      </c>
      <c r="CN56" s="1636">
        <f t="shared" si="23"/>
        <v>0</v>
      </c>
      <c r="CO56" s="1636">
        <f t="shared" si="24"/>
        <v>0</v>
      </c>
      <c r="CP56" s="1636">
        <f t="shared" si="25"/>
        <v>0</v>
      </c>
      <c r="CQ56" s="1673">
        <f t="shared" si="26"/>
        <v>0.33333333333333331</v>
      </c>
      <c r="CR56" s="1636">
        <f t="shared" si="27"/>
        <v>0.33333333333333331</v>
      </c>
      <c r="CS56" s="1636">
        <f t="shared" si="28"/>
        <v>0.33333333333333331</v>
      </c>
      <c r="CT56" s="1640">
        <f t="shared" si="13"/>
        <v>0.33333333333333331</v>
      </c>
      <c r="CU56" s="1636">
        <f t="shared" si="14"/>
        <v>0.33333333333333331</v>
      </c>
      <c r="CV56" s="1636">
        <f t="shared" si="15"/>
        <v>0.33333333333333331</v>
      </c>
      <c r="CX56" s="1625" t="s">
        <v>368</v>
      </c>
      <c r="CY56" s="1628" t="s">
        <v>598</v>
      </c>
      <c r="CZ56" s="1622" t="s">
        <v>1772</v>
      </c>
      <c r="DA56" s="1638">
        <f t="shared" si="29"/>
        <v>0.33333333333333331</v>
      </c>
      <c r="DB56" s="1638"/>
      <c r="DC56" s="1638"/>
      <c r="DD56" s="1638"/>
      <c r="DE56" s="1638"/>
      <c r="DF56" s="1638"/>
      <c r="DG56" s="1638"/>
      <c r="DH56" s="1674"/>
      <c r="DI56" s="1638"/>
      <c r="DJ56" s="1638"/>
      <c r="DK56" s="1642"/>
      <c r="DL56" s="1638"/>
      <c r="DM56" s="1638"/>
    </row>
    <row r="57" spans="2:117">
      <c r="B57" s="1584" t="str">
        <f t="shared" si="47"/>
        <v>4.2.3</v>
      </c>
      <c r="C57" s="1622" t="str">
        <f t="shared" si="1"/>
        <v>Consideration for Outside Air Intake</v>
      </c>
      <c r="D57" s="1603">
        <f t="shared" si="49"/>
        <v>0.33333333333333331</v>
      </c>
      <c r="E57" s="1624">
        <f t="shared" si="49"/>
        <v>0</v>
      </c>
      <c r="G57" s="1624">
        <f t="shared" si="43"/>
        <v>0.33333333333333331</v>
      </c>
      <c r="H57" s="1624">
        <f t="shared" si="44"/>
        <v>0</v>
      </c>
      <c r="I57" s="1624"/>
      <c r="J57" s="1624"/>
      <c r="K57" s="1624">
        <f>IF(Score!W57=0,0,1)</f>
        <v>1</v>
      </c>
      <c r="L57" s="1624">
        <f>IF(Score!X57=0,0,1)</f>
        <v>1</v>
      </c>
      <c r="M57" s="1624">
        <f t="shared" si="45"/>
        <v>0.33333333333333331</v>
      </c>
      <c r="N57" s="1624">
        <f t="shared" si="46"/>
        <v>0</v>
      </c>
      <c r="P57" s="1625" t="str">
        <f t="shared" si="6"/>
        <v>4.2.3</v>
      </c>
      <c r="Q57" s="1625" t="str">
        <f t="shared" si="7"/>
        <v xml:space="preserve"> Q1 4.2</v>
      </c>
      <c r="R57" s="1622" t="str">
        <f t="shared" si="8"/>
        <v>Consideration for Outside Air Intake</v>
      </c>
      <c r="S57" s="1626">
        <f t="shared" si="16"/>
        <v>0.33333333333333331</v>
      </c>
      <c r="T57" s="1626">
        <f t="shared" si="32"/>
        <v>0.33333333333333331</v>
      </c>
      <c r="U57" s="1626">
        <f t="shared" si="33"/>
        <v>0.5</v>
      </c>
      <c r="V57" s="1626">
        <f t="shared" si="34"/>
        <v>0.5</v>
      </c>
      <c r="W57" s="1626">
        <f t="shared" si="35"/>
        <v>0.5</v>
      </c>
      <c r="X57" s="1626">
        <f t="shared" si="36"/>
        <v>0.5</v>
      </c>
      <c r="Y57" s="1626">
        <f t="shared" si="37"/>
        <v>0.5</v>
      </c>
      <c r="Z57" s="1645">
        <f t="shared" si="38"/>
        <v>0.33333333333333331</v>
      </c>
      <c r="AA57" s="1626">
        <f t="shared" si="17"/>
        <v>0.33333333333333331</v>
      </c>
      <c r="AB57" s="1626">
        <f t="shared" si="10"/>
        <v>0.33333333333333331</v>
      </c>
      <c r="AC57" s="1627">
        <f t="shared" si="11"/>
        <v>0.33333333333333331</v>
      </c>
      <c r="AD57" s="1626">
        <f t="shared" si="12"/>
        <v>0.33333333333333331</v>
      </c>
      <c r="AE57" s="1626">
        <f t="shared" si="18"/>
        <v>0.33333333333333331</v>
      </c>
      <c r="AG57" s="1625" t="s">
        <v>646</v>
      </c>
      <c r="AH57" s="1628" t="s">
        <v>598</v>
      </c>
      <c r="AI57" s="1622" t="s">
        <v>1773</v>
      </c>
      <c r="AJ57" s="1669">
        <v>0.25</v>
      </c>
      <c r="AK57" s="1669">
        <v>0.25</v>
      </c>
      <c r="AL57" s="1705">
        <v>0.33333333333333331</v>
      </c>
      <c r="AM57" s="1705">
        <v>0.33333333333333331</v>
      </c>
      <c r="AN57" s="1705">
        <v>0.33333333333333331</v>
      </c>
      <c r="AO57" s="1705">
        <v>0.33333333333333331</v>
      </c>
      <c r="AP57" s="1669">
        <v>1</v>
      </c>
      <c r="AQ57" s="1705">
        <v>0.33333333333333331</v>
      </c>
      <c r="AR57" s="1669">
        <v>0.25</v>
      </c>
      <c r="AS57" s="1631">
        <v>0.25</v>
      </c>
      <c r="AT57" s="1632">
        <v>0.25</v>
      </c>
      <c r="AU57" s="1631">
        <v>0.25</v>
      </c>
      <c r="AV57" s="1631">
        <v>0.33</v>
      </c>
      <c r="AX57" s="1625" t="s">
        <v>646</v>
      </c>
      <c r="AY57" s="1628" t="s">
        <v>598</v>
      </c>
      <c r="AZ57" s="1622" t="s">
        <v>1773</v>
      </c>
      <c r="BA57" s="1631">
        <v>0.33333333333333331</v>
      </c>
      <c r="BB57" s="1631">
        <v>0.33333333333333331</v>
      </c>
      <c r="BC57" s="1631">
        <v>0.5</v>
      </c>
      <c r="BD57" s="1631">
        <v>0.5</v>
      </c>
      <c r="BE57" s="1631">
        <v>0.5</v>
      </c>
      <c r="BF57" s="1631">
        <v>0.5</v>
      </c>
      <c r="BG57" s="1631">
        <v>0.5</v>
      </c>
      <c r="BH57" s="1649">
        <v>0.5</v>
      </c>
      <c r="BI57" s="1631">
        <v>0.33333333333333331</v>
      </c>
      <c r="BJ57" s="1631">
        <v>0.33333333333333331</v>
      </c>
      <c r="BK57" s="1632">
        <v>0.33333333333333331</v>
      </c>
      <c r="BL57" s="1631">
        <v>0.33333333333333331</v>
      </c>
      <c r="BM57" s="1631">
        <v>0.33333333333333331</v>
      </c>
      <c r="BO57" s="1625" t="s">
        <v>646</v>
      </c>
      <c r="BP57" s="1628" t="s">
        <v>598</v>
      </c>
      <c r="BQ57" s="1622" t="s">
        <v>1586</v>
      </c>
      <c r="BR57" s="1706">
        <f t="shared" si="50"/>
        <v>0.33333333333333331</v>
      </c>
      <c r="BS57" s="1706">
        <f t="shared" si="50"/>
        <v>0.33333333333333331</v>
      </c>
      <c r="BT57" s="1706">
        <f>0.33/(0.33+0.33)</f>
        <v>0.5</v>
      </c>
      <c r="BU57" s="1706">
        <f>0.33/(0.33+0.33)</f>
        <v>0.5</v>
      </c>
      <c r="BV57" s="1706">
        <f>0.33/(0.33+0.33)</f>
        <v>0.5</v>
      </c>
      <c r="BW57" s="1706">
        <f>0.33/(0.33+0.33)</f>
        <v>0.5</v>
      </c>
      <c r="BX57" s="1669">
        <v>0.5</v>
      </c>
      <c r="BY57" s="1706">
        <f t="shared" si="51"/>
        <v>0.33333333333333331</v>
      </c>
      <c r="BZ57" s="1706">
        <f t="shared" si="51"/>
        <v>0.33333333333333331</v>
      </c>
      <c r="CA57" s="1706">
        <f t="shared" si="51"/>
        <v>0.33333333333333331</v>
      </c>
      <c r="CB57" s="1706">
        <f t="shared" si="51"/>
        <v>0.33333333333333331</v>
      </c>
      <c r="CC57" s="1706">
        <f t="shared" si="51"/>
        <v>0.33333333333333331</v>
      </c>
      <c r="CD57" s="1706">
        <f t="shared" si="51"/>
        <v>0.33333333333333331</v>
      </c>
      <c r="CE57" s="1693"/>
      <c r="CG57" s="1625" t="s">
        <v>646</v>
      </c>
      <c r="CH57" s="1628" t="s">
        <v>598</v>
      </c>
      <c r="CI57" s="1622" t="s">
        <v>1773</v>
      </c>
      <c r="CJ57" s="1636">
        <f t="shared" si="19"/>
        <v>0.33333333333333331</v>
      </c>
      <c r="CK57" s="1636">
        <f t="shared" si="20"/>
        <v>0.33333333333333331</v>
      </c>
      <c r="CL57" s="1636">
        <f t="shared" si="21"/>
        <v>0.5</v>
      </c>
      <c r="CM57" s="1636">
        <f t="shared" si="22"/>
        <v>0.5</v>
      </c>
      <c r="CN57" s="1636">
        <f t="shared" si="23"/>
        <v>0.5</v>
      </c>
      <c r="CO57" s="1636">
        <f t="shared" si="24"/>
        <v>0.5</v>
      </c>
      <c r="CP57" s="1636">
        <f t="shared" si="25"/>
        <v>0.5</v>
      </c>
      <c r="CQ57" s="1639">
        <f t="shared" si="26"/>
        <v>0.33333333333333331</v>
      </c>
      <c r="CR57" s="1636">
        <f t="shared" si="27"/>
        <v>0.33333333333333331</v>
      </c>
      <c r="CS57" s="1636">
        <f t="shared" si="28"/>
        <v>0.33333333333333331</v>
      </c>
      <c r="CT57" s="1640">
        <f t="shared" si="13"/>
        <v>0.33333333333333331</v>
      </c>
      <c r="CU57" s="1636">
        <f t="shared" si="14"/>
        <v>0.33333333333333331</v>
      </c>
      <c r="CV57" s="1636">
        <f t="shared" si="15"/>
        <v>0.33333333333333331</v>
      </c>
      <c r="CX57" s="1625" t="s">
        <v>646</v>
      </c>
      <c r="CY57" s="1628" t="s">
        <v>598</v>
      </c>
      <c r="CZ57" s="1622" t="s">
        <v>1773</v>
      </c>
      <c r="DA57" s="1638">
        <f t="shared" si="29"/>
        <v>0.33333333333333331</v>
      </c>
      <c r="DB57" s="1638"/>
      <c r="DC57" s="1638"/>
      <c r="DD57" s="1638"/>
      <c r="DE57" s="1638"/>
      <c r="DF57" s="1638"/>
      <c r="DG57" s="1638"/>
      <c r="DH57" s="1641"/>
      <c r="DI57" s="1638"/>
      <c r="DJ57" s="1638"/>
      <c r="DK57" s="1642"/>
      <c r="DL57" s="1638"/>
      <c r="DM57" s="1638"/>
    </row>
    <row r="58" spans="2:117" hidden="1">
      <c r="B58" s="1584" t="str">
        <f t="shared" si="47"/>
        <v>4.2.4</v>
      </c>
      <c r="C58" s="1679" t="str">
        <f t="shared" si="1"/>
        <v>Air Supply Planning</v>
      </c>
      <c r="D58" s="1680">
        <f t="shared" si="49"/>
        <v>0</v>
      </c>
      <c r="E58" s="1681">
        <f t="shared" si="49"/>
        <v>0</v>
      </c>
      <c r="G58" s="1681">
        <f t="shared" si="43"/>
        <v>0</v>
      </c>
      <c r="H58" s="1681">
        <f t="shared" si="44"/>
        <v>0</v>
      </c>
      <c r="I58" s="1681"/>
      <c r="J58" s="1681"/>
      <c r="K58" s="1681">
        <f>IF(Score!W58=0,0,1)</f>
        <v>0</v>
      </c>
      <c r="L58" s="1681">
        <f>IF(Score!X58=0,0,1)</f>
        <v>0</v>
      </c>
      <c r="M58" s="1681">
        <f t="shared" si="45"/>
        <v>0</v>
      </c>
      <c r="N58" s="1681">
        <f t="shared" si="46"/>
        <v>0</v>
      </c>
      <c r="P58" s="1682" t="str">
        <f t="shared" si="6"/>
        <v>4.2.4</v>
      </c>
      <c r="Q58" s="1682" t="str">
        <f t="shared" si="7"/>
        <v xml:space="preserve"> Q1 4.2</v>
      </c>
      <c r="R58" s="1679" t="str">
        <f t="shared" si="8"/>
        <v>Air Supply Planning</v>
      </c>
      <c r="S58" s="1683">
        <f t="shared" si="16"/>
        <v>0</v>
      </c>
      <c r="T58" s="1683">
        <f t="shared" si="32"/>
        <v>0</v>
      </c>
      <c r="U58" s="1683">
        <f t="shared" si="33"/>
        <v>0</v>
      </c>
      <c r="V58" s="1683">
        <f t="shared" si="34"/>
        <v>0</v>
      </c>
      <c r="W58" s="1683">
        <f t="shared" si="35"/>
        <v>0</v>
      </c>
      <c r="X58" s="1683">
        <f t="shared" si="36"/>
        <v>0</v>
      </c>
      <c r="Y58" s="1683">
        <f t="shared" si="37"/>
        <v>0</v>
      </c>
      <c r="Z58" s="1684">
        <f t="shared" si="38"/>
        <v>0</v>
      </c>
      <c r="AA58" s="1683">
        <f t="shared" si="17"/>
        <v>0</v>
      </c>
      <c r="AB58" s="1683">
        <f t="shared" si="10"/>
        <v>0</v>
      </c>
      <c r="AC58" s="1685">
        <f t="shared" si="11"/>
        <v>0</v>
      </c>
      <c r="AD58" s="1683">
        <f t="shared" si="12"/>
        <v>0</v>
      </c>
      <c r="AE58" s="1683">
        <f t="shared" si="18"/>
        <v>0</v>
      </c>
      <c r="AG58" s="1625" t="s">
        <v>647</v>
      </c>
      <c r="AH58" s="1628" t="s">
        <v>598</v>
      </c>
      <c r="AI58" s="1622" t="s">
        <v>1774</v>
      </c>
      <c r="AJ58" s="1690">
        <v>0.25</v>
      </c>
      <c r="AK58" s="1690">
        <v>0.25</v>
      </c>
      <c r="AL58" s="1707">
        <v>0.33333333333333331</v>
      </c>
      <c r="AM58" s="1707">
        <v>0.33333333333333331</v>
      </c>
      <c r="AN58" s="1707">
        <v>0.33333333333333331</v>
      </c>
      <c r="AO58" s="1707">
        <v>0.33333333333333331</v>
      </c>
      <c r="AP58" s="1690"/>
      <c r="AQ58" s="1707">
        <v>0.33333333333333331</v>
      </c>
      <c r="AR58" s="1690">
        <v>0.25</v>
      </c>
      <c r="AS58" s="1631">
        <v>0.25</v>
      </c>
      <c r="AT58" s="1632">
        <v>0.25</v>
      </c>
      <c r="AU58" s="1631">
        <v>0.25</v>
      </c>
      <c r="AV58" s="1631">
        <v>0.33</v>
      </c>
      <c r="AX58" s="1625" t="s">
        <v>647</v>
      </c>
      <c r="AY58" s="1628" t="s">
        <v>598</v>
      </c>
      <c r="AZ58" s="1622" t="s">
        <v>1774</v>
      </c>
      <c r="BA58" s="1631"/>
      <c r="BB58" s="1631"/>
      <c r="BC58" s="1631"/>
      <c r="BD58" s="1631"/>
      <c r="BE58" s="1631"/>
      <c r="BF58" s="1631"/>
      <c r="BG58" s="1631"/>
      <c r="BH58" s="1649"/>
      <c r="BI58" s="1631"/>
      <c r="BJ58" s="1631"/>
      <c r="BK58" s="1632"/>
      <c r="BL58" s="1631"/>
      <c r="BM58" s="1631"/>
      <c r="BO58" s="1682" t="s">
        <v>647</v>
      </c>
      <c r="BP58" s="1686" t="s">
        <v>598</v>
      </c>
      <c r="BQ58" s="1679" t="s">
        <v>1587</v>
      </c>
      <c r="BR58" s="1690"/>
      <c r="BS58" s="1690"/>
      <c r="BT58" s="1690"/>
      <c r="BU58" s="1690"/>
      <c r="BV58" s="1690"/>
      <c r="BW58" s="1690"/>
      <c r="BX58" s="1690"/>
      <c r="BY58" s="1690"/>
      <c r="BZ58" s="1690"/>
      <c r="CA58" s="1690"/>
      <c r="CB58" s="1692"/>
      <c r="CC58" s="1690"/>
      <c r="CD58" s="1690"/>
      <c r="CE58" s="1693"/>
      <c r="CG58" s="1682" t="s">
        <v>647</v>
      </c>
      <c r="CH58" s="1686" t="s">
        <v>598</v>
      </c>
      <c r="CI58" s="1679"/>
      <c r="CJ58" s="1694"/>
      <c r="CK58" s="1694"/>
      <c r="CL58" s="1694"/>
      <c r="CM58" s="1694"/>
      <c r="CN58" s="1694"/>
      <c r="CO58" s="1694"/>
      <c r="CP58" s="1694"/>
      <c r="CQ58" s="1694"/>
      <c r="CR58" s="1694"/>
      <c r="CS58" s="1694"/>
      <c r="CT58" s="1696"/>
      <c r="CU58" s="1694"/>
      <c r="CV58" s="1694"/>
      <c r="CX58" s="1682"/>
      <c r="CY58" s="1686"/>
      <c r="CZ58" s="1679"/>
      <c r="DA58" s="1697"/>
      <c r="DB58" s="1697"/>
      <c r="DC58" s="1697"/>
      <c r="DD58" s="1697"/>
      <c r="DE58" s="1697"/>
      <c r="DF58" s="1697"/>
      <c r="DG58" s="1697"/>
      <c r="DH58" s="1697"/>
      <c r="DI58" s="1697"/>
      <c r="DJ58" s="1697"/>
      <c r="DK58" s="1699"/>
      <c r="DL58" s="1697"/>
      <c r="DM58" s="1697"/>
    </row>
    <row r="59" spans="2:117">
      <c r="B59" s="1584">
        <f t="shared" si="47"/>
        <v>4.3</v>
      </c>
      <c r="C59" s="1622" t="str">
        <f t="shared" si="1"/>
        <v>Operation Plan</v>
      </c>
      <c r="D59" s="1623">
        <f>IF(I$48=0,0,G59/I$48)</f>
        <v>0.2</v>
      </c>
      <c r="E59" s="1624">
        <f>IF(J$48=0,0,H59/J$48)</f>
        <v>0</v>
      </c>
      <c r="G59" s="1624">
        <f t="shared" si="43"/>
        <v>0.2</v>
      </c>
      <c r="H59" s="1624">
        <f t="shared" si="44"/>
        <v>0</v>
      </c>
      <c r="I59" s="1624">
        <f>G60+G61</f>
        <v>1</v>
      </c>
      <c r="J59" s="1624">
        <f>H60+H61</f>
        <v>0</v>
      </c>
      <c r="K59" s="1624">
        <f>IF(Score!Z59=0,0,1)</f>
        <v>1</v>
      </c>
      <c r="L59" s="1624">
        <f>IF(Score!AB59=0,0,1)</f>
        <v>0</v>
      </c>
      <c r="M59" s="1624">
        <f t="shared" si="45"/>
        <v>0.2</v>
      </c>
      <c r="N59" s="1624">
        <f t="shared" si="46"/>
        <v>0</v>
      </c>
      <c r="P59" s="1625">
        <f t="shared" si="6"/>
        <v>4.3</v>
      </c>
      <c r="Q59" s="1625" t="str">
        <f t="shared" si="7"/>
        <v xml:space="preserve"> Q1 4</v>
      </c>
      <c r="R59" s="1622" t="str">
        <f t="shared" si="8"/>
        <v>Operation Plan</v>
      </c>
      <c r="S59" s="1626">
        <f t="shared" si="16"/>
        <v>0.2</v>
      </c>
      <c r="T59" s="1626">
        <f t="shared" si="32"/>
        <v>0.2</v>
      </c>
      <c r="U59" s="1626">
        <f t="shared" si="33"/>
        <v>0.2</v>
      </c>
      <c r="V59" s="1626">
        <f t="shared" si="34"/>
        <v>0.2</v>
      </c>
      <c r="W59" s="1626">
        <f t="shared" si="35"/>
        <v>0.2</v>
      </c>
      <c r="X59" s="1626">
        <f t="shared" si="36"/>
        <v>0.2</v>
      </c>
      <c r="Y59" s="1626">
        <f t="shared" si="37"/>
        <v>0</v>
      </c>
      <c r="Z59" s="1645">
        <f t="shared" si="38"/>
        <v>0.2</v>
      </c>
      <c r="AA59" s="1626">
        <f t="shared" si="17"/>
        <v>0.2</v>
      </c>
      <c r="AB59" s="1626">
        <f t="shared" si="10"/>
        <v>0.2</v>
      </c>
      <c r="AC59" s="1627">
        <f t="shared" si="11"/>
        <v>0</v>
      </c>
      <c r="AD59" s="1626">
        <f t="shared" si="12"/>
        <v>0</v>
      </c>
      <c r="AE59" s="1626">
        <f t="shared" si="18"/>
        <v>0</v>
      </c>
      <c r="AG59" s="1625">
        <v>4.3</v>
      </c>
      <c r="AH59" s="1628" t="s">
        <v>593</v>
      </c>
      <c r="AI59" s="1622" t="s">
        <v>1775</v>
      </c>
      <c r="AJ59" s="1669">
        <v>0.2</v>
      </c>
      <c r="AK59" s="1669">
        <v>0.2</v>
      </c>
      <c r="AL59" s="1669">
        <v>0.2</v>
      </c>
      <c r="AM59" s="1669">
        <v>0.2</v>
      </c>
      <c r="AN59" s="1669">
        <v>0.2</v>
      </c>
      <c r="AO59" s="1669">
        <v>0.2</v>
      </c>
      <c r="AP59" s="1669"/>
      <c r="AQ59" s="1704">
        <v>0.2</v>
      </c>
      <c r="AR59" s="1669">
        <v>0.2</v>
      </c>
      <c r="AS59" s="1631">
        <v>0.2</v>
      </c>
      <c r="AT59" s="1632"/>
      <c r="AU59" s="1631"/>
      <c r="AV59" s="1631"/>
      <c r="AX59" s="1625">
        <v>4.3</v>
      </c>
      <c r="AY59" s="1628" t="s">
        <v>593</v>
      </c>
      <c r="AZ59" s="1622" t="s">
        <v>1775</v>
      </c>
      <c r="BA59" s="1631">
        <v>0.2</v>
      </c>
      <c r="BB59" s="1631">
        <v>0.2</v>
      </c>
      <c r="BC59" s="1631">
        <v>0.2</v>
      </c>
      <c r="BD59" s="1631">
        <v>0.2</v>
      </c>
      <c r="BE59" s="1631">
        <v>0.2</v>
      </c>
      <c r="BF59" s="1631">
        <v>0.2</v>
      </c>
      <c r="BG59" s="1631"/>
      <c r="BH59" s="1649">
        <v>0.2</v>
      </c>
      <c r="BI59" s="1631">
        <v>0.2</v>
      </c>
      <c r="BJ59" s="1631">
        <v>0.2</v>
      </c>
      <c r="BK59" s="1632"/>
      <c r="BL59" s="1631"/>
      <c r="BM59" s="1631"/>
      <c r="BO59" s="1625">
        <v>4.3</v>
      </c>
      <c r="BP59" s="1628" t="s">
        <v>593</v>
      </c>
      <c r="BQ59" s="1622" t="s">
        <v>1588</v>
      </c>
      <c r="BR59" s="1669">
        <v>0.2</v>
      </c>
      <c r="BS59" s="1669">
        <v>0.2</v>
      </c>
      <c r="BT59" s="1669">
        <v>0.2</v>
      </c>
      <c r="BU59" s="1669">
        <v>0.2</v>
      </c>
      <c r="BV59" s="1669">
        <v>0.2</v>
      </c>
      <c r="BW59" s="1669">
        <v>0.2</v>
      </c>
      <c r="BX59" s="1669"/>
      <c r="BY59" s="1670">
        <v>0.2</v>
      </c>
      <c r="BZ59" s="1669">
        <v>0.2</v>
      </c>
      <c r="CA59" s="1669">
        <v>0.2</v>
      </c>
      <c r="CB59" s="1671"/>
      <c r="CC59" s="1669"/>
      <c r="CD59" s="1669"/>
      <c r="CE59" s="1693"/>
      <c r="CG59" s="1625">
        <v>4.3</v>
      </c>
      <c r="CH59" s="1628" t="s">
        <v>593</v>
      </c>
      <c r="CI59" s="1622" t="s">
        <v>1775</v>
      </c>
      <c r="CJ59" s="1636">
        <f t="shared" si="19"/>
        <v>0.2</v>
      </c>
      <c r="CK59" s="1636">
        <f t="shared" si="20"/>
        <v>0.2</v>
      </c>
      <c r="CL59" s="1636">
        <f t="shared" si="21"/>
        <v>0.2</v>
      </c>
      <c r="CM59" s="1636">
        <f t="shared" si="22"/>
        <v>0.2</v>
      </c>
      <c r="CN59" s="1636">
        <f t="shared" si="23"/>
        <v>0.2</v>
      </c>
      <c r="CO59" s="1636">
        <f t="shared" si="24"/>
        <v>0.2</v>
      </c>
      <c r="CP59" s="1636">
        <f t="shared" si="25"/>
        <v>0</v>
      </c>
      <c r="CQ59" s="1673">
        <f t="shared" si="26"/>
        <v>0.2</v>
      </c>
      <c r="CR59" s="1636">
        <f t="shared" si="27"/>
        <v>0.2</v>
      </c>
      <c r="CS59" s="1636">
        <f t="shared" si="28"/>
        <v>0.2</v>
      </c>
      <c r="CT59" s="1640">
        <f t="shared" si="13"/>
        <v>0</v>
      </c>
      <c r="CU59" s="1636">
        <f t="shared" si="14"/>
        <v>0</v>
      </c>
      <c r="CV59" s="1636">
        <f t="shared" si="15"/>
        <v>0</v>
      </c>
      <c r="CX59" s="1625">
        <v>4.3</v>
      </c>
      <c r="CY59" s="1628" t="s">
        <v>593</v>
      </c>
      <c r="CZ59" s="1622" t="s">
        <v>1775</v>
      </c>
      <c r="DA59" s="1638">
        <f t="shared" si="29"/>
        <v>0.2</v>
      </c>
      <c r="DB59" s="1638"/>
      <c r="DC59" s="1638"/>
      <c r="DD59" s="1638"/>
      <c r="DE59" s="1638"/>
      <c r="DF59" s="1638"/>
      <c r="DG59" s="1638"/>
      <c r="DH59" s="1674"/>
      <c r="DI59" s="1638"/>
      <c r="DJ59" s="1638"/>
      <c r="DK59" s="1642"/>
      <c r="DL59" s="1638"/>
      <c r="DM59" s="1638"/>
    </row>
    <row r="60" spans="2:117">
      <c r="B60" s="1584" t="str">
        <f t="shared" si="47"/>
        <v>4.3.1</v>
      </c>
      <c r="C60" s="1622" t="str">
        <f t="shared" si="1"/>
        <v>CO2 Monitoring</v>
      </c>
      <c r="D60" s="1603">
        <f>IF(I$59&gt;0,G60/I$59,0)</f>
        <v>0.5</v>
      </c>
      <c r="E60" s="1624">
        <f>IF(J$59&gt;0,H60/J$59,0)</f>
        <v>0</v>
      </c>
      <c r="G60" s="1624">
        <f t="shared" si="43"/>
        <v>0.5</v>
      </c>
      <c r="H60" s="1624">
        <f t="shared" si="44"/>
        <v>0</v>
      </c>
      <c r="I60" s="1624"/>
      <c r="J60" s="1624"/>
      <c r="K60" s="1624">
        <f>IF(Score!W60=0,0,1)</f>
        <v>1</v>
      </c>
      <c r="L60" s="1624">
        <f>IF(Score!X60=0,0,1)</f>
        <v>0</v>
      </c>
      <c r="M60" s="1624">
        <f t="shared" si="45"/>
        <v>0.5</v>
      </c>
      <c r="N60" s="1624">
        <f t="shared" si="46"/>
        <v>0</v>
      </c>
      <c r="P60" s="1625" t="str">
        <f t="shared" si="6"/>
        <v>4.3.1</v>
      </c>
      <c r="Q60" s="1625" t="str">
        <f t="shared" si="7"/>
        <v xml:space="preserve"> Q1 4.3</v>
      </c>
      <c r="R60" s="1622" t="str">
        <f t="shared" si="8"/>
        <v>CO2 Monitoring</v>
      </c>
      <c r="S60" s="1626">
        <f t="shared" si="16"/>
        <v>0.5</v>
      </c>
      <c r="T60" s="1626">
        <f t="shared" si="32"/>
        <v>0.5</v>
      </c>
      <c r="U60" s="1626">
        <f t="shared" si="33"/>
        <v>0.5</v>
      </c>
      <c r="V60" s="1626">
        <f t="shared" si="34"/>
        <v>0.5</v>
      </c>
      <c r="W60" s="1626">
        <f t="shared" si="35"/>
        <v>0</v>
      </c>
      <c r="X60" s="1626">
        <f t="shared" si="36"/>
        <v>0</v>
      </c>
      <c r="Y60" s="1626">
        <f t="shared" si="37"/>
        <v>0</v>
      </c>
      <c r="Z60" s="1645">
        <f t="shared" si="38"/>
        <v>0.5</v>
      </c>
      <c r="AA60" s="1626">
        <f t="shared" si="17"/>
        <v>0.5</v>
      </c>
      <c r="AB60" s="1626">
        <f t="shared" si="10"/>
        <v>0.5</v>
      </c>
      <c r="AC60" s="1627">
        <f t="shared" si="11"/>
        <v>0</v>
      </c>
      <c r="AD60" s="1626">
        <f t="shared" si="12"/>
        <v>0</v>
      </c>
      <c r="AE60" s="1626">
        <f t="shared" si="18"/>
        <v>0</v>
      </c>
      <c r="AG60" s="1625" t="s">
        <v>649</v>
      </c>
      <c r="AH60" s="1628" t="s">
        <v>602</v>
      </c>
      <c r="AI60" s="1622" t="s">
        <v>1776</v>
      </c>
      <c r="AJ60" s="1669">
        <v>0.5</v>
      </c>
      <c r="AK60" s="1669">
        <v>0.5</v>
      </c>
      <c r="AL60" s="1669">
        <v>0.5</v>
      </c>
      <c r="AM60" s="1669">
        <v>0.5</v>
      </c>
      <c r="AN60" s="1669"/>
      <c r="AO60" s="1669"/>
      <c r="AP60" s="1669"/>
      <c r="AQ60" s="1704">
        <v>0.5</v>
      </c>
      <c r="AR60" s="1669">
        <v>0.5</v>
      </c>
      <c r="AS60" s="1631">
        <v>0.5</v>
      </c>
      <c r="AT60" s="1632"/>
      <c r="AU60" s="1631"/>
      <c r="AV60" s="1631"/>
      <c r="AX60" s="1625" t="s">
        <v>649</v>
      </c>
      <c r="AY60" s="1628" t="s">
        <v>602</v>
      </c>
      <c r="AZ60" s="1622" t="s">
        <v>1776</v>
      </c>
      <c r="BA60" s="1631">
        <v>0.5</v>
      </c>
      <c r="BB60" s="1631">
        <v>0.5</v>
      </c>
      <c r="BC60" s="1631">
        <v>0.5</v>
      </c>
      <c r="BD60" s="1631">
        <v>0.5</v>
      </c>
      <c r="BE60" s="1631"/>
      <c r="BF60" s="1631"/>
      <c r="BG60" s="1631"/>
      <c r="BH60" s="1649">
        <v>0.5</v>
      </c>
      <c r="BI60" s="1631">
        <v>0.5</v>
      </c>
      <c r="BJ60" s="1631">
        <v>0.5</v>
      </c>
      <c r="BK60" s="1632"/>
      <c r="BL60" s="1631"/>
      <c r="BM60" s="1631"/>
      <c r="BO60" s="1625" t="s">
        <v>649</v>
      </c>
      <c r="BP60" s="1628" t="s">
        <v>602</v>
      </c>
      <c r="BQ60" s="1622" t="s">
        <v>1589</v>
      </c>
      <c r="BR60" s="1669">
        <v>0.5</v>
      </c>
      <c r="BS60" s="1669">
        <v>0.5</v>
      </c>
      <c r="BT60" s="1669">
        <v>0.5</v>
      </c>
      <c r="BU60" s="1669">
        <v>0.5</v>
      </c>
      <c r="BV60" s="1669"/>
      <c r="BW60" s="1669"/>
      <c r="BX60" s="1669"/>
      <c r="BY60" s="1670">
        <v>0.5</v>
      </c>
      <c r="BZ60" s="1669">
        <v>0.5</v>
      </c>
      <c r="CA60" s="1669">
        <v>0.5</v>
      </c>
      <c r="CB60" s="1671"/>
      <c r="CC60" s="1669"/>
      <c r="CD60" s="1669"/>
      <c r="CE60" s="1693"/>
      <c r="CG60" s="1625" t="s">
        <v>649</v>
      </c>
      <c r="CH60" s="1628" t="s">
        <v>602</v>
      </c>
      <c r="CI60" s="1622" t="s">
        <v>1776</v>
      </c>
      <c r="CJ60" s="1636">
        <f t="shared" si="19"/>
        <v>0.5</v>
      </c>
      <c r="CK60" s="1636">
        <f t="shared" si="20"/>
        <v>0.5</v>
      </c>
      <c r="CL60" s="1636">
        <f t="shared" si="21"/>
        <v>0.5</v>
      </c>
      <c r="CM60" s="1636">
        <f t="shared" si="22"/>
        <v>0.5</v>
      </c>
      <c r="CN60" s="1636">
        <f t="shared" si="23"/>
        <v>0</v>
      </c>
      <c r="CO60" s="1636">
        <f t="shared" si="24"/>
        <v>0</v>
      </c>
      <c r="CP60" s="1636">
        <f t="shared" si="25"/>
        <v>0</v>
      </c>
      <c r="CQ60" s="1673">
        <f t="shared" si="26"/>
        <v>0.5</v>
      </c>
      <c r="CR60" s="1636">
        <f t="shared" si="27"/>
        <v>0.5</v>
      </c>
      <c r="CS60" s="1636">
        <f t="shared" si="28"/>
        <v>0.5</v>
      </c>
      <c r="CT60" s="1640">
        <f t="shared" si="13"/>
        <v>0</v>
      </c>
      <c r="CU60" s="1636">
        <f t="shared" si="14"/>
        <v>0</v>
      </c>
      <c r="CV60" s="1636">
        <f t="shared" si="15"/>
        <v>0</v>
      </c>
      <c r="CX60" s="1625" t="s">
        <v>649</v>
      </c>
      <c r="CY60" s="1628" t="s">
        <v>602</v>
      </c>
      <c r="CZ60" s="1622" t="s">
        <v>1776</v>
      </c>
      <c r="DA60" s="1638">
        <f t="shared" si="29"/>
        <v>0.5</v>
      </c>
      <c r="DB60" s="1638"/>
      <c r="DC60" s="1638"/>
      <c r="DD60" s="1638"/>
      <c r="DE60" s="1638"/>
      <c r="DF60" s="1638"/>
      <c r="DG60" s="1638"/>
      <c r="DH60" s="1674"/>
      <c r="DI60" s="1638"/>
      <c r="DJ60" s="1638"/>
      <c r="DK60" s="1642"/>
      <c r="DL60" s="1638"/>
      <c r="DM60" s="1638"/>
    </row>
    <row r="61" spans="2:117">
      <c r="B61" s="1584" t="str">
        <f t="shared" si="47"/>
        <v>4.3.2</v>
      </c>
      <c r="C61" s="1622" t="str">
        <f t="shared" si="1"/>
        <v>Control of Smoking</v>
      </c>
      <c r="D61" s="1603">
        <f>IF(I$59&gt;0,G61/I$59,0)</f>
        <v>0.5</v>
      </c>
      <c r="E61" s="1624">
        <f>IF(J$59&gt;0,H61/J$59,0)</f>
        <v>0</v>
      </c>
      <c r="G61" s="1624">
        <f t="shared" si="43"/>
        <v>0.5</v>
      </c>
      <c r="H61" s="1624">
        <f t="shared" si="44"/>
        <v>0</v>
      </c>
      <c r="I61" s="1624"/>
      <c r="J61" s="1624"/>
      <c r="K61" s="1624">
        <f>IF(Score!W61=0,0,1)</f>
        <v>1</v>
      </c>
      <c r="L61" s="1624">
        <f>IF(Score!X61=0,0,1)</f>
        <v>0</v>
      </c>
      <c r="M61" s="1624">
        <f t="shared" si="45"/>
        <v>0.5</v>
      </c>
      <c r="N61" s="1624">
        <f t="shared" si="46"/>
        <v>0</v>
      </c>
      <c r="P61" s="1625" t="str">
        <f t="shared" si="6"/>
        <v>4.3.2</v>
      </c>
      <c r="Q61" s="1625" t="str">
        <f t="shared" si="7"/>
        <v xml:space="preserve"> Q1 4.3</v>
      </c>
      <c r="R61" s="1622" t="str">
        <f t="shared" si="8"/>
        <v>Control of Smoking</v>
      </c>
      <c r="S61" s="1626">
        <f t="shared" si="16"/>
        <v>0.5</v>
      </c>
      <c r="T61" s="1626">
        <f t="shared" si="32"/>
        <v>0.5</v>
      </c>
      <c r="U61" s="1626">
        <f t="shared" si="33"/>
        <v>0.5</v>
      </c>
      <c r="V61" s="1626">
        <f t="shared" si="34"/>
        <v>0.5</v>
      </c>
      <c r="W61" s="1626">
        <f t="shared" si="35"/>
        <v>1</v>
      </c>
      <c r="X61" s="1626">
        <f t="shared" si="36"/>
        <v>1</v>
      </c>
      <c r="Y61" s="1626">
        <f t="shared" si="37"/>
        <v>0</v>
      </c>
      <c r="Z61" s="1645">
        <f t="shared" si="38"/>
        <v>0.5</v>
      </c>
      <c r="AA61" s="1626">
        <f t="shared" si="17"/>
        <v>0.5</v>
      </c>
      <c r="AB61" s="1626">
        <f t="shared" si="10"/>
        <v>0.5</v>
      </c>
      <c r="AC61" s="1627">
        <f t="shared" si="11"/>
        <v>0</v>
      </c>
      <c r="AD61" s="1626">
        <f t="shared" si="12"/>
        <v>0</v>
      </c>
      <c r="AE61" s="1626">
        <f t="shared" si="18"/>
        <v>0</v>
      </c>
      <c r="AG61" s="1625" t="s">
        <v>651</v>
      </c>
      <c r="AH61" s="1628" t="s">
        <v>602</v>
      </c>
      <c r="AI61" s="1622" t="s">
        <v>1777</v>
      </c>
      <c r="AJ61" s="1669">
        <v>0.5</v>
      </c>
      <c r="AK61" s="1669">
        <v>0.5</v>
      </c>
      <c r="AL61" s="1669">
        <v>0.5</v>
      </c>
      <c r="AM61" s="1669">
        <v>0.5</v>
      </c>
      <c r="AN61" s="1669">
        <v>1</v>
      </c>
      <c r="AO61" s="1669">
        <v>1</v>
      </c>
      <c r="AP61" s="1669"/>
      <c r="AQ61" s="1704">
        <v>0.5</v>
      </c>
      <c r="AR61" s="1669">
        <v>0.5</v>
      </c>
      <c r="AS61" s="1631">
        <v>0.5</v>
      </c>
      <c r="AT61" s="1632"/>
      <c r="AU61" s="1631"/>
      <c r="AV61" s="1631"/>
      <c r="AX61" s="1625" t="s">
        <v>651</v>
      </c>
      <c r="AY61" s="1628" t="s">
        <v>602</v>
      </c>
      <c r="AZ61" s="1622" t="s">
        <v>1777</v>
      </c>
      <c r="BA61" s="1631">
        <v>0.5</v>
      </c>
      <c r="BB61" s="1631">
        <v>0.5</v>
      </c>
      <c r="BC61" s="1631">
        <v>0.5</v>
      </c>
      <c r="BD61" s="1631">
        <v>0.5</v>
      </c>
      <c r="BE61" s="1631">
        <v>1</v>
      </c>
      <c r="BF61" s="1631">
        <v>1</v>
      </c>
      <c r="BG61" s="1631"/>
      <c r="BH61" s="1649">
        <v>0.5</v>
      </c>
      <c r="BI61" s="1631">
        <v>0.5</v>
      </c>
      <c r="BJ61" s="1631">
        <v>0.5</v>
      </c>
      <c r="BK61" s="1632"/>
      <c r="BL61" s="1631"/>
      <c r="BM61" s="1631"/>
      <c r="BO61" s="1625" t="s">
        <v>651</v>
      </c>
      <c r="BP61" s="1628" t="s">
        <v>602</v>
      </c>
      <c r="BQ61" s="1622" t="s">
        <v>1590</v>
      </c>
      <c r="BR61" s="1669">
        <v>0.5</v>
      </c>
      <c r="BS61" s="1669">
        <v>0.5</v>
      </c>
      <c r="BT61" s="1669">
        <v>0.5</v>
      </c>
      <c r="BU61" s="1669">
        <v>0.5</v>
      </c>
      <c r="BV61" s="1669">
        <v>1</v>
      </c>
      <c r="BW61" s="1669">
        <v>1</v>
      </c>
      <c r="BX61" s="1669"/>
      <c r="BY61" s="1670">
        <v>0.5</v>
      </c>
      <c r="BZ61" s="1669">
        <v>0.5</v>
      </c>
      <c r="CA61" s="1669">
        <v>0.5</v>
      </c>
      <c r="CB61" s="1671"/>
      <c r="CC61" s="1669"/>
      <c r="CD61" s="1669"/>
      <c r="CE61" s="1693"/>
      <c r="CG61" s="1625" t="s">
        <v>651</v>
      </c>
      <c r="CH61" s="1628" t="s">
        <v>602</v>
      </c>
      <c r="CI61" s="1622" t="s">
        <v>1777</v>
      </c>
      <c r="CJ61" s="1636">
        <f t="shared" si="19"/>
        <v>0.5</v>
      </c>
      <c r="CK61" s="1636">
        <f t="shared" si="20"/>
        <v>0.5</v>
      </c>
      <c r="CL61" s="1636">
        <f t="shared" si="21"/>
        <v>0.5</v>
      </c>
      <c r="CM61" s="1636">
        <f t="shared" si="22"/>
        <v>0.5</v>
      </c>
      <c r="CN61" s="1636">
        <f t="shared" si="23"/>
        <v>1</v>
      </c>
      <c r="CO61" s="1636">
        <f t="shared" si="24"/>
        <v>1</v>
      </c>
      <c r="CP61" s="1636">
        <f t="shared" si="25"/>
        <v>0</v>
      </c>
      <c r="CQ61" s="1673">
        <f t="shared" si="26"/>
        <v>0.5</v>
      </c>
      <c r="CR61" s="1636">
        <f t="shared" si="27"/>
        <v>0.5</v>
      </c>
      <c r="CS61" s="1636">
        <f t="shared" si="28"/>
        <v>0.5</v>
      </c>
      <c r="CT61" s="1640">
        <f t="shared" si="13"/>
        <v>0</v>
      </c>
      <c r="CU61" s="1636">
        <f t="shared" si="14"/>
        <v>0</v>
      </c>
      <c r="CV61" s="1636">
        <f t="shared" si="15"/>
        <v>0</v>
      </c>
      <c r="CX61" s="1625" t="s">
        <v>651</v>
      </c>
      <c r="CY61" s="1628" t="s">
        <v>602</v>
      </c>
      <c r="CZ61" s="1622" t="s">
        <v>1777</v>
      </c>
      <c r="DA61" s="1638">
        <f t="shared" si="29"/>
        <v>0.5</v>
      </c>
      <c r="DB61" s="1638"/>
      <c r="DC61" s="1638"/>
      <c r="DD61" s="1638"/>
      <c r="DE61" s="1638"/>
      <c r="DF61" s="1638"/>
      <c r="DG61" s="1638"/>
      <c r="DH61" s="1674"/>
      <c r="DI61" s="1638"/>
      <c r="DJ61" s="1638"/>
      <c r="DK61" s="1642"/>
      <c r="DL61" s="1638"/>
      <c r="DM61" s="1638"/>
    </row>
    <row r="62" spans="2:117">
      <c r="B62" s="1584" t="str">
        <f t="shared" si="47"/>
        <v>Q2</v>
      </c>
      <c r="C62" s="1585" t="str">
        <f t="shared" si="1"/>
        <v>Quality of Service</v>
      </c>
      <c r="D62" s="1586">
        <f>IF(I$8=0,0,G62/I$8)</f>
        <v>0.3</v>
      </c>
      <c r="E62" s="1587">
        <f>IF(J$8=0,0,H62/J$8)</f>
        <v>0</v>
      </c>
      <c r="G62" s="1587">
        <f t="shared" si="43"/>
        <v>0.3</v>
      </c>
      <c r="H62" s="1587">
        <f t="shared" si="44"/>
        <v>0</v>
      </c>
      <c r="I62" s="1587">
        <f>G63+G78+G100</f>
        <v>1</v>
      </c>
      <c r="J62" s="1587">
        <f>H63+H78+H100</f>
        <v>0</v>
      </c>
      <c r="K62" s="1587">
        <f>IF(Score!U62=0,0,1)</f>
        <v>1</v>
      </c>
      <c r="L62" s="1587"/>
      <c r="M62" s="1587">
        <f t="shared" si="45"/>
        <v>0.3</v>
      </c>
      <c r="N62" s="1587">
        <f t="shared" si="46"/>
        <v>0</v>
      </c>
      <c r="P62" s="1584" t="str">
        <f t="shared" si="6"/>
        <v>Q2</v>
      </c>
      <c r="Q62" s="1584" t="str">
        <f t="shared" si="7"/>
        <v xml:space="preserve"> Q</v>
      </c>
      <c r="R62" s="1585" t="str">
        <f t="shared" si="8"/>
        <v>Quality of Service</v>
      </c>
      <c r="S62" s="1588">
        <f t="shared" si="16"/>
        <v>0.3</v>
      </c>
      <c r="T62" s="1588">
        <f t="shared" si="32"/>
        <v>0.3</v>
      </c>
      <c r="U62" s="1588">
        <f t="shared" si="33"/>
        <v>0.3</v>
      </c>
      <c r="V62" s="1588">
        <f t="shared" si="34"/>
        <v>0.3</v>
      </c>
      <c r="W62" s="1588">
        <f t="shared" si="35"/>
        <v>0.3</v>
      </c>
      <c r="X62" s="1588">
        <f t="shared" si="36"/>
        <v>0.3</v>
      </c>
      <c r="Y62" s="1588">
        <f t="shared" si="37"/>
        <v>0.3</v>
      </c>
      <c r="Z62" s="1588">
        <f t="shared" si="38"/>
        <v>0.3</v>
      </c>
      <c r="AA62" s="1588">
        <f t="shared" si="17"/>
        <v>0.3</v>
      </c>
      <c r="AB62" s="1588">
        <f t="shared" si="10"/>
        <v>0.3</v>
      </c>
      <c r="AC62" s="1710">
        <f t="shared" si="11"/>
        <v>0</v>
      </c>
      <c r="AD62" s="1588">
        <f t="shared" si="12"/>
        <v>0</v>
      </c>
      <c r="AE62" s="1588">
        <f t="shared" si="18"/>
        <v>0</v>
      </c>
      <c r="AG62" s="1584" t="s">
        <v>653</v>
      </c>
      <c r="AH62" s="1590" t="s">
        <v>178</v>
      </c>
      <c r="AI62" s="1585" t="s">
        <v>1778</v>
      </c>
      <c r="AJ62" s="1591">
        <v>0.3</v>
      </c>
      <c r="AK62" s="1591">
        <v>0.3</v>
      </c>
      <c r="AL62" s="1591">
        <v>0.3</v>
      </c>
      <c r="AM62" s="1591">
        <v>0.3</v>
      </c>
      <c r="AN62" s="1591">
        <v>0.3</v>
      </c>
      <c r="AO62" s="1591">
        <v>0.3</v>
      </c>
      <c r="AP62" s="1591">
        <v>0.3</v>
      </c>
      <c r="AQ62" s="1591">
        <v>0.3</v>
      </c>
      <c r="AR62" s="1591">
        <v>0.3</v>
      </c>
      <c r="AS62" s="1592">
        <v>0.3</v>
      </c>
      <c r="AT62" s="1593">
        <v>0</v>
      </c>
      <c r="AU62" s="1592">
        <v>0</v>
      </c>
      <c r="AV62" s="1592">
        <v>0</v>
      </c>
      <c r="AX62" s="1584" t="s">
        <v>653</v>
      </c>
      <c r="AY62" s="1590" t="s">
        <v>178</v>
      </c>
      <c r="AZ62" s="1585" t="s">
        <v>1778</v>
      </c>
      <c r="BA62" s="1592">
        <v>0.3</v>
      </c>
      <c r="BB62" s="1592">
        <v>0.3</v>
      </c>
      <c r="BC62" s="1592">
        <v>0.3</v>
      </c>
      <c r="BD62" s="1592">
        <v>0.3</v>
      </c>
      <c r="BE62" s="1592">
        <v>0.3</v>
      </c>
      <c r="BF62" s="1592">
        <v>0.3</v>
      </c>
      <c r="BG62" s="1592">
        <v>0.3</v>
      </c>
      <c r="BH62" s="1592">
        <v>0.3</v>
      </c>
      <c r="BI62" s="1592">
        <v>0.3</v>
      </c>
      <c r="BJ62" s="1592">
        <v>0.3</v>
      </c>
      <c r="BK62" s="1593"/>
      <c r="BL62" s="1592"/>
      <c r="BM62" s="1592"/>
      <c r="BO62" s="1584" t="s">
        <v>653</v>
      </c>
      <c r="BP62" s="1590" t="s">
        <v>178</v>
      </c>
      <c r="BQ62" s="1585" t="s">
        <v>1667</v>
      </c>
      <c r="BR62" s="1592">
        <v>0.3</v>
      </c>
      <c r="BS62" s="1592">
        <v>0.3</v>
      </c>
      <c r="BT62" s="1592">
        <v>0.3</v>
      </c>
      <c r="BU62" s="1592">
        <v>0.3</v>
      </c>
      <c r="BV62" s="1592">
        <v>0.3</v>
      </c>
      <c r="BW62" s="1592">
        <v>0.3</v>
      </c>
      <c r="BX62" s="1592">
        <v>0.3</v>
      </c>
      <c r="BY62" s="1592">
        <v>0.3</v>
      </c>
      <c r="BZ62" s="1592">
        <v>0.3</v>
      </c>
      <c r="CA62" s="1592">
        <v>0.3</v>
      </c>
      <c r="CB62" s="1593"/>
      <c r="CC62" s="1592"/>
      <c r="CD62" s="1592"/>
      <c r="CE62" s="1594"/>
      <c r="CG62" s="1584" t="s">
        <v>558</v>
      </c>
      <c r="CH62" s="1590" t="s">
        <v>178</v>
      </c>
      <c r="CI62" s="1585" t="s">
        <v>1778</v>
      </c>
      <c r="CJ62" s="1595">
        <v>0.15</v>
      </c>
      <c r="CK62" s="1595">
        <v>0.15</v>
      </c>
      <c r="CL62" s="1595">
        <v>0.15</v>
      </c>
      <c r="CM62" s="1595">
        <v>0.15</v>
      </c>
      <c r="CN62" s="1595">
        <v>0.15</v>
      </c>
      <c r="CO62" s="1595">
        <v>0.15</v>
      </c>
      <c r="CP62" s="1595">
        <v>0.15</v>
      </c>
      <c r="CQ62" s="1595">
        <v>0.15</v>
      </c>
      <c r="CR62" s="1595">
        <v>0.15</v>
      </c>
      <c r="CS62" s="1595">
        <v>0.15</v>
      </c>
      <c r="CT62" s="1599">
        <f t="shared" si="13"/>
        <v>0</v>
      </c>
      <c r="CU62" s="1595">
        <f t="shared" si="14"/>
        <v>0</v>
      </c>
      <c r="CV62" s="1595">
        <f t="shared" si="15"/>
        <v>0</v>
      </c>
      <c r="CX62" s="1584" t="s">
        <v>558</v>
      </c>
      <c r="CY62" s="1590" t="s">
        <v>178</v>
      </c>
      <c r="CZ62" s="1585" t="s">
        <v>1778</v>
      </c>
      <c r="DA62" s="1598">
        <v>0.4</v>
      </c>
      <c r="DB62" s="1595"/>
      <c r="DC62" s="1595"/>
      <c r="DD62" s="1595"/>
      <c r="DE62" s="1595"/>
      <c r="DF62" s="1595"/>
      <c r="DG62" s="1595"/>
      <c r="DH62" s="1595"/>
      <c r="DI62" s="1595"/>
      <c r="DJ62" s="1595"/>
      <c r="DK62" s="1599"/>
      <c r="DL62" s="1595"/>
      <c r="DM62" s="1595"/>
    </row>
    <row r="63" spans="2:117">
      <c r="B63" s="1584">
        <f t="shared" si="47"/>
        <v>1</v>
      </c>
      <c r="C63" s="1600" t="str">
        <f t="shared" si="1"/>
        <v>Service Ability</v>
      </c>
      <c r="D63" s="1601">
        <f>IF(I$62=0,0,G63/I$62)</f>
        <v>0.4</v>
      </c>
      <c r="E63" s="1602">
        <f>IF(J$62=0,0,H63/J$62)</f>
        <v>0</v>
      </c>
      <c r="G63" s="1602">
        <f t="shared" si="43"/>
        <v>0.4</v>
      </c>
      <c r="H63" s="1602">
        <f t="shared" si="44"/>
        <v>0</v>
      </c>
      <c r="I63" s="1602">
        <f>G64+G68+G74</f>
        <v>1</v>
      </c>
      <c r="J63" s="1602">
        <f>H64+H68+H74</f>
        <v>0</v>
      </c>
      <c r="K63" s="1602">
        <f>IF(L63&gt;0,1,IF(Score!Z63=0,0,1))</f>
        <v>1</v>
      </c>
      <c r="L63" s="1602">
        <f>IF(Score!AB63=0,0,1)</f>
        <v>0</v>
      </c>
      <c r="M63" s="1602">
        <f t="shared" si="45"/>
        <v>0.4</v>
      </c>
      <c r="N63" s="1602">
        <f t="shared" si="46"/>
        <v>0</v>
      </c>
      <c r="P63" s="1604">
        <f t="shared" si="6"/>
        <v>1</v>
      </c>
      <c r="Q63" s="1604" t="str">
        <f t="shared" si="7"/>
        <v xml:space="preserve"> Q2</v>
      </c>
      <c r="R63" s="1600" t="str">
        <f t="shared" si="8"/>
        <v>Service Ability</v>
      </c>
      <c r="S63" s="1711">
        <f t="shared" si="16"/>
        <v>0.4</v>
      </c>
      <c r="T63" s="1711">
        <f t="shared" si="32"/>
        <v>0.4</v>
      </c>
      <c r="U63" s="1711">
        <f t="shared" si="33"/>
        <v>0.4</v>
      </c>
      <c r="V63" s="1711">
        <f t="shared" si="34"/>
        <v>0.4</v>
      </c>
      <c r="W63" s="1711">
        <f t="shared" si="35"/>
        <v>0.4</v>
      </c>
      <c r="X63" s="1711">
        <f t="shared" si="36"/>
        <v>0.4</v>
      </c>
      <c r="Y63" s="1711">
        <f t="shared" si="37"/>
        <v>0.4</v>
      </c>
      <c r="Z63" s="1651">
        <f t="shared" si="38"/>
        <v>0.4</v>
      </c>
      <c r="AA63" s="1589">
        <f>IF($Q$3="coCASB",0,IF($P$3=1,BI63,IF($P$3=2,BZ63,IF($P$3=3,CR63,IF($P$3=4,DI63,AR63)))))</f>
        <v>0.4</v>
      </c>
      <c r="AB63" s="1711">
        <f t="shared" si="10"/>
        <v>0.4</v>
      </c>
      <c r="AC63" s="1712">
        <f t="shared" si="11"/>
        <v>0</v>
      </c>
      <c r="AD63" s="1711">
        <f t="shared" si="12"/>
        <v>0</v>
      </c>
      <c r="AE63" s="1711">
        <f t="shared" si="18"/>
        <v>0</v>
      </c>
      <c r="AG63" s="1604">
        <v>1</v>
      </c>
      <c r="AH63" s="1608" t="s">
        <v>603</v>
      </c>
      <c r="AI63" s="1600" t="s">
        <v>1779</v>
      </c>
      <c r="AJ63" s="1713">
        <v>0.4</v>
      </c>
      <c r="AK63" s="1713">
        <v>0.4</v>
      </c>
      <c r="AL63" s="1713">
        <v>0.4</v>
      </c>
      <c r="AM63" s="1713">
        <v>0.4</v>
      </c>
      <c r="AN63" s="1713">
        <v>0.4</v>
      </c>
      <c r="AO63" s="1713">
        <v>0.4</v>
      </c>
      <c r="AP63" s="1713">
        <v>0.4</v>
      </c>
      <c r="AQ63" s="1675">
        <v>0.4</v>
      </c>
      <c r="AR63" s="1713">
        <v>0.4</v>
      </c>
      <c r="AS63" s="1714">
        <v>0.4</v>
      </c>
      <c r="AT63" s="1715"/>
      <c r="AU63" s="1714"/>
      <c r="AV63" s="1714"/>
      <c r="AX63" s="1604">
        <v>1</v>
      </c>
      <c r="AY63" s="1608" t="s">
        <v>603</v>
      </c>
      <c r="AZ63" s="1600" t="s">
        <v>1779</v>
      </c>
      <c r="BA63" s="1714">
        <v>0.4</v>
      </c>
      <c r="BB63" s="1714">
        <v>0.4</v>
      </c>
      <c r="BC63" s="1714">
        <v>0.4</v>
      </c>
      <c r="BD63" s="1714">
        <v>0.4</v>
      </c>
      <c r="BE63" s="1714">
        <v>0.4</v>
      </c>
      <c r="BF63" s="1714">
        <v>0.4</v>
      </c>
      <c r="BG63" s="1714">
        <v>0.4</v>
      </c>
      <c r="BH63" s="1716">
        <v>0.4</v>
      </c>
      <c r="BI63" s="1714">
        <v>0.4</v>
      </c>
      <c r="BJ63" s="1714">
        <v>0.4</v>
      </c>
      <c r="BK63" s="1715"/>
      <c r="BL63" s="1714"/>
      <c r="BM63" s="1714"/>
      <c r="BO63" s="1604">
        <v>1</v>
      </c>
      <c r="BP63" s="1608" t="s">
        <v>603</v>
      </c>
      <c r="BQ63" s="1600" t="s">
        <v>1591</v>
      </c>
      <c r="BR63" s="1714">
        <v>0.4</v>
      </c>
      <c r="BS63" s="1714">
        <v>0.4</v>
      </c>
      <c r="BT63" s="1714">
        <v>0.4</v>
      </c>
      <c r="BU63" s="1714">
        <v>0.4</v>
      </c>
      <c r="BV63" s="1714">
        <v>0.4</v>
      </c>
      <c r="BW63" s="1714">
        <v>0.4</v>
      </c>
      <c r="BX63" s="1714">
        <v>0.4</v>
      </c>
      <c r="BY63" s="1716">
        <v>0.4</v>
      </c>
      <c r="BZ63" s="1714">
        <v>0.4</v>
      </c>
      <c r="CA63" s="1714">
        <v>0.4</v>
      </c>
      <c r="CB63" s="1715"/>
      <c r="CC63" s="1714"/>
      <c r="CD63" s="1714"/>
      <c r="CE63" s="1594"/>
      <c r="CG63" s="1604">
        <v>1</v>
      </c>
      <c r="CH63" s="1608" t="s">
        <v>603</v>
      </c>
      <c r="CI63" s="1600" t="s">
        <v>1779</v>
      </c>
      <c r="CJ63" s="1717">
        <v>0.75</v>
      </c>
      <c r="CK63" s="1717">
        <v>0.75</v>
      </c>
      <c r="CL63" s="1717">
        <v>0.75</v>
      </c>
      <c r="CM63" s="1717">
        <v>0.75</v>
      </c>
      <c r="CN63" s="1717">
        <v>0.75</v>
      </c>
      <c r="CO63" s="1717">
        <v>0.75</v>
      </c>
      <c r="CP63" s="1717">
        <v>0.75</v>
      </c>
      <c r="CQ63" s="1717">
        <v>0.75</v>
      </c>
      <c r="CR63" s="1717">
        <v>0.75</v>
      </c>
      <c r="CS63" s="1717">
        <v>0.75</v>
      </c>
      <c r="CT63" s="1718">
        <f t="shared" si="13"/>
        <v>0</v>
      </c>
      <c r="CU63" s="1717">
        <f t="shared" si="14"/>
        <v>0</v>
      </c>
      <c r="CV63" s="1717">
        <f t="shared" si="15"/>
        <v>0</v>
      </c>
      <c r="CX63" s="1604">
        <v>1</v>
      </c>
      <c r="CY63" s="1608" t="s">
        <v>603</v>
      </c>
      <c r="CZ63" s="1600" t="s">
        <v>1779</v>
      </c>
      <c r="DA63" s="1719">
        <v>0.6</v>
      </c>
      <c r="DB63" s="1717"/>
      <c r="DC63" s="1717"/>
      <c r="DD63" s="1717"/>
      <c r="DE63" s="1717"/>
      <c r="DF63" s="1717"/>
      <c r="DG63" s="1717"/>
      <c r="DH63" s="1717"/>
      <c r="DI63" s="1717"/>
      <c r="DJ63" s="1717"/>
      <c r="DK63" s="1718"/>
      <c r="DL63" s="1717"/>
      <c r="DM63" s="1717"/>
    </row>
    <row r="64" spans="2:117">
      <c r="B64" s="1584">
        <f t="shared" si="47"/>
        <v>1.1000000000000001</v>
      </c>
      <c r="C64" s="1622" t="str">
        <f t="shared" si="1"/>
        <v xml:space="preserve"> Functionality &amp; Usability</v>
      </c>
      <c r="D64" s="1623">
        <f>IF(I$63=0,0,G64/I$63)</f>
        <v>0.4</v>
      </c>
      <c r="E64" s="1624">
        <f>IF(J$63=0,0,H64/J$63)</f>
        <v>0</v>
      </c>
      <c r="G64" s="1624">
        <f t="shared" si="43"/>
        <v>0.4</v>
      </c>
      <c r="H64" s="1624">
        <f t="shared" si="44"/>
        <v>0</v>
      </c>
      <c r="I64" s="1624">
        <f>SUM(G65:G67)</f>
        <v>1</v>
      </c>
      <c r="J64" s="1624">
        <f>SUM(H65:H67)</f>
        <v>0</v>
      </c>
      <c r="K64" s="1624">
        <f>IF(Score!Z64=0,0,1)</f>
        <v>1</v>
      </c>
      <c r="L64" s="1624">
        <f>IF(Score!AB64=0,0,1)</f>
        <v>0</v>
      </c>
      <c r="M64" s="1624">
        <f t="shared" si="45"/>
        <v>0.4</v>
      </c>
      <c r="N64" s="1624">
        <f t="shared" si="46"/>
        <v>0</v>
      </c>
      <c r="P64" s="1625">
        <f t="shared" si="6"/>
        <v>1.1000000000000001</v>
      </c>
      <c r="Q64" s="1625" t="str">
        <f t="shared" si="7"/>
        <v xml:space="preserve"> Q2 1</v>
      </c>
      <c r="R64" s="1622" t="str">
        <f t="shared" si="8"/>
        <v xml:space="preserve"> Functionality &amp; Usability</v>
      </c>
      <c r="S64" s="1626">
        <f t="shared" ref="S64:S127" si="52">IF($P$3=1,BA64,IF($P$3=2,BR64,IF($P$3=3,CJ64,IF($P$3=4,DA64,AJ64))))</f>
        <v>0.4</v>
      </c>
      <c r="T64" s="1626">
        <f t="shared" ref="T64:T127" si="53">IF($P$3=1,BB64,IF($P$3=2,BS64,IF($P$3=3,CK64,IF($P$3=4,DB64,AK64))))</f>
        <v>0.4</v>
      </c>
      <c r="U64" s="1626">
        <f t="shared" ref="U64:U127" si="54">IF($P$3=1,BC64,IF($P$3=2,BT64,IF($P$3=3,CL64,IF($P$3=4,DC64,AL64))))</f>
        <v>0.4</v>
      </c>
      <c r="V64" s="1626">
        <f t="shared" ref="V64:V127" si="55">IF($P$3=1,BD64,IF($P$3=2,BU64,IF($P$3=3,CM64,IF($P$3=4,DD64,AM64))))</f>
        <v>0.4</v>
      </c>
      <c r="W64" s="1626">
        <f t="shared" ref="W64:W127" si="56">IF($P$3=1,BE64,IF($P$3=2,BV64,IF($P$3=3,CN64,IF($P$3=4,DE64,AN64))))</f>
        <v>0.4</v>
      </c>
      <c r="X64" s="1626">
        <f t="shared" ref="X64:X127" si="57">IF($P$3=1,BF64,IF($P$3=2,BW64,IF($P$3=3,CO64,IF($P$3=4,DF64,AO64))))</f>
        <v>0.4</v>
      </c>
      <c r="Y64" s="1626">
        <f t="shared" ref="Y64:Y127" si="58">IF($P$3=1,BG64,IF($P$3=2,BX64,IF($P$3=3,CP64,IF($P$3=4,DG64,AP64))))</f>
        <v>0.4</v>
      </c>
      <c r="Z64" s="1656">
        <f t="shared" ref="Z64:Z127" si="59">IF($P$3=1,BH64,IF($P$3=2,BY64,IF($P$3=3,CQ64,IF($P$3=4,DH64,AQ64))))</f>
        <v>0.4</v>
      </c>
      <c r="AA64" s="1626">
        <f t="shared" ref="AA64:AA127" si="60">IF($P$3=1,BI64,IF($P$3=2,BZ64,IF($P$3=3,CR64,IF($P$3=4,DI64,AR64))))</f>
        <v>0.4</v>
      </c>
      <c r="AB64" s="1626">
        <f t="shared" ref="AB64:AB127" si="61">IF($P$3=1,BJ64,IF($P$3=2,CA64,IF($P$3=3,CS64,IF($P$3=4,DJ64,AS64))))</f>
        <v>0.4</v>
      </c>
      <c r="AC64" s="1627">
        <f t="shared" ref="AC64:AC127" si="62">IF($P$3=1,BK64,IF($P$3=2,CB64,IF($P$3=3,CT64,IF($P$3=4,DK64,AT64))))</f>
        <v>0.6</v>
      </c>
      <c r="AD64" s="1626">
        <f t="shared" ref="AD64:AD127" si="63">IF($P$3=1,BL64,IF($P$3=2,CC64,IF($P$3=3,CU64,IF($P$3=4,DL64,AU64))))</f>
        <v>0.6</v>
      </c>
      <c r="AE64" s="1626">
        <f t="shared" ref="AE64:AE127" si="64">IF($P$3=1,BM64,IF($P$3=2,CD64,IF($P$3=3,CV64,IF($P$3=4,DM64,AV64))))</f>
        <v>0.6</v>
      </c>
      <c r="AG64" s="1625">
        <v>1.1000000000000001</v>
      </c>
      <c r="AH64" s="1628" t="s">
        <v>605</v>
      </c>
      <c r="AI64" s="1622" t="s">
        <v>1780</v>
      </c>
      <c r="AJ64" s="1630">
        <v>0.4</v>
      </c>
      <c r="AK64" s="1630">
        <v>0.4</v>
      </c>
      <c r="AL64" s="1630">
        <v>0.4</v>
      </c>
      <c r="AM64" s="1629">
        <v>0.4</v>
      </c>
      <c r="AN64" s="1629">
        <v>0.4</v>
      </c>
      <c r="AO64" s="1630">
        <v>0.4</v>
      </c>
      <c r="AP64" s="1629">
        <v>0.4</v>
      </c>
      <c r="AQ64" s="1630">
        <v>0.4</v>
      </c>
      <c r="AR64" s="1629">
        <v>0.4</v>
      </c>
      <c r="AS64" s="1631">
        <v>0.4</v>
      </c>
      <c r="AT64" s="1631">
        <v>0.6</v>
      </c>
      <c r="AU64" s="1631">
        <v>0.6</v>
      </c>
      <c r="AV64" s="1631">
        <v>0.6</v>
      </c>
      <c r="AX64" s="1625">
        <v>1.1000000000000001</v>
      </c>
      <c r="AY64" s="1628" t="s">
        <v>605</v>
      </c>
      <c r="AZ64" s="1622" t="s">
        <v>1780</v>
      </c>
      <c r="BA64" s="1631">
        <v>0.4</v>
      </c>
      <c r="BB64" s="1631">
        <v>0.4</v>
      </c>
      <c r="BC64" s="1631">
        <v>0.4</v>
      </c>
      <c r="BD64" s="1631">
        <v>0.4</v>
      </c>
      <c r="BE64" s="1631">
        <v>0.4</v>
      </c>
      <c r="BF64" s="1631">
        <v>0.4</v>
      </c>
      <c r="BG64" s="1631">
        <v>0.4</v>
      </c>
      <c r="BH64" s="1649">
        <v>0.4</v>
      </c>
      <c r="BI64" s="1631">
        <v>0.4</v>
      </c>
      <c r="BJ64" s="1631">
        <v>0.4</v>
      </c>
      <c r="BK64" s="1631">
        <v>0.6</v>
      </c>
      <c r="BL64" s="1631">
        <v>0.6</v>
      </c>
      <c r="BM64" s="1631">
        <v>0.6</v>
      </c>
      <c r="BO64" s="1625">
        <v>1.1000000000000001</v>
      </c>
      <c r="BP64" s="1628" t="s">
        <v>605</v>
      </c>
      <c r="BQ64" s="1622" t="s">
        <v>1592</v>
      </c>
      <c r="BR64" s="1631">
        <v>0.4</v>
      </c>
      <c r="BS64" s="1631">
        <v>0.4</v>
      </c>
      <c r="BT64" s="1631">
        <v>0.4</v>
      </c>
      <c r="BU64" s="1631">
        <v>0.4</v>
      </c>
      <c r="BV64" s="1631">
        <v>0.4</v>
      </c>
      <c r="BW64" s="1631">
        <v>0.4</v>
      </c>
      <c r="BX64" s="1631">
        <v>0.4</v>
      </c>
      <c r="BY64" s="1649">
        <v>0.4</v>
      </c>
      <c r="BZ64" s="1631">
        <v>0.4</v>
      </c>
      <c r="CA64" s="1631">
        <v>0.4</v>
      </c>
      <c r="CB64" s="1631">
        <v>0.6</v>
      </c>
      <c r="CC64" s="1631">
        <v>0.6</v>
      </c>
      <c r="CD64" s="1631">
        <v>0.6</v>
      </c>
      <c r="CE64" s="1635"/>
      <c r="CG64" s="1625">
        <v>1.1000000000000001</v>
      </c>
      <c r="CH64" s="1628" t="s">
        <v>605</v>
      </c>
      <c r="CI64" s="1622" t="s">
        <v>1780</v>
      </c>
      <c r="CJ64" s="1636">
        <f t="shared" si="19"/>
        <v>0.4</v>
      </c>
      <c r="CK64" s="1636">
        <f t="shared" si="20"/>
        <v>0.4</v>
      </c>
      <c r="CL64" s="1636">
        <f t="shared" si="21"/>
        <v>0.4</v>
      </c>
      <c r="CM64" s="1636">
        <f t="shared" si="22"/>
        <v>0.4</v>
      </c>
      <c r="CN64" s="1636">
        <f t="shared" si="23"/>
        <v>0.4</v>
      </c>
      <c r="CO64" s="1636">
        <f t="shared" si="24"/>
        <v>0.4</v>
      </c>
      <c r="CP64" s="1636">
        <f t="shared" si="25"/>
        <v>0.4</v>
      </c>
      <c r="CQ64" s="1720">
        <f t="shared" si="26"/>
        <v>0.4</v>
      </c>
      <c r="CR64" s="1636">
        <f t="shared" si="27"/>
        <v>0.4</v>
      </c>
      <c r="CS64" s="1636">
        <f t="shared" si="28"/>
        <v>0.4</v>
      </c>
      <c r="CT64" s="1636">
        <f t="shared" si="13"/>
        <v>0.6</v>
      </c>
      <c r="CU64" s="1636">
        <f t="shared" si="14"/>
        <v>0.6</v>
      </c>
      <c r="CV64" s="1636">
        <f t="shared" si="15"/>
        <v>0.6</v>
      </c>
      <c r="CX64" s="1625">
        <v>1.1000000000000001</v>
      </c>
      <c r="CY64" s="1628" t="s">
        <v>605</v>
      </c>
      <c r="CZ64" s="1622" t="s">
        <v>1780</v>
      </c>
      <c r="DA64" s="1638">
        <f t="shared" si="29"/>
        <v>0.4</v>
      </c>
      <c r="DB64" s="1638"/>
      <c r="DC64" s="1638"/>
      <c r="DD64" s="1638"/>
      <c r="DE64" s="1638"/>
      <c r="DF64" s="1638"/>
      <c r="DG64" s="1638"/>
      <c r="DH64" s="1721"/>
      <c r="DI64" s="1638"/>
      <c r="DJ64" s="1638"/>
      <c r="DK64" s="1638"/>
      <c r="DL64" s="1638"/>
      <c r="DM64" s="1638"/>
    </row>
    <row r="65" spans="2:117">
      <c r="B65" s="1584" t="str">
        <f t="shared" si="47"/>
        <v>1.1.1</v>
      </c>
      <c r="C65" s="1622" t="str">
        <f t="shared" si="1"/>
        <v>Provision of Space &amp; Storage</v>
      </c>
      <c r="D65" s="1603">
        <f t="shared" ref="D65:E67" si="65">IF(I$64&gt;0,G65/I$64,0)</f>
        <v>0.33333333333333331</v>
      </c>
      <c r="E65" s="1624">
        <f t="shared" si="65"/>
        <v>0</v>
      </c>
      <c r="G65" s="1624">
        <f t="shared" si="43"/>
        <v>0.33333333333333331</v>
      </c>
      <c r="H65" s="1624">
        <f t="shared" si="44"/>
        <v>0</v>
      </c>
      <c r="I65" s="1624"/>
      <c r="J65" s="1624"/>
      <c r="K65" s="1624">
        <f>IF(Score!W65=0,0,1)</f>
        <v>1</v>
      </c>
      <c r="L65" s="1624">
        <f>IF(Score!X65=0,0,1)</f>
        <v>1</v>
      </c>
      <c r="M65" s="1624">
        <f t="shared" si="45"/>
        <v>0.33333333333333331</v>
      </c>
      <c r="N65" s="1624">
        <f t="shared" si="46"/>
        <v>0</v>
      </c>
      <c r="P65" s="1625" t="str">
        <f t="shared" si="6"/>
        <v>1.1.1</v>
      </c>
      <c r="Q65" s="1625" t="str">
        <f t="shared" si="7"/>
        <v xml:space="preserve"> Q2 1.1</v>
      </c>
      <c r="R65" s="1622" t="str">
        <f t="shared" si="8"/>
        <v>Provision of Space &amp; Storage</v>
      </c>
      <c r="S65" s="1626">
        <f t="shared" si="52"/>
        <v>0.33333333333333331</v>
      </c>
      <c r="T65" s="1626">
        <f t="shared" si="53"/>
        <v>0</v>
      </c>
      <c r="U65" s="1626">
        <f t="shared" si="54"/>
        <v>0</v>
      </c>
      <c r="V65" s="1626">
        <f t="shared" si="55"/>
        <v>0</v>
      </c>
      <c r="W65" s="1626">
        <f t="shared" si="56"/>
        <v>0</v>
      </c>
      <c r="X65" s="1626">
        <f t="shared" si="57"/>
        <v>0</v>
      </c>
      <c r="Y65" s="1626">
        <f t="shared" si="58"/>
        <v>0</v>
      </c>
      <c r="Z65" s="1656">
        <f t="shared" si="59"/>
        <v>0</v>
      </c>
      <c r="AA65" s="1626">
        <f t="shared" si="60"/>
        <v>0.33333333333333331</v>
      </c>
      <c r="AB65" s="1626">
        <f t="shared" si="61"/>
        <v>0</v>
      </c>
      <c r="AC65" s="1627">
        <f t="shared" si="62"/>
        <v>1</v>
      </c>
      <c r="AD65" s="1626">
        <f t="shared" si="63"/>
        <v>0.5</v>
      </c>
      <c r="AE65" s="1626">
        <f t="shared" si="64"/>
        <v>0</v>
      </c>
      <c r="AG65" s="1625" t="s">
        <v>654</v>
      </c>
      <c r="AH65" s="1628" t="s">
        <v>607</v>
      </c>
      <c r="AI65" s="1622" t="s">
        <v>1781</v>
      </c>
      <c r="AJ65" s="1705">
        <v>0.33333333333333331</v>
      </c>
      <c r="AK65" s="1630"/>
      <c r="AL65" s="1630"/>
      <c r="AM65" s="1630"/>
      <c r="AN65" s="1630"/>
      <c r="AO65" s="1630"/>
      <c r="AP65" s="1630"/>
      <c r="AQ65" s="1660"/>
      <c r="AR65" s="1705">
        <v>0.33333333333333331</v>
      </c>
      <c r="AS65" s="1667">
        <v>0.5</v>
      </c>
      <c r="AT65" s="1632">
        <v>1</v>
      </c>
      <c r="AU65" s="1631">
        <v>0.5</v>
      </c>
      <c r="AV65" s="1631"/>
      <c r="AX65" s="1625" t="s">
        <v>654</v>
      </c>
      <c r="AY65" s="1628" t="s">
        <v>607</v>
      </c>
      <c r="AZ65" s="1622" t="s">
        <v>1781</v>
      </c>
      <c r="BA65" s="1631">
        <v>0.33333333333333331</v>
      </c>
      <c r="BB65" s="1631"/>
      <c r="BC65" s="1631"/>
      <c r="BD65" s="1631"/>
      <c r="BE65" s="1631"/>
      <c r="BF65" s="1631"/>
      <c r="BG65" s="1631"/>
      <c r="BH65" s="1649"/>
      <c r="BI65" s="1631">
        <v>0.33333333333333331</v>
      </c>
      <c r="BJ65" s="1631">
        <v>0.5</v>
      </c>
      <c r="BK65" s="1632">
        <v>1</v>
      </c>
      <c r="BL65" s="1631">
        <v>0.5</v>
      </c>
      <c r="BM65" s="1631"/>
      <c r="BO65" s="1625" t="s">
        <v>654</v>
      </c>
      <c r="BP65" s="1628" t="s">
        <v>607</v>
      </c>
      <c r="BQ65" s="1622" t="s">
        <v>1593</v>
      </c>
      <c r="BR65" s="1631">
        <v>0.33333333333333331</v>
      </c>
      <c r="BS65" s="1631"/>
      <c r="BT65" s="1631"/>
      <c r="BU65" s="1631"/>
      <c r="BV65" s="1631"/>
      <c r="BW65" s="1631"/>
      <c r="BX65" s="1631"/>
      <c r="BY65" s="1649"/>
      <c r="BZ65" s="1631">
        <v>0.33333333333333331</v>
      </c>
      <c r="CA65" s="1631"/>
      <c r="CB65" s="1632">
        <v>1</v>
      </c>
      <c r="CC65" s="1631">
        <v>0.5</v>
      </c>
      <c r="CD65" s="1631"/>
      <c r="CE65" s="1635"/>
      <c r="CG65" s="1625" t="s">
        <v>654</v>
      </c>
      <c r="CH65" s="1628" t="s">
        <v>607</v>
      </c>
      <c r="CI65" s="1622" t="s">
        <v>1781</v>
      </c>
      <c r="CJ65" s="1636">
        <f t="shared" si="19"/>
        <v>0.33333333333333331</v>
      </c>
      <c r="CK65" s="1636">
        <f t="shared" si="20"/>
        <v>0</v>
      </c>
      <c r="CL65" s="1636">
        <f t="shared" si="21"/>
        <v>0</v>
      </c>
      <c r="CM65" s="1636">
        <f t="shared" si="22"/>
        <v>0</v>
      </c>
      <c r="CN65" s="1636">
        <f t="shared" si="23"/>
        <v>0</v>
      </c>
      <c r="CO65" s="1636">
        <f t="shared" si="24"/>
        <v>0</v>
      </c>
      <c r="CP65" s="1636">
        <f t="shared" si="25"/>
        <v>0</v>
      </c>
      <c r="CQ65" s="1720">
        <f t="shared" si="26"/>
        <v>0</v>
      </c>
      <c r="CR65" s="1636">
        <f t="shared" si="27"/>
        <v>0.33333333333333331</v>
      </c>
      <c r="CS65" s="1636">
        <f t="shared" si="28"/>
        <v>0</v>
      </c>
      <c r="CT65" s="1640">
        <f t="shared" si="13"/>
        <v>1</v>
      </c>
      <c r="CU65" s="1636">
        <f t="shared" si="14"/>
        <v>0.5</v>
      </c>
      <c r="CV65" s="1636">
        <f t="shared" si="15"/>
        <v>0</v>
      </c>
      <c r="CX65" s="1625" t="s">
        <v>654</v>
      </c>
      <c r="CY65" s="1628" t="s">
        <v>607</v>
      </c>
      <c r="CZ65" s="1622" t="s">
        <v>1781</v>
      </c>
      <c r="DA65" s="1638">
        <f t="shared" si="29"/>
        <v>0.33333333333333331</v>
      </c>
      <c r="DB65" s="1638"/>
      <c r="DC65" s="1638"/>
      <c r="DD65" s="1638"/>
      <c r="DE65" s="1638"/>
      <c r="DF65" s="1638"/>
      <c r="DG65" s="1638"/>
      <c r="DH65" s="1721"/>
      <c r="DI65" s="1638"/>
      <c r="DJ65" s="1638"/>
      <c r="DK65" s="1642"/>
      <c r="DL65" s="1638"/>
      <c r="DM65" s="1638"/>
    </row>
    <row r="66" spans="2:117">
      <c r="B66" s="1584" t="str">
        <f t="shared" si="47"/>
        <v>1.1.2</v>
      </c>
      <c r="C66" s="1622" t="str">
        <f t="shared" si="1"/>
        <v>Use of Advanced Information System</v>
      </c>
      <c r="D66" s="1603">
        <f t="shared" si="65"/>
        <v>0.33333333333333331</v>
      </c>
      <c r="E66" s="1624">
        <f t="shared" si="65"/>
        <v>0</v>
      </c>
      <c r="G66" s="1624">
        <f t="shared" si="43"/>
        <v>0.33333333333333331</v>
      </c>
      <c r="H66" s="1624">
        <f t="shared" si="44"/>
        <v>0</v>
      </c>
      <c r="I66" s="1624"/>
      <c r="J66" s="1624"/>
      <c r="K66" s="1624">
        <f>IF(Score!W66=0,0,1)</f>
        <v>1</v>
      </c>
      <c r="L66" s="1624">
        <f>IF(Score!X66=0,0,1)</f>
        <v>1</v>
      </c>
      <c r="M66" s="1624">
        <f t="shared" si="45"/>
        <v>0.33333333333333331</v>
      </c>
      <c r="N66" s="1624">
        <f t="shared" si="46"/>
        <v>0</v>
      </c>
      <c r="P66" s="1625" t="str">
        <f t="shared" si="6"/>
        <v>1.1.2</v>
      </c>
      <c r="Q66" s="1625" t="str">
        <f t="shared" si="7"/>
        <v xml:space="preserve"> Q2 1.1</v>
      </c>
      <c r="R66" s="1622" t="str">
        <f t="shared" si="8"/>
        <v>Use of Advanced Information System</v>
      </c>
      <c r="S66" s="1626">
        <f t="shared" si="52"/>
        <v>0.33333333333333331</v>
      </c>
      <c r="T66" s="1626">
        <f t="shared" si="53"/>
        <v>0</v>
      </c>
      <c r="U66" s="1626">
        <f t="shared" si="54"/>
        <v>0</v>
      </c>
      <c r="V66" s="1626">
        <f t="shared" si="55"/>
        <v>0</v>
      </c>
      <c r="W66" s="1626">
        <f t="shared" si="56"/>
        <v>0</v>
      </c>
      <c r="X66" s="1626">
        <f t="shared" si="57"/>
        <v>0</v>
      </c>
      <c r="Y66" s="1626">
        <f t="shared" si="58"/>
        <v>0</v>
      </c>
      <c r="Z66" s="1656">
        <f t="shared" si="59"/>
        <v>0</v>
      </c>
      <c r="AA66" s="1626">
        <f t="shared" si="60"/>
        <v>0.33333333333333331</v>
      </c>
      <c r="AB66" s="1626">
        <f t="shared" si="61"/>
        <v>0</v>
      </c>
      <c r="AC66" s="1627">
        <f t="shared" si="62"/>
        <v>0</v>
      </c>
      <c r="AD66" s="1626">
        <f t="shared" si="63"/>
        <v>0.5</v>
      </c>
      <c r="AE66" s="1626">
        <f t="shared" si="64"/>
        <v>1</v>
      </c>
      <c r="AG66" s="1625" t="s">
        <v>655</v>
      </c>
      <c r="AH66" s="1628" t="s">
        <v>607</v>
      </c>
      <c r="AI66" s="1622" t="s">
        <v>1782</v>
      </c>
      <c r="AJ66" s="1705">
        <v>0.33333333333333331</v>
      </c>
      <c r="AK66" s="1630"/>
      <c r="AL66" s="1630"/>
      <c r="AM66" s="1630"/>
      <c r="AN66" s="1630"/>
      <c r="AO66" s="1630"/>
      <c r="AP66" s="1630"/>
      <c r="AQ66" s="1660"/>
      <c r="AR66" s="1705">
        <v>0.33333333333333331</v>
      </c>
      <c r="AS66" s="1667"/>
      <c r="AT66" s="1632"/>
      <c r="AU66" s="1631">
        <v>0.5</v>
      </c>
      <c r="AV66" s="1631">
        <v>1</v>
      </c>
      <c r="AX66" s="1625" t="s">
        <v>655</v>
      </c>
      <c r="AY66" s="1628" t="s">
        <v>607</v>
      </c>
      <c r="AZ66" s="1622" t="s">
        <v>1782</v>
      </c>
      <c r="BA66" s="1631">
        <v>0.33333333333333331</v>
      </c>
      <c r="BB66" s="1631"/>
      <c r="BC66" s="1631"/>
      <c r="BD66" s="1631"/>
      <c r="BE66" s="1631"/>
      <c r="BF66" s="1631"/>
      <c r="BG66" s="1631"/>
      <c r="BH66" s="1649"/>
      <c r="BI66" s="1631">
        <v>0.33333333333333331</v>
      </c>
      <c r="BJ66" s="1631"/>
      <c r="BK66" s="1632"/>
      <c r="BL66" s="1631">
        <v>0.5</v>
      </c>
      <c r="BM66" s="1631">
        <v>1</v>
      </c>
      <c r="BO66" s="1625" t="s">
        <v>655</v>
      </c>
      <c r="BP66" s="1628" t="s">
        <v>607</v>
      </c>
      <c r="BQ66" s="1622" t="s">
        <v>1594</v>
      </c>
      <c r="BR66" s="1631">
        <v>0.33333333333333331</v>
      </c>
      <c r="BS66" s="1631"/>
      <c r="BT66" s="1631"/>
      <c r="BU66" s="1631"/>
      <c r="BV66" s="1631"/>
      <c r="BW66" s="1631"/>
      <c r="BX66" s="1631"/>
      <c r="BY66" s="1649"/>
      <c r="BZ66" s="1631">
        <v>0.33333333333333331</v>
      </c>
      <c r="CA66" s="1631"/>
      <c r="CB66" s="1632"/>
      <c r="CC66" s="1631">
        <v>0.5</v>
      </c>
      <c r="CD66" s="1631">
        <v>1</v>
      </c>
      <c r="CE66" s="1635"/>
      <c r="CG66" s="1625" t="s">
        <v>655</v>
      </c>
      <c r="CH66" s="1628" t="s">
        <v>607</v>
      </c>
      <c r="CI66" s="1622" t="s">
        <v>1782</v>
      </c>
      <c r="CJ66" s="1636">
        <f t="shared" si="19"/>
        <v>0.33333333333333331</v>
      </c>
      <c r="CK66" s="1636">
        <f t="shared" si="20"/>
        <v>0</v>
      </c>
      <c r="CL66" s="1636">
        <f t="shared" si="21"/>
        <v>0</v>
      </c>
      <c r="CM66" s="1636">
        <f t="shared" si="22"/>
        <v>0</v>
      </c>
      <c r="CN66" s="1636">
        <f t="shared" si="23"/>
        <v>0</v>
      </c>
      <c r="CO66" s="1636">
        <f t="shared" si="24"/>
        <v>0</v>
      </c>
      <c r="CP66" s="1636">
        <f t="shared" si="25"/>
        <v>0</v>
      </c>
      <c r="CQ66" s="1720">
        <f t="shared" si="26"/>
        <v>0</v>
      </c>
      <c r="CR66" s="1636">
        <f t="shared" si="27"/>
        <v>0.33333333333333331</v>
      </c>
      <c r="CS66" s="1636">
        <f t="shared" si="28"/>
        <v>0</v>
      </c>
      <c r="CT66" s="1640">
        <f t="shared" si="13"/>
        <v>0</v>
      </c>
      <c r="CU66" s="1636">
        <f t="shared" si="14"/>
        <v>0.5</v>
      </c>
      <c r="CV66" s="1636">
        <f t="shared" si="15"/>
        <v>1</v>
      </c>
      <c r="CX66" s="1625" t="s">
        <v>655</v>
      </c>
      <c r="CY66" s="1628" t="s">
        <v>607</v>
      </c>
      <c r="CZ66" s="1622" t="s">
        <v>1782</v>
      </c>
      <c r="DA66" s="1638">
        <f t="shared" si="29"/>
        <v>0.33333333333333331</v>
      </c>
      <c r="DB66" s="1638"/>
      <c r="DC66" s="1638"/>
      <c r="DD66" s="1638"/>
      <c r="DE66" s="1638"/>
      <c r="DF66" s="1638"/>
      <c r="DG66" s="1638"/>
      <c r="DH66" s="1721"/>
      <c r="DI66" s="1638"/>
      <c r="DJ66" s="1638"/>
      <c r="DK66" s="1642"/>
      <c r="DL66" s="1638"/>
      <c r="DM66" s="1638"/>
    </row>
    <row r="67" spans="2:117">
      <c r="B67" s="1584" t="str">
        <f t="shared" si="47"/>
        <v>1.1.3</v>
      </c>
      <c r="C67" s="1622" t="str">
        <f t="shared" si="1"/>
        <v>Barrier-free Planning</v>
      </c>
      <c r="D67" s="1603">
        <f t="shared" si="65"/>
        <v>0.33333333333333331</v>
      </c>
      <c r="E67" s="1624">
        <f t="shared" si="65"/>
        <v>0</v>
      </c>
      <c r="G67" s="1624">
        <f t="shared" si="43"/>
        <v>0.33333333333333331</v>
      </c>
      <c r="H67" s="1624">
        <f t="shared" si="44"/>
        <v>0</v>
      </c>
      <c r="I67" s="1624"/>
      <c r="J67" s="1624"/>
      <c r="K67" s="1624">
        <f>IF(Score!W67=0,0,1)</f>
        <v>1</v>
      </c>
      <c r="L67" s="1624">
        <f>IF(Score!X67=0,0,1)</f>
        <v>0</v>
      </c>
      <c r="M67" s="1624">
        <f t="shared" si="45"/>
        <v>0.33333333333333331</v>
      </c>
      <c r="N67" s="1624">
        <f t="shared" si="46"/>
        <v>0</v>
      </c>
      <c r="P67" s="1625" t="str">
        <f t="shared" si="6"/>
        <v>1.1.3</v>
      </c>
      <c r="Q67" s="1625" t="str">
        <f t="shared" si="7"/>
        <v xml:space="preserve"> Q2 1.1</v>
      </c>
      <c r="R67" s="1622" t="str">
        <f t="shared" si="8"/>
        <v>Barrier-free Planning</v>
      </c>
      <c r="S67" s="1626">
        <f t="shared" si="52"/>
        <v>0.33333333333333331</v>
      </c>
      <c r="T67" s="1626">
        <f t="shared" si="53"/>
        <v>1</v>
      </c>
      <c r="U67" s="1626">
        <f t="shared" si="54"/>
        <v>1</v>
      </c>
      <c r="V67" s="1626">
        <f t="shared" si="55"/>
        <v>1</v>
      </c>
      <c r="W67" s="1626">
        <f t="shared" si="56"/>
        <v>1</v>
      </c>
      <c r="X67" s="1626">
        <f t="shared" si="57"/>
        <v>1</v>
      </c>
      <c r="Y67" s="1626">
        <f t="shared" si="58"/>
        <v>1</v>
      </c>
      <c r="Z67" s="1656">
        <f t="shared" si="59"/>
        <v>1</v>
      </c>
      <c r="AA67" s="1626">
        <f t="shared" si="60"/>
        <v>0.33333333333333331</v>
      </c>
      <c r="AB67" s="1626">
        <f t="shared" si="61"/>
        <v>1</v>
      </c>
      <c r="AC67" s="1627">
        <f t="shared" si="62"/>
        <v>0</v>
      </c>
      <c r="AD67" s="1626">
        <f t="shared" si="63"/>
        <v>0</v>
      </c>
      <c r="AE67" s="1626">
        <f t="shared" si="64"/>
        <v>0</v>
      </c>
      <c r="AG67" s="1625" t="s">
        <v>657</v>
      </c>
      <c r="AH67" s="1628" t="s">
        <v>607</v>
      </c>
      <c r="AI67" s="1622" t="s">
        <v>1783</v>
      </c>
      <c r="AJ67" s="1705">
        <v>0.33333333333333331</v>
      </c>
      <c r="AK67" s="1630">
        <v>1</v>
      </c>
      <c r="AL67" s="1630">
        <v>1</v>
      </c>
      <c r="AM67" s="1630">
        <v>1</v>
      </c>
      <c r="AN67" s="1630">
        <v>1</v>
      </c>
      <c r="AO67" s="1630">
        <v>1</v>
      </c>
      <c r="AP67" s="1630">
        <v>1</v>
      </c>
      <c r="AQ67" s="1660">
        <v>1</v>
      </c>
      <c r="AR67" s="1705">
        <v>0.33333333333333331</v>
      </c>
      <c r="AS67" s="1667">
        <v>0.5</v>
      </c>
      <c r="AT67" s="1632"/>
      <c r="AU67" s="1631"/>
      <c r="AV67" s="1631"/>
      <c r="AX67" s="1625" t="s">
        <v>657</v>
      </c>
      <c r="AY67" s="1628" t="s">
        <v>607</v>
      </c>
      <c r="AZ67" s="1622" t="s">
        <v>1783</v>
      </c>
      <c r="BA67" s="1631">
        <v>0.33333333333333331</v>
      </c>
      <c r="BB67" s="1631">
        <v>1</v>
      </c>
      <c r="BC67" s="1631">
        <v>1</v>
      </c>
      <c r="BD67" s="1631">
        <v>1</v>
      </c>
      <c r="BE67" s="1631">
        <v>1</v>
      </c>
      <c r="BF67" s="1631">
        <v>1</v>
      </c>
      <c r="BG67" s="1631">
        <v>1</v>
      </c>
      <c r="BH67" s="1649">
        <v>1</v>
      </c>
      <c r="BI67" s="1631">
        <v>0.33333333333333331</v>
      </c>
      <c r="BJ67" s="1631">
        <v>0.5</v>
      </c>
      <c r="BK67" s="1632"/>
      <c r="BL67" s="1631"/>
      <c r="BM67" s="1631"/>
      <c r="BO67" s="1625" t="s">
        <v>657</v>
      </c>
      <c r="BP67" s="1628" t="s">
        <v>607</v>
      </c>
      <c r="BQ67" s="1622" t="s">
        <v>1595</v>
      </c>
      <c r="BR67" s="1631">
        <v>0.33333333333333331</v>
      </c>
      <c r="BS67" s="1631">
        <v>1</v>
      </c>
      <c r="BT67" s="1631">
        <v>1</v>
      </c>
      <c r="BU67" s="1631">
        <v>1</v>
      </c>
      <c r="BV67" s="1631">
        <v>1</v>
      </c>
      <c r="BW67" s="1631">
        <v>1</v>
      </c>
      <c r="BX67" s="1631">
        <v>1</v>
      </c>
      <c r="BY67" s="1649">
        <v>1</v>
      </c>
      <c r="BZ67" s="1631">
        <v>0.33333333333333331</v>
      </c>
      <c r="CA67" s="1631">
        <v>1</v>
      </c>
      <c r="CB67" s="1632"/>
      <c r="CC67" s="1631"/>
      <c r="CD67" s="1631"/>
      <c r="CE67" s="1635"/>
      <c r="CG67" s="1625" t="s">
        <v>657</v>
      </c>
      <c r="CH67" s="1628" t="s">
        <v>607</v>
      </c>
      <c r="CI67" s="1622" t="s">
        <v>1783</v>
      </c>
      <c r="CJ67" s="1636">
        <f t="shared" si="19"/>
        <v>0.33333333333333331</v>
      </c>
      <c r="CK67" s="1636">
        <f t="shared" si="20"/>
        <v>1</v>
      </c>
      <c r="CL67" s="1636">
        <f t="shared" si="21"/>
        <v>1</v>
      </c>
      <c r="CM67" s="1636">
        <f t="shared" si="22"/>
        <v>1</v>
      </c>
      <c r="CN67" s="1636">
        <f t="shared" si="23"/>
        <v>1</v>
      </c>
      <c r="CO67" s="1636">
        <f t="shared" si="24"/>
        <v>1</v>
      </c>
      <c r="CP67" s="1636">
        <f t="shared" si="25"/>
        <v>1</v>
      </c>
      <c r="CQ67" s="1720">
        <f t="shared" si="26"/>
        <v>1</v>
      </c>
      <c r="CR67" s="1636">
        <f t="shared" si="27"/>
        <v>0.33333333333333331</v>
      </c>
      <c r="CS67" s="1636">
        <f t="shared" si="28"/>
        <v>1</v>
      </c>
      <c r="CT67" s="1640">
        <f t="shared" si="13"/>
        <v>0</v>
      </c>
      <c r="CU67" s="1636">
        <f t="shared" si="14"/>
        <v>0</v>
      </c>
      <c r="CV67" s="1636">
        <f t="shared" si="15"/>
        <v>0</v>
      </c>
      <c r="CX67" s="1625" t="s">
        <v>657</v>
      </c>
      <c r="CY67" s="1628" t="s">
        <v>607</v>
      </c>
      <c r="CZ67" s="1622" t="s">
        <v>1783</v>
      </c>
      <c r="DA67" s="1638">
        <f t="shared" si="29"/>
        <v>0.33333333333333331</v>
      </c>
      <c r="DB67" s="1638"/>
      <c r="DC67" s="1638"/>
      <c r="DD67" s="1638"/>
      <c r="DE67" s="1638"/>
      <c r="DF67" s="1638"/>
      <c r="DG67" s="1638"/>
      <c r="DH67" s="1721"/>
      <c r="DI67" s="1638"/>
      <c r="DJ67" s="1638"/>
      <c r="DK67" s="1642"/>
      <c r="DL67" s="1638"/>
      <c r="DM67" s="1638"/>
    </row>
    <row r="68" spans="2:117">
      <c r="B68" s="1584">
        <f t="shared" si="47"/>
        <v>1.2</v>
      </c>
      <c r="C68" s="1622" t="str">
        <f t="shared" si="1"/>
        <v>Amenity</v>
      </c>
      <c r="D68" s="1623">
        <f>IF(I$63=0,0,G68/I$63)</f>
        <v>0.3</v>
      </c>
      <c r="E68" s="1624">
        <f>IF(J$63=0,0,H68/J$63)</f>
        <v>0</v>
      </c>
      <c r="G68" s="1624">
        <f t="shared" si="43"/>
        <v>0.3</v>
      </c>
      <c r="H68" s="1624">
        <f t="shared" si="44"/>
        <v>0</v>
      </c>
      <c r="I68" s="1624">
        <f>SUM(G69:G73)</f>
        <v>1</v>
      </c>
      <c r="J68" s="1624">
        <f>SUM(H69:H73)</f>
        <v>0</v>
      </c>
      <c r="K68" s="1624">
        <f>IF(Score!Z68=0,0,1)</f>
        <v>1</v>
      </c>
      <c r="L68" s="1624">
        <f>IF(Score!AB68=0,0,1)</f>
        <v>0</v>
      </c>
      <c r="M68" s="1624">
        <f t="shared" si="45"/>
        <v>0.3</v>
      </c>
      <c r="N68" s="1624">
        <f t="shared" si="46"/>
        <v>0</v>
      </c>
      <c r="P68" s="1625">
        <f t="shared" si="6"/>
        <v>1.2</v>
      </c>
      <c r="Q68" s="1625" t="str">
        <f t="shared" si="7"/>
        <v xml:space="preserve"> Q2 1</v>
      </c>
      <c r="R68" s="1622" t="str">
        <f t="shared" si="8"/>
        <v>Amenity</v>
      </c>
      <c r="S68" s="1626">
        <f t="shared" si="52"/>
        <v>0.3</v>
      </c>
      <c r="T68" s="1626">
        <f t="shared" si="53"/>
        <v>0.3</v>
      </c>
      <c r="U68" s="1626">
        <f t="shared" si="54"/>
        <v>0.3</v>
      </c>
      <c r="V68" s="1626">
        <f t="shared" si="55"/>
        <v>0.3</v>
      </c>
      <c r="W68" s="1626">
        <f t="shared" si="56"/>
        <v>0.3</v>
      </c>
      <c r="X68" s="1626">
        <f t="shared" si="57"/>
        <v>0.3</v>
      </c>
      <c r="Y68" s="1626">
        <f t="shared" si="58"/>
        <v>0.3</v>
      </c>
      <c r="Z68" s="1656">
        <f t="shared" si="59"/>
        <v>0.3</v>
      </c>
      <c r="AA68" s="1626">
        <f t="shared" si="60"/>
        <v>0.3</v>
      </c>
      <c r="AB68" s="1626">
        <f t="shared" si="61"/>
        <v>0.3</v>
      </c>
      <c r="AC68" s="1627">
        <f t="shared" si="62"/>
        <v>0.4</v>
      </c>
      <c r="AD68" s="1626">
        <f t="shared" si="63"/>
        <v>0.4</v>
      </c>
      <c r="AE68" s="1626">
        <f t="shared" si="64"/>
        <v>0.4</v>
      </c>
      <c r="AG68" s="1625">
        <v>1.2</v>
      </c>
      <c r="AH68" s="1628" t="s">
        <v>605</v>
      </c>
      <c r="AI68" s="1622" t="s">
        <v>1784</v>
      </c>
      <c r="AJ68" s="1630">
        <v>0.3</v>
      </c>
      <c r="AK68" s="1630">
        <v>0.3</v>
      </c>
      <c r="AL68" s="1630">
        <v>0.3</v>
      </c>
      <c r="AM68" s="1629">
        <v>0.3</v>
      </c>
      <c r="AN68" s="1629">
        <v>0.3</v>
      </c>
      <c r="AO68" s="1630">
        <v>0.3</v>
      </c>
      <c r="AP68" s="1629">
        <v>0.3</v>
      </c>
      <c r="AQ68" s="1630">
        <v>0.3</v>
      </c>
      <c r="AR68" s="1629">
        <v>0.3</v>
      </c>
      <c r="AS68" s="1631">
        <v>0.3</v>
      </c>
      <c r="AT68" s="1631">
        <v>0.4</v>
      </c>
      <c r="AU68" s="1631">
        <v>0.4</v>
      </c>
      <c r="AV68" s="1631">
        <v>0.4</v>
      </c>
      <c r="AX68" s="1625">
        <v>1.2</v>
      </c>
      <c r="AY68" s="1628" t="s">
        <v>605</v>
      </c>
      <c r="AZ68" s="1622" t="s">
        <v>1784</v>
      </c>
      <c r="BA68" s="1631">
        <v>0.3</v>
      </c>
      <c r="BB68" s="1631">
        <v>0.3</v>
      </c>
      <c r="BC68" s="1631">
        <v>0.3</v>
      </c>
      <c r="BD68" s="1631">
        <v>0.3</v>
      </c>
      <c r="BE68" s="1631">
        <v>0.3</v>
      </c>
      <c r="BF68" s="1631">
        <v>0.3</v>
      </c>
      <c r="BG68" s="1631">
        <v>0.3</v>
      </c>
      <c r="BH68" s="1649">
        <v>0.3</v>
      </c>
      <c r="BI68" s="1631">
        <v>0.3</v>
      </c>
      <c r="BJ68" s="1631">
        <v>0.3</v>
      </c>
      <c r="BK68" s="1631">
        <v>0.4</v>
      </c>
      <c r="BL68" s="1631">
        <v>0.4</v>
      </c>
      <c r="BM68" s="1631">
        <v>0.4</v>
      </c>
      <c r="BO68" s="1625">
        <v>1.2</v>
      </c>
      <c r="BP68" s="1628" t="s">
        <v>605</v>
      </c>
      <c r="BQ68" s="1622" t="s">
        <v>1596</v>
      </c>
      <c r="BR68" s="1631">
        <v>0.3</v>
      </c>
      <c r="BS68" s="1631">
        <v>0.3</v>
      </c>
      <c r="BT68" s="1631">
        <v>0.3</v>
      </c>
      <c r="BU68" s="1631">
        <v>0.3</v>
      </c>
      <c r="BV68" s="1631">
        <v>0.3</v>
      </c>
      <c r="BW68" s="1631">
        <v>0.3</v>
      </c>
      <c r="BX68" s="1631">
        <v>0.3</v>
      </c>
      <c r="BY68" s="1649">
        <v>0.3</v>
      </c>
      <c r="BZ68" s="1631">
        <v>0.3</v>
      </c>
      <c r="CA68" s="1631">
        <v>0.3</v>
      </c>
      <c r="CB68" s="1631">
        <v>0.4</v>
      </c>
      <c r="CC68" s="1631">
        <v>0.4</v>
      </c>
      <c r="CD68" s="1631">
        <v>0.4</v>
      </c>
      <c r="CE68" s="1635"/>
      <c r="CG68" s="1625">
        <v>1.2</v>
      </c>
      <c r="CH68" s="1628" t="s">
        <v>605</v>
      </c>
      <c r="CI68" s="1622" t="s">
        <v>1784</v>
      </c>
      <c r="CJ68" s="1636">
        <f t="shared" si="19"/>
        <v>0.3</v>
      </c>
      <c r="CK68" s="1636">
        <f t="shared" si="20"/>
        <v>0.3</v>
      </c>
      <c r="CL68" s="1636">
        <f t="shared" si="21"/>
        <v>0.3</v>
      </c>
      <c r="CM68" s="1636">
        <f t="shared" si="22"/>
        <v>0.3</v>
      </c>
      <c r="CN68" s="1636">
        <f t="shared" si="23"/>
        <v>0.3</v>
      </c>
      <c r="CO68" s="1636">
        <f t="shared" si="24"/>
        <v>0.3</v>
      </c>
      <c r="CP68" s="1636">
        <f t="shared" si="25"/>
        <v>0.3</v>
      </c>
      <c r="CQ68" s="1720">
        <f t="shared" si="26"/>
        <v>0.3</v>
      </c>
      <c r="CR68" s="1636">
        <f t="shared" si="27"/>
        <v>0.3</v>
      </c>
      <c r="CS68" s="1636">
        <f t="shared" si="28"/>
        <v>0.3</v>
      </c>
      <c r="CT68" s="1636">
        <f t="shared" si="13"/>
        <v>0.4</v>
      </c>
      <c r="CU68" s="1636">
        <f t="shared" si="14"/>
        <v>0.4</v>
      </c>
      <c r="CV68" s="1636">
        <f t="shared" si="15"/>
        <v>0.4</v>
      </c>
      <c r="CX68" s="1625">
        <v>1.2</v>
      </c>
      <c r="CY68" s="1628" t="s">
        <v>605</v>
      </c>
      <c r="CZ68" s="1622" t="s">
        <v>1784</v>
      </c>
      <c r="DA68" s="1722">
        <v>0.45</v>
      </c>
      <c r="DB68" s="1638"/>
      <c r="DC68" s="1638"/>
      <c r="DD68" s="1638"/>
      <c r="DE68" s="1638"/>
      <c r="DF68" s="1638"/>
      <c r="DG68" s="1638"/>
      <c r="DH68" s="1721"/>
      <c r="DI68" s="1638"/>
      <c r="DJ68" s="1638"/>
      <c r="DK68" s="1638"/>
      <c r="DL68" s="1638"/>
      <c r="DM68" s="1638"/>
    </row>
    <row r="69" spans="2:117">
      <c r="B69" s="1584" t="str">
        <f t="shared" si="47"/>
        <v>1.2.1</v>
      </c>
      <c r="C69" s="1622" t="str">
        <f t="shared" si="1"/>
        <v>Perceived Spaciousness &amp; Access to View</v>
      </c>
      <c r="D69" s="1603">
        <f>IF(I$68&gt;0,G69/I$68,0)</f>
        <v>0.33333333333333331</v>
      </c>
      <c r="E69" s="1603">
        <f>IF(J$68&gt;0,H69/J$68,0)</f>
        <v>0</v>
      </c>
      <c r="G69" s="1624">
        <f t="shared" si="43"/>
        <v>0.33333333333333331</v>
      </c>
      <c r="H69" s="1624">
        <f t="shared" si="44"/>
        <v>0</v>
      </c>
      <c r="I69" s="1624"/>
      <c r="J69" s="1624"/>
      <c r="K69" s="1624">
        <f>IF(Score!W69=0,0,1)</f>
        <v>1</v>
      </c>
      <c r="L69" s="1624">
        <f>IF(Score!X69=0,0,1)</f>
        <v>1</v>
      </c>
      <c r="M69" s="1624">
        <f t="shared" si="45"/>
        <v>0.33333333333333331</v>
      </c>
      <c r="N69" s="1624">
        <f t="shared" si="46"/>
        <v>0</v>
      </c>
      <c r="P69" s="1625" t="str">
        <f t="shared" si="6"/>
        <v>1.2.1</v>
      </c>
      <c r="Q69" s="1625" t="str">
        <f t="shared" si="7"/>
        <v xml:space="preserve"> Q2 1.2</v>
      </c>
      <c r="R69" s="1622" t="str">
        <f t="shared" si="8"/>
        <v>Perceived Spaciousness &amp; Access to View</v>
      </c>
      <c r="S69" s="1626">
        <f t="shared" si="52"/>
        <v>0.33333333333333331</v>
      </c>
      <c r="T69" s="1626">
        <f t="shared" si="53"/>
        <v>0.5</v>
      </c>
      <c r="U69" s="1626">
        <f t="shared" si="54"/>
        <v>0.33333333333333331</v>
      </c>
      <c r="V69" s="1626">
        <f t="shared" si="55"/>
        <v>0.5</v>
      </c>
      <c r="W69" s="1626">
        <f t="shared" si="56"/>
        <v>0</v>
      </c>
      <c r="X69" s="1626">
        <f t="shared" si="57"/>
        <v>0</v>
      </c>
      <c r="Y69" s="1626">
        <f t="shared" si="58"/>
        <v>0</v>
      </c>
      <c r="Z69" s="1656">
        <f t="shared" si="59"/>
        <v>0</v>
      </c>
      <c r="AA69" s="1626">
        <f t="shared" si="60"/>
        <v>0.33333333333333331</v>
      </c>
      <c r="AB69" s="1626">
        <f t="shared" si="61"/>
        <v>0.5</v>
      </c>
      <c r="AC69" s="1627">
        <f t="shared" si="62"/>
        <v>0.5</v>
      </c>
      <c r="AD69" s="1627">
        <f t="shared" si="63"/>
        <v>0.5</v>
      </c>
      <c r="AE69" s="1627">
        <f t="shared" si="64"/>
        <v>0.5</v>
      </c>
      <c r="AG69" s="1625" t="s">
        <v>658</v>
      </c>
      <c r="AH69" s="1628" t="s">
        <v>610</v>
      </c>
      <c r="AI69" s="1622" t="s">
        <v>1785</v>
      </c>
      <c r="AJ69" s="1705">
        <v>0.33333333333333331</v>
      </c>
      <c r="AK69" s="1630"/>
      <c r="AL69" s="1630"/>
      <c r="AM69" s="1630"/>
      <c r="AN69" s="1630"/>
      <c r="AO69" s="1630"/>
      <c r="AP69" s="1630"/>
      <c r="AQ69" s="1660"/>
      <c r="AR69" s="1630"/>
      <c r="AS69" s="1631"/>
      <c r="AT69" s="1632"/>
      <c r="AU69" s="1632"/>
      <c r="AV69" s="1632"/>
      <c r="AX69" s="1625" t="s">
        <v>658</v>
      </c>
      <c r="AY69" s="1628" t="s">
        <v>610</v>
      </c>
      <c r="AZ69" s="1622" t="s">
        <v>1785</v>
      </c>
      <c r="BA69" s="1631">
        <v>0.33333333333333331</v>
      </c>
      <c r="BB69" s="1631">
        <v>0.5</v>
      </c>
      <c r="BC69" s="1631">
        <v>0.33333333333333331</v>
      </c>
      <c r="BD69" s="1631">
        <v>0.5</v>
      </c>
      <c r="BE69" s="1631"/>
      <c r="BF69" s="1631"/>
      <c r="BG69" s="1631"/>
      <c r="BH69" s="1649"/>
      <c r="BI69" s="1631">
        <v>0.33333333333333331</v>
      </c>
      <c r="BJ69" s="1631">
        <v>0.5</v>
      </c>
      <c r="BK69" s="1632">
        <v>0.5</v>
      </c>
      <c r="BL69" s="1632">
        <v>0.5</v>
      </c>
      <c r="BM69" s="1632">
        <v>0.5</v>
      </c>
      <c r="BO69" s="1625" t="s">
        <v>658</v>
      </c>
      <c r="BP69" s="1628" t="s">
        <v>610</v>
      </c>
      <c r="BQ69" s="1622" t="s">
        <v>1597</v>
      </c>
      <c r="BR69" s="1631">
        <v>0.33333333333333331</v>
      </c>
      <c r="BS69" s="1631">
        <v>0.5</v>
      </c>
      <c r="BT69" s="1631">
        <v>0.33333333333333331</v>
      </c>
      <c r="BU69" s="1631">
        <v>0.5</v>
      </c>
      <c r="BV69" s="1631"/>
      <c r="BW69" s="1631"/>
      <c r="BX69" s="1631"/>
      <c r="BY69" s="1649"/>
      <c r="BZ69" s="1631">
        <v>0.33333333333333331</v>
      </c>
      <c r="CA69" s="1631">
        <v>0.5</v>
      </c>
      <c r="CB69" s="1632">
        <v>0.5</v>
      </c>
      <c r="CC69" s="1632">
        <v>0.5</v>
      </c>
      <c r="CD69" s="1632">
        <v>0.5</v>
      </c>
      <c r="CE69" s="1635"/>
      <c r="CG69" s="1625" t="s">
        <v>54</v>
      </c>
      <c r="CH69" s="1628" t="s">
        <v>610</v>
      </c>
      <c r="CI69" s="1622" t="s">
        <v>1785</v>
      </c>
      <c r="CJ69" s="1636">
        <f t="shared" si="19"/>
        <v>0.33333333333333331</v>
      </c>
      <c r="CK69" s="1636">
        <f t="shared" si="20"/>
        <v>0.5</v>
      </c>
      <c r="CL69" s="1636">
        <f t="shared" si="21"/>
        <v>0.33333333333333331</v>
      </c>
      <c r="CM69" s="1636">
        <f t="shared" si="22"/>
        <v>0.5</v>
      </c>
      <c r="CN69" s="1636">
        <f t="shared" si="23"/>
        <v>0</v>
      </c>
      <c r="CO69" s="1636">
        <f t="shared" si="24"/>
        <v>0</v>
      </c>
      <c r="CP69" s="1636">
        <f t="shared" si="25"/>
        <v>0</v>
      </c>
      <c r="CQ69" s="1720">
        <f t="shared" si="26"/>
        <v>0</v>
      </c>
      <c r="CR69" s="1636">
        <f t="shared" si="27"/>
        <v>0.33333333333333331</v>
      </c>
      <c r="CS69" s="1636">
        <f t="shared" si="28"/>
        <v>0.5</v>
      </c>
      <c r="CT69" s="1640">
        <f t="shared" si="13"/>
        <v>0.5</v>
      </c>
      <c r="CU69" s="1640">
        <f t="shared" si="14"/>
        <v>0.5</v>
      </c>
      <c r="CV69" s="1640">
        <f t="shared" si="15"/>
        <v>0.5</v>
      </c>
      <c r="CX69" s="1625" t="s">
        <v>54</v>
      </c>
      <c r="CY69" s="1628" t="s">
        <v>610</v>
      </c>
      <c r="CZ69" s="1723" t="s">
        <v>1786</v>
      </c>
      <c r="DA69" s="1722">
        <v>0.15</v>
      </c>
      <c r="DB69" s="1638"/>
      <c r="DC69" s="1638"/>
      <c r="DD69" s="1638"/>
      <c r="DE69" s="1638"/>
      <c r="DF69" s="1638"/>
      <c r="DG69" s="1638"/>
      <c r="DH69" s="1721"/>
      <c r="DI69" s="1638"/>
      <c r="DJ69" s="1638"/>
      <c r="DK69" s="1642"/>
      <c r="DL69" s="1642"/>
      <c r="DM69" s="1642"/>
    </row>
    <row r="70" spans="2:117" hidden="1">
      <c r="B70" s="1584"/>
      <c r="C70" s="1622">
        <f t="shared" si="1"/>
        <v>0</v>
      </c>
      <c r="D70" s="1603">
        <f>IF(I$68&gt;0,G70/I$68,0)</f>
        <v>0</v>
      </c>
      <c r="E70" s="1603">
        <f>IF(J$68&gt;0,H70/J$68,0)</f>
        <v>0</v>
      </c>
      <c r="G70" s="1624">
        <f>K70*M70</f>
        <v>0</v>
      </c>
      <c r="H70" s="1624">
        <f t="shared" si="44"/>
        <v>0</v>
      </c>
      <c r="I70" s="1624"/>
      <c r="J70" s="1624"/>
      <c r="K70" s="1624">
        <f>IF(Score!W70=0,0,1)</f>
        <v>1</v>
      </c>
      <c r="L70" s="1624">
        <f>IF(Score!X70=0,0,1)</f>
        <v>0</v>
      </c>
      <c r="M70" s="1624">
        <f>SUMPRODUCT($S$7:$AB$7,S70:AB70)</f>
        <v>0</v>
      </c>
      <c r="N70" s="1624">
        <f>(AC$7*AC70)+(AD$7*AD70)+(AE$7*AE70)</f>
        <v>0</v>
      </c>
      <c r="P70" s="1625">
        <f t="shared" si="6"/>
        <v>0</v>
      </c>
      <c r="Q70" s="1625">
        <f t="shared" si="7"/>
        <v>0</v>
      </c>
      <c r="R70" s="1622">
        <f t="shared" si="8"/>
        <v>0</v>
      </c>
      <c r="S70" s="1626">
        <f t="shared" si="52"/>
        <v>0</v>
      </c>
      <c r="T70" s="1626">
        <f t="shared" si="53"/>
        <v>0</v>
      </c>
      <c r="U70" s="1626">
        <f t="shared" si="54"/>
        <v>0</v>
      </c>
      <c r="V70" s="1626">
        <f t="shared" si="55"/>
        <v>0</v>
      </c>
      <c r="W70" s="1626">
        <f t="shared" si="56"/>
        <v>0</v>
      </c>
      <c r="X70" s="1626">
        <f t="shared" si="57"/>
        <v>0</v>
      </c>
      <c r="Y70" s="1626">
        <f t="shared" si="58"/>
        <v>0</v>
      </c>
      <c r="Z70" s="1656">
        <f t="shared" si="59"/>
        <v>0</v>
      </c>
      <c r="AA70" s="1626">
        <f t="shared" si="60"/>
        <v>0</v>
      </c>
      <c r="AB70" s="1626">
        <f t="shared" si="61"/>
        <v>0</v>
      </c>
      <c r="AC70" s="1627">
        <f t="shared" si="62"/>
        <v>0</v>
      </c>
      <c r="AD70" s="1627">
        <f t="shared" si="63"/>
        <v>0</v>
      </c>
      <c r="AE70" s="1627">
        <f t="shared" si="64"/>
        <v>0</v>
      </c>
      <c r="AG70" s="1625"/>
      <c r="AH70" s="1628"/>
      <c r="AI70" s="1622"/>
      <c r="AJ70" s="1705"/>
      <c r="AK70" s="1630"/>
      <c r="AL70" s="1630"/>
      <c r="AM70" s="1630"/>
      <c r="AN70" s="1630"/>
      <c r="AO70" s="1630"/>
      <c r="AP70" s="1630"/>
      <c r="AQ70" s="1660"/>
      <c r="AR70" s="1630"/>
      <c r="AS70" s="1631"/>
      <c r="AT70" s="1632"/>
      <c r="AU70" s="1632"/>
      <c r="AV70" s="1632"/>
      <c r="AX70" s="1625"/>
      <c r="AY70" s="1628"/>
      <c r="AZ70" s="1622"/>
      <c r="BA70" s="1631"/>
      <c r="BB70" s="1631"/>
      <c r="BC70" s="1631"/>
      <c r="BD70" s="1631"/>
      <c r="BE70" s="1631"/>
      <c r="BF70" s="1631"/>
      <c r="BG70" s="1631"/>
      <c r="BH70" s="1649"/>
      <c r="BI70" s="1631"/>
      <c r="BJ70" s="1631"/>
      <c r="BK70" s="1632"/>
      <c r="BL70" s="1632"/>
      <c r="BM70" s="1632"/>
      <c r="BO70" s="1625"/>
      <c r="BP70" s="1628"/>
      <c r="BQ70" s="1622"/>
      <c r="BR70" s="1631"/>
      <c r="BS70" s="1631"/>
      <c r="BT70" s="1631"/>
      <c r="BU70" s="1631"/>
      <c r="BV70" s="1631"/>
      <c r="BW70" s="1631"/>
      <c r="BX70" s="1631"/>
      <c r="BY70" s="1649"/>
      <c r="BZ70" s="1631"/>
      <c r="CA70" s="1631"/>
      <c r="CB70" s="1632"/>
      <c r="CC70" s="1632"/>
      <c r="CD70" s="1632"/>
      <c r="CE70" s="1635"/>
      <c r="CG70" s="1625"/>
      <c r="CH70" s="1628"/>
      <c r="CI70" s="1622"/>
      <c r="CJ70" s="1636"/>
      <c r="CK70" s="1636"/>
      <c r="CL70" s="1636"/>
      <c r="CM70" s="1636"/>
      <c r="CN70" s="1636"/>
      <c r="CO70" s="1636"/>
      <c r="CP70" s="1636"/>
      <c r="CQ70" s="1720"/>
      <c r="CR70" s="1636"/>
      <c r="CS70" s="1636"/>
      <c r="CT70" s="1640"/>
      <c r="CU70" s="1640"/>
      <c r="CV70" s="1640"/>
      <c r="CX70" s="1625" t="s">
        <v>771</v>
      </c>
      <c r="CY70" s="1628" t="s">
        <v>610</v>
      </c>
      <c r="CZ70" s="1723" t="s">
        <v>1787</v>
      </c>
      <c r="DA70" s="1722">
        <v>0.15</v>
      </c>
      <c r="DB70" s="1638"/>
      <c r="DC70" s="1638"/>
      <c r="DD70" s="1638"/>
      <c r="DE70" s="1638"/>
      <c r="DF70" s="1638"/>
      <c r="DG70" s="1638"/>
      <c r="DH70" s="1721"/>
      <c r="DI70" s="1638"/>
      <c r="DJ70" s="1638"/>
      <c r="DK70" s="1642"/>
      <c r="DL70" s="1642"/>
      <c r="DM70" s="1642"/>
    </row>
    <row r="71" spans="2:117">
      <c r="B71" s="1584" t="str">
        <f t="shared" si="47"/>
        <v>1.2.2</v>
      </c>
      <c r="C71" s="1622" t="str">
        <f t="shared" si="1"/>
        <v>Space for Refreshment</v>
      </c>
      <c r="D71" s="1603">
        <f t="shared" ref="D71:E73" si="66">IF(I$68&gt;0,G71/I$68,0)</f>
        <v>0.33333333333333331</v>
      </c>
      <c r="E71" s="1603">
        <f t="shared" si="66"/>
        <v>0</v>
      </c>
      <c r="G71" s="1624">
        <f t="shared" si="43"/>
        <v>0.33333333333333331</v>
      </c>
      <c r="H71" s="1624">
        <f>L71*N71</f>
        <v>0</v>
      </c>
      <c r="I71" s="1624"/>
      <c r="J71" s="1624"/>
      <c r="K71" s="1624">
        <f>IF(Score!W71=0,0,1)</f>
        <v>1</v>
      </c>
      <c r="L71" s="1624">
        <f>IF(Score!X71=0,0,1)</f>
        <v>0</v>
      </c>
      <c r="M71" s="1624">
        <f>SUMPRODUCT($S$7:$AB$7,S71:AB71)</f>
        <v>0.33333333333333331</v>
      </c>
      <c r="N71" s="1624">
        <f>(AC$7*AC71)+(AD$7*AD71)+(AE$7*AE71)</f>
        <v>0</v>
      </c>
      <c r="P71" s="1625" t="str">
        <f t="shared" si="6"/>
        <v>1.2.2</v>
      </c>
      <c r="Q71" s="1625" t="str">
        <f t="shared" si="7"/>
        <v xml:space="preserve"> Q2 1.2</v>
      </c>
      <c r="R71" s="1622" t="str">
        <f t="shared" si="8"/>
        <v>Space for Refreshment</v>
      </c>
      <c r="S71" s="1626">
        <f t="shared" si="52"/>
        <v>0.33333333333333331</v>
      </c>
      <c r="T71" s="1626">
        <f t="shared" si="53"/>
        <v>0</v>
      </c>
      <c r="U71" s="1626">
        <f t="shared" si="54"/>
        <v>0.33333333333333331</v>
      </c>
      <c r="V71" s="1626">
        <f t="shared" si="55"/>
        <v>0</v>
      </c>
      <c r="W71" s="1626">
        <f t="shared" si="56"/>
        <v>0</v>
      </c>
      <c r="X71" s="1626">
        <f t="shared" si="57"/>
        <v>0</v>
      </c>
      <c r="Y71" s="1626">
        <f t="shared" si="58"/>
        <v>0</v>
      </c>
      <c r="Z71" s="1656">
        <f t="shared" si="59"/>
        <v>0</v>
      </c>
      <c r="AA71" s="1626">
        <f t="shared" si="60"/>
        <v>0.33333333333333331</v>
      </c>
      <c r="AB71" s="1626">
        <f t="shared" si="61"/>
        <v>0</v>
      </c>
      <c r="AC71" s="1627">
        <f t="shared" si="62"/>
        <v>0</v>
      </c>
      <c r="AD71" s="1627">
        <f t="shared" si="63"/>
        <v>0</v>
      </c>
      <c r="AE71" s="1627">
        <f t="shared" si="64"/>
        <v>0</v>
      </c>
      <c r="AG71" s="1625" t="s">
        <v>659</v>
      </c>
      <c r="AH71" s="1628" t="s">
        <v>610</v>
      </c>
      <c r="AI71" s="1622" t="s">
        <v>1788</v>
      </c>
      <c r="AJ71" s="1705">
        <v>0.33333333333333331</v>
      </c>
      <c r="AK71" s="1630"/>
      <c r="AL71" s="1630">
        <v>0.5</v>
      </c>
      <c r="AM71" s="1630"/>
      <c r="AN71" s="1630"/>
      <c r="AO71" s="1630"/>
      <c r="AP71" s="1630"/>
      <c r="AQ71" s="1660"/>
      <c r="AR71" s="1630"/>
      <c r="AS71" s="1631"/>
      <c r="AT71" s="1632"/>
      <c r="AU71" s="1632"/>
      <c r="AV71" s="1632"/>
      <c r="AX71" s="1625" t="s">
        <v>659</v>
      </c>
      <c r="AY71" s="1628" t="s">
        <v>610</v>
      </c>
      <c r="AZ71" s="1622" t="s">
        <v>1788</v>
      </c>
      <c r="BA71" s="1631">
        <v>0.33333333333333331</v>
      </c>
      <c r="BB71" s="1631">
        <v>0</v>
      </c>
      <c r="BC71" s="1631">
        <v>0.33333333333333331</v>
      </c>
      <c r="BD71" s="1631"/>
      <c r="BE71" s="1631"/>
      <c r="BF71" s="1631"/>
      <c r="BG71" s="1631"/>
      <c r="BH71" s="1649"/>
      <c r="BI71" s="1631">
        <v>0.33333333333333331</v>
      </c>
      <c r="BJ71" s="1631">
        <v>0</v>
      </c>
      <c r="BK71" s="1632"/>
      <c r="BL71" s="1632"/>
      <c r="BM71" s="1632"/>
      <c r="BO71" s="1625" t="s">
        <v>659</v>
      </c>
      <c r="BP71" s="1628" t="s">
        <v>610</v>
      </c>
      <c r="BQ71" s="1622" t="s">
        <v>1598</v>
      </c>
      <c r="BR71" s="1631">
        <v>0.33333333333333331</v>
      </c>
      <c r="BS71" s="1631"/>
      <c r="BT71" s="1631">
        <v>0.33333333333333331</v>
      </c>
      <c r="BU71" s="1631"/>
      <c r="BV71" s="1631"/>
      <c r="BW71" s="1631"/>
      <c r="BX71" s="1631"/>
      <c r="BY71" s="1649"/>
      <c r="BZ71" s="1631">
        <v>0.33333333333333331</v>
      </c>
      <c r="CA71" s="1631"/>
      <c r="CB71" s="1632"/>
      <c r="CC71" s="1632"/>
      <c r="CD71" s="1632"/>
      <c r="CE71" s="1635"/>
      <c r="CG71" s="1625" t="s">
        <v>55</v>
      </c>
      <c r="CH71" s="1628" t="s">
        <v>610</v>
      </c>
      <c r="CI71" s="1622" t="s">
        <v>1788</v>
      </c>
      <c r="CJ71" s="1636">
        <f t="shared" si="19"/>
        <v>0.33333333333333331</v>
      </c>
      <c r="CK71" s="1636">
        <f t="shared" si="20"/>
        <v>0</v>
      </c>
      <c r="CL71" s="1636">
        <f t="shared" si="21"/>
        <v>0.33333333333333331</v>
      </c>
      <c r="CM71" s="1636">
        <f t="shared" si="22"/>
        <v>0</v>
      </c>
      <c r="CN71" s="1636">
        <f t="shared" si="23"/>
        <v>0</v>
      </c>
      <c r="CO71" s="1636">
        <f t="shared" si="24"/>
        <v>0</v>
      </c>
      <c r="CP71" s="1636">
        <f t="shared" si="25"/>
        <v>0</v>
      </c>
      <c r="CQ71" s="1720">
        <f t="shared" si="26"/>
        <v>0</v>
      </c>
      <c r="CR71" s="1636">
        <f t="shared" si="27"/>
        <v>0.33333333333333331</v>
      </c>
      <c r="CS71" s="1636">
        <f t="shared" si="28"/>
        <v>0</v>
      </c>
      <c r="CT71" s="1640">
        <f t="shared" si="13"/>
        <v>0</v>
      </c>
      <c r="CU71" s="1640">
        <f t="shared" si="14"/>
        <v>0</v>
      </c>
      <c r="CV71" s="1640">
        <f t="shared" si="15"/>
        <v>0</v>
      </c>
      <c r="CX71" s="1625" t="s">
        <v>772</v>
      </c>
      <c r="CY71" s="1628" t="s">
        <v>610</v>
      </c>
      <c r="CZ71" s="1622" t="s">
        <v>1788</v>
      </c>
      <c r="DA71" s="1722">
        <v>0.25</v>
      </c>
      <c r="DB71" s="1638"/>
      <c r="DC71" s="1638"/>
      <c r="DD71" s="1638"/>
      <c r="DE71" s="1638"/>
      <c r="DF71" s="1638"/>
      <c r="DG71" s="1638"/>
      <c r="DH71" s="1721"/>
      <c r="DI71" s="1638"/>
      <c r="DJ71" s="1638"/>
      <c r="DK71" s="1642"/>
      <c r="DL71" s="1642"/>
      <c r="DM71" s="1642"/>
    </row>
    <row r="72" spans="2:117">
      <c r="B72" s="1584" t="str">
        <f t="shared" si="47"/>
        <v>1.2.3</v>
      </c>
      <c r="C72" s="1622" t="str">
        <f t="shared" si="1"/>
        <v>Décor Planning</v>
      </c>
      <c r="D72" s="1603">
        <f t="shared" si="66"/>
        <v>0.33333333333333331</v>
      </c>
      <c r="E72" s="1603">
        <f t="shared" si="66"/>
        <v>0</v>
      </c>
      <c r="G72" s="1624">
        <f>K72*M72</f>
        <v>0.33333333333333331</v>
      </c>
      <c r="H72" s="1624">
        <f>L72*N72</f>
        <v>0</v>
      </c>
      <c r="I72" s="1624"/>
      <c r="J72" s="1624"/>
      <c r="K72" s="1624">
        <f>IF(Score!W72=0,0,1)</f>
        <v>1</v>
      </c>
      <c r="L72" s="1624">
        <f>IF(Score!X72=0,0,1)</f>
        <v>1</v>
      </c>
      <c r="M72" s="1624">
        <f>SUMPRODUCT($S$7:$AB$7,S72:AB72)</f>
        <v>0.33333333333333331</v>
      </c>
      <c r="N72" s="1624">
        <f>(AC$7*AC72)+(AD$7*AD72)+(AE$7*AE72)</f>
        <v>0</v>
      </c>
      <c r="P72" s="1625" t="str">
        <f t="shared" si="6"/>
        <v>1.2.3</v>
      </c>
      <c r="Q72" s="1625" t="str">
        <f t="shared" si="7"/>
        <v xml:space="preserve"> Q2 1.2</v>
      </c>
      <c r="R72" s="1622" t="str">
        <f t="shared" si="8"/>
        <v>Décor Planning</v>
      </c>
      <c r="S72" s="1626">
        <f t="shared" si="52"/>
        <v>0.33333333333333331</v>
      </c>
      <c r="T72" s="1626">
        <f t="shared" si="53"/>
        <v>0.5</v>
      </c>
      <c r="U72" s="1626">
        <f t="shared" si="54"/>
        <v>0.33333333333333331</v>
      </c>
      <c r="V72" s="1626">
        <f t="shared" si="55"/>
        <v>0.5</v>
      </c>
      <c r="W72" s="1626">
        <f t="shared" si="56"/>
        <v>1</v>
      </c>
      <c r="X72" s="1626">
        <f t="shared" si="57"/>
        <v>1</v>
      </c>
      <c r="Y72" s="1626">
        <f t="shared" si="58"/>
        <v>1</v>
      </c>
      <c r="Z72" s="1656">
        <f t="shared" si="59"/>
        <v>1</v>
      </c>
      <c r="AA72" s="1626">
        <f t="shared" si="60"/>
        <v>0.33333333333333331</v>
      </c>
      <c r="AB72" s="1626">
        <f t="shared" si="61"/>
        <v>0.5</v>
      </c>
      <c r="AC72" s="1627">
        <f t="shared" si="62"/>
        <v>0.5</v>
      </c>
      <c r="AD72" s="1627">
        <f t="shared" si="63"/>
        <v>0.5</v>
      </c>
      <c r="AE72" s="1627">
        <f t="shared" si="64"/>
        <v>0.5</v>
      </c>
      <c r="AG72" s="1625" t="s">
        <v>660</v>
      </c>
      <c r="AH72" s="1628" t="s">
        <v>610</v>
      </c>
      <c r="AI72" s="1622" t="s">
        <v>1789</v>
      </c>
      <c r="AJ72" s="1705">
        <v>0.33333333333333331</v>
      </c>
      <c r="AK72" s="1630">
        <v>1</v>
      </c>
      <c r="AL72" s="1630">
        <v>0.5</v>
      </c>
      <c r="AM72" s="1630">
        <v>1</v>
      </c>
      <c r="AN72" s="1630">
        <v>1</v>
      </c>
      <c r="AO72" s="1630">
        <v>1</v>
      </c>
      <c r="AP72" s="1630">
        <v>1</v>
      </c>
      <c r="AQ72" s="1660">
        <v>1</v>
      </c>
      <c r="AR72" s="1630">
        <v>1</v>
      </c>
      <c r="AS72" s="1631">
        <v>1</v>
      </c>
      <c r="AT72" s="1632">
        <v>1</v>
      </c>
      <c r="AU72" s="1632">
        <v>1</v>
      </c>
      <c r="AV72" s="1632">
        <v>1</v>
      </c>
      <c r="AX72" s="1625" t="s">
        <v>660</v>
      </c>
      <c r="AY72" s="1628" t="s">
        <v>610</v>
      </c>
      <c r="AZ72" s="1622" t="s">
        <v>1789</v>
      </c>
      <c r="BA72" s="1631">
        <v>0.33333333333333331</v>
      </c>
      <c r="BB72" s="1631">
        <v>0.5</v>
      </c>
      <c r="BC72" s="1631">
        <v>0.33333333333333331</v>
      </c>
      <c r="BD72" s="1631">
        <v>0.5</v>
      </c>
      <c r="BE72" s="1631">
        <v>1</v>
      </c>
      <c r="BF72" s="1631">
        <v>1</v>
      </c>
      <c r="BG72" s="1631">
        <v>1</v>
      </c>
      <c r="BH72" s="1649">
        <v>1</v>
      </c>
      <c r="BI72" s="1631">
        <v>0.33333333333333331</v>
      </c>
      <c r="BJ72" s="1631">
        <v>0.5</v>
      </c>
      <c r="BK72" s="1632">
        <v>0.5</v>
      </c>
      <c r="BL72" s="1632">
        <v>0.5</v>
      </c>
      <c r="BM72" s="1632">
        <v>0.5</v>
      </c>
      <c r="BO72" s="1625" t="s">
        <v>660</v>
      </c>
      <c r="BP72" s="1628" t="s">
        <v>610</v>
      </c>
      <c r="BQ72" s="1622" t="s">
        <v>1599</v>
      </c>
      <c r="BR72" s="1631">
        <v>0.33333333333333331</v>
      </c>
      <c r="BS72" s="1631">
        <v>0.5</v>
      </c>
      <c r="BT72" s="1631">
        <v>0.33333333333333331</v>
      </c>
      <c r="BU72" s="1631">
        <v>0.5</v>
      </c>
      <c r="BV72" s="1631">
        <v>1</v>
      </c>
      <c r="BW72" s="1631">
        <v>1</v>
      </c>
      <c r="BX72" s="1631">
        <v>1</v>
      </c>
      <c r="BY72" s="1649">
        <v>1</v>
      </c>
      <c r="BZ72" s="1631">
        <v>0.33333333333333331</v>
      </c>
      <c r="CA72" s="1631">
        <v>0.5</v>
      </c>
      <c r="CB72" s="1632">
        <v>0.5</v>
      </c>
      <c r="CC72" s="1632">
        <v>0.5</v>
      </c>
      <c r="CD72" s="1632">
        <v>0.5</v>
      </c>
      <c r="CE72" s="1635"/>
      <c r="CG72" s="1625" t="s">
        <v>56</v>
      </c>
      <c r="CH72" s="1628" t="s">
        <v>610</v>
      </c>
      <c r="CI72" s="1622" t="s">
        <v>1789</v>
      </c>
      <c r="CJ72" s="1636">
        <f t="shared" si="19"/>
        <v>0.33333333333333331</v>
      </c>
      <c r="CK72" s="1636">
        <f t="shared" si="20"/>
        <v>0.5</v>
      </c>
      <c r="CL72" s="1636">
        <f t="shared" si="21"/>
        <v>0.33333333333333331</v>
      </c>
      <c r="CM72" s="1636">
        <f t="shared" si="22"/>
        <v>0.5</v>
      </c>
      <c r="CN72" s="1636">
        <f t="shared" si="23"/>
        <v>1</v>
      </c>
      <c r="CO72" s="1636">
        <f t="shared" si="24"/>
        <v>1</v>
      </c>
      <c r="CP72" s="1636">
        <f t="shared" si="25"/>
        <v>1</v>
      </c>
      <c r="CQ72" s="1720">
        <f t="shared" si="26"/>
        <v>1</v>
      </c>
      <c r="CR72" s="1636">
        <f t="shared" si="27"/>
        <v>0.33333333333333331</v>
      </c>
      <c r="CS72" s="1636">
        <f t="shared" si="28"/>
        <v>0.5</v>
      </c>
      <c r="CT72" s="1640">
        <f t="shared" si="13"/>
        <v>0.5</v>
      </c>
      <c r="CU72" s="1640">
        <f t="shared" si="14"/>
        <v>0.5</v>
      </c>
      <c r="CV72" s="1640">
        <f t="shared" si="15"/>
        <v>0.5</v>
      </c>
      <c r="CX72" s="1625" t="s">
        <v>773</v>
      </c>
      <c r="CY72" s="1628" t="s">
        <v>610</v>
      </c>
      <c r="CZ72" s="1622" t="s">
        <v>1789</v>
      </c>
      <c r="DA72" s="1722">
        <v>0.25</v>
      </c>
      <c r="DB72" s="1638"/>
      <c r="DC72" s="1638"/>
      <c r="DD72" s="1638"/>
      <c r="DE72" s="1638"/>
      <c r="DF72" s="1638"/>
      <c r="DG72" s="1638"/>
      <c r="DH72" s="1721"/>
      <c r="DI72" s="1638"/>
      <c r="DJ72" s="1638"/>
      <c r="DK72" s="1642"/>
      <c r="DL72" s="1642"/>
      <c r="DM72" s="1642"/>
    </row>
    <row r="73" spans="2:117" hidden="1">
      <c r="B73" s="1584"/>
      <c r="C73" s="1622">
        <f t="shared" ref="C73:C136" si="67">R73</f>
        <v>0</v>
      </c>
      <c r="D73" s="1603">
        <f t="shared" si="66"/>
        <v>0</v>
      </c>
      <c r="E73" s="1603">
        <f>IF(J$68&gt;0,H73/J$68,0)</f>
        <v>0</v>
      </c>
      <c r="G73" s="1624">
        <f>K73*M73</f>
        <v>0</v>
      </c>
      <c r="H73" s="1624">
        <f>L73*N73</f>
        <v>0</v>
      </c>
      <c r="I73" s="1624"/>
      <c r="J73" s="1624"/>
      <c r="K73" s="1624">
        <f>IF(Score!W73=0,0,1)</f>
        <v>1</v>
      </c>
      <c r="L73" s="1624">
        <f>IF(Score!X73=0,0,1)</f>
        <v>0</v>
      </c>
      <c r="M73" s="1624">
        <f>SUMPRODUCT($S$7:$AB$7,S73:AB73)</f>
        <v>0</v>
      </c>
      <c r="N73" s="1624">
        <f>(AC$7*AC73)+(AD$7*AD73)+(AE$7*AE73)</f>
        <v>0</v>
      </c>
      <c r="P73" s="1625">
        <f t="shared" si="6"/>
        <v>0</v>
      </c>
      <c r="Q73" s="1625">
        <f t="shared" si="7"/>
        <v>0</v>
      </c>
      <c r="R73" s="1622">
        <f t="shared" si="8"/>
        <v>0</v>
      </c>
      <c r="S73" s="1626">
        <f t="shared" si="52"/>
        <v>0</v>
      </c>
      <c r="T73" s="1626">
        <f t="shared" si="53"/>
        <v>0</v>
      </c>
      <c r="U73" s="1626">
        <f t="shared" si="54"/>
        <v>0</v>
      </c>
      <c r="V73" s="1626">
        <f t="shared" si="55"/>
        <v>0</v>
      </c>
      <c r="W73" s="1626">
        <f t="shared" si="56"/>
        <v>0</v>
      </c>
      <c r="X73" s="1626">
        <f t="shared" si="57"/>
        <v>0</v>
      </c>
      <c r="Y73" s="1626">
        <f t="shared" si="58"/>
        <v>0</v>
      </c>
      <c r="Z73" s="1656">
        <f t="shared" si="59"/>
        <v>0</v>
      </c>
      <c r="AA73" s="1626">
        <f t="shared" si="60"/>
        <v>0</v>
      </c>
      <c r="AB73" s="1626">
        <f t="shared" si="61"/>
        <v>0</v>
      </c>
      <c r="AC73" s="1627">
        <f t="shared" si="62"/>
        <v>0</v>
      </c>
      <c r="AD73" s="1627">
        <f t="shared" si="63"/>
        <v>0</v>
      </c>
      <c r="AE73" s="1627">
        <f t="shared" si="64"/>
        <v>0</v>
      </c>
      <c r="AG73" s="1625"/>
      <c r="AH73" s="1628"/>
      <c r="AI73" s="1622"/>
      <c r="AJ73" s="1705"/>
      <c r="AK73" s="1630"/>
      <c r="AL73" s="1630"/>
      <c r="AM73" s="1630"/>
      <c r="AN73" s="1630"/>
      <c r="AO73" s="1630"/>
      <c r="AP73" s="1630"/>
      <c r="AQ73" s="1660"/>
      <c r="AR73" s="1630"/>
      <c r="AS73" s="1631"/>
      <c r="AT73" s="1632"/>
      <c r="AU73" s="1632"/>
      <c r="AV73" s="1632"/>
      <c r="AX73" s="1625"/>
      <c r="AY73" s="1628"/>
      <c r="AZ73" s="1622"/>
      <c r="BA73" s="1631"/>
      <c r="BB73" s="1631"/>
      <c r="BC73" s="1631"/>
      <c r="BD73" s="1631"/>
      <c r="BE73" s="1631"/>
      <c r="BF73" s="1631"/>
      <c r="BG73" s="1631"/>
      <c r="BH73" s="1649"/>
      <c r="BI73" s="1631"/>
      <c r="BJ73" s="1631"/>
      <c r="BK73" s="1632"/>
      <c r="BL73" s="1632"/>
      <c r="BM73" s="1632"/>
      <c r="BO73" s="1625"/>
      <c r="BP73" s="1628"/>
      <c r="BQ73" s="1622"/>
      <c r="BR73" s="1631"/>
      <c r="BS73" s="1631"/>
      <c r="BT73" s="1631"/>
      <c r="BU73" s="1631"/>
      <c r="BV73" s="1631"/>
      <c r="BW73" s="1631"/>
      <c r="BX73" s="1631"/>
      <c r="BY73" s="1649"/>
      <c r="BZ73" s="1631"/>
      <c r="CA73" s="1631"/>
      <c r="CB73" s="1632"/>
      <c r="CC73" s="1632"/>
      <c r="CD73" s="1632"/>
      <c r="CE73" s="1635"/>
      <c r="CG73" s="1625"/>
      <c r="CH73" s="1628"/>
      <c r="CI73" s="1622"/>
      <c r="CJ73" s="1636"/>
      <c r="CK73" s="1636"/>
      <c r="CL73" s="1636"/>
      <c r="CM73" s="1636"/>
      <c r="CN73" s="1636"/>
      <c r="CO73" s="1636"/>
      <c r="CP73" s="1636"/>
      <c r="CQ73" s="1720"/>
      <c r="CR73" s="1636"/>
      <c r="CS73" s="1636"/>
      <c r="CT73" s="1640"/>
      <c r="CU73" s="1640"/>
      <c r="CV73" s="1640"/>
      <c r="CX73" s="1625" t="s">
        <v>774</v>
      </c>
      <c r="CY73" s="1724" t="s">
        <v>610</v>
      </c>
      <c r="CZ73" s="1723" t="s">
        <v>1790</v>
      </c>
      <c r="DA73" s="1722">
        <v>0.2</v>
      </c>
      <c r="DB73" s="1638"/>
      <c r="DC73" s="1638"/>
      <c r="DD73" s="1638"/>
      <c r="DE73" s="1638"/>
      <c r="DF73" s="1638"/>
      <c r="DG73" s="1638"/>
      <c r="DH73" s="1721"/>
      <c r="DI73" s="1638"/>
      <c r="DJ73" s="1638"/>
      <c r="DK73" s="1642"/>
      <c r="DL73" s="1642"/>
      <c r="DM73" s="1642"/>
    </row>
    <row r="74" spans="2:117">
      <c r="B74" s="1584">
        <f t="shared" si="47"/>
        <v>1.3</v>
      </c>
      <c r="C74" s="1622" t="str">
        <f t="shared" si="67"/>
        <v>Maintenance Management</v>
      </c>
      <c r="D74" s="1623">
        <f>IF(I$63=0,0,G74/I$63)</f>
        <v>0.3</v>
      </c>
      <c r="E74" s="1624">
        <f>IF(J$63=0,0,H74/J$63)</f>
        <v>0</v>
      </c>
      <c r="G74" s="1624">
        <f t="shared" si="43"/>
        <v>0.3</v>
      </c>
      <c r="H74" s="1624">
        <f t="shared" si="44"/>
        <v>0</v>
      </c>
      <c r="I74" s="1624">
        <f>G75+G76+G77</f>
        <v>1</v>
      </c>
      <c r="J74" s="1624">
        <f>H75+H76+H77</f>
        <v>0</v>
      </c>
      <c r="K74" s="1624">
        <f>IF(Score!Z74=0,0,1)</f>
        <v>1</v>
      </c>
      <c r="L74" s="1624">
        <f>IF(Score!AB74=0,0,1)</f>
        <v>0</v>
      </c>
      <c r="M74" s="1624">
        <f t="shared" si="45"/>
        <v>0.3</v>
      </c>
      <c r="N74" s="1624">
        <f t="shared" si="46"/>
        <v>0</v>
      </c>
      <c r="P74" s="1625">
        <f t="shared" ref="P74:P137" si="68">IF($P$3=1,AX74,IF($P$3=2,BO74,IF($P$3=3,CG74,IF($P$3=4,CX74,AG74))))</f>
        <v>1.3</v>
      </c>
      <c r="Q74" s="1625" t="str">
        <f t="shared" ref="Q74:Q137" si="69">IF($P$3=1,AY74,IF($P$3=2,BP74,IF($P$3=3,CH74,IF($P$3=4,CY74,AH74))))</f>
        <v xml:space="preserve"> Q2 1</v>
      </c>
      <c r="R74" s="1622" t="str">
        <f t="shared" ref="R74:R137" si="70">IF($P$3=1,AZ74,IF($P$3=2,BQ74,IF($P$3=3,CI74,IF($P$3=4,CZ74,AI74))))</f>
        <v>Maintenance Management</v>
      </c>
      <c r="S74" s="1626">
        <f t="shared" si="52"/>
        <v>0.3</v>
      </c>
      <c r="T74" s="1626">
        <f t="shared" si="53"/>
        <v>0.3</v>
      </c>
      <c r="U74" s="1626">
        <f t="shared" si="54"/>
        <v>0.3</v>
      </c>
      <c r="V74" s="1626">
        <f t="shared" si="55"/>
        <v>0.3</v>
      </c>
      <c r="W74" s="1626">
        <f t="shared" si="56"/>
        <v>0.3</v>
      </c>
      <c r="X74" s="1626">
        <f t="shared" si="57"/>
        <v>0.3</v>
      </c>
      <c r="Y74" s="1626">
        <f t="shared" si="58"/>
        <v>0.3</v>
      </c>
      <c r="Z74" s="1656">
        <f t="shared" si="59"/>
        <v>0.3</v>
      </c>
      <c r="AA74" s="1626">
        <f t="shared" si="60"/>
        <v>0.3</v>
      </c>
      <c r="AB74" s="1626">
        <f t="shared" si="61"/>
        <v>0.3</v>
      </c>
      <c r="AC74" s="1627">
        <f t="shared" si="62"/>
        <v>0</v>
      </c>
      <c r="AD74" s="1627">
        <f t="shared" si="63"/>
        <v>0</v>
      </c>
      <c r="AE74" s="1627">
        <f t="shared" si="64"/>
        <v>0</v>
      </c>
      <c r="AG74" s="1625">
        <v>1.3</v>
      </c>
      <c r="AH74" s="1628" t="s">
        <v>605</v>
      </c>
      <c r="AI74" s="1622" t="s">
        <v>1791</v>
      </c>
      <c r="AJ74" s="1705">
        <v>0.3</v>
      </c>
      <c r="AK74" s="1705">
        <v>0.3</v>
      </c>
      <c r="AL74" s="1705">
        <v>0.3</v>
      </c>
      <c r="AM74" s="1629">
        <v>0.3</v>
      </c>
      <c r="AN74" s="1629">
        <v>0.3</v>
      </c>
      <c r="AO74" s="1705">
        <v>0.3</v>
      </c>
      <c r="AP74" s="1629">
        <v>0.3</v>
      </c>
      <c r="AQ74" s="1705">
        <v>0.3</v>
      </c>
      <c r="AR74" s="1629">
        <v>0.3</v>
      </c>
      <c r="AS74" s="1631">
        <v>0.3</v>
      </c>
      <c r="AT74" s="1632">
        <v>0</v>
      </c>
      <c r="AU74" s="1632">
        <v>0</v>
      </c>
      <c r="AV74" s="1632">
        <v>0</v>
      </c>
      <c r="AX74" s="1625">
        <v>1.3</v>
      </c>
      <c r="AY74" s="1628" t="s">
        <v>605</v>
      </c>
      <c r="AZ74" s="1622" t="s">
        <v>1791</v>
      </c>
      <c r="BA74" s="1631">
        <v>0.3</v>
      </c>
      <c r="BB74" s="1631">
        <v>0.3</v>
      </c>
      <c r="BC74" s="1631">
        <v>0.3</v>
      </c>
      <c r="BD74" s="1631">
        <v>0.3</v>
      </c>
      <c r="BE74" s="1631">
        <v>0.3</v>
      </c>
      <c r="BF74" s="1631">
        <v>0.3</v>
      </c>
      <c r="BG74" s="1631">
        <v>0.3</v>
      </c>
      <c r="BH74" s="1649">
        <v>0.3</v>
      </c>
      <c r="BI74" s="1631">
        <v>0.3</v>
      </c>
      <c r="BJ74" s="1631">
        <v>0.3</v>
      </c>
      <c r="BK74" s="1632"/>
      <c r="BL74" s="1632"/>
      <c r="BM74" s="1632"/>
      <c r="BO74" s="1625">
        <v>1.3</v>
      </c>
      <c r="BP74" s="1628" t="s">
        <v>605</v>
      </c>
      <c r="BQ74" s="1622" t="s">
        <v>1600</v>
      </c>
      <c r="BR74" s="1631">
        <v>0.3</v>
      </c>
      <c r="BS74" s="1631">
        <v>0.3</v>
      </c>
      <c r="BT74" s="1631">
        <v>0.3</v>
      </c>
      <c r="BU74" s="1631">
        <v>0.3</v>
      </c>
      <c r="BV74" s="1631">
        <v>0.3</v>
      </c>
      <c r="BW74" s="1631">
        <v>0.3</v>
      </c>
      <c r="BX74" s="1631">
        <v>0.3</v>
      </c>
      <c r="BY74" s="1649">
        <v>0.3</v>
      </c>
      <c r="BZ74" s="1631">
        <v>0.3</v>
      </c>
      <c r="CA74" s="1631">
        <v>0.3</v>
      </c>
      <c r="CB74" s="1632"/>
      <c r="CC74" s="1632"/>
      <c r="CD74" s="1632"/>
      <c r="CE74" s="1635"/>
      <c r="CG74" s="1625">
        <v>1.3</v>
      </c>
      <c r="CH74" s="1628" t="s">
        <v>605</v>
      </c>
      <c r="CI74" s="1622" t="s">
        <v>1791</v>
      </c>
      <c r="CJ74" s="1636">
        <f t="shared" si="19"/>
        <v>0.3</v>
      </c>
      <c r="CK74" s="1636">
        <f t="shared" si="20"/>
        <v>0.3</v>
      </c>
      <c r="CL74" s="1636">
        <f t="shared" si="21"/>
        <v>0.3</v>
      </c>
      <c r="CM74" s="1636">
        <f t="shared" si="22"/>
        <v>0.3</v>
      </c>
      <c r="CN74" s="1636">
        <f t="shared" si="23"/>
        <v>0.3</v>
      </c>
      <c r="CO74" s="1636">
        <f t="shared" si="24"/>
        <v>0.3</v>
      </c>
      <c r="CP74" s="1636">
        <f t="shared" si="25"/>
        <v>0.3</v>
      </c>
      <c r="CQ74" s="1720">
        <f t="shared" si="26"/>
        <v>0.3</v>
      </c>
      <c r="CR74" s="1636">
        <f t="shared" si="27"/>
        <v>0.3</v>
      </c>
      <c r="CS74" s="1636">
        <f t="shared" si="28"/>
        <v>0.3</v>
      </c>
      <c r="CT74" s="1640">
        <f t="shared" si="13"/>
        <v>0</v>
      </c>
      <c r="CU74" s="1640">
        <f t="shared" si="14"/>
        <v>0</v>
      </c>
      <c r="CV74" s="1640">
        <f t="shared" si="15"/>
        <v>0</v>
      </c>
      <c r="CX74" s="1625">
        <v>1.3</v>
      </c>
      <c r="CY74" s="1628" t="s">
        <v>605</v>
      </c>
      <c r="CZ74" s="1622" t="s">
        <v>1791</v>
      </c>
      <c r="DA74" s="1637">
        <v>0.15</v>
      </c>
      <c r="DB74" s="1638"/>
      <c r="DC74" s="1638"/>
      <c r="DD74" s="1638"/>
      <c r="DE74" s="1638"/>
      <c r="DF74" s="1638"/>
      <c r="DG74" s="1638"/>
      <c r="DH74" s="1721"/>
      <c r="DI74" s="1638"/>
      <c r="DJ74" s="1638"/>
      <c r="DK74" s="1642"/>
      <c r="DL74" s="1642"/>
      <c r="DM74" s="1642"/>
    </row>
    <row r="75" spans="2:117">
      <c r="B75" s="1584" t="str">
        <f t="shared" si="47"/>
        <v>1.3.1</v>
      </c>
      <c r="C75" s="1622" t="str">
        <f t="shared" si="67"/>
        <v>Design that Considers Maintenance Management</v>
      </c>
      <c r="D75" s="1603">
        <f t="shared" ref="D75:E77" si="71">IF(I$74&gt;0,G75/I$74,0)</f>
        <v>0.5</v>
      </c>
      <c r="E75" s="1603">
        <f t="shared" si="71"/>
        <v>0</v>
      </c>
      <c r="G75" s="1624">
        <f t="shared" si="43"/>
        <v>0.5</v>
      </c>
      <c r="H75" s="1624">
        <f t="shared" si="44"/>
        <v>0</v>
      </c>
      <c r="I75" s="1624"/>
      <c r="J75" s="1624"/>
      <c r="K75" s="1624">
        <f>IF(Score!W75=0,0,1)</f>
        <v>1</v>
      </c>
      <c r="L75" s="1624">
        <f>IF(Score!X79=0,0,1)</f>
        <v>0</v>
      </c>
      <c r="M75" s="1624">
        <f t="shared" si="45"/>
        <v>0.5</v>
      </c>
      <c r="N75" s="1624">
        <f t="shared" si="46"/>
        <v>0</v>
      </c>
      <c r="P75" s="1625" t="str">
        <f t="shared" si="68"/>
        <v>1.3.1</v>
      </c>
      <c r="Q75" s="1625" t="str">
        <f t="shared" si="69"/>
        <v xml:space="preserve"> Q2 1.3</v>
      </c>
      <c r="R75" s="1622" t="str">
        <f t="shared" si="70"/>
        <v>Design that Considers Maintenance Management</v>
      </c>
      <c r="S75" s="1626">
        <f t="shared" si="52"/>
        <v>0.5</v>
      </c>
      <c r="T75" s="1626">
        <f t="shared" si="53"/>
        <v>0.5</v>
      </c>
      <c r="U75" s="1626">
        <f t="shared" si="54"/>
        <v>0.5</v>
      </c>
      <c r="V75" s="1626">
        <f t="shared" si="55"/>
        <v>0.5</v>
      </c>
      <c r="W75" s="1626">
        <f t="shared" si="56"/>
        <v>0.5</v>
      </c>
      <c r="X75" s="1626">
        <f t="shared" si="57"/>
        <v>0.5</v>
      </c>
      <c r="Y75" s="1626">
        <f t="shared" si="58"/>
        <v>0.5</v>
      </c>
      <c r="Z75" s="1656">
        <f t="shared" si="59"/>
        <v>0.5</v>
      </c>
      <c r="AA75" s="1626">
        <f t="shared" si="60"/>
        <v>0.5</v>
      </c>
      <c r="AB75" s="1626">
        <f t="shared" si="61"/>
        <v>0.5</v>
      </c>
      <c r="AC75" s="1627">
        <f t="shared" si="62"/>
        <v>0</v>
      </c>
      <c r="AD75" s="1627">
        <f t="shared" si="63"/>
        <v>0</v>
      </c>
      <c r="AE75" s="1627">
        <f t="shared" si="64"/>
        <v>0</v>
      </c>
      <c r="AG75" s="1625" t="s">
        <v>614</v>
      </c>
      <c r="AH75" s="1628" t="s">
        <v>466</v>
      </c>
      <c r="AI75" s="1523" t="s">
        <v>1792</v>
      </c>
      <c r="AJ75" s="1705">
        <v>0.5</v>
      </c>
      <c r="AK75" s="1705">
        <v>0.5</v>
      </c>
      <c r="AL75" s="1705">
        <v>0.5</v>
      </c>
      <c r="AM75" s="1648">
        <v>0.5</v>
      </c>
      <c r="AN75" s="1648">
        <v>0.5</v>
      </c>
      <c r="AO75" s="1705">
        <v>0.5</v>
      </c>
      <c r="AP75" s="1648">
        <v>0.5</v>
      </c>
      <c r="AQ75" s="1705">
        <v>0.5</v>
      </c>
      <c r="AR75" s="1648">
        <v>0.5</v>
      </c>
      <c r="AS75" s="1631">
        <v>0.5</v>
      </c>
      <c r="AT75" s="1632">
        <v>0</v>
      </c>
      <c r="AU75" s="1632">
        <v>0</v>
      </c>
      <c r="AV75" s="1632">
        <v>0</v>
      </c>
      <c r="AX75" s="1625" t="s">
        <v>614</v>
      </c>
      <c r="AY75" s="1628" t="s">
        <v>466</v>
      </c>
      <c r="AZ75" s="1622" t="s">
        <v>1793</v>
      </c>
      <c r="BA75" s="1631">
        <v>0.5</v>
      </c>
      <c r="BB75" s="1631">
        <v>0.5</v>
      </c>
      <c r="BC75" s="1631">
        <v>0.5</v>
      </c>
      <c r="BD75" s="1631">
        <v>0.5</v>
      </c>
      <c r="BE75" s="1631">
        <v>0.5</v>
      </c>
      <c r="BF75" s="1631">
        <v>0.5</v>
      </c>
      <c r="BG75" s="1631">
        <v>0.5</v>
      </c>
      <c r="BH75" s="1649">
        <v>0.5</v>
      </c>
      <c r="BI75" s="1631">
        <v>0.5</v>
      </c>
      <c r="BJ75" s="1631">
        <v>0.5</v>
      </c>
      <c r="BK75" s="1632"/>
      <c r="BL75" s="1632"/>
      <c r="BM75" s="1632"/>
      <c r="BO75" s="1625" t="s">
        <v>614</v>
      </c>
      <c r="BP75" s="1628" t="s">
        <v>466</v>
      </c>
      <c r="BQ75" s="1818" t="s">
        <v>3375</v>
      </c>
      <c r="BR75" s="1631">
        <v>0.5</v>
      </c>
      <c r="BS75" s="1631">
        <v>0.5</v>
      </c>
      <c r="BT75" s="1631">
        <v>0.5</v>
      </c>
      <c r="BU75" s="1631">
        <v>0.5</v>
      </c>
      <c r="BV75" s="1631">
        <v>0.5</v>
      </c>
      <c r="BW75" s="1631">
        <v>0.5</v>
      </c>
      <c r="BX75" s="1631">
        <v>0.5</v>
      </c>
      <c r="BY75" s="1649">
        <v>0.5</v>
      </c>
      <c r="BZ75" s="1631">
        <v>0.5</v>
      </c>
      <c r="CA75" s="1631">
        <v>0.5</v>
      </c>
      <c r="CB75" s="1632"/>
      <c r="CC75" s="1632"/>
      <c r="CD75" s="1632"/>
      <c r="CE75" s="1635"/>
      <c r="CG75" s="1625" t="s">
        <v>614</v>
      </c>
      <c r="CH75" s="1628" t="s">
        <v>466</v>
      </c>
      <c r="CI75" s="1622" t="s">
        <v>1793</v>
      </c>
      <c r="CJ75" s="1636">
        <f t="shared" si="19"/>
        <v>0.5</v>
      </c>
      <c r="CK75" s="1636">
        <f t="shared" si="20"/>
        <v>0.5</v>
      </c>
      <c r="CL75" s="1636">
        <f t="shared" si="21"/>
        <v>0.5</v>
      </c>
      <c r="CM75" s="1636">
        <f t="shared" si="22"/>
        <v>0.5</v>
      </c>
      <c r="CN75" s="1636">
        <f t="shared" si="23"/>
        <v>0.5</v>
      </c>
      <c r="CO75" s="1636">
        <f t="shared" si="24"/>
        <v>0.5</v>
      </c>
      <c r="CP75" s="1636">
        <f t="shared" si="25"/>
        <v>0.5</v>
      </c>
      <c r="CQ75" s="1720">
        <f t="shared" si="26"/>
        <v>0.5</v>
      </c>
      <c r="CR75" s="1636">
        <f t="shared" si="27"/>
        <v>0.5</v>
      </c>
      <c r="CS75" s="1636">
        <f t="shared" si="28"/>
        <v>0.5</v>
      </c>
      <c r="CT75" s="1640">
        <f t="shared" si="13"/>
        <v>0</v>
      </c>
      <c r="CU75" s="1640">
        <f t="shared" si="14"/>
        <v>0</v>
      </c>
      <c r="CV75" s="1640">
        <f t="shared" si="15"/>
        <v>0</v>
      </c>
      <c r="CX75" s="1625" t="s">
        <v>614</v>
      </c>
      <c r="CY75" s="1628" t="s">
        <v>466</v>
      </c>
      <c r="CZ75" s="1622" t="s">
        <v>1793</v>
      </c>
      <c r="DA75" s="1637">
        <v>1</v>
      </c>
      <c r="DB75" s="1638"/>
      <c r="DC75" s="1638"/>
      <c r="DD75" s="1638"/>
      <c r="DE75" s="1638"/>
      <c r="DF75" s="1638"/>
      <c r="DG75" s="1638"/>
      <c r="DH75" s="1721"/>
      <c r="DI75" s="1638"/>
      <c r="DJ75" s="1638"/>
      <c r="DK75" s="1642"/>
      <c r="DL75" s="1642"/>
      <c r="DM75" s="1642"/>
    </row>
    <row r="76" spans="2:117">
      <c r="B76" s="1584" t="str">
        <f t="shared" si="47"/>
        <v>1.3.2</v>
      </c>
      <c r="C76" s="1622" t="str">
        <f t="shared" si="67"/>
        <v>Securing Maintenance Management Functions</v>
      </c>
      <c r="D76" s="1603">
        <f t="shared" si="71"/>
        <v>0.5</v>
      </c>
      <c r="E76" s="1603">
        <f t="shared" si="71"/>
        <v>0</v>
      </c>
      <c r="G76" s="1624">
        <f t="shared" ref="G76:G107" si="72">K76*M76</f>
        <v>0.5</v>
      </c>
      <c r="H76" s="1624">
        <f t="shared" ref="H76:H107" si="73">L76*N76</f>
        <v>0</v>
      </c>
      <c r="I76" s="1624"/>
      <c r="J76" s="1624"/>
      <c r="K76" s="1624">
        <f>IF(Score!W76=0,0,1)</f>
        <v>1</v>
      </c>
      <c r="L76" s="1624">
        <f>IF(Score!X80=0,0,1)</f>
        <v>0</v>
      </c>
      <c r="M76" s="1624">
        <f t="shared" ref="M76:M107" si="74">SUMPRODUCT($S$7:$AB$7,S76:AB76)</f>
        <v>0.5</v>
      </c>
      <c r="N76" s="1624">
        <f t="shared" ref="N76:N98" si="75">(AC$7*AC76)+(AD$7*AD76)+(AE$7*AE76)</f>
        <v>0</v>
      </c>
      <c r="P76" s="1625" t="str">
        <f t="shared" si="68"/>
        <v>1.3.2</v>
      </c>
      <c r="Q76" s="1625" t="str">
        <f t="shared" si="69"/>
        <v xml:space="preserve"> Q2 1.3</v>
      </c>
      <c r="R76" s="1622" t="str">
        <f t="shared" si="70"/>
        <v>Securing Maintenance Management Functions</v>
      </c>
      <c r="S76" s="1626">
        <f t="shared" si="52"/>
        <v>0.5</v>
      </c>
      <c r="T76" s="1626">
        <f t="shared" si="53"/>
        <v>0.5</v>
      </c>
      <c r="U76" s="1626">
        <f t="shared" si="54"/>
        <v>0.5</v>
      </c>
      <c r="V76" s="1626">
        <f t="shared" si="55"/>
        <v>0.5</v>
      </c>
      <c r="W76" s="1626">
        <f t="shared" si="56"/>
        <v>0.5</v>
      </c>
      <c r="X76" s="1626">
        <f t="shared" si="57"/>
        <v>0.5</v>
      </c>
      <c r="Y76" s="1626">
        <f t="shared" si="58"/>
        <v>0.5</v>
      </c>
      <c r="Z76" s="1656">
        <f t="shared" si="59"/>
        <v>0.5</v>
      </c>
      <c r="AA76" s="1626">
        <f t="shared" si="60"/>
        <v>0.5</v>
      </c>
      <c r="AB76" s="1626">
        <f t="shared" si="61"/>
        <v>0.5</v>
      </c>
      <c r="AC76" s="1627">
        <f t="shared" si="62"/>
        <v>0</v>
      </c>
      <c r="AD76" s="1627">
        <f t="shared" si="63"/>
        <v>0</v>
      </c>
      <c r="AE76" s="1627">
        <f t="shared" si="64"/>
        <v>0</v>
      </c>
      <c r="AG76" s="1625" t="s">
        <v>469</v>
      </c>
      <c r="AH76" s="1628" t="s">
        <v>466</v>
      </c>
      <c r="AI76" s="1523" t="s">
        <v>1794</v>
      </c>
      <c r="AJ76" s="1705">
        <v>0.3</v>
      </c>
      <c r="AK76" s="1705">
        <v>0.3</v>
      </c>
      <c r="AL76" s="1705">
        <v>0.3</v>
      </c>
      <c r="AM76" s="1648">
        <v>0.3</v>
      </c>
      <c r="AN76" s="1648">
        <v>0.3</v>
      </c>
      <c r="AO76" s="1705">
        <v>0.3</v>
      </c>
      <c r="AP76" s="1648">
        <v>0.3</v>
      </c>
      <c r="AQ76" s="1705">
        <v>0.3</v>
      </c>
      <c r="AR76" s="1648">
        <v>0.3</v>
      </c>
      <c r="AS76" s="1631">
        <v>0.3</v>
      </c>
      <c r="AT76" s="1632">
        <v>0</v>
      </c>
      <c r="AU76" s="1632">
        <v>0</v>
      </c>
      <c r="AV76" s="1632">
        <v>0</v>
      </c>
      <c r="AX76" s="1625" t="s">
        <v>469</v>
      </c>
      <c r="AY76" s="1628" t="s">
        <v>466</v>
      </c>
      <c r="AZ76" s="1622" t="s">
        <v>1795</v>
      </c>
      <c r="BA76" s="1631">
        <v>0.5</v>
      </c>
      <c r="BB76" s="1631">
        <v>0.5</v>
      </c>
      <c r="BC76" s="1631">
        <v>0.5</v>
      </c>
      <c r="BD76" s="1631">
        <v>0.5</v>
      </c>
      <c r="BE76" s="1631">
        <v>0.5</v>
      </c>
      <c r="BF76" s="1631">
        <v>0.5</v>
      </c>
      <c r="BG76" s="1631">
        <v>0.5</v>
      </c>
      <c r="BH76" s="1649">
        <v>0.5</v>
      </c>
      <c r="BI76" s="1631">
        <v>0.5</v>
      </c>
      <c r="BJ76" s="1631">
        <v>0.5</v>
      </c>
      <c r="BK76" s="1632"/>
      <c r="BL76" s="1632"/>
      <c r="BM76" s="1632"/>
      <c r="BO76" s="1625" t="s">
        <v>469</v>
      </c>
      <c r="BP76" s="1628" t="s">
        <v>466</v>
      </c>
      <c r="BQ76" s="1622" t="s">
        <v>1601</v>
      </c>
      <c r="BR76" s="1631">
        <v>0.5</v>
      </c>
      <c r="BS76" s="1631">
        <v>0.5</v>
      </c>
      <c r="BT76" s="1631">
        <v>0.5</v>
      </c>
      <c r="BU76" s="1631">
        <v>0.5</v>
      </c>
      <c r="BV76" s="1631">
        <v>0.5</v>
      </c>
      <c r="BW76" s="1631">
        <v>0.5</v>
      </c>
      <c r="BX76" s="1631">
        <v>0.5</v>
      </c>
      <c r="BY76" s="1649">
        <v>0.5</v>
      </c>
      <c r="BZ76" s="1631">
        <v>0.5</v>
      </c>
      <c r="CA76" s="1631">
        <v>0.5</v>
      </c>
      <c r="CB76" s="1632"/>
      <c r="CC76" s="1632"/>
      <c r="CD76" s="1632"/>
      <c r="CE76" s="1635"/>
      <c r="CG76" s="1625" t="s">
        <v>469</v>
      </c>
      <c r="CH76" s="1628" t="s">
        <v>466</v>
      </c>
      <c r="CI76" s="1622" t="s">
        <v>1795</v>
      </c>
      <c r="CJ76" s="1636">
        <f t="shared" si="19"/>
        <v>0.5</v>
      </c>
      <c r="CK76" s="1636">
        <f t="shared" ref="CK76:CK141" si="76">BS76</f>
        <v>0.5</v>
      </c>
      <c r="CL76" s="1636">
        <f t="shared" ref="CL76:CL141" si="77">BT76</f>
        <v>0.5</v>
      </c>
      <c r="CM76" s="1636">
        <f t="shared" ref="CM76:CM141" si="78">BU76</f>
        <v>0.5</v>
      </c>
      <c r="CN76" s="1636">
        <f t="shared" ref="CN76:CN141" si="79">BV76</f>
        <v>0.5</v>
      </c>
      <c r="CO76" s="1636">
        <f t="shared" ref="CO76:CO141" si="80">BW76</f>
        <v>0.5</v>
      </c>
      <c r="CP76" s="1636">
        <f t="shared" ref="CP76:CP141" si="81">BX76</f>
        <v>0.5</v>
      </c>
      <c r="CQ76" s="1720">
        <f t="shared" ref="CQ76:CQ141" si="82">BY76</f>
        <v>0.5</v>
      </c>
      <c r="CR76" s="1636">
        <f t="shared" ref="CR76:CR141" si="83">BZ76</f>
        <v>0.5</v>
      </c>
      <c r="CS76" s="1636">
        <f t="shared" ref="CS76:CS141" si="84">CA76</f>
        <v>0.5</v>
      </c>
      <c r="CT76" s="1640">
        <f t="shared" ref="CT76:CT141" si="85">CB76</f>
        <v>0</v>
      </c>
      <c r="CU76" s="1640">
        <f t="shared" ref="CU76:CU141" si="86">CC76</f>
        <v>0</v>
      </c>
      <c r="CV76" s="1640">
        <f t="shared" ref="CV76:CV141" si="87">CD76</f>
        <v>0</v>
      </c>
      <c r="CX76" s="1625" t="s">
        <v>469</v>
      </c>
      <c r="CY76" s="1628" t="s">
        <v>466</v>
      </c>
      <c r="CZ76" s="1622" t="s">
        <v>1795</v>
      </c>
      <c r="DA76" s="1637">
        <v>0</v>
      </c>
      <c r="DB76" s="1638"/>
      <c r="DC76" s="1638"/>
      <c r="DD76" s="1638"/>
      <c r="DE76" s="1638"/>
      <c r="DF76" s="1638"/>
      <c r="DG76" s="1638"/>
      <c r="DH76" s="1721"/>
      <c r="DI76" s="1638"/>
      <c r="DJ76" s="1638"/>
      <c r="DK76" s="1642"/>
      <c r="DL76" s="1642"/>
      <c r="DM76" s="1642"/>
    </row>
    <row r="77" spans="2:117">
      <c r="B77" s="1584" t="str">
        <f t="shared" si="47"/>
        <v>1.3.3</v>
      </c>
      <c r="C77" s="1622" t="str">
        <f t="shared" si="67"/>
        <v>Sanitation management operations</v>
      </c>
      <c r="D77" s="1603">
        <f t="shared" si="71"/>
        <v>0</v>
      </c>
      <c r="E77" s="1603">
        <f t="shared" si="71"/>
        <v>0</v>
      </c>
      <c r="G77" s="1624">
        <f t="shared" si="72"/>
        <v>0</v>
      </c>
      <c r="H77" s="1624">
        <f t="shared" si="73"/>
        <v>0</v>
      </c>
      <c r="I77" s="1624"/>
      <c r="J77" s="1624"/>
      <c r="K77" s="1624">
        <f>IF(Score!W77=0,0,1)</f>
        <v>1</v>
      </c>
      <c r="L77" s="1624">
        <f>IF(Score!X81=0,0,1)</f>
        <v>0</v>
      </c>
      <c r="M77" s="1624">
        <f t="shared" si="74"/>
        <v>0</v>
      </c>
      <c r="N77" s="1624">
        <f t="shared" si="75"/>
        <v>0</v>
      </c>
      <c r="P77" s="1625" t="str">
        <f t="shared" si="68"/>
        <v>1.3.3</v>
      </c>
      <c r="Q77" s="1625" t="str">
        <f t="shared" si="69"/>
        <v xml:space="preserve"> Q2 1.3</v>
      </c>
      <c r="R77" s="1622" t="str">
        <f t="shared" si="70"/>
        <v>Sanitation management operations</v>
      </c>
      <c r="S77" s="1626">
        <f t="shared" si="52"/>
        <v>0</v>
      </c>
      <c r="T77" s="1626">
        <f t="shared" si="53"/>
        <v>0</v>
      </c>
      <c r="U77" s="1626">
        <f t="shared" si="54"/>
        <v>0</v>
      </c>
      <c r="V77" s="1626">
        <f t="shared" si="55"/>
        <v>0</v>
      </c>
      <c r="W77" s="1626">
        <f t="shared" si="56"/>
        <v>0</v>
      </c>
      <c r="X77" s="1626">
        <f t="shared" si="57"/>
        <v>0</v>
      </c>
      <c r="Y77" s="1626">
        <f t="shared" si="58"/>
        <v>0</v>
      </c>
      <c r="Z77" s="1656">
        <f t="shared" si="59"/>
        <v>0</v>
      </c>
      <c r="AA77" s="1626">
        <f t="shared" si="60"/>
        <v>0</v>
      </c>
      <c r="AB77" s="1626">
        <f t="shared" si="61"/>
        <v>0</v>
      </c>
      <c r="AC77" s="1627">
        <f t="shared" si="62"/>
        <v>0</v>
      </c>
      <c r="AD77" s="1627">
        <f t="shared" si="63"/>
        <v>0</v>
      </c>
      <c r="AE77" s="1627">
        <f t="shared" si="64"/>
        <v>0</v>
      </c>
      <c r="AG77" s="1625" t="s">
        <v>472</v>
      </c>
      <c r="AH77" s="1628" t="s">
        <v>661</v>
      </c>
      <c r="AI77" s="1523" t="s">
        <v>1796</v>
      </c>
      <c r="AJ77" s="1705">
        <v>0.2</v>
      </c>
      <c r="AK77" s="1705">
        <v>0.2</v>
      </c>
      <c r="AL77" s="1705">
        <v>0.2</v>
      </c>
      <c r="AM77" s="1648">
        <v>0.2</v>
      </c>
      <c r="AN77" s="1648">
        <v>0.2</v>
      </c>
      <c r="AO77" s="1705">
        <v>0.2</v>
      </c>
      <c r="AP77" s="1648">
        <v>0.2</v>
      </c>
      <c r="AQ77" s="1705">
        <v>0.2</v>
      </c>
      <c r="AR77" s="1648">
        <v>0.2</v>
      </c>
      <c r="AS77" s="1631">
        <v>0.2</v>
      </c>
      <c r="AT77" s="1632">
        <v>0</v>
      </c>
      <c r="AU77" s="1632">
        <v>0</v>
      </c>
      <c r="AV77" s="1632">
        <v>0</v>
      </c>
      <c r="AX77" s="1625">
        <v>0</v>
      </c>
      <c r="AY77" s="1628" t="s">
        <v>662</v>
      </c>
      <c r="AZ77" s="1622"/>
      <c r="BA77" s="1631"/>
      <c r="BB77" s="1631"/>
      <c r="BC77" s="1631"/>
      <c r="BD77" s="1631"/>
      <c r="BE77" s="1631"/>
      <c r="BF77" s="1631"/>
      <c r="BG77" s="1631"/>
      <c r="BH77" s="1725"/>
      <c r="BI77" s="1631"/>
      <c r="BJ77" s="1631"/>
      <c r="BK77" s="1632"/>
      <c r="BL77" s="1632"/>
      <c r="BM77" s="1632"/>
      <c r="BO77" s="1625" t="s">
        <v>472</v>
      </c>
      <c r="BP77" s="1628" t="s">
        <v>466</v>
      </c>
      <c r="BQ77" s="1622" t="s">
        <v>3534</v>
      </c>
      <c r="BR77" s="1631"/>
      <c r="BS77" s="1631"/>
      <c r="BT77" s="1631"/>
      <c r="BU77" s="1631"/>
      <c r="BV77" s="1631"/>
      <c r="BW77" s="1631"/>
      <c r="BX77" s="1631"/>
      <c r="BY77" s="1725"/>
      <c r="BZ77" s="1631"/>
      <c r="CA77" s="1631"/>
      <c r="CB77" s="1632"/>
      <c r="CC77" s="1632"/>
      <c r="CD77" s="1632"/>
      <c r="CE77" s="1635"/>
      <c r="CG77" s="1625">
        <v>0</v>
      </c>
      <c r="CH77" s="1628" t="s">
        <v>662</v>
      </c>
      <c r="CI77" s="1622"/>
      <c r="CJ77" s="1636">
        <f t="shared" ref="CJ77:CJ144" si="88">BR77</f>
        <v>0</v>
      </c>
      <c r="CK77" s="1636">
        <f t="shared" si="76"/>
        <v>0</v>
      </c>
      <c r="CL77" s="1636">
        <f t="shared" si="77"/>
        <v>0</v>
      </c>
      <c r="CM77" s="1636">
        <f t="shared" si="78"/>
        <v>0</v>
      </c>
      <c r="CN77" s="1636">
        <f t="shared" si="79"/>
        <v>0</v>
      </c>
      <c r="CO77" s="1636">
        <f t="shared" si="80"/>
        <v>0</v>
      </c>
      <c r="CP77" s="1636">
        <f t="shared" si="81"/>
        <v>0</v>
      </c>
      <c r="CQ77" s="1726">
        <f t="shared" si="82"/>
        <v>0</v>
      </c>
      <c r="CR77" s="1636">
        <f t="shared" si="83"/>
        <v>0</v>
      </c>
      <c r="CS77" s="1636">
        <f t="shared" si="84"/>
        <v>0</v>
      </c>
      <c r="CT77" s="1640">
        <f t="shared" si="85"/>
        <v>0</v>
      </c>
      <c r="CU77" s="1640">
        <f t="shared" si="86"/>
        <v>0</v>
      </c>
      <c r="CV77" s="1640">
        <f t="shared" si="87"/>
        <v>0</v>
      </c>
      <c r="CX77" s="1625">
        <v>0</v>
      </c>
      <c r="CY77" s="1628" t="s">
        <v>662</v>
      </c>
      <c r="CZ77" s="1622"/>
      <c r="DA77" s="1638">
        <f t="shared" ref="DA77:DA139" si="89">BR77</f>
        <v>0</v>
      </c>
      <c r="DB77" s="1638"/>
      <c r="DC77" s="1638"/>
      <c r="DD77" s="1638"/>
      <c r="DE77" s="1638"/>
      <c r="DF77" s="1638"/>
      <c r="DG77" s="1638"/>
      <c r="DH77" s="1727"/>
      <c r="DI77" s="1638"/>
      <c r="DJ77" s="1638"/>
      <c r="DK77" s="1642"/>
      <c r="DL77" s="1642"/>
      <c r="DM77" s="1642"/>
    </row>
    <row r="78" spans="2:117">
      <c r="B78" s="1584">
        <f t="shared" ref="B78:B109" si="90">P78</f>
        <v>2</v>
      </c>
      <c r="C78" s="1600" t="str">
        <f t="shared" si="67"/>
        <v>Durability &amp; Reliability</v>
      </c>
      <c r="D78" s="1601">
        <f>IF(I$62=0,0,G78/I$62)</f>
        <v>0.3</v>
      </c>
      <c r="E78" s="1602">
        <f>IF(J$62=0,0,H78/J$62)</f>
        <v>0</v>
      </c>
      <c r="G78" s="1602">
        <f t="shared" si="72"/>
        <v>0.3</v>
      </c>
      <c r="H78" s="1602">
        <f t="shared" si="73"/>
        <v>0</v>
      </c>
      <c r="I78" s="1602">
        <f>G79+G82++G89+G93</f>
        <v>1</v>
      </c>
      <c r="J78" s="1602">
        <f>H79+H82++H89+H93</f>
        <v>0</v>
      </c>
      <c r="K78" s="1602">
        <f>IF(L78&gt;0,1,IF(Score!Z78=0,0,1))</f>
        <v>1</v>
      </c>
      <c r="L78" s="1602">
        <f>IF(Score!AB78=0,0,1)</f>
        <v>0</v>
      </c>
      <c r="M78" s="1602">
        <f t="shared" si="74"/>
        <v>0.3</v>
      </c>
      <c r="N78" s="1602">
        <f t="shared" si="75"/>
        <v>0</v>
      </c>
      <c r="P78" s="1604">
        <f t="shared" si="68"/>
        <v>2</v>
      </c>
      <c r="Q78" s="1604" t="str">
        <f t="shared" si="69"/>
        <v xml:space="preserve"> Q2</v>
      </c>
      <c r="R78" s="1600" t="str">
        <f t="shared" si="70"/>
        <v>Durability &amp; Reliability</v>
      </c>
      <c r="S78" s="1605">
        <f t="shared" si="52"/>
        <v>0.3</v>
      </c>
      <c r="T78" s="1605">
        <f t="shared" si="53"/>
        <v>0.3</v>
      </c>
      <c r="U78" s="1605">
        <f t="shared" si="54"/>
        <v>0.3</v>
      </c>
      <c r="V78" s="1605">
        <f t="shared" si="55"/>
        <v>0.3</v>
      </c>
      <c r="W78" s="1605">
        <f t="shared" si="56"/>
        <v>0.3</v>
      </c>
      <c r="X78" s="1605">
        <f t="shared" si="57"/>
        <v>0.3</v>
      </c>
      <c r="Y78" s="1605">
        <f t="shared" si="58"/>
        <v>0.3</v>
      </c>
      <c r="Z78" s="1728">
        <f t="shared" si="59"/>
        <v>0.3</v>
      </c>
      <c r="AA78" s="1605">
        <f t="shared" si="60"/>
        <v>0.3</v>
      </c>
      <c r="AB78" s="1605">
        <f t="shared" si="61"/>
        <v>0.3</v>
      </c>
      <c r="AC78" s="1607">
        <f t="shared" si="62"/>
        <v>0</v>
      </c>
      <c r="AD78" s="1605">
        <f t="shared" si="63"/>
        <v>0</v>
      </c>
      <c r="AE78" s="1605">
        <f t="shared" si="64"/>
        <v>0</v>
      </c>
      <c r="AG78" s="1604">
        <v>2</v>
      </c>
      <c r="AH78" s="1608" t="s">
        <v>603</v>
      </c>
      <c r="AI78" s="1600" t="s">
        <v>1797</v>
      </c>
      <c r="AJ78" s="1609">
        <v>0.3</v>
      </c>
      <c r="AK78" s="1609">
        <v>0.3</v>
      </c>
      <c r="AL78" s="1609">
        <v>0.3</v>
      </c>
      <c r="AM78" s="1609">
        <v>0.3</v>
      </c>
      <c r="AN78" s="1609">
        <v>0.3</v>
      </c>
      <c r="AO78" s="1609">
        <v>0.3</v>
      </c>
      <c r="AP78" s="1609">
        <v>0.3</v>
      </c>
      <c r="AQ78" s="1729">
        <v>0.3</v>
      </c>
      <c r="AR78" s="1609">
        <v>0.3</v>
      </c>
      <c r="AS78" s="1611">
        <v>0.3</v>
      </c>
      <c r="AT78" s="1612">
        <v>0</v>
      </c>
      <c r="AU78" s="1611">
        <v>0</v>
      </c>
      <c r="AV78" s="1611">
        <v>0</v>
      </c>
      <c r="AX78" s="1604">
        <v>2</v>
      </c>
      <c r="AY78" s="1608" t="s">
        <v>603</v>
      </c>
      <c r="AZ78" s="1600" t="s">
        <v>1798</v>
      </c>
      <c r="BA78" s="1611">
        <v>0.3</v>
      </c>
      <c r="BB78" s="1611">
        <v>0.3</v>
      </c>
      <c r="BC78" s="1611">
        <v>0.3</v>
      </c>
      <c r="BD78" s="1611">
        <v>0.3</v>
      </c>
      <c r="BE78" s="1611">
        <v>0.3</v>
      </c>
      <c r="BF78" s="1611">
        <v>0.3</v>
      </c>
      <c r="BG78" s="1611">
        <v>0.3</v>
      </c>
      <c r="BH78" s="1730">
        <v>0.3</v>
      </c>
      <c r="BI78" s="1611">
        <v>0.3</v>
      </c>
      <c r="BJ78" s="1611">
        <v>0.3</v>
      </c>
      <c r="BK78" s="1612"/>
      <c r="BL78" s="1611"/>
      <c r="BM78" s="1611"/>
      <c r="BO78" s="1604">
        <v>2</v>
      </c>
      <c r="BP78" s="1608" t="s">
        <v>603</v>
      </c>
      <c r="BQ78" s="1600" t="s">
        <v>1602</v>
      </c>
      <c r="BR78" s="1611">
        <v>0.3</v>
      </c>
      <c r="BS78" s="1611">
        <v>0.3</v>
      </c>
      <c r="BT78" s="1611">
        <v>0.3</v>
      </c>
      <c r="BU78" s="1611">
        <v>0.3</v>
      </c>
      <c r="BV78" s="1611">
        <v>0.3</v>
      </c>
      <c r="BW78" s="1611">
        <v>0.3</v>
      </c>
      <c r="BX78" s="1611">
        <v>0.3</v>
      </c>
      <c r="BY78" s="1611">
        <v>0.3</v>
      </c>
      <c r="BZ78" s="1611">
        <v>0.3</v>
      </c>
      <c r="CA78" s="1611">
        <v>0.3</v>
      </c>
      <c r="CB78" s="1612"/>
      <c r="CC78" s="1611"/>
      <c r="CD78" s="1611"/>
      <c r="CE78" s="1615"/>
      <c r="CG78" s="1604">
        <v>2</v>
      </c>
      <c r="CH78" s="1608" t="s">
        <v>603</v>
      </c>
      <c r="CI78" s="1600" t="s">
        <v>1797</v>
      </c>
      <c r="CJ78" s="1619">
        <v>0.25</v>
      </c>
      <c r="CK78" s="1619">
        <v>0.25</v>
      </c>
      <c r="CL78" s="1619">
        <v>0.25</v>
      </c>
      <c r="CM78" s="1619">
        <v>0.25</v>
      </c>
      <c r="CN78" s="1619">
        <v>0.25</v>
      </c>
      <c r="CO78" s="1619">
        <v>0.25</v>
      </c>
      <c r="CP78" s="1619">
        <v>0.25</v>
      </c>
      <c r="CQ78" s="1619">
        <v>0.25</v>
      </c>
      <c r="CR78" s="1619">
        <v>0.25</v>
      </c>
      <c r="CS78" s="1619">
        <v>0.25</v>
      </c>
      <c r="CT78" s="1621">
        <f t="shared" si="85"/>
        <v>0</v>
      </c>
      <c r="CU78" s="1619">
        <f t="shared" si="86"/>
        <v>0</v>
      </c>
      <c r="CV78" s="1619">
        <f t="shared" si="87"/>
        <v>0</v>
      </c>
      <c r="CX78" s="1604">
        <v>2</v>
      </c>
      <c r="CY78" s="1608" t="s">
        <v>603</v>
      </c>
      <c r="CZ78" s="1600" t="s">
        <v>1797</v>
      </c>
      <c r="DA78" s="1731">
        <v>0.2</v>
      </c>
      <c r="DB78" s="1619"/>
      <c r="DC78" s="1619"/>
      <c r="DD78" s="1619"/>
      <c r="DE78" s="1619"/>
      <c r="DF78" s="1619"/>
      <c r="DG78" s="1619"/>
      <c r="DH78" s="1619"/>
      <c r="DI78" s="1619"/>
      <c r="DJ78" s="1619"/>
      <c r="DK78" s="1621"/>
      <c r="DL78" s="1619"/>
      <c r="DM78" s="1619"/>
    </row>
    <row r="79" spans="2:117">
      <c r="B79" s="1584">
        <f t="shared" si="90"/>
        <v>2.1</v>
      </c>
      <c r="C79" s="1622" t="str">
        <f t="shared" si="67"/>
        <v>Earthquake Resistance, Seismic Isolation, Seismic Control, &amp; Vibration Control</v>
      </c>
      <c r="D79" s="1623">
        <f>IF(I$78=0,0,G79/I$78)</f>
        <v>0.5</v>
      </c>
      <c r="E79" s="1624">
        <f>IF(J$78=0,0,H79/J$78)</f>
        <v>0</v>
      </c>
      <c r="G79" s="1624">
        <f t="shared" si="72"/>
        <v>0.5</v>
      </c>
      <c r="H79" s="1624">
        <f t="shared" si="73"/>
        <v>0</v>
      </c>
      <c r="I79" s="1624">
        <f>SUM(G80:G81)</f>
        <v>1</v>
      </c>
      <c r="J79" s="1624">
        <f>SUM(H80:H81)</f>
        <v>0</v>
      </c>
      <c r="K79" s="1624">
        <f>IF(Score!Z79=0,0,1)</f>
        <v>1</v>
      </c>
      <c r="L79" s="1624">
        <f>IF(Score!AB79=0,0,1)</f>
        <v>0</v>
      </c>
      <c r="M79" s="1624">
        <f t="shared" si="74"/>
        <v>0.5</v>
      </c>
      <c r="N79" s="1624">
        <f t="shared" si="75"/>
        <v>0</v>
      </c>
      <c r="P79" s="1625">
        <f t="shared" si="68"/>
        <v>2.1</v>
      </c>
      <c r="Q79" s="1625" t="str">
        <f t="shared" si="69"/>
        <v xml:space="preserve"> Q2 2</v>
      </c>
      <c r="R79" s="1622" t="str">
        <f t="shared" si="70"/>
        <v>Earthquake Resistance, Seismic Isolation, Seismic Control, &amp; Vibration Control</v>
      </c>
      <c r="S79" s="1626">
        <f t="shared" si="52"/>
        <v>0.5</v>
      </c>
      <c r="T79" s="1626">
        <f t="shared" si="53"/>
        <v>0.5</v>
      </c>
      <c r="U79" s="1626">
        <f t="shared" si="54"/>
        <v>0.5</v>
      </c>
      <c r="V79" s="1626">
        <f t="shared" si="55"/>
        <v>0.5</v>
      </c>
      <c r="W79" s="1626">
        <f t="shared" si="56"/>
        <v>0.5</v>
      </c>
      <c r="X79" s="1626">
        <f t="shared" si="57"/>
        <v>0.5</v>
      </c>
      <c r="Y79" s="1626">
        <f t="shared" si="58"/>
        <v>0.5</v>
      </c>
      <c r="Z79" s="1645">
        <f t="shared" si="59"/>
        <v>0.5</v>
      </c>
      <c r="AA79" s="1626">
        <f t="shared" si="60"/>
        <v>0.5</v>
      </c>
      <c r="AB79" s="1626">
        <f t="shared" si="61"/>
        <v>0.5</v>
      </c>
      <c r="AC79" s="1627">
        <f t="shared" si="62"/>
        <v>0</v>
      </c>
      <c r="AD79" s="1626">
        <f t="shared" si="63"/>
        <v>0</v>
      </c>
      <c r="AE79" s="1626">
        <f t="shared" si="64"/>
        <v>0</v>
      </c>
      <c r="AG79" s="1625">
        <v>2.1</v>
      </c>
      <c r="AH79" s="1628" t="s">
        <v>474</v>
      </c>
      <c r="AI79" s="1622" t="s">
        <v>1799</v>
      </c>
      <c r="AJ79" s="1630">
        <v>0.25</v>
      </c>
      <c r="AK79" s="1630">
        <v>0.25</v>
      </c>
      <c r="AL79" s="1630">
        <v>0.25</v>
      </c>
      <c r="AM79" s="1630">
        <v>0.25</v>
      </c>
      <c r="AN79" s="1630">
        <v>0.25</v>
      </c>
      <c r="AO79" s="1630">
        <v>0.25</v>
      </c>
      <c r="AP79" s="1630">
        <v>0.25</v>
      </c>
      <c r="AQ79" s="1732">
        <v>0.25</v>
      </c>
      <c r="AR79" s="1630">
        <v>0.25</v>
      </c>
      <c r="AS79" s="1631">
        <v>0.25</v>
      </c>
      <c r="AT79" s="1632">
        <v>0</v>
      </c>
      <c r="AU79" s="1631">
        <v>0</v>
      </c>
      <c r="AV79" s="1631">
        <v>0</v>
      </c>
      <c r="AX79" s="1625">
        <v>2.1</v>
      </c>
      <c r="AY79" s="1628" t="s">
        <v>474</v>
      </c>
      <c r="AZ79" s="1622" t="s">
        <v>1800</v>
      </c>
      <c r="BA79" s="1631">
        <v>0.5</v>
      </c>
      <c r="BB79" s="1631">
        <v>0.5</v>
      </c>
      <c r="BC79" s="1631">
        <v>0.5</v>
      </c>
      <c r="BD79" s="1631">
        <v>0.5</v>
      </c>
      <c r="BE79" s="1631">
        <v>0.5</v>
      </c>
      <c r="BF79" s="1631">
        <v>0.5</v>
      </c>
      <c r="BG79" s="1631">
        <v>0.5</v>
      </c>
      <c r="BH79" s="1649">
        <v>0.5</v>
      </c>
      <c r="BI79" s="1631">
        <v>0.5</v>
      </c>
      <c r="BJ79" s="1631">
        <v>0.5</v>
      </c>
      <c r="BK79" s="1632"/>
      <c r="BL79" s="1631"/>
      <c r="BM79" s="1631"/>
      <c r="BO79" s="1625">
        <v>2.1</v>
      </c>
      <c r="BP79" s="1628" t="s">
        <v>474</v>
      </c>
      <c r="BQ79" s="1818" t="s">
        <v>3352</v>
      </c>
      <c r="BR79" s="1631">
        <v>0.5</v>
      </c>
      <c r="BS79" s="1631">
        <v>0.5</v>
      </c>
      <c r="BT79" s="1631">
        <v>0.5</v>
      </c>
      <c r="BU79" s="1631">
        <v>0.5</v>
      </c>
      <c r="BV79" s="1631">
        <v>0.5</v>
      </c>
      <c r="BW79" s="1631">
        <v>0.5</v>
      </c>
      <c r="BX79" s="1631">
        <v>0.5</v>
      </c>
      <c r="BY79" s="1649">
        <v>0.5</v>
      </c>
      <c r="BZ79" s="1631">
        <v>0.5</v>
      </c>
      <c r="CA79" s="1631">
        <v>0.5</v>
      </c>
      <c r="CB79" s="1632"/>
      <c r="CC79" s="1631"/>
      <c r="CD79" s="1631"/>
      <c r="CE79" s="1635"/>
      <c r="CG79" s="1625">
        <v>2.1</v>
      </c>
      <c r="CH79" s="1628" t="s">
        <v>474</v>
      </c>
      <c r="CI79" s="1622" t="s">
        <v>1801</v>
      </c>
      <c r="CJ79" s="1638">
        <v>0.9</v>
      </c>
      <c r="CK79" s="1638">
        <v>0.9</v>
      </c>
      <c r="CL79" s="1638">
        <v>0.9</v>
      </c>
      <c r="CM79" s="1638">
        <v>0.9</v>
      </c>
      <c r="CN79" s="1638">
        <v>0.9</v>
      </c>
      <c r="CO79" s="1638">
        <v>0.9</v>
      </c>
      <c r="CP79" s="1638">
        <v>0.9</v>
      </c>
      <c r="CQ79" s="1638">
        <v>0.9</v>
      </c>
      <c r="CR79" s="1638">
        <v>0.9</v>
      </c>
      <c r="CS79" s="1638">
        <v>0.9</v>
      </c>
      <c r="CT79" s="1640">
        <f t="shared" si="85"/>
        <v>0</v>
      </c>
      <c r="CU79" s="1636">
        <f t="shared" si="86"/>
        <v>0</v>
      </c>
      <c r="CV79" s="1636">
        <f t="shared" si="87"/>
        <v>0</v>
      </c>
      <c r="CX79" s="1625">
        <v>2.1</v>
      </c>
      <c r="CY79" s="1628" t="s">
        <v>474</v>
      </c>
      <c r="CZ79" s="1622" t="s">
        <v>1801</v>
      </c>
      <c r="DA79" s="1637">
        <v>0.4</v>
      </c>
      <c r="DB79" s="1638"/>
      <c r="DC79" s="1638"/>
      <c r="DD79" s="1638"/>
      <c r="DE79" s="1638"/>
      <c r="DF79" s="1638"/>
      <c r="DG79" s="1638"/>
      <c r="DH79" s="1638"/>
      <c r="DI79" s="1638"/>
      <c r="DJ79" s="1638"/>
      <c r="DK79" s="1642"/>
      <c r="DL79" s="1638"/>
      <c r="DM79" s="1638"/>
    </row>
    <row r="80" spans="2:117">
      <c r="B80" s="1584" t="str">
        <f t="shared" si="90"/>
        <v>2.1.1</v>
      </c>
      <c r="C80" s="1622" t="str">
        <f t="shared" si="67"/>
        <v>Earthquake-resistance</v>
      </c>
      <c r="D80" s="1603">
        <f>IF(I$79&gt;0,G80/I$79,0)</f>
        <v>0.8</v>
      </c>
      <c r="E80" s="1624">
        <f>IF(J$79&gt;0,H80/J$79,0)</f>
        <v>0</v>
      </c>
      <c r="G80" s="1624">
        <f t="shared" si="72"/>
        <v>0.8</v>
      </c>
      <c r="H80" s="1624">
        <f t="shared" si="73"/>
        <v>0</v>
      </c>
      <c r="I80" s="1624"/>
      <c r="J80" s="1624"/>
      <c r="K80" s="1624">
        <f>IF(Score!W80=0,0,1)</f>
        <v>1</v>
      </c>
      <c r="L80" s="1624">
        <f>IF(Score!X80=0,0,1)</f>
        <v>0</v>
      </c>
      <c r="M80" s="1624">
        <f t="shared" si="74"/>
        <v>0.8</v>
      </c>
      <c r="N80" s="1624">
        <f t="shared" si="75"/>
        <v>0</v>
      </c>
      <c r="P80" s="1625" t="str">
        <f t="shared" si="68"/>
        <v>2.1.1</v>
      </c>
      <c r="Q80" s="1625" t="str">
        <f t="shared" si="69"/>
        <v xml:space="preserve"> Q2 2.1</v>
      </c>
      <c r="R80" s="1622" t="str">
        <f t="shared" si="70"/>
        <v>Earthquake-resistance</v>
      </c>
      <c r="S80" s="1626">
        <f t="shared" si="52"/>
        <v>0.8</v>
      </c>
      <c r="T80" s="1626">
        <f t="shared" si="53"/>
        <v>0.8</v>
      </c>
      <c r="U80" s="1626">
        <f t="shared" si="54"/>
        <v>0.8</v>
      </c>
      <c r="V80" s="1626">
        <f t="shared" si="55"/>
        <v>0.8</v>
      </c>
      <c r="W80" s="1626">
        <f t="shared" si="56"/>
        <v>0.8</v>
      </c>
      <c r="X80" s="1626">
        <f t="shared" si="57"/>
        <v>0.8</v>
      </c>
      <c r="Y80" s="1626">
        <f t="shared" si="58"/>
        <v>0.8</v>
      </c>
      <c r="Z80" s="1645">
        <f t="shared" si="59"/>
        <v>0.8</v>
      </c>
      <c r="AA80" s="1626">
        <f t="shared" si="60"/>
        <v>0.8</v>
      </c>
      <c r="AB80" s="1626">
        <f t="shared" si="61"/>
        <v>0.8</v>
      </c>
      <c r="AC80" s="1627">
        <f t="shared" si="62"/>
        <v>0</v>
      </c>
      <c r="AD80" s="1626">
        <f t="shared" si="63"/>
        <v>0</v>
      </c>
      <c r="AE80" s="1626">
        <f t="shared" si="64"/>
        <v>0</v>
      </c>
      <c r="AG80" s="1625" t="s">
        <v>663</v>
      </c>
      <c r="AH80" s="1628" t="s">
        <v>475</v>
      </c>
      <c r="AI80" s="1622" t="s">
        <v>1802</v>
      </c>
      <c r="AJ80" s="1630">
        <v>0.8</v>
      </c>
      <c r="AK80" s="1630">
        <v>0.8</v>
      </c>
      <c r="AL80" s="1630">
        <v>0.8</v>
      </c>
      <c r="AM80" s="1630">
        <v>0.8</v>
      </c>
      <c r="AN80" s="1630">
        <v>0.8</v>
      </c>
      <c r="AO80" s="1630">
        <v>0.8</v>
      </c>
      <c r="AP80" s="1630">
        <v>0.8</v>
      </c>
      <c r="AQ80" s="1732">
        <v>0.8</v>
      </c>
      <c r="AR80" s="1630">
        <v>0.8</v>
      </c>
      <c r="AS80" s="1631">
        <v>0.8</v>
      </c>
      <c r="AT80" s="1632">
        <v>0</v>
      </c>
      <c r="AU80" s="1631">
        <v>0</v>
      </c>
      <c r="AV80" s="1631">
        <v>0</v>
      </c>
      <c r="AX80" s="1625" t="s">
        <v>663</v>
      </c>
      <c r="AY80" s="1628" t="s">
        <v>475</v>
      </c>
      <c r="AZ80" s="1622" t="s">
        <v>1802</v>
      </c>
      <c r="BA80" s="1631">
        <v>0.8</v>
      </c>
      <c r="BB80" s="1631">
        <v>0.8</v>
      </c>
      <c r="BC80" s="1631">
        <v>0.8</v>
      </c>
      <c r="BD80" s="1631">
        <v>0.8</v>
      </c>
      <c r="BE80" s="1631">
        <v>0.8</v>
      </c>
      <c r="BF80" s="1631">
        <v>0.8</v>
      </c>
      <c r="BG80" s="1631">
        <v>0.8</v>
      </c>
      <c r="BH80" s="1649">
        <v>0.8</v>
      </c>
      <c r="BI80" s="1631">
        <v>0.8</v>
      </c>
      <c r="BJ80" s="1631">
        <v>0.8</v>
      </c>
      <c r="BK80" s="1632"/>
      <c r="BL80" s="1631"/>
      <c r="BM80" s="1631"/>
      <c r="BO80" s="1625" t="s">
        <v>663</v>
      </c>
      <c r="BP80" s="1628" t="s">
        <v>475</v>
      </c>
      <c r="BQ80" s="1622" t="s">
        <v>1603</v>
      </c>
      <c r="BR80" s="1631">
        <v>0.8</v>
      </c>
      <c r="BS80" s="1631">
        <v>0.8</v>
      </c>
      <c r="BT80" s="1631">
        <v>0.8</v>
      </c>
      <c r="BU80" s="1631">
        <v>0.8</v>
      </c>
      <c r="BV80" s="1631">
        <v>0.8</v>
      </c>
      <c r="BW80" s="1631">
        <v>0.8</v>
      </c>
      <c r="BX80" s="1631">
        <v>0.8</v>
      </c>
      <c r="BY80" s="1649">
        <v>0.8</v>
      </c>
      <c r="BZ80" s="1631">
        <v>0.8</v>
      </c>
      <c r="CA80" s="1631">
        <v>0.8</v>
      </c>
      <c r="CB80" s="1632"/>
      <c r="CC80" s="1631"/>
      <c r="CD80" s="1631"/>
      <c r="CE80" s="1635"/>
      <c r="CG80" s="1625" t="s">
        <v>58</v>
      </c>
      <c r="CH80" s="1628" t="s">
        <v>475</v>
      </c>
      <c r="CI80" s="1622" t="s">
        <v>1802</v>
      </c>
      <c r="CJ80" s="1638">
        <v>1</v>
      </c>
      <c r="CK80" s="1638">
        <v>1</v>
      </c>
      <c r="CL80" s="1638">
        <v>1</v>
      </c>
      <c r="CM80" s="1638">
        <v>1</v>
      </c>
      <c r="CN80" s="1638">
        <v>1</v>
      </c>
      <c r="CO80" s="1638">
        <v>1</v>
      </c>
      <c r="CP80" s="1638">
        <v>1</v>
      </c>
      <c r="CQ80" s="1638">
        <v>1</v>
      </c>
      <c r="CR80" s="1638">
        <v>1</v>
      </c>
      <c r="CS80" s="1638">
        <v>1</v>
      </c>
      <c r="CT80" s="1640">
        <f t="shared" si="85"/>
        <v>0</v>
      </c>
      <c r="CU80" s="1636">
        <f t="shared" si="86"/>
        <v>0</v>
      </c>
      <c r="CV80" s="1636">
        <f t="shared" si="87"/>
        <v>0</v>
      </c>
      <c r="CX80" s="1625" t="s">
        <v>58</v>
      </c>
      <c r="CY80" s="1628" t="s">
        <v>475</v>
      </c>
      <c r="CZ80" s="1622" t="s">
        <v>1802</v>
      </c>
      <c r="DA80" s="1638">
        <f t="shared" si="89"/>
        <v>0.8</v>
      </c>
      <c r="DB80" s="1638"/>
      <c r="DC80" s="1638"/>
      <c r="DD80" s="1638"/>
      <c r="DE80" s="1638"/>
      <c r="DF80" s="1638"/>
      <c r="DG80" s="1638"/>
      <c r="DH80" s="1638"/>
      <c r="DI80" s="1638"/>
      <c r="DJ80" s="1638"/>
      <c r="DK80" s="1642"/>
      <c r="DL80" s="1638"/>
      <c r="DM80" s="1638"/>
    </row>
    <row r="81" spans="2:117">
      <c r="B81" s="1584" t="str">
        <f t="shared" si="90"/>
        <v>2.1.2</v>
      </c>
      <c r="C81" s="1622" t="str">
        <f t="shared" si="67"/>
        <v>Seismic Isolation, Seismic &amp; Vibration Control</v>
      </c>
      <c r="D81" s="1603">
        <f>IF(I$79&gt;0,G81/I$79,0)</f>
        <v>0.2</v>
      </c>
      <c r="E81" s="1624">
        <f>IF(J$79&gt;0,H81/J$79,0)</f>
        <v>0</v>
      </c>
      <c r="G81" s="1624">
        <f t="shared" si="72"/>
        <v>0.2</v>
      </c>
      <c r="H81" s="1624">
        <f t="shared" si="73"/>
        <v>0</v>
      </c>
      <c r="I81" s="1624"/>
      <c r="J81" s="1624"/>
      <c r="K81" s="1624">
        <f>IF(Score!W81=0,0,1)</f>
        <v>1</v>
      </c>
      <c r="L81" s="1624">
        <f>IF(Score!X81=0,0,1)</f>
        <v>0</v>
      </c>
      <c r="M81" s="1624">
        <f t="shared" si="74"/>
        <v>0.2</v>
      </c>
      <c r="N81" s="1624">
        <f t="shared" si="75"/>
        <v>0</v>
      </c>
      <c r="P81" s="1625" t="str">
        <f t="shared" si="68"/>
        <v>2.1.2</v>
      </c>
      <c r="Q81" s="1625" t="str">
        <f t="shared" si="69"/>
        <v xml:space="preserve"> Q2 2.1</v>
      </c>
      <c r="R81" s="1622" t="str">
        <f t="shared" si="70"/>
        <v>Seismic Isolation, Seismic &amp; Vibration Control</v>
      </c>
      <c r="S81" s="1626">
        <f t="shared" si="52"/>
        <v>0.2</v>
      </c>
      <c r="T81" s="1626">
        <f t="shared" si="53"/>
        <v>0.2</v>
      </c>
      <c r="U81" s="1626">
        <f t="shared" si="54"/>
        <v>0.2</v>
      </c>
      <c r="V81" s="1626">
        <f t="shared" si="55"/>
        <v>0.2</v>
      </c>
      <c r="W81" s="1626">
        <f t="shared" si="56"/>
        <v>0.2</v>
      </c>
      <c r="X81" s="1626">
        <f t="shared" si="57"/>
        <v>0.2</v>
      </c>
      <c r="Y81" s="1626">
        <f t="shared" si="58"/>
        <v>0.2</v>
      </c>
      <c r="Z81" s="1645">
        <f t="shared" si="59"/>
        <v>0.2</v>
      </c>
      <c r="AA81" s="1626">
        <f t="shared" si="60"/>
        <v>0.2</v>
      </c>
      <c r="AB81" s="1626">
        <f t="shared" si="61"/>
        <v>0.2</v>
      </c>
      <c r="AC81" s="1627">
        <f t="shared" si="62"/>
        <v>0</v>
      </c>
      <c r="AD81" s="1626">
        <f t="shared" si="63"/>
        <v>0</v>
      </c>
      <c r="AE81" s="1626">
        <f t="shared" si="64"/>
        <v>0</v>
      </c>
      <c r="AG81" s="1625" t="s">
        <v>664</v>
      </c>
      <c r="AH81" s="1628" t="s">
        <v>475</v>
      </c>
      <c r="AI81" s="1622" t="s">
        <v>1803</v>
      </c>
      <c r="AJ81" s="1630">
        <v>0.2</v>
      </c>
      <c r="AK81" s="1630">
        <v>0.2</v>
      </c>
      <c r="AL81" s="1630">
        <v>0.2</v>
      </c>
      <c r="AM81" s="1630">
        <v>0.2</v>
      </c>
      <c r="AN81" s="1630">
        <v>0.2</v>
      </c>
      <c r="AO81" s="1630">
        <v>0.2</v>
      </c>
      <c r="AP81" s="1630">
        <v>0.2</v>
      </c>
      <c r="AQ81" s="1732">
        <v>0.2</v>
      </c>
      <c r="AR81" s="1630">
        <v>0.2</v>
      </c>
      <c r="AS81" s="1631">
        <v>0.2</v>
      </c>
      <c r="AT81" s="1632">
        <v>0</v>
      </c>
      <c r="AU81" s="1631">
        <v>0</v>
      </c>
      <c r="AV81" s="1631">
        <v>0</v>
      </c>
      <c r="AX81" s="1625" t="s">
        <v>665</v>
      </c>
      <c r="AY81" s="1628" t="s">
        <v>475</v>
      </c>
      <c r="AZ81" s="1622" t="s">
        <v>1804</v>
      </c>
      <c r="BA81" s="1631">
        <v>0.2</v>
      </c>
      <c r="BB81" s="1631">
        <v>0.2</v>
      </c>
      <c r="BC81" s="1631">
        <v>0.2</v>
      </c>
      <c r="BD81" s="1631">
        <v>0.2</v>
      </c>
      <c r="BE81" s="1631">
        <v>0.2</v>
      </c>
      <c r="BF81" s="1631">
        <v>0.2</v>
      </c>
      <c r="BG81" s="1631">
        <v>0.2</v>
      </c>
      <c r="BH81" s="1649">
        <v>0.2</v>
      </c>
      <c r="BI81" s="1631">
        <v>0.2</v>
      </c>
      <c r="BJ81" s="1631">
        <v>0.2</v>
      </c>
      <c r="BK81" s="1632"/>
      <c r="BL81" s="1631"/>
      <c r="BM81" s="1631"/>
      <c r="BO81" s="1625" t="s">
        <v>665</v>
      </c>
      <c r="BP81" s="1628" t="s">
        <v>475</v>
      </c>
      <c r="BQ81" s="1818" t="s">
        <v>3379</v>
      </c>
      <c r="BR81" s="1631">
        <v>0.2</v>
      </c>
      <c r="BS81" s="1631">
        <v>0.2</v>
      </c>
      <c r="BT81" s="1631">
        <v>0.2</v>
      </c>
      <c r="BU81" s="1631">
        <v>0.2</v>
      </c>
      <c r="BV81" s="1631">
        <v>0.2</v>
      </c>
      <c r="BW81" s="1631">
        <v>0.2</v>
      </c>
      <c r="BX81" s="1631">
        <v>0.2</v>
      </c>
      <c r="BY81" s="1649">
        <v>0.2</v>
      </c>
      <c r="BZ81" s="1631">
        <v>0.2</v>
      </c>
      <c r="CA81" s="1631">
        <v>0.2</v>
      </c>
      <c r="CB81" s="1632"/>
      <c r="CC81" s="1631"/>
      <c r="CD81" s="1631"/>
      <c r="CE81" s="1635"/>
      <c r="CG81" s="1625" t="s">
        <v>664</v>
      </c>
      <c r="CH81" s="1628" t="s">
        <v>475</v>
      </c>
      <c r="CI81" s="1622" t="s">
        <v>1805</v>
      </c>
      <c r="CJ81" s="1636">
        <v>0</v>
      </c>
      <c r="CK81" s="1636">
        <v>0</v>
      </c>
      <c r="CL81" s="1636">
        <v>0</v>
      </c>
      <c r="CM81" s="1636">
        <v>0</v>
      </c>
      <c r="CN81" s="1636">
        <v>0</v>
      </c>
      <c r="CO81" s="1636">
        <v>0</v>
      </c>
      <c r="CP81" s="1636">
        <v>0</v>
      </c>
      <c r="CQ81" s="1636">
        <v>0</v>
      </c>
      <c r="CR81" s="1636">
        <v>0</v>
      </c>
      <c r="CS81" s="1636">
        <v>0</v>
      </c>
      <c r="CT81" s="1640">
        <f t="shared" si="85"/>
        <v>0</v>
      </c>
      <c r="CU81" s="1636">
        <f t="shared" si="86"/>
        <v>0</v>
      </c>
      <c r="CV81" s="1636">
        <f t="shared" si="87"/>
        <v>0</v>
      </c>
      <c r="CX81" s="1625" t="s">
        <v>664</v>
      </c>
      <c r="CY81" s="1628" t="s">
        <v>475</v>
      </c>
      <c r="CZ81" s="1622" t="s">
        <v>1805</v>
      </c>
      <c r="DA81" s="1638">
        <f t="shared" si="89"/>
        <v>0.2</v>
      </c>
      <c r="DB81" s="1638"/>
      <c r="DC81" s="1638"/>
      <c r="DD81" s="1638"/>
      <c r="DE81" s="1638"/>
      <c r="DF81" s="1638"/>
      <c r="DG81" s="1638"/>
      <c r="DH81" s="1638"/>
      <c r="DI81" s="1638"/>
      <c r="DJ81" s="1638"/>
      <c r="DK81" s="1642"/>
      <c r="DL81" s="1638"/>
      <c r="DM81" s="1638"/>
    </row>
    <row r="82" spans="2:117">
      <c r="B82" s="1584">
        <f t="shared" si="90"/>
        <v>2.2000000000000002</v>
      </c>
      <c r="C82" s="1622" t="str">
        <f t="shared" si="67"/>
        <v>Service Life of Components</v>
      </c>
      <c r="D82" s="1623">
        <f>IF(I$78=0,0,G82/I$78)</f>
        <v>0.3</v>
      </c>
      <c r="E82" s="1624">
        <f>IF(J$78=0,0,H82/J$78)</f>
        <v>0</v>
      </c>
      <c r="G82" s="1624">
        <f t="shared" si="72"/>
        <v>0.3</v>
      </c>
      <c r="H82" s="1624">
        <f t="shared" si="73"/>
        <v>0</v>
      </c>
      <c r="I82" s="1624">
        <f>SUM(G83:G88)</f>
        <v>1</v>
      </c>
      <c r="J82" s="1624">
        <f>SUM(H83:H88)</f>
        <v>0</v>
      </c>
      <c r="K82" s="1624">
        <f>IF(Score!Z82=0,0,1)</f>
        <v>1</v>
      </c>
      <c r="L82" s="1624">
        <f>IF(Score!AB82=0,0,1)</f>
        <v>0</v>
      </c>
      <c r="M82" s="1624">
        <f t="shared" si="74"/>
        <v>0.3</v>
      </c>
      <c r="N82" s="1624">
        <f t="shared" si="75"/>
        <v>0</v>
      </c>
      <c r="P82" s="1625">
        <f t="shared" si="68"/>
        <v>2.2000000000000002</v>
      </c>
      <c r="Q82" s="1625" t="str">
        <f t="shared" si="69"/>
        <v xml:space="preserve"> Q2 2</v>
      </c>
      <c r="R82" s="1622" t="str">
        <f t="shared" si="70"/>
        <v>Service Life of Components</v>
      </c>
      <c r="S82" s="1626">
        <f t="shared" si="52"/>
        <v>0.3</v>
      </c>
      <c r="T82" s="1626">
        <f t="shared" si="53"/>
        <v>0.3</v>
      </c>
      <c r="U82" s="1626">
        <f t="shared" si="54"/>
        <v>0.3</v>
      </c>
      <c r="V82" s="1626">
        <f t="shared" si="55"/>
        <v>0.3</v>
      </c>
      <c r="W82" s="1626">
        <f t="shared" si="56"/>
        <v>0.3</v>
      </c>
      <c r="X82" s="1626">
        <f t="shared" si="57"/>
        <v>0.3</v>
      </c>
      <c r="Y82" s="1626">
        <f t="shared" si="58"/>
        <v>0.3</v>
      </c>
      <c r="Z82" s="1645">
        <f t="shared" si="59"/>
        <v>0.3</v>
      </c>
      <c r="AA82" s="1626">
        <f t="shared" si="60"/>
        <v>0.3</v>
      </c>
      <c r="AB82" s="1626">
        <f t="shared" si="61"/>
        <v>0.3</v>
      </c>
      <c r="AC82" s="1627">
        <f t="shared" si="62"/>
        <v>0</v>
      </c>
      <c r="AD82" s="1626">
        <f t="shared" si="63"/>
        <v>0</v>
      </c>
      <c r="AE82" s="1626">
        <f t="shared" si="64"/>
        <v>0</v>
      </c>
      <c r="AG82" s="1625">
        <v>2.2000000000000002</v>
      </c>
      <c r="AH82" s="1628" t="s">
        <v>474</v>
      </c>
      <c r="AI82" s="1622" t="s">
        <v>1806</v>
      </c>
      <c r="AJ82" s="1630">
        <v>0.25</v>
      </c>
      <c r="AK82" s="1630">
        <v>0.25</v>
      </c>
      <c r="AL82" s="1630">
        <v>0.25</v>
      </c>
      <c r="AM82" s="1630">
        <v>0.25</v>
      </c>
      <c r="AN82" s="1630">
        <v>0.25</v>
      </c>
      <c r="AO82" s="1630">
        <v>0.25</v>
      </c>
      <c r="AP82" s="1630">
        <v>0.25</v>
      </c>
      <c r="AQ82" s="1732">
        <v>0.25</v>
      </c>
      <c r="AR82" s="1630">
        <v>0.25</v>
      </c>
      <c r="AS82" s="1631">
        <v>0.25</v>
      </c>
      <c r="AT82" s="1632">
        <v>0</v>
      </c>
      <c r="AU82" s="1631">
        <v>0</v>
      </c>
      <c r="AV82" s="1631">
        <v>0</v>
      </c>
      <c r="AX82" s="1625">
        <v>2.2000000000000002</v>
      </c>
      <c r="AY82" s="1628" t="s">
        <v>474</v>
      </c>
      <c r="AZ82" s="1622" t="s">
        <v>1807</v>
      </c>
      <c r="BA82" s="1631">
        <v>0.3</v>
      </c>
      <c r="BB82" s="1631">
        <v>0.3</v>
      </c>
      <c r="BC82" s="1631">
        <v>0.3</v>
      </c>
      <c r="BD82" s="1631">
        <v>0.3</v>
      </c>
      <c r="BE82" s="1631">
        <v>0.3</v>
      </c>
      <c r="BF82" s="1631">
        <v>0.3</v>
      </c>
      <c r="BG82" s="1631">
        <v>0.3</v>
      </c>
      <c r="BH82" s="1649">
        <v>0.3</v>
      </c>
      <c r="BI82" s="1631">
        <v>0.3</v>
      </c>
      <c r="BJ82" s="1631">
        <v>0.3</v>
      </c>
      <c r="BK82" s="1632"/>
      <c r="BL82" s="1631"/>
      <c r="BM82" s="1631"/>
      <c r="BO82" s="1625">
        <v>2.2000000000000002</v>
      </c>
      <c r="BP82" s="1628" t="s">
        <v>474</v>
      </c>
      <c r="BQ82" s="1622" t="s">
        <v>1604</v>
      </c>
      <c r="BR82" s="1631">
        <v>0.3</v>
      </c>
      <c r="BS82" s="1631">
        <v>0.3</v>
      </c>
      <c r="BT82" s="1631">
        <v>0.3</v>
      </c>
      <c r="BU82" s="1631">
        <v>0.3</v>
      </c>
      <c r="BV82" s="1631">
        <v>0.3</v>
      </c>
      <c r="BW82" s="1631">
        <v>0.3</v>
      </c>
      <c r="BX82" s="1631">
        <v>0.3</v>
      </c>
      <c r="BY82" s="1649">
        <v>0.3</v>
      </c>
      <c r="BZ82" s="1631">
        <v>0.3</v>
      </c>
      <c r="CA82" s="1631">
        <v>0.3</v>
      </c>
      <c r="CB82" s="1632"/>
      <c r="CC82" s="1631"/>
      <c r="CD82" s="1631"/>
      <c r="CE82" s="1635"/>
      <c r="CG82" s="1625">
        <v>2.2000000000000002</v>
      </c>
      <c r="CH82" s="1628" t="s">
        <v>474</v>
      </c>
      <c r="CI82" s="1622" t="s">
        <v>1806</v>
      </c>
      <c r="CJ82" s="1636">
        <v>0</v>
      </c>
      <c r="CK82" s="1636">
        <v>0</v>
      </c>
      <c r="CL82" s="1636">
        <v>0</v>
      </c>
      <c r="CM82" s="1636">
        <v>0</v>
      </c>
      <c r="CN82" s="1636">
        <v>0</v>
      </c>
      <c r="CO82" s="1636">
        <v>0</v>
      </c>
      <c r="CP82" s="1636">
        <v>0</v>
      </c>
      <c r="CQ82" s="1636">
        <v>0</v>
      </c>
      <c r="CR82" s="1636">
        <v>0</v>
      </c>
      <c r="CS82" s="1636">
        <v>0</v>
      </c>
      <c r="CT82" s="1640">
        <f t="shared" si="85"/>
        <v>0</v>
      </c>
      <c r="CU82" s="1636">
        <f t="shared" si="86"/>
        <v>0</v>
      </c>
      <c r="CV82" s="1636">
        <f t="shared" si="87"/>
        <v>0</v>
      </c>
      <c r="CX82" s="1625">
        <v>2.2000000000000002</v>
      </c>
      <c r="CY82" s="1628" t="s">
        <v>474</v>
      </c>
      <c r="CZ82" s="1622" t="s">
        <v>1806</v>
      </c>
      <c r="DA82" s="1637">
        <v>0</v>
      </c>
      <c r="DB82" s="1638"/>
      <c r="DC82" s="1638"/>
      <c r="DD82" s="1638"/>
      <c r="DE82" s="1638"/>
      <c r="DF82" s="1638"/>
      <c r="DG82" s="1638"/>
      <c r="DH82" s="1638"/>
      <c r="DI82" s="1638"/>
      <c r="DJ82" s="1638"/>
      <c r="DK82" s="1642"/>
      <c r="DL82" s="1638"/>
      <c r="DM82" s="1638"/>
    </row>
    <row r="83" spans="2:117">
      <c r="B83" s="1584" t="str">
        <f t="shared" si="90"/>
        <v>2.2.1</v>
      </c>
      <c r="C83" s="1622" t="str">
        <f t="shared" si="67"/>
        <v>Service Life of Structural Materials</v>
      </c>
      <c r="D83" s="1603">
        <f t="shared" ref="D83:E88" si="91">IF(I$82&gt;0,G83/I$82,0)</f>
        <v>0.2</v>
      </c>
      <c r="E83" s="1624">
        <f t="shared" si="91"/>
        <v>0</v>
      </c>
      <c r="G83" s="1624">
        <f t="shared" si="72"/>
        <v>0.2</v>
      </c>
      <c r="H83" s="1624">
        <f t="shared" si="73"/>
        <v>0</v>
      </c>
      <c r="I83" s="1624"/>
      <c r="J83" s="1624"/>
      <c r="K83" s="1624">
        <f>IF(Score!W83=0,0,1)</f>
        <v>1</v>
      </c>
      <c r="L83" s="1624">
        <f>IF(Score!X83=0,0,1)</f>
        <v>0</v>
      </c>
      <c r="M83" s="1624">
        <f t="shared" si="74"/>
        <v>0.2</v>
      </c>
      <c r="N83" s="1624">
        <f t="shared" si="75"/>
        <v>0</v>
      </c>
      <c r="P83" s="1625" t="str">
        <f t="shared" si="68"/>
        <v>2.2.1</v>
      </c>
      <c r="Q83" s="1625" t="str">
        <f t="shared" si="69"/>
        <v xml:space="preserve"> Q2 2.2</v>
      </c>
      <c r="R83" s="1622" t="str">
        <f t="shared" si="70"/>
        <v>Service Life of Structural Materials</v>
      </c>
      <c r="S83" s="1626">
        <f t="shared" si="52"/>
        <v>0.2</v>
      </c>
      <c r="T83" s="1626">
        <f t="shared" si="53"/>
        <v>0.2</v>
      </c>
      <c r="U83" s="1626">
        <f t="shared" si="54"/>
        <v>0.2</v>
      </c>
      <c r="V83" s="1626">
        <f t="shared" si="55"/>
        <v>0.2</v>
      </c>
      <c r="W83" s="1626">
        <f t="shared" si="56"/>
        <v>0.2</v>
      </c>
      <c r="X83" s="1626">
        <f t="shared" si="57"/>
        <v>0.2</v>
      </c>
      <c r="Y83" s="1626">
        <f t="shared" si="58"/>
        <v>0.2</v>
      </c>
      <c r="Z83" s="1645">
        <f t="shared" si="59"/>
        <v>0.2</v>
      </c>
      <c r="AA83" s="1626">
        <f t="shared" si="60"/>
        <v>0.2</v>
      </c>
      <c r="AB83" s="1626">
        <f t="shared" si="61"/>
        <v>0.2</v>
      </c>
      <c r="AC83" s="1627">
        <f t="shared" si="62"/>
        <v>0</v>
      </c>
      <c r="AD83" s="1626">
        <f t="shared" si="63"/>
        <v>0</v>
      </c>
      <c r="AE83" s="1626">
        <f t="shared" si="64"/>
        <v>0</v>
      </c>
      <c r="AG83" s="1625" t="s">
        <v>666</v>
      </c>
      <c r="AH83" s="1628" t="s">
        <v>478</v>
      </c>
      <c r="AI83" s="1622" t="s">
        <v>1808</v>
      </c>
      <c r="AJ83" s="1733">
        <v>0.2</v>
      </c>
      <c r="AK83" s="1733">
        <v>0.2</v>
      </c>
      <c r="AL83" s="1733">
        <v>0.2</v>
      </c>
      <c r="AM83" s="1733">
        <v>0.2</v>
      </c>
      <c r="AN83" s="1733">
        <v>0.2</v>
      </c>
      <c r="AO83" s="1733">
        <v>0.2</v>
      </c>
      <c r="AP83" s="1733">
        <v>0.2</v>
      </c>
      <c r="AQ83" s="1733">
        <v>0.2</v>
      </c>
      <c r="AR83" s="1733">
        <v>0.2</v>
      </c>
      <c r="AS83" s="1631">
        <v>0.25</v>
      </c>
      <c r="AT83" s="1632">
        <v>0</v>
      </c>
      <c r="AU83" s="1631">
        <v>0</v>
      </c>
      <c r="AV83" s="1631">
        <v>0</v>
      </c>
      <c r="AX83" s="1625" t="s">
        <v>667</v>
      </c>
      <c r="AY83" s="1628" t="s">
        <v>478</v>
      </c>
      <c r="AZ83" s="1622" t="s">
        <v>1809</v>
      </c>
      <c r="BA83" s="1631">
        <v>0.2</v>
      </c>
      <c r="BB83" s="1631">
        <v>0.2</v>
      </c>
      <c r="BC83" s="1631">
        <v>0.2</v>
      </c>
      <c r="BD83" s="1631">
        <v>0.2</v>
      </c>
      <c r="BE83" s="1631">
        <v>0.2</v>
      </c>
      <c r="BF83" s="1631">
        <v>0.2</v>
      </c>
      <c r="BG83" s="1631">
        <v>0.2</v>
      </c>
      <c r="BH83" s="1631">
        <v>0.2</v>
      </c>
      <c r="BI83" s="1631">
        <v>0.2</v>
      </c>
      <c r="BJ83" s="1631">
        <v>0.2</v>
      </c>
      <c r="BK83" s="1632"/>
      <c r="BL83" s="1631"/>
      <c r="BM83" s="1631"/>
      <c r="BO83" s="1625" t="s">
        <v>667</v>
      </c>
      <c r="BP83" s="1628" t="s">
        <v>478</v>
      </c>
      <c r="BQ83" s="1818" t="s">
        <v>3380</v>
      </c>
      <c r="BR83" s="1631">
        <v>0.2</v>
      </c>
      <c r="BS83" s="1631">
        <v>0.2</v>
      </c>
      <c r="BT83" s="1631">
        <v>0.2</v>
      </c>
      <c r="BU83" s="1631">
        <v>0.2</v>
      </c>
      <c r="BV83" s="1631">
        <v>0.2</v>
      </c>
      <c r="BW83" s="1631">
        <v>0.2</v>
      </c>
      <c r="BX83" s="1631">
        <v>0.2</v>
      </c>
      <c r="BY83" s="1631">
        <v>0.2</v>
      </c>
      <c r="BZ83" s="1631">
        <v>0.2</v>
      </c>
      <c r="CA83" s="1631">
        <v>0.2</v>
      </c>
      <c r="CB83" s="1632"/>
      <c r="CC83" s="1631"/>
      <c r="CD83" s="1631"/>
      <c r="CE83" s="1635"/>
      <c r="CG83" s="1625" t="s">
        <v>666</v>
      </c>
      <c r="CH83" s="1628" t="s">
        <v>478</v>
      </c>
      <c r="CI83" s="1622" t="s">
        <v>1808</v>
      </c>
      <c r="CJ83" s="1636">
        <v>0</v>
      </c>
      <c r="CK83" s="1636">
        <v>0</v>
      </c>
      <c r="CL83" s="1636">
        <v>0</v>
      </c>
      <c r="CM83" s="1636">
        <v>0</v>
      </c>
      <c r="CN83" s="1636">
        <v>0</v>
      </c>
      <c r="CO83" s="1636">
        <v>0</v>
      </c>
      <c r="CP83" s="1636">
        <v>0</v>
      </c>
      <c r="CQ83" s="1636">
        <v>0</v>
      </c>
      <c r="CR83" s="1636">
        <v>0</v>
      </c>
      <c r="CS83" s="1636">
        <v>0</v>
      </c>
      <c r="CT83" s="1636">
        <v>0</v>
      </c>
      <c r="CU83" s="1636">
        <f t="shared" si="86"/>
        <v>0</v>
      </c>
      <c r="CV83" s="1636">
        <f t="shared" si="87"/>
        <v>0</v>
      </c>
      <c r="CX83" s="1625" t="s">
        <v>666</v>
      </c>
      <c r="CY83" s="1628" t="s">
        <v>478</v>
      </c>
      <c r="CZ83" s="1622" t="s">
        <v>1808</v>
      </c>
      <c r="DA83" s="1637">
        <v>0</v>
      </c>
      <c r="DB83" s="1638"/>
      <c r="DC83" s="1638"/>
      <c r="DD83" s="1638"/>
      <c r="DE83" s="1638"/>
      <c r="DF83" s="1638"/>
      <c r="DG83" s="1638"/>
      <c r="DH83" s="1638"/>
      <c r="DI83" s="1638"/>
      <c r="DJ83" s="1638"/>
      <c r="DK83" s="1638"/>
      <c r="DL83" s="1638"/>
      <c r="DM83" s="1638"/>
    </row>
    <row r="84" spans="2:117">
      <c r="B84" s="1584" t="str">
        <f t="shared" si="90"/>
        <v>2.2.2</v>
      </c>
      <c r="C84" s="1622" t="str">
        <f t="shared" si="67"/>
        <v>Necessary Refurbishment Interval for Exterior Finishes</v>
      </c>
      <c r="D84" s="1603">
        <f t="shared" si="91"/>
        <v>0.2</v>
      </c>
      <c r="E84" s="1624">
        <f t="shared" si="91"/>
        <v>0</v>
      </c>
      <c r="G84" s="1624">
        <f t="shared" si="72"/>
        <v>0.2</v>
      </c>
      <c r="H84" s="1624">
        <f t="shared" si="73"/>
        <v>0</v>
      </c>
      <c r="I84" s="1624"/>
      <c r="J84" s="1624"/>
      <c r="K84" s="1624">
        <f>IF(Score!W84=0,0,1)</f>
        <v>1</v>
      </c>
      <c r="L84" s="1624">
        <f>IF(Score!X84=0,0,1)</f>
        <v>0</v>
      </c>
      <c r="M84" s="1624">
        <f t="shared" si="74"/>
        <v>0.2</v>
      </c>
      <c r="N84" s="1624">
        <f t="shared" si="75"/>
        <v>0</v>
      </c>
      <c r="P84" s="1625" t="str">
        <f t="shared" si="68"/>
        <v>2.2.2</v>
      </c>
      <c r="Q84" s="1625" t="str">
        <f t="shared" si="69"/>
        <v xml:space="preserve"> Q2 2.2</v>
      </c>
      <c r="R84" s="1622" t="str">
        <f t="shared" si="70"/>
        <v>Necessary Refurbishment Interval for Exterior Finishes</v>
      </c>
      <c r="S84" s="1626">
        <f t="shared" si="52"/>
        <v>0.2</v>
      </c>
      <c r="T84" s="1626">
        <f t="shared" si="53"/>
        <v>0.2</v>
      </c>
      <c r="U84" s="1626">
        <f t="shared" si="54"/>
        <v>0.2</v>
      </c>
      <c r="V84" s="1626">
        <f t="shared" si="55"/>
        <v>0.2</v>
      </c>
      <c r="W84" s="1626">
        <f t="shared" si="56"/>
        <v>0.2</v>
      </c>
      <c r="X84" s="1626">
        <f t="shared" si="57"/>
        <v>0.2</v>
      </c>
      <c r="Y84" s="1626">
        <f t="shared" si="58"/>
        <v>0.2</v>
      </c>
      <c r="Z84" s="1645">
        <f t="shared" si="59"/>
        <v>0.2</v>
      </c>
      <c r="AA84" s="1626">
        <f t="shared" si="60"/>
        <v>0.2</v>
      </c>
      <c r="AB84" s="1626">
        <f t="shared" si="61"/>
        <v>0.2</v>
      </c>
      <c r="AC84" s="1627">
        <f t="shared" si="62"/>
        <v>0</v>
      </c>
      <c r="AD84" s="1626">
        <f t="shared" si="63"/>
        <v>0</v>
      </c>
      <c r="AE84" s="1626">
        <f t="shared" si="64"/>
        <v>0</v>
      </c>
      <c r="AG84" s="1625" t="s">
        <v>668</v>
      </c>
      <c r="AH84" s="1628" t="s">
        <v>478</v>
      </c>
      <c r="AI84" s="1622" t="s">
        <v>1810</v>
      </c>
      <c r="AJ84" s="1733">
        <v>0.2</v>
      </c>
      <c r="AK84" s="1733">
        <v>0.2</v>
      </c>
      <c r="AL84" s="1733">
        <v>0.2</v>
      </c>
      <c r="AM84" s="1733">
        <v>0.2</v>
      </c>
      <c r="AN84" s="1733">
        <v>0.2</v>
      </c>
      <c r="AO84" s="1733">
        <v>0.2</v>
      </c>
      <c r="AP84" s="1733">
        <v>0.2</v>
      </c>
      <c r="AQ84" s="1733">
        <v>0.2</v>
      </c>
      <c r="AR84" s="1733">
        <v>0.2</v>
      </c>
      <c r="AS84" s="1631">
        <v>0.25</v>
      </c>
      <c r="AT84" s="1632">
        <v>0</v>
      </c>
      <c r="AU84" s="1631">
        <v>0</v>
      </c>
      <c r="AV84" s="1631">
        <v>0</v>
      </c>
      <c r="AX84" s="1625" t="s">
        <v>668</v>
      </c>
      <c r="AY84" s="1628" t="s">
        <v>478</v>
      </c>
      <c r="AZ84" s="1622" t="s">
        <v>1810</v>
      </c>
      <c r="BA84" s="1631">
        <v>0.2</v>
      </c>
      <c r="BB84" s="1631">
        <v>0.2</v>
      </c>
      <c r="BC84" s="1631">
        <v>0.2</v>
      </c>
      <c r="BD84" s="1631">
        <v>0.2</v>
      </c>
      <c r="BE84" s="1631">
        <v>0.2</v>
      </c>
      <c r="BF84" s="1631">
        <v>0.2</v>
      </c>
      <c r="BG84" s="1631">
        <v>0.2</v>
      </c>
      <c r="BH84" s="1631">
        <v>0.2</v>
      </c>
      <c r="BI84" s="1631">
        <v>0.2</v>
      </c>
      <c r="BJ84" s="1631">
        <v>0.2</v>
      </c>
      <c r="BK84" s="1632"/>
      <c r="BL84" s="1631"/>
      <c r="BM84" s="1631"/>
      <c r="BO84" s="1625" t="s">
        <v>668</v>
      </c>
      <c r="BP84" s="1628" t="s">
        <v>478</v>
      </c>
      <c r="BQ84" s="1818" t="s">
        <v>3388</v>
      </c>
      <c r="BR84" s="1631">
        <v>0.2</v>
      </c>
      <c r="BS84" s="1631">
        <v>0.2</v>
      </c>
      <c r="BT84" s="1631">
        <v>0.2</v>
      </c>
      <c r="BU84" s="1631">
        <v>0.2</v>
      </c>
      <c r="BV84" s="1631">
        <v>0.2</v>
      </c>
      <c r="BW84" s="1631">
        <v>0.2</v>
      </c>
      <c r="BX84" s="1631">
        <v>0.2</v>
      </c>
      <c r="BY84" s="1631">
        <v>0.2</v>
      </c>
      <c r="BZ84" s="1631">
        <v>0.2</v>
      </c>
      <c r="CA84" s="1631">
        <v>0.2</v>
      </c>
      <c r="CB84" s="1632"/>
      <c r="CC84" s="1631"/>
      <c r="CD84" s="1631"/>
      <c r="CE84" s="1635"/>
      <c r="CG84" s="1625" t="s">
        <v>668</v>
      </c>
      <c r="CH84" s="1628" t="s">
        <v>478</v>
      </c>
      <c r="CI84" s="1622" t="s">
        <v>1810</v>
      </c>
      <c r="CJ84" s="1636">
        <v>0</v>
      </c>
      <c r="CK84" s="1636">
        <v>0</v>
      </c>
      <c r="CL84" s="1636">
        <v>0</v>
      </c>
      <c r="CM84" s="1636">
        <v>0</v>
      </c>
      <c r="CN84" s="1636">
        <v>0</v>
      </c>
      <c r="CO84" s="1636">
        <v>0</v>
      </c>
      <c r="CP84" s="1636">
        <v>0</v>
      </c>
      <c r="CQ84" s="1636">
        <v>0</v>
      </c>
      <c r="CR84" s="1636">
        <v>0</v>
      </c>
      <c r="CS84" s="1636">
        <v>0</v>
      </c>
      <c r="CT84" s="1636">
        <v>0</v>
      </c>
      <c r="CU84" s="1636">
        <f t="shared" si="86"/>
        <v>0</v>
      </c>
      <c r="CV84" s="1636">
        <f t="shared" si="87"/>
        <v>0</v>
      </c>
      <c r="CX84" s="1625" t="s">
        <v>668</v>
      </c>
      <c r="CY84" s="1628" t="s">
        <v>478</v>
      </c>
      <c r="CZ84" s="1622" t="s">
        <v>1810</v>
      </c>
      <c r="DA84" s="1637">
        <v>0</v>
      </c>
      <c r="DB84" s="1638"/>
      <c r="DC84" s="1638"/>
      <c r="DD84" s="1638"/>
      <c r="DE84" s="1638"/>
      <c r="DF84" s="1638"/>
      <c r="DG84" s="1638"/>
      <c r="DH84" s="1638"/>
      <c r="DI84" s="1638"/>
      <c r="DJ84" s="1638"/>
      <c r="DK84" s="1638"/>
      <c r="DL84" s="1638"/>
      <c r="DM84" s="1638"/>
    </row>
    <row r="85" spans="2:117">
      <c r="B85" s="1584" t="str">
        <f t="shared" si="90"/>
        <v>2.2.3</v>
      </c>
      <c r="C85" s="1622" t="str">
        <f t="shared" si="67"/>
        <v>Necessary Renewal Interval for Main Interior Finishes</v>
      </c>
      <c r="D85" s="1603">
        <f t="shared" si="91"/>
        <v>0.1</v>
      </c>
      <c r="E85" s="1624">
        <f t="shared" si="91"/>
        <v>0</v>
      </c>
      <c r="G85" s="1624">
        <f t="shared" si="72"/>
        <v>0.1</v>
      </c>
      <c r="H85" s="1624">
        <f t="shared" si="73"/>
        <v>0</v>
      </c>
      <c r="I85" s="1624"/>
      <c r="J85" s="1624"/>
      <c r="K85" s="1624">
        <f>IF(Score!W85=0,0,1)</f>
        <v>1</v>
      </c>
      <c r="L85" s="1624">
        <f>IF(Score!X85=0,0,1)</f>
        <v>0</v>
      </c>
      <c r="M85" s="1624">
        <f t="shared" si="74"/>
        <v>0.1</v>
      </c>
      <c r="N85" s="1624">
        <f t="shared" si="75"/>
        <v>0</v>
      </c>
      <c r="P85" s="1625" t="str">
        <f t="shared" si="68"/>
        <v>2.2.3</v>
      </c>
      <c r="Q85" s="1625" t="str">
        <f t="shared" si="69"/>
        <v xml:space="preserve"> Q2 2.2</v>
      </c>
      <c r="R85" s="1622" t="str">
        <f t="shared" si="70"/>
        <v>Necessary Renewal Interval for Main Interior Finishes</v>
      </c>
      <c r="S85" s="1626">
        <f t="shared" si="52"/>
        <v>0.1</v>
      </c>
      <c r="T85" s="1626">
        <f t="shared" si="53"/>
        <v>0.1</v>
      </c>
      <c r="U85" s="1626">
        <f t="shared" si="54"/>
        <v>0.1</v>
      </c>
      <c r="V85" s="1626">
        <f t="shared" si="55"/>
        <v>0.1</v>
      </c>
      <c r="W85" s="1626">
        <f t="shared" si="56"/>
        <v>0.1</v>
      </c>
      <c r="X85" s="1626">
        <f t="shared" si="57"/>
        <v>0.1</v>
      </c>
      <c r="Y85" s="1626">
        <f t="shared" si="58"/>
        <v>0.1</v>
      </c>
      <c r="Z85" s="1645">
        <f t="shared" si="59"/>
        <v>0.1</v>
      </c>
      <c r="AA85" s="1626">
        <f t="shared" si="60"/>
        <v>0.1</v>
      </c>
      <c r="AB85" s="1626">
        <f t="shared" si="61"/>
        <v>0.1</v>
      </c>
      <c r="AC85" s="1627">
        <f t="shared" si="62"/>
        <v>0</v>
      </c>
      <c r="AD85" s="1626">
        <f t="shared" si="63"/>
        <v>0</v>
      </c>
      <c r="AE85" s="1626">
        <f t="shared" si="64"/>
        <v>0</v>
      </c>
      <c r="AG85" s="1625" t="s">
        <v>669</v>
      </c>
      <c r="AH85" s="1628" t="s">
        <v>478</v>
      </c>
      <c r="AI85" s="1622" t="s">
        <v>1811</v>
      </c>
      <c r="AJ85" s="1646">
        <v>0</v>
      </c>
      <c r="AK85" s="1646">
        <v>0</v>
      </c>
      <c r="AL85" s="1646">
        <v>0</v>
      </c>
      <c r="AM85" s="1646">
        <v>0</v>
      </c>
      <c r="AN85" s="1646">
        <v>0</v>
      </c>
      <c r="AO85" s="1646">
        <v>0</v>
      </c>
      <c r="AP85" s="1646">
        <v>0</v>
      </c>
      <c r="AQ85" s="1646">
        <v>0</v>
      </c>
      <c r="AR85" s="1646">
        <v>0</v>
      </c>
      <c r="AS85" s="1631">
        <v>0</v>
      </c>
      <c r="AT85" s="1632">
        <v>0</v>
      </c>
      <c r="AU85" s="1631">
        <v>0</v>
      </c>
      <c r="AV85" s="1631">
        <v>0</v>
      </c>
      <c r="AX85" s="1625" t="s">
        <v>669</v>
      </c>
      <c r="AY85" s="1628" t="s">
        <v>478</v>
      </c>
      <c r="AZ85" s="1622" t="s">
        <v>1811</v>
      </c>
      <c r="BA85" s="1631">
        <v>0.1</v>
      </c>
      <c r="BB85" s="1631">
        <v>0.1</v>
      </c>
      <c r="BC85" s="1631">
        <v>0.1</v>
      </c>
      <c r="BD85" s="1631">
        <v>0.1</v>
      </c>
      <c r="BE85" s="1631">
        <v>0.1</v>
      </c>
      <c r="BF85" s="1631">
        <v>0.1</v>
      </c>
      <c r="BG85" s="1631">
        <v>0.1</v>
      </c>
      <c r="BH85" s="1631">
        <v>0.1</v>
      </c>
      <c r="BI85" s="1631">
        <v>0.1</v>
      </c>
      <c r="BJ85" s="1631">
        <v>0.1</v>
      </c>
      <c r="BK85" s="1632"/>
      <c r="BL85" s="1631"/>
      <c r="BM85" s="1631"/>
      <c r="BO85" s="1625" t="s">
        <v>669</v>
      </c>
      <c r="BP85" s="1628" t="s">
        <v>478</v>
      </c>
      <c r="BQ85" s="1622" t="s">
        <v>1606</v>
      </c>
      <c r="BR85" s="1631">
        <v>0.1</v>
      </c>
      <c r="BS85" s="1631">
        <v>0.1</v>
      </c>
      <c r="BT85" s="1631">
        <v>0.1</v>
      </c>
      <c r="BU85" s="1631">
        <v>0.1</v>
      </c>
      <c r="BV85" s="1631">
        <v>0.1</v>
      </c>
      <c r="BW85" s="1631">
        <v>0.1</v>
      </c>
      <c r="BX85" s="1631">
        <v>0.1</v>
      </c>
      <c r="BY85" s="1631">
        <v>0.1</v>
      </c>
      <c r="BZ85" s="1631">
        <v>0.1</v>
      </c>
      <c r="CA85" s="1631">
        <v>0.1</v>
      </c>
      <c r="CB85" s="1632"/>
      <c r="CC85" s="1631"/>
      <c r="CD85" s="1631"/>
      <c r="CE85" s="1635"/>
      <c r="CG85" s="1625" t="s">
        <v>669</v>
      </c>
      <c r="CH85" s="1628" t="s">
        <v>478</v>
      </c>
      <c r="CI85" s="1622" t="s">
        <v>1811</v>
      </c>
      <c r="CJ85" s="1636">
        <v>0</v>
      </c>
      <c r="CK85" s="1636">
        <v>0</v>
      </c>
      <c r="CL85" s="1636">
        <v>0</v>
      </c>
      <c r="CM85" s="1636">
        <v>0</v>
      </c>
      <c r="CN85" s="1636">
        <v>0</v>
      </c>
      <c r="CO85" s="1636">
        <v>0</v>
      </c>
      <c r="CP85" s="1636">
        <v>0</v>
      </c>
      <c r="CQ85" s="1636">
        <v>0</v>
      </c>
      <c r="CR85" s="1636">
        <v>0</v>
      </c>
      <c r="CS85" s="1636">
        <v>0</v>
      </c>
      <c r="CT85" s="1636">
        <v>0</v>
      </c>
      <c r="CU85" s="1636">
        <f t="shared" si="86"/>
        <v>0</v>
      </c>
      <c r="CV85" s="1636">
        <f t="shared" si="87"/>
        <v>0</v>
      </c>
      <c r="CX85" s="1625" t="s">
        <v>669</v>
      </c>
      <c r="CY85" s="1628" t="s">
        <v>478</v>
      </c>
      <c r="CZ85" s="1622" t="s">
        <v>1811</v>
      </c>
      <c r="DA85" s="1637">
        <v>0</v>
      </c>
      <c r="DB85" s="1638"/>
      <c r="DC85" s="1638"/>
      <c r="DD85" s="1638"/>
      <c r="DE85" s="1638"/>
      <c r="DF85" s="1638"/>
      <c r="DG85" s="1638"/>
      <c r="DH85" s="1638"/>
      <c r="DI85" s="1638"/>
      <c r="DJ85" s="1638"/>
      <c r="DK85" s="1638"/>
      <c r="DL85" s="1638"/>
      <c r="DM85" s="1638"/>
    </row>
    <row r="86" spans="2:117">
      <c r="B86" s="1584" t="str">
        <f t="shared" si="90"/>
        <v>2.2.4</v>
      </c>
      <c r="C86" s="1622" t="str">
        <f t="shared" si="67"/>
        <v>Necessary Renewal Interval for Air Conditioning and Ventilation Ducts</v>
      </c>
      <c r="D86" s="1603">
        <f t="shared" si="91"/>
        <v>0.1</v>
      </c>
      <c r="E86" s="1624">
        <f t="shared" si="91"/>
        <v>0</v>
      </c>
      <c r="G86" s="1624">
        <f t="shared" si="72"/>
        <v>0.1</v>
      </c>
      <c r="H86" s="1624">
        <f t="shared" si="73"/>
        <v>0</v>
      </c>
      <c r="I86" s="1624"/>
      <c r="J86" s="1624"/>
      <c r="K86" s="1624">
        <f>IF(Score!W86=0,0,1)</f>
        <v>1</v>
      </c>
      <c r="L86" s="1624">
        <f>IF(Score!X86=0,0,1)</f>
        <v>0</v>
      </c>
      <c r="M86" s="1624">
        <f t="shared" si="74"/>
        <v>0.1</v>
      </c>
      <c r="N86" s="1624">
        <f t="shared" si="75"/>
        <v>0</v>
      </c>
      <c r="P86" s="1625" t="str">
        <f t="shared" si="68"/>
        <v>2.2.4</v>
      </c>
      <c r="Q86" s="1625" t="str">
        <f t="shared" si="69"/>
        <v xml:space="preserve"> Q2 2.2</v>
      </c>
      <c r="R86" s="1622" t="str">
        <f t="shared" si="70"/>
        <v>Necessary Renewal Interval for Air Conditioning and Ventilation Ducts</v>
      </c>
      <c r="S86" s="1626">
        <f t="shared" si="52"/>
        <v>0.1</v>
      </c>
      <c r="T86" s="1626">
        <f t="shared" si="53"/>
        <v>0.1</v>
      </c>
      <c r="U86" s="1626">
        <f t="shared" si="54"/>
        <v>0.1</v>
      </c>
      <c r="V86" s="1626">
        <f t="shared" si="55"/>
        <v>0.1</v>
      </c>
      <c r="W86" s="1626">
        <f t="shared" si="56"/>
        <v>0.1</v>
      </c>
      <c r="X86" s="1626">
        <f t="shared" si="57"/>
        <v>0.1</v>
      </c>
      <c r="Y86" s="1626">
        <f t="shared" si="58"/>
        <v>0.1</v>
      </c>
      <c r="Z86" s="1645">
        <f t="shared" si="59"/>
        <v>0.1</v>
      </c>
      <c r="AA86" s="1626">
        <f t="shared" si="60"/>
        <v>0.1</v>
      </c>
      <c r="AB86" s="1626">
        <f t="shared" si="61"/>
        <v>0.1</v>
      </c>
      <c r="AC86" s="1627">
        <f t="shared" si="62"/>
        <v>0</v>
      </c>
      <c r="AD86" s="1626">
        <f t="shared" si="63"/>
        <v>0</v>
      </c>
      <c r="AE86" s="1626">
        <f t="shared" si="64"/>
        <v>0</v>
      </c>
      <c r="AG86" s="1625" t="s">
        <v>670</v>
      </c>
      <c r="AH86" s="1628" t="s">
        <v>478</v>
      </c>
      <c r="AI86" s="1622" t="s">
        <v>1812</v>
      </c>
      <c r="AJ86" s="1733">
        <v>0.1</v>
      </c>
      <c r="AK86" s="1733">
        <v>0.1</v>
      </c>
      <c r="AL86" s="1733">
        <v>0.1</v>
      </c>
      <c r="AM86" s="1733">
        <v>0.1</v>
      </c>
      <c r="AN86" s="1733">
        <v>0.1</v>
      </c>
      <c r="AO86" s="1733">
        <v>0.1</v>
      </c>
      <c r="AP86" s="1733">
        <v>0.1</v>
      </c>
      <c r="AQ86" s="1733">
        <v>0.1</v>
      </c>
      <c r="AR86" s="1733">
        <v>0.1</v>
      </c>
      <c r="AS86" s="1631">
        <v>0.1</v>
      </c>
      <c r="AT86" s="1632">
        <v>0</v>
      </c>
      <c r="AU86" s="1631">
        <v>0</v>
      </c>
      <c r="AV86" s="1631">
        <v>0</v>
      </c>
      <c r="AX86" s="1625" t="s">
        <v>671</v>
      </c>
      <c r="AY86" s="1628" t="s">
        <v>478</v>
      </c>
      <c r="AZ86" s="1622" t="s">
        <v>1813</v>
      </c>
      <c r="BA86" s="1631">
        <v>0.1</v>
      </c>
      <c r="BB86" s="1631">
        <v>0.1</v>
      </c>
      <c r="BC86" s="1631">
        <v>0.1</v>
      </c>
      <c r="BD86" s="1631">
        <v>0.1</v>
      </c>
      <c r="BE86" s="1631">
        <v>0.1</v>
      </c>
      <c r="BF86" s="1631">
        <v>0.1</v>
      </c>
      <c r="BG86" s="1631">
        <v>0.1</v>
      </c>
      <c r="BH86" s="1631">
        <v>0.1</v>
      </c>
      <c r="BI86" s="1631">
        <v>0.1</v>
      </c>
      <c r="BJ86" s="1631">
        <v>0.1</v>
      </c>
      <c r="BK86" s="1632"/>
      <c r="BL86" s="1631"/>
      <c r="BM86" s="1631"/>
      <c r="BO86" s="1625" t="s">
        <v>671</v>
      </c>
      <c r="BP86" s="1628" t="s">
        <v>478</v>
      </c>
      <c r="BQ86" s="1818" t="s">
        <v>2914</v>
      </c>
      <c r="BR86" s="1631">
        <v>0.1</v>
      </c>
      <c r="BS86" s="1631">
        <v>0.1</v>
      </c>
      <c r="BT86" s="1631">
        <v>0.1</v>
      </c>
      <c r="BU86" s="1631">
        <v>0.1</v>
      </c>
      <c r="BV86" s="1631">
        <v>0.1</v>
      </c>
      <c r="BW86" s="1631">
        <v>0.1</v>
      </c>
      <c r="BX86" s="1631">
        <v>0.1</v>
      </c>
      <c r="BY86" s="1631">
        <v>0.1</v>
      </c>
      <c r="BZ86" s="1631">
        <v>0.1</v>
      </c>
      <c r="CA86" s="1631">
        <v>0.1</v>
      </c>
      <c r="CB86" s="1632"/>
      <c r="CC86" s="1631"/>
      <c r="CD86" s="1631"/>
      <c r="CE86" s="1635"/>
      <c r="CG86" s="1625" t="s">
        <v>670</v>
      </c>
      <c r="CH86" s="1628" t="s">
        <v>478</v>
      </c>
      <c r="CI86" s="1622" t="s">
        <v>1812</v>
      </c>
      <c r="CJ86" s="1636">
        <v>0</v>
      </c>
      <c r="CK86" s="1636">
        <v>0</v>
      </c>
      <c r="CL86" s="1636">
        <v>0</v>
      </c>
      <c r="CM86" s="1636">
        <v>0</v>
      </c>
      <c r="CN86" s="1636">
        <v>0</v>
      </c>
      <c r="CO86" s="1636">
        <v>0</v>
      </c>
      <c r="CP86" s="1636">
        <v>0</v>
      </c>
      <c r="CQ86" s="1636">
        <v>0</v>
      </c>
      <c r="CR86" s="1636">
        <v>0</v>
      </c>
      <c r="CS86" s="1636">
        <v>0</v>
      </c>
      <c r="CT86" s="1636">
        <v>0</v>
      </c>
      <c r="CU86" s="1636">
        <f t="shared" si="86"/>
        <v>0</v>
      </c>
      <c r="CV86" s="1636">
        <f t="shared" si="87"/>
        <v>0</v>
      </c>
      <c r="CX86" s="1625" t="s">
        <v>670</v>
      </c>
      <c r="CY86" s="1628" t="s">
        <v>478</v>
      </c>
      <c r="CZ86" s="1622" t="s">
        <v>1812</v>
      </c>
      <c r="DA86" s="1637">
        <v>0</v>
      </c>
      <c r="DB86" s="1638"/>
      <c r="DC86" s="1638"/>
      <c r="DD86" s="1638"/>
      <c r="DE86" s="1638"/>
      <c r="DF86" s="1638"/>
      <c r="DG86" s="1638"/>
      <c r="DH86" s="1638"/>
      <c r="DI86" s="1638"/>
      <c r="DJ86" s="1638"/>
      <c r="DK86" s="1638"/>
      <c r="DL86" s="1638"/>
      <c r="DM86" s="1638"/>
    </row>
    <row r="87" spans="2:117">
      <c r="B87" s="1584" t="str">
        <f t="shared" si="90"/>
        <v>2.2.5</v>
      </c>
      <c r="C87" s="1622" t="str">
        <f t="shared" si="67"/>
        <v>Necessary Renewal Interval for HVAC and Water Supply and Drainage Pipes</v>
      </c>
      <c r="D87" s="1603">
        <f t="shared" si="91"/>
        <v>0.2</v>
      </c>
      <c r="E87" s="1624">
        <f t="shared" si="91"/>
        <v>0</v>
      </c>
      <c r="G87" s="1624">
        <f t="shared" si="72"/>
        <v>0.2</v>
      </c>
      <c r="H87" s="1624">
        <f t="shared" si="73"/>
        <v>0</v>
      </c>
      <c r="I87" s="1624"/>
      <c r="J87" s="1624"/>
      <c r="K87" s="1624">
        <f>IF(Score!W88=0,0,1)</f>
        <v>1</v>
      </c>
      <c r="L87" s="1624">
        <f>IF(Score!X88=0,0,1)</f>
        <v>0</v>
      </c>
      <c r="M87" s="1624">
        <f t="shared" si="74"/>
        <v>0.2</v>
      </c>
      <c r="N87" s="1624">
        <f t="shared" si="75"/>
        <v>0</v>
      </c>
      <c r="P87" s="1625" t="str">
        <f t="shared" si="68"/>
        <v>2.2.5</v>
      </c>
      <c r="Q87" s="1625" t="str">
        <f t="shared" si="69"/>
        <v xml:space="preserve"> Q2 2.2</v>
      </c>
      <c r="R87" s="1622" t="str">
        <f t="shared" si="70"/>
        <v>Necessary Renewal Interval for HVAC and Water Supply and Drainage Pipes</v>
      </c>
      <c r="S87" s="1626">
        <f t="shared" si="52"/>
        <v>0.2</v>
      </c>
      <c r="T87" s="1626">
        <f t="shared" si="53"/>
        <v>0.2</v>
      </c>
      <c r="U87" s="1626">
        <f t="shared" si="54"/>
        <v>0.2</v>
      </c>
      <c r="V87" s="1626">
        <f t="shared" si="55"/>
        <v>0.2</v>
      </c>
      <c r="W87" s="1626">
        <f t="shared" si="56"/>
        <v>0.2</v>
      </c>
      <c r="X87" s="1626">
        <f t="shared" si="57"/>
        <v>0.2</v>
      </c>
      <c r="Y87" s="1626">
        <f t="shared" si="58"/>
        <v>0.2</v>
      </c>
      <c r="Z87" s="1645">
        <f t="shared" si="59"/>
        <v>0.2</v>
      </c>
      <c r="AA87" s="1626">
        <f t="shared" si="60"/>
        <v>0.2</v>
      </c>
      <c r="AB87" s="1626">
        <f t="shared" si="61"/>
        <v>0.2</v>
      </c>
      <c r="AC87" s="1627">
        <f t="shared" si="62"/>
        <v>0</v>
      </c>
      <c r="AD87" s="1626">
        <f t="shared" si="63"/>
        <v>0</v>
      </c>
      <c r="AE87" s="1626">
        <f t="shared" si="64"/>
        <v>0</v>
      </c>
      <c r="AG87" s="1625" t="s">
        <v>672</v>
      </c>
      <c r="AH87" s="1628" t="s">
        <v>478</v>
      </c>
      <c r="AI87" s="1622" t="s">
        <v>1814</v>
      </c>
      <c r="AJ87" s="1733">
        <v>0.1</v>
      </c>
      <c r="AK87" s="1733">
        <v>0.1</v>
      </c>
      <c r="AL87" s="1733">
        <v>0.1</v>
      </c>
      <c r="AM87" s="1733">
        <v>0.1</v>
      </c>
      <c r="AN87" s="1733">
        <v>0.1</v>
      </c>
      <c r="AO87" s="1733">
        <v>0.1</v>
      </c>
      <c r="AP87" s="1733">
        <v>0.1</v>
      </c>
      <c r="AQ87" s="1733">
        <v>0.1</v>
      </c>
      <c r="AR87" s="1733">
        <v>0.1</v>
      </c>
      <c r="AS87" s="1631">
        <v>0.1</v>
      </c>
      <c r="AT87" s="1632"/>
      <c r="AU87" s="1631"/>
      <c r="AV87" s="1631"/>
      <c r="AX87" s="1625" t="s">
        <v>673</v>
      </c>
      <c r="AY87" s="1628" t="s">
        <v>478</v>
      </c>
      <c r="AZ87" s="1622" t="s">
        <v>1815</v>
      </c>
      <c r="BA87" s="1631">
        <v>0.2</v>
      </c>
      <c r="BB87" s="1631">
        <v>0.2</v>
      </c>
      <c r="BC87" s="1631">
        <v>0.2</v>
      </c>
      <c r="BD87" s="1631">
        <v>0.2</v>
      </c>
      <c r="BE87" s="1631">
        <v>0.2</v>
      </c>
      <c r="BF87" s="1631">
        <v>0.2</v>
      </c>
      <c r="BG87" s="1631">
        <v>0.2</v>
      </c>
      <c r="BH87" s="1631">
        <v>0.2</v>
      </c>
      <c r="BI87" s="1631">
        <v>0.2</v>
      </c>
      <c r="BJ87" s="1631">
        <v>0.2</v>
      </c>
      <c r="BK87" s="1632"/>
      <c r="BL87" s="1631"/>
      <c r="BM87" s="1631"/>
      <c r="BO87" s="1625" t="s">
        <v>673</v>
      </c>
      <c r="BP87" s="1628" t="s">
        <v>478</v>
      </c>
      <c r="BQ87" s="1622" t="s">
        <v>3382</v>
      </c>
      <c r="BR87" s="1631">
        <v>0.2</v>
      </c>
      <c r="BS87" s="1631">
        <v>0.2</v>
      </c>
      <c r="BT87" s="1631">
        <v>0.2</v>
      </c>
      <c r="BU87" s="1631">
        <v>0.2</v>
      </c>
      <c r="BV87" s="1631">
        <v>0.2</v>
      </c>
      <c r="BW87" s="1631">
        <v>0.2</v>
      </c>
      <c r="BX87" s="1631">
        <v>0.2</v>
      </c>
      <c r="BY87" s="1631">
        <v>0.2</v>
      </c>
      <c r="BZ87" s="1631">
        <v>0.2</v>
      </c>
      <c r="CA87" s="1631">
        <v>0.2</v>
      </c>
      <c r="CB87" s="1632"/>
      <c r="CC87" s="1631"/>
      <c r="CD87" s="1631"/>
      <c r="CE87" s="1635"/>
      <c r="CG87" s="1625" t="s">
        <v>672</v>
      </c>
      <c r="CH87" s="1628" t="s">
        <v>478</v>
      </c>
      <c r="CI87" s="1622" t="s">
        <v>1814</v>
      </c>
      <c r="CJ87" s="1636">
        <v>0</v>
      </c>
      <c r="CK87" s="1636">
        <v>0</v>
      </c>
      <c r="CL87" s="1636">
        <v>0</v>
      </c>
      <c r="CM87" s="1636">
        <v>0</v>
      </c>
      <c r="CN87" s="1636">
        <v>0</v>
      </c>
      <c r="CO87" s="1636">
        <v>0</v>
      </c>
      <c r="CP87" s="1636">
        <v>0</v>
      </c>
      <c r="CQ87" s="1636">
        <v>0</v>
      </c>
      <c r="CR87" s="1636">
        <v>0</v>
      </c>
      <c r="CS87" s="1636">
        <v>0</v>
      </c>
      <c r="CT87" s="1636">
        <v>0</v>
      </c>
      <c r="CU87" s="1636">
        <f t="shared" si="86"/>
        <v>0</v>
      </c>
      <c r="CV87" s="1636">
        <f t="shared" si="87"/>
        <v>0</v>
      </c>
      <c r="CX87" s="1625" t="s">
        <v>672</v>
      </c>
      <c r="CY87" s="1628" t="s">
        <v>478</v>
      </c>
      <c r="CZ87" s="1622" t="s">
        <v>1814</v>
      </c>
      <c r="DA87" s="1637">
        <v>0</v>
      </c>
      <c r="DB87" s="1638"/>
      <c r="DC87" s="1638"/>
      <c r="DD87" s="1638"/>
      <c r="DE87" s="1638"/>
      <c r="DF87" s="1638"/>
      <c r="DG87" s="1638"/>
      <c r="DH87" s="1638"/>
      <c r="DI87" s="1638"/>
      <c r="DJ87" s="1638"/>
      <c r="DK87" s="1638"/>
      <c r="DL87" s="1638"/>
      <c r="DM87" s="1638"/>
    </row>
    <row r="88" spans="2:117">
      <c r="B88" s="1584" t="str">
        <f t="shared" si="90"/>
        <v>2.2.6</v>
      </c>
      <c r="C88" s="1734" t="str">
        <f t="shared" si="67"/>
        <v>Necessary Replacement Interval for Major Equipment and Services</v>
      </c>
      <c r="D88" s="1603">
        <f t="shared" si="91"/>
        <v>0.2</v>
      </c>
      <c r="E88" s="1624">
        <f t="shared" si="91"/>
        <v>0</v>
      </c>
      <c r="G88" s="1624">
        <f t="shared" si="72"/>
        <v>0.2</v>
      </c>
      <c r="H88" s="1624">
        <f t="shared" si="73"/>
        <v>0</v>
      </c>
      <c r="I88" s="1624"/>
      <c r="J88" s="1624"/>
      <c r="K88" s="1624">
        <f>IF(Score!W88=0,0,1)</f>
        <v>1</v>
      </c>
      <c r="L88" s="1624">
        <f>IF(Score!X88=0,0,1)</f>
        <v>0</v>
      </c>
      <c r="M88" s="1624">
        <f t="shared" si="74"/>
        <v>0.2</v>
      </c>
      <c r="N88" s="1624">
        <f t="shared" si="75"/>
        <v>0</v>
      </c>
      <c r="P88" s="1625" t="str">
        <f t="shared" si="68"/>
        <v>2.2.6</v>
      </c>
      <c r="Q88" s="1625" t="str">
        <f t="shared" si="69"/>
        <v xml:space="preserve"> Q2 2.2</v>
      </c>
      <c r="R88" s="1622" t="str">
        <f t="shared" si="70"/>
        <v>Necessary Replacement Interval for Major Equipment and Services</v>
      </c>
      <c r="S88" s="1626">
        <f t="shared" si="52"/>
        <v>0.2</v>
      </c>
      <c r="T88" s="1626">
        <f t="shared" si="53"/>
        <v>0.2</v>
      </c>
      <c r="U88" s="1626">
        <f t="shared" si="54"/>
        <v>0.2</v>
      </c>
      <c r="V88" s="1626">
        <f t="shared" si="55"/>
        <v>0.2</v>
      </c>
      <c r="W88" s="1626">
        <f t="shared" si="56"/>
        <v>0.2</v>
      </c>
      <c r="X88" s="1626">
        <f t="shared" si="57"/>
        <v>0.2</v>
      </c>
      <c r="Y88" s="1626">
        <f t="shared" si="58"/>
        <v>0.2</v>
      </c>
      <c r="Z88" s="1645">
        <f t="shared" si="59"/>
        <v>0.2</v>
      </c>
      <c r="AA88" s="1626">
        <f t="shared" si="60"/>
        <v>0.2</v>
      </c>
      <c r="AB88" s="1626">
        <f t="shared" si="61"/>
        <v>0.2</v>
      </c>
      <c r="AC88" s="1627">
        <f t="shared" si="62"/>
        <v>0</v>
      </c>
      <c r="AD88" s="1626">
        <f t="shared" si="63"/>
        <v>0</v>
      </c>
      <c r="AE88" s="1626">
        <f t="shared" si="64"/>
        <v>0</v>
      </c>
      <c r="AG88" s="1625" t="s">
        <v>674</v>
      </c>
      <c r="AH88" s="1628" t="s">
        <v>478</v>
      </c>
      <c r="AI88" s="1622" t="s">
        <v>1816</v>
      </c>
      <c r="AJ88" s="1733">
        <v>0.2</v>
      </c>
      <c r="AK88" s="1733">
        <v>0.2</v>
      </c>
      <c r="AL88" s="1733">
        <v>0.2</v>
      </c>
      <c r="AM88" s="1733">
        <v>0.2</v>
      </c>
      <c r="AN88" s="1733">
        <v>0.2</v>
      </c>
      <c r="AO88" s="1733">
        <v>0.2</v>
      </c>
      <c r="AP88" s="1733">
        <v>0.2</v>
      </c>
      <c r="AQ88" s="1733">
        <v>0.2</v>
      </c>
      <c r="AR88" s="1733">
        <v>0.2</v>
      </c>
      <c r="AS88" s="1631">
        <v>0.25</v>
      </c>
      <c r="AT88" s="1632">
        <v>0</v>
      </c>
      <c r="AU88" s="1631">
        <v>0</v>
      </c>
      <c r="AV88" s="1631">
        <v>0</v>
      </c>
      <c r="AX88" s="1625" t="s">
        <v>674</v>
      </c>
      <c r="AY88" s="1628" t="s">
        <v>478</v>
      </c>
      <c r="AZ88" s="1622" t="s">
        <v>1816</v>
      </c>
      <c r="BA88" s="1631">
        <v>0.2</v>
      </c>
      <c r="BB88" s="1631">
        <v>0.2</v>
      </c>
      <c r="BC88" s="1631">
        <v>0.2</v>
      </c>
      <c r="BD88" s="1631">
        <v>0.2</v>
      </c>
      <c r="BE88" s="1631">
        <v>0.2</v>
      </c>
      <c r="BF88" s="1631">
        <v>0.2</v>
      </c>
      <c r="BG88" s="1631">
        <v>0.2</v>
      </c>
      <c r="BH88" s="1631">
        <v>0.2</v>
      </c>
      <c r="BI88" s="1631">
        <v>0.2</v>
      </c>
      <c r="BJ88" s="1631">
        <v>0.2</v>
      </c>
      <c r="BK88" s="1632"/>
      <c r="BL88" s="1631"/>
      <c r="BM88" s="1631"/>
      <c r="BO88" s="1625" t="s">
        <v>674</v>
      </c>
      <c r="BP88" s="1628" t="s">
        <v>478</v>
      </c>
      <c r="BQ88" s="1818" t="s">
        <v>2915</v>
      </c>
      <c r="BR88" s="1631">
        <v>0.2</v>
      </c>
      <c r="BS88" s="1631">
        <v>0.2</v>
      </c>
      <c r="BT88" s="1631">
        <v>0.2</v>
      </c>
      <c r="BU88" s="1631">
        <v>0.2</v>
      </c>
      <c r="BV88" s="1631">
        <v>0.2</v>
      </c>
      <c r="BW88" s="1631">
        <v>0.2</v>
      </c>
      <c r="BX88" s="1631">
        <v>0.2</v>
      </c>
      <c r="BY88" s="1631">
        <v>0.2</v>
      </c>
      <c r="BZ88" s="1631">
        <v>0.2</v>
      </c>
      <c r="CA88" s="1631">
        <v>0.2</v>
      </c>
      <c r="CB88" s="1632"/>
      <c r="CC88" s="1631"/>
      <c r="CD88" s="1631"/>
      <c r="CE88" s="1635"/>
      <c r="CG88" s="1625" t="s">
        <v>674</v>
      </c>
      <c r="CH88" s="1628" t="s">
        <v>478</v>
      </c>
      <c r="CI88" s="1622" t="s">
        <v>1816</v>
      </c>
      <c r="CJ88" s="1636">
        <v>0</v>
      </c>
      <c r="CK88" s="1636">
        <v>0</v>
      </c>
      <c r="CL88" s="1636">
        <v>0</v>
      </c>
      <c r="CM88" s="1636">
        <v>0</v>
      </c>
      <c r="CN88" s="1636">
        <v>0</v>
      </c>
      <c r="CO88" s="1636">
        <v>0</v>
      </c>
      <c r="CP88" s="1636">
        <v>0</v>
      </c>
      <c r="CQ88" s="1636">
        <v>0</v>
      </c>
      <c r="CR88" s="1636">
        <v>0</v>
      </c>
      <c r="CS88" s="1636">
        <v>0</v>
      </c>
      <c r="CT88" s="1636">
        <v>0</v>
      </c>
      <c r="CU88" s="1636">
        <f t="shared" si="86"/>
        <v>0</v>
      </c>
      <c r="CV88" s="1636">
        <f t="shared" si="87"/>
        <v>0</v>
      </c>
      <c r="CX88" s="1625" t="s">
        <v>674</v>
      </c>
      <c r="CY88" s="1628" t="s">
        <v>478</v>
      </c>
      <c r="CZ88" s="1622" t="s">
        <v>1816</v>
      </c>
      <c r="DA88" s="1637">
        <v>0</v>
      </c>
      <c r="DB88" s="1638"/>
      <c r="DC88" s="1638"/>
      <c r="DD88" s="1638"/>
      <c r="DE88" s="1638"/>
      <c r="DF88" s="1638"/>
      <c r="DG88" s="1638"/>
      <c r="DH88" s="1638"/>
      <c r="DI88" s="1638"/>
      <c r="DJ88" s="1638"/>
      <c r="DK88" s="1638"/>
      <c r="DL88" s="1638"/>
      <c r="DM88" s="1638"/>
    </row>
    <row r="89" spans="2:117">
      <c r="B89" s="1584">
        <f t="shared" si="90"/>
        <v>2.2999999999999998</v>
      </c>
      <c r="C89" s="1734" t="str">
        <f t="shared" si="67"/>
        <v xml:space="preserve"> Appropriate Renewal</v>
      </c>
      <c r="D89" s="1623">
        <f>IF(I$78=0,0,G89/I$78)</f>
        <v>0</v>
      </c>
      <c r="E89" s="1624">
        <f>IF(J$78=0,0,H89/J$78)</f>
        <v>0</v>
      </c>
      <c r="G89" s="1624">
        <f>K89*M89</f>
        <v>0</v>
      </c>
      <c r="H89" s="1624">
        <f t="shared" si="73"/>
        <v>0</v>
      </c>
      <c r="I89" s="1624">
        <f>G90+G91+G92</f>
        <v>0</v>
      </c>
      <c r="J89" s="1624">
        <f>H90+H91+H92</f>
        <v>0</v>
      </c>
      <c r="K89" s="1624">
        <f>IF(Score!Z89=0,0,1)</f>
        <v>0</v>
      </c>
      <c r="L89" s="1624">
        <f>IF(Score!AB89=0,0,1)</f>
        <v>0</v>
      </c>
      <c r="M89" s="1624">
        <f t="shared" si="74"/>
        <v>0</v>
      </c>
      <c r="N89" s="1624">
        <f t="shared" si="75"/>
        <v>0</v>
      </c>
      <c r="P89" s="1625">
        <f t="shared" si="68"/>
        <v>2.2999999999999998</v>
      </c>
      <c r="Q89" s="1625" t="str">
        <f t="shared" si="69"/>
        <v xml:space="preserve"> Q2 2</v>
      </c>
      <c r="R89" s="1622" t="str">
        <f t="shared" si="70"/>
        <v xml:space="preserve"> Appropriate Renewal</v>
      </c>
      <c r="S89" s="1626">
        <f t="shared" si="52"/>
        <v>0</v>
      </c>
      <c r="T89" s="1626">
        <f t="shared" si="53"/>
        <v>0</v>
      </c>
      <c r="U89" s="1626">
        <f t="shared" si="54"/>
        <v>0</v>
      </c>
      <c r="V89" s="1626">
        <f t="shared" si="55"/>
        <v>0</v>
      </c>
      <c r="W89" s="1626">
        <f t="shared" si="56"/>
        <v>0</v>
      </c>
      <c r="X89" s="1626">
        <f t="shared" si="57"/>
        <v>0</v>
      </c>
      <c r="Y89" s="1626">
        <f t="shared" si="58"/>
        <v>0</v>
      </c>
      <c r="Z89" s="1645">
        <f t="shared" si="59"/>
        <v>0</v>
      </c>
      <c r="AA89" s="1626">
        <f t="shared" si="60"/>
        <v>0</v>
      </c>
      <c r="AB89" s="1626">
        <f t="shared" si="61"/>
        <v>0</v>
      </c>
      <c r="AC89" s="1627">
        <f t="shared" si="62"/>
        <v>0</v>
      </c>
      <c r="AD89" s="1626">
        <f t="shared" si="63"/>
        <v>0</v>
      </c>
      <c r="AE89" s="1626">
        <f t="shared" si="64"/>
        <v>0</v>
      </c>
      <c r="AG89" s="1625">
        <v>2.2999999999999998</v>
      </c>
      <c r="AH89" s="1625" t="s">
        <v>675</v>
      </c>
      <c r="AI89" s="1628" t="s">
        <v>1817</v>
      </c>
      <c r="AJ89" s="1630">
        <v>0.25</v>
      </c>
      <c r="AK89" s="1630">
        <v>0.25</v>
      </c>
      <c r="AL89" s="1630">
        <v>0.25</v>
      </c>
      <c r="AM89" s="1630">
        <v>0.25</v>
      </c>
      <c r="AN89" s="1630">
        <v>0.25</v>
      </c>
      <c r="AO89" s="1630">
        <v>0.25</v>
      </c>
      <c r="AP89" s="1630">
        <v>0.25</v>
      </c>
      <c r="AQ89" s="1732">
        <v>0.25</v>
      </c>
      <c r="AR89" s="1630">
        <v>0.25</v>
      </c>
      <c r="AS89" s="1631">
        <v>0.25</v>
      </c>
      <c r="AT89" s="1631"/>
      <c r="AU89" s="1632"/>
      <c r="AV89" s="1631"/>
      <c r="AX89" s="1682">
        <v>2.2999999999999998</v>
      </c>
      <c r="AY89" s="1735" t="s">
        <v>474</v>
      </c>
      <c r="AZ89" s="1679" t="s">
        <v>1818</v>
      </c>
      <c r="BA89" s="1687">
        <v>0</v>
      </c>
      <c r="BB89" s="1687">
        <v>0</v>
      </c>
      <c r="BC89" s="1687">
        <v>0</v>
      </c>
      <c r="BD89" s="1687">
        <v>0</v>
      </c>
      <c r="BE89" s="1687">
        <v>0</v>
      </c>
      <c r="BF89" s="1687">
        <v>0</v>
      </c>
      <c r="BG89" s="1687">
        <v>0</v>
      </c>
      <c r="BH89" s="1687">
        <v>0</v>
      </c>
      <c r="BI89" s="1687">
        <v>0</v>
      </c>
      <c r="BJ89" s="1687">
        <v>0</v>
      </c>
      <c r="BK89" s="1689"/>
      <c r="BL89" s="1687"/>
      <c r="BM89" s="1687"/>
      <c r="BO89" s="1682">
        <v>2.2999999999999998</v>
      </c>
      <c r="BP89" s="1735" t="s">
        <v>474</v>
      </c>
      <c r="BQ89" s="1679" t="s">
        <v>3353</v>
      </c>
      <c r="BR89" s="1687">
        <v>0</v>
      </c>
      <c r="BS89" s="1687">
        <v>0</v>
      </c>
      <c r="BT89" s="1687">
        <v>0</v>
      </c>
      <c r="BU89" s="1687">
        <v>0</v>
      </c>
      <c r="BV89" s="1687">
        <v>0</v>
      </c>
      <c r="BW89" s="1687">
        <v>0</v>
      </c>
      <c r="BX89" s="1687">
        <v>0</v>
      </c>
      <c r="BY89" s="1687">
        <v>0</v>
      </c>
      <c r="BZ89" s="1687">
        <v>0</v>
      </c>
      <c r="CA89" s="1687">
        <v>0</v>
      </c>
      <c r="CB89" s="1687"/>
      <c r="CC89" s="1687"/>
      <c r="CD89" s="1687"/>
      <c r="CE89" s="1635"/>
      <c r="CG89" s="1682">
        <v>2.2999999999999998</v>
      </c>
      <c r="CH89" s="1735" t="s">
        <v>474</v>
      </c>
      <c r="CI89" s="1679" t="s">
        <v>1817</v>
      </c>
      <c r="CJ89" s="1694">
        <f t="shared" si="88"/>
        <v>0</v>
      </c>
      <c r="CK89" s="1694">
        <f t="shared" si="76"/>
        <v>0</v>
      </c>
      <c r="CL89" s="1694">
        <f t="shared" si="77"/>
        <v>0</v>
      </c>
      <c r="CM89" s="1694">
        <f t="shared" si="78"/>
        <v>0</v>
      </c>
      <c r="CN89" s="1694">
        <f t="shared" si="79"/>
        <v>0</v>
      </c>
      <c r="CO89" s="1694">
        <f t="shared" si="80"/>
        <v>0</v>
      </c>
      <c r="CP89" s="1694">
        <f t="shared" si="81"/>
        <v>0</v>
      </c>
      <c r="CQ89" s="1694">
        <f t="shared" si="82"/>
        <v>0</v>
      </c>
      <c r="CR89" s="1694">
        <f t="shared" si="83"/>
        <v>0</v>
      </c>
      <c r="CS89" s="1694">
        <f t="shared" si="84"/>
        <v>0</v>
      </c>
      <c r="CT89" s="1694">
        <f t="shared" si="85"/>
        <v>0</v>
      </c>
      <c r="CU89" s="1694">
        <f t="shared" si="86"/>
        <v>0</v>
      </c>
      <c r="CV89" s="1694">
        <f t="shared" si="87"/>
        <v>0</v>
      </c>
      <c r="CX89" s="1682">
        <v>2.2999999999999998</v>
      </c>
      <c r="CY89" s="1735" t="s">
        <v>474</v>
      </c>
      <c r="CZ89" s="1679" t="s">
        <v>1817</v>
      </c>
      <c r="DA89" s="1697">
        <f t="shared" si="89"/>
        <v>0</v>
      </c>
      <c r="DB89" s="1697"/>
      <c r="DC89" s="1697"/>
      <c r="DD89" s="1697"/>
      <c r="DE89" s="1697"/>
      <c r="DF89" s="1697"/>
      <c r="DG89" s="1697"/>
      <c r="DH89" s="1697"/>
      <c r="DI89" s="1697"/>
      <c r="DJ89" s="1697"/>
      <c r="DK89" s="1697"/>
      <c r="DL89" s="1697"/>
      <c r="DM89" s="1697"/>
    </row>
    <row r="90" spans="2:117" hidden="1">
      <c r="B90" s="1584" t="str">
        <f t="shared" si="90"/>
        <v>2.3.1</v>
      </c>
      <c r="C90" s="1734">
        <f t="shared" si="67"/>
        <v>0</v>
      </c>
      <c r="D90" s="1603">
        <f t="shared" ref="D90:E92" si="92">IF(I$89&gt;0,G90/I$89,0)</f>
        <v>0</v>
      </c>
      <c r="E90" s="1603">
        <f t="shared" si="92"/>
        <v>0</v>
      </c>
      <c r="G90" s="1624">
        <f t="shared" si="72"/>
        <v>0</v>
      </c>
      <c r="H90" s="1624">
        <f t="shared" si="73"/>
        <v>0</v>
      </c>
      <c r="I90" s="1624"/>
      <c r="J90" s="1624"/>
      <c r="K90" s="1624">
        <f>IF(Score!W90=0,0,1)</f>
        <v>1</v>
      </c>
      <c r="L90" s="1624">
        <f>IF(Score!X94=0,0,1)</f>
        <v>0</v>
      </c>
      <c r="M90" s="1624">
        <f t="shared" si="74"/>
        <v>0</v>
      </c>
      <c r="N90" s="1624">
        <f t="shared" si="75"/>
        <v>0</v>
      </c>
      <c r="P90" s="1625" t="str">
        <f t="shared" si="68"/>
        <v>2.3.1</v>
      </c>
      <c r="Q90" s="1625" t="str">
        <f t="shared" si="69"/>
        <v xml:space="preserve"> Q2 2.3</v>
      </c>
      <c r="R90" s="1622">
        <f t="shared" si="70"/>
        <v>0</v>
      </c>
      <c r="S90" s="1626">
        <f t="shared" si="52"/>
        <v>0</v>
      </c>
      <c r="T90" s="1626">
        <f t="shared" si="53"/>
        <v>0</v>
      </c>
      <c r="U90" s="1626">
        <f t="shared" si="54"/>
        <v>0</v>
      </c>
      <c r="V90" s="1626">
        <f t="shared" si="55"/>
        <v>0</v>
      </c>
      <c r="W90" s="1626">
        <f t="shared" si="56"/>
        <v>0</v>
      </c>
      <c r="X90" s="1626">
        <f t="shared" si="57"/>
        <v>0</v>
      </c>
      <c r="Y90" s="1626">
        <f t="shared" si="58"/>
        <v>0</v>
      </c>
      <c r="Z90" s="1645">
        <f t="shared" si="59"/>
        <v>0</v>
      </c>
      <c r="AA90" s="1626">
        <f t="shared" si="60"/>
        <v>0</v>
      </c>
      <c r="AB90" s="1626">
        <f t="shared" si="61"/>
        <v>0</v>
      </c>
      <c r="AC90" s="1627">
        <f t="shared" si="62"/>
        <v>0</v>
      </c>
      <c r="AD90" s="1626">
        <f t="shared" si="63"/>
        <v>0</v>
      </c>
      <c r="AE90" s="1626">
        <f t="shared" si="64"/>
        <v>0</v>
      </c>
      <c r="AG90" s="1625" t="s">
        <v>676</v>
      </c>
      <c r="AH90" s="1625" t="s">
        <v>677</v>
      </c>
      <c r="AI90" s="1628" t="s">
        <v>1819</v>
      </c>
      <c r="AJ90" s="1705">
        <v>0.33333333333333331</v>
      </c>
      <c r="AK90" s="1705">
        <v>0.33333333333333331</v>
      </c>
      <c r="AL90" s="1705">
        <v>0.33333333333333331</v>
      </c>
      <c r="AM90" s="1705">
        <v>0.33333333333333331</v>
      </c>
      <c r="AN90" s="1705">
        <v>0.33333333333333331</v>
      </c>
      <c r="AO90" s="1705">
        <v>0.33333333333333331</v>
      </c>
      <c r="AP90" s="1705">
        <v>0.33333333333333331</v>
      </c>
      <c r="AQ90" s="1705">
        <v>0.33333333333333331</v>
      </c>
      <c r="AR90" s="1705">
        <v>0.33333333333333331</v>
      </c>
      <c r="AS90" s="1631">
        <v>0.33333333333333331</v>
      </c>
      <c r="AT90" s="1631"/>
      <c r="AU90" s="1632"/>
      <c r="AV90" s="1631"/>
      <c r="AX90" s="1682" t="s">
        <v>678</v>
      </c>
      <c r="AY90" s="1524" t="s">
        <v>484</v>
      </c>
      <c r="AZ90" s="1679" t="s">
        <v>1820</v>
      </c>
      <c r="BA90" s="1687">
        <v>0</v>
      </c>
      <c r="BB90" s="1687">
        <v>0</v>
      </c>
      <c r="BC90" s="1687">
        <v>0</v>
      </c>
      <c r="BD90" s="1687">
        <v>0</v>
      </c>
      <c r="BE90" s="1687">
        <v>0</v>
      </c>
      <c r="BF90" s="1687">
        <v>0</v>
      </c>
      <c r="BG90" s="1687">
        <v>0</v>
      </c>
      <c r="BH90" s="1687">
        <v>0</v>
      </c>
      <c r="BI90" s="1687">
        <v>0</v>
      </c>
      <c r="BJ90" s="1687">
        <v>0</v>
      </c>
      <c r="BK90" s="1689"/>
      <c r="BL90" s="1687"/>
      <c r="BM90" s="1687"/>
      <c r="BO90" s="1682" t="s">
        <v>678</v>
      </c>
      <c r="BP90" s="1524" t="s">
        <v>484</v>
      </c>
      <c r="BQ90" s="1679"/>
      <c r="BR90" s="1687">
        <v>0</v>
      </c>
      <c r="BS90" s="1687">
        <v>0</v>
      </c>
      <c r="BT90" s="1687">
        <v>0</v>
      </c>
      <c r="BU90" s="1687">
        <v>0</v>
      </c>
      <c r="BV90" s="1687">
        <v>0</v>
      </c>
      <c r="BW90" s="1687">
        <v>0</v>
      </c>
      <c r="BX90" s="1687">
        <v>0</v>
      </c>
      <c r="BY90" s="1687">
        <v>0</v>
      </c>
      <c r="BZ90" s="1687">
        <v>0</v>
      </c>
      <c r="CA90" s="1687">
        <v>0</v>
      </c>
      <c r="CB90" s="1687"/>
      <c r="CC90" s="1687"/>
      <c r="CD90" s="1687"/>
      <c r="CE90" s="1635"/>
      <c r="CG90" s="1682" t="s">
        <v>59</v>
      </c>
      <c r="CH90" s="1524" t="s">
        <v>484</v>
      </c>
      <c r="CI90" s="1679"/>
      <c r="CJ90" s="1694">
        <f t="shared" si="88"/>
        <v>0</v>
      </c>
      <c r="CK90" s="1694">
        <f t="shared" si="76"/>
        <v>0</v>
      </c>
      <c r="CL90" s="1694">
        <f t="shared" si="77"/>
        <v>0</v>
      </c>
      <c r="CM90" s="1694">
        <f t="shared" si="78"/>
        <v>0</v>
      </c>
      <c r="CN90" s="1694">
        <f t="shared" si="79"/>
        <v>0</v>
      </c>
      <c r="CO90" s="1694">
        <f t="shared" si="80"/>
        <v>0</v>
      </c>
      <c r="CP90" s="1694">
        <f t="shared" si="81"/>
        <v>0</v>
      </c>
      <c r="CQ90" s="1694">
        <f t="shared" si="82"/>
        <v>0</v>
      </c>
      <c r="CR90" s="1694">
        <f t="shared" si="83"/>
        <v>0</v>
      </c>
      <c r="CS90" s="1694">
        <f t="shared" si="84"/>
        <v>0</v>
      </c>
      <c r="CT90" s="1694">
        <f t="shared" si="85"/>
        <v>0</v>
      </c>
      <c r="CU90" s="1694">
        <f t="shared" si="86"/>
        <v>0</v>
      </c>
      <c r="CV90" s="1694">
        <f t="shared" si="87"/>
        <v>0</v>
      </c>
      <c r="CX90" s="1682" t="s">
        <v>59</v>
      </c>
      <c r="CY90" s="1524" t="s">
        <v>484</v>
      </c>
      <c r="CZ90" s="1679" t="s">
        <v>1819</v>
      </c>
      <c r="DA90" s="1697">
        <f t="shared" si="89"/>
        <v>0</v>
      </c>
      <c r="DB90" s="1697"/>
      <c r="DC90" s="1697"/>
      <c r="DD90" s="1697"/>
      <c r="DE90" s="1697"/>
      <c r="DF90" s="1697"/>
      <c r="DG90" s="1697"/>
      <c r="DH90" s="1697"/>
      <c r="DI90" s="1697"/>
      <c r="DJ90" s="1697"/>
      <c r="DK90" s="1697"/>
      <c r="DL90" s="1697"/>
      <c r="DM90" s="1697"/>
    </row>
    <row r="91" spans="2:117" hidden="1">
      <c r="B91" s="1584" t="str">
        <f t="shared" si="90"/>
        <v>2.3.2</v>
      </c>
      <c r="C91" s="1734">
        <f t="shared" si="67"/>
        <v>0</v>
      </c>
      <c r="D91" s="1603">
        <f t="shared" si="92"/>
        <v>0</v>
      </c>
      <c r="E91" s="1603">
        <f t="shared" si="92"/>
        <v>0</v>
      </c>
      <c r="G91" s="1624">
        <f t="shared" si="72"/>
        <v>0</v>
      </c>
      <c r="H91" s="1624">
        <f t="shared" si="73"/>
        <v>0</v>
      </c>
      <c r="I91" s="1624"/>
      <c r="J91" s="1624"/>
      <c r="K91" s="1624">
        <f>IF(Score!W91=0,0,1)</f>
        <v>1</v>
      </c>
      <c r="L91" s="1624">
        <f>IF(Score!X95=0,0,1)</f>
        <v>0</v>
      </c>
      <c r="M91" s="1624">
        <f t="shared" si="74"/>
        <v>0</v>
      </c>
      <c r="N91" s="1624">
        <f t="shared" si="75"/>
        <v>0</v>
      </c>
      <c r="P91" s="1625" t="str">
        <f t="shared" si="68"/>
        <v>2.3.2</v>
      </c>
      <c r="Q91" s="1625" t="str">
        <f t="shared" si="69"/>
        <v xml:space="preserve"> Q2 2.3</v>
      </c>
      <c r="R91" s="1622">
        <f t="shared" si="70"/>
        <v>0</v>
      </c>
      <c r="S91" s="1626">
        <f t="shared" si="52"/>
        <v>0</v>
      </c>
      <c r="T91" s="1626">
        <f t="shared" si="53"/>
        <v>0</v>
      </c>
      <c r="U91" s="1626">
        <f t="shared" si="54"/>
        <v>0</v>
      </c>
      <c r="V91" s="1626">
        <f t="shared" si="55"/>
        <v>0</v>
      </c>
      <c r="W91" s="1626">
        <f t="shared" si="56"/>
        <v>0</v>
      </c>
      <c r="X91" s="1626">
        <f t="shared" si="57"/>
        <v>0</v>
      </c>
      <c r="Y91" s="1626">
        <f t="shared" si="58"/>
        <v>0</v>
      </c>
      <c r="Z91" s="1645">
        <f t="shared" si="59"/>
        <v>0</v>
      </c>
      <c r="AA91" s="1626">
        <f t="shared" si="60"/>
        <v>0</v>
      </c>
      <c r="AB91" s="1626">
        <f t="shared" si="61"/>
        <v>0</v>
      </c>
      <c r="AC91" s="1627">
        <f t="shared" si="62"/>
        <v>0</v>
      </c>
      <c r="AD91" s="1626">
        <f t="shared" si="63"/>
        <v>0</v>
      </c>
      <c r="AE91" s="1626">
        <f t="shared" si="64"/>
        <v>0</v>
      </c>
      <c r="AG91" s="1625" t="s">
        <v>679</v>
      </c>
      <c r="AH91" s="1625" t="s">
        <v>680</v>
      </c>
      <c r="AI91" s="1628" t="s">
        <v>1821</v>
      </c>
      <c r="AJ91" s="1705">
        <v>0.33333333333333331</v>
      </c>
      <c r="AK91" s="1705">
        <v>0.33333333333333331</v>
      </c>
      <c r="AL91" s="1705">
        <v>0.33333333333333331</v>
      </c>
      <c r="AM91" s="1705">
        <v>0.33333333333333331</v>
      </c>
      <c r="AN91" s="1705">
        <v>0.33333333333333331</v>
      </c>
      <c r="AO91" s="1705">
        <v>0.33333333333333331</v>
      </c>
      <c r="AP91" s="1705">
        <v>0.33333333333333331</v>
      </c>
      <c r="AQ91" s="1705">
        <v>0.33333333333333331</v>
      </c>
      <c r="AR91" s="1705">
        <v>0.33333333333333331</v>
      </c>
      <c r="AS91" s="1631">
        <v>0.33333333333333331</v>
      </c>
      <c r="AT91" s="1631"/>
      <c r="AU91" s="1632"/>
      <c r="AV91" s="1631"/>
      <c r="AX91" s="1682" t="s">
        <v>316</v>
      </c>
      <c r="AY91" s="1524" t="s">
        <v>484</v>
      </c>
      <c r="AZ91" s="1679" t="s">
        <v>1822</v>
      </c>
      <c r="BA91" s="1687">
        <v>0</v>
      </c>
      <c r="BB91" s="1687">
        <v>0</v>
      </c>
      <c r="BC91" s="1687">
        <v>0</v>
      </c>
      <c r="BD91" s="1687">
        <v>0</v>
      </c>
      <c r="BE91" s="1687">
        <v>0</v>
      </c>
      <c r="BF91" s="1687">
        <v>0</v>
      </c>
      <c r="BG91" s="1687">
        <v>0</v>
      </c>
      <c r="BH91" s="1687">
        <v>0</v>
      </c>
      <c r="BI91" s="1687">
        <v>0</v>
      </c>
      <c r="BJ91" s="1687">
        <v>0</v>
      </c>
      <c r="BK91" s="1689"/>
      <c r="BL91" s="1687"/>
      <c r="BM91" s="1687"/>
      <c r="BO91" s="1682" t="s">
        <v>316</v>
      </c>
      <c r="BP91" s="1524" t="s">
        <v>484</v>
      </c>
      <c r="BQ91" s="1679"/>
      <c r="BR91" s="1687">
        <v>0</v>
      </c>
      <c r="BS91" s="1687">
        <v>0</v>
      </c>
      <c r="BT91" s="1687">
        <v>0</v>
      </c>
      <c r="BU91" s="1687">
        <v>0</v>
      </c>
      <c r="BV91" s="1687">
        <v>0</v>
      </c>
      <c r="BW91" s="1687">
        <v>0</v>
      </c>
      <c r="BX91" s="1687">
        <v>0</v>
      </c>
      <c r="BY91" s="1687">
        <v>0</v>
      </c>
      <c r="BZ91" s="1687">
        <v>0</v>
      </c>
      <c r="CA91" s="1687">
        <v>0</v>
      </c>
      <c r="CB91" s="1687"/>
      <c r="CC91" s="1687"/>
      <c r="CD91" s="1687"/>
      <c r="CE91" s="1635"/>
      <c r="CG91" s="1682" t="s">
        <v>61</v>
      </c>
      <c r="CH91" s="1524" t="s">
        <v>484</v>
      </c>
      <c r="CI91" s="1679"/>
      <c r="CJ91" s="1694">
        <f t="shared" si="88"/>
        <v>0</v>
      </c>
      <c r="CK91" s="1694">
        <f t="shared" si="76"/>
        <v>0</v>
      </c>
      <c r="CL91" s="1694">
        <f t="shared" si="77"/>
        <v>0</v>
      </c>
      <c r="CM91" s="1694">
        <f t="shared" si="78"/>
        <v>0</v>
      </c>
      <c r="CN91" s="1694">
        <f t="shared" si="79"/>
        <v>0</v>
      </c>
      <c r="CO91" s="1694">
        <f t="shared" si="80"/>
        <v>0</v>
      </c>
      <c r="CP91" s="1694">
        <f t="shared" si="81"/>
        <v>0</v>
      </c>
      <c r="CQ91" s="1694">
        <f t="shared" si="82"/>
        <v>0</v>
      </c>
      <c r="CR91" s="1694">
        <f t="shared" si="83"/>
        <v>0</v>
      </c>
      <c r="CS91" s="1694">
        <f t="shared" si="84"/>
        <v>0</v>
      </c>
      <c r="CT91" s="1694">
        <f t="shared" si="85"/>
        <v>0</v>
      </c>
      <c r="CU91" s="1694">
        <f t="shared" si="86"/>
        <v>0</v>
      </c>
      <c r="CV91" s="1694">
        <f t="shared" si="87"/>
        <v>0</v>
      </c>
      <c r="CX91" s="1682" t="s">
        <v>61</v>
      </c>
      <c r="CY91" s="1524" t="s">
        <v>484</v>
      </c>
      <c r="CZ91" s="1679" t="s">
        <v>1821</v>
      </c>
      <c r="DA91" s="1697">
        <f t="shared" si="89"/>
        <v>0</v>
      </c>
      <c r="DB91" s="1697"/>
      <c r="DC91" s="1697"/>
      <c r="DD91" s="1697"/>
      <c r="DE91" s="1697"/>
      <c r="DF91" s="1697"/>
      <c r="DG91" s="1697"/>
      <c r="DH91" s="1697"/>
      <c r="DI91" s="1697"/>
      <c r="DJ91" s="1697"/>
      <c r="DK91" s="1697"/>
      <c r="DL91" s="1697"/>
      <c r="DM91" s="1697"/>
    </row>
    <row r="92" spans="2:117" hidden="1">
      <c r="B92" s="1584" t="str">
        <f t="shared" si="90"/>
        <v>2.3.3</v>
      </c>
      <c r="C92" s="1734">
        <f t="shared" si="67"/>
        <v>0</v>
      </c>
      <c r="D92" s="1603">
        <f t="shared" si="92"/>
        <v>0</v>
      </c>
      <c r="E92" s="1603">
        <f t="shared" si="92"/>
        <v>0</v>
      </c>
      <c r="G92" s="1624">
        <f t="shared" si="72"/>
        <v>0</v>
      </c>
      <c r="H92" s="1624">
        <f t="shared" si="73"/>
        <v>0</v>
      </c>
      <c r="I92" s="1624"/>
      <c r="J92" s="1624"/>
      <c r="K92" s="1624">
        <f>IF(Score!W92=0,0,1)</f>
        <v>1</v>
      </c>
      <c r="L92" s="1624">
        <f>IF(Score!X96=0,0,1)</f>
        <v>0</v>
      </c>
      <c r="M92" s="1624">
        <f t="shared" si="74"/>
        <v>0</v>
      </c>
      <c r="N92" s="1624">
        <f t="shared" si="75"/>
        <v>0</v>
      </c>
      <c r="P92" s="1625" t="str">
        <f t="shared" si="68"/>
        <v>2.3.3</v>
      </c>
      <c r="Q92" s="1625" t="str">
        <f t="shared" si="69"/>
        <v xml:space="preserve"> Q2 2.3</v>
      </c>
      <c r="R92" s="1622">
        <f t="shared" si="70"/>
        <v>0</v>
      </c>
      <c r="S92" s="1626">
        <f t="shared" si="52"/>
        <v>0</v>
      </c>
      <c r="T92" s="1626">
        <f t="shared" si="53"/>
        <v>0</v>
      </c>
      <c r="U92" s="1626">
        <f t="shared" si="54"/>
        <v>0</v>
      </c>
      <c r="V92" s="1626">
        <f t="shared" si="55"/>
        <v>0</v>
      </c>
      <c r="W92" s="1626">
        <f t="shared" si="56"/>
        <v>0</v>
      </c>
      <c r="X92" s="1626">
        <f t="shared" si="57"/>
        <v>0</v>
      </c>
      <c r="Y92" s="1626">
        <f t="shared" si="58"/>
        <v>0</v>
      </c>
      <c r="Z92" s="1645">
        <f t="shared" si="59"/>
        <v>0</v>
      </c>
      <c r="AA92" s="1626">
        <f t="shared" si="60"/>
        <v>0</v>
      </c>
      <c r="AB92" s="1626">
        <f t="shared" si="61"/>
        <v>0</v>
      </c>
      <c r="AC92" s="1627">
        <f t="shared" si="62"/>
        <v>0</v>
      </c>
      <c r="AD92" s="1626">
        <f t="shared" si="63"/>
        <v>0</v>
      </c>
      <c r="AE92" s="1626">
        <f t="shared" si="64"/>
        <v>0</v>
      </c>
      <c r="AG92" s="1625" t="s">
        <v>317</v>
      </c>
      <c r="AH92" s="1625" t="s">
        <v>318</v>
      </c>
      <c r="AI92" s="1628" t="s">
        <v>1823</v>
      </c>
      <c r="AJ92" s="1705">
        <v>0.33333333333333331</v>
      </c>
      <c r="AK92" s="1705">
        <v>0.33333333333333331</v>
      </c>
      <c r="AL92" s="1705">
        <v>0.33333333333333331</v>
      </c>
      <c r="AM92" s="1705">
        <v>0.33333333333333331</v>
      </c>
      <c r="AN92" s="1705">
        <v>0.33333333333333331</v>
      </c>
      <c r="AO92" s="1705">
        <v>0.33333333333333331</v>
      </c>
      <c r="AP92" s="1705">
        <v>0.33333333333333331</v>
      </c>
      <c r="AQ92" s="1705">
        <v>0.33333333333333331</v>
      </c>
      <c r="AR92" s="1705">
        <v>0.33333333333333331</v>
      </c>
      <c r="AS92" s="1631">
        <v>0.33333333333333331</v>
      </c>
      <c r="AT92" s="1631"/>
      <c r="AU92" s="1632"/>
      <c r="AV92" s="1631"/>
      <c r="AX92" s="1682" t="s">
        <v>319</v>
      </c>
      <c r="AY92" s="1524" t="s">
        <v>484</v>
      </c>
      <c r="AZ92" s="1679" t="s">
        <v>1824</v>
      </c>
      <c r="BA92" s="1687">
        <v>0</v>
      </c>
      <c r="BB92" s="1687">
        <v>0</v>
      </c>
      <c r="BC92" s="1687">
        <v>0</v>
      </c>
      <c r="BD92" s="1687">
        <v>0</v>
      </c>
      <c r="BE92" s="1687">
        <v>0</v>
      </c>
      <c r="BF92" s="1687">
        <v>0</v>
      </c>
      <c r="BG92" s="1687">
        <v>0</v>
      </c>
      <c r="BH92" s="1687">
        <v>0</v>
      </c>
      <c r="BI92" s="1687">
        <v>0</v>
      </c>
      <c r="BJ92" s="1687">
        <v>0</v>
      </c>
      <c r="BK92" s="1689"/>
      <c r="BL92" s="1687"/>
      <c r="BM92" s="1687"/>
      <c r="BO92" s="1682" t="s">
        <v>319</v>
      </c>
      <c r="BP92" s="1524" t="s">
        <v>484</v>
      </c>
      <c r="BQ92" s="1679"/>
      <c r="BR92" s="1687">
        <v>0</v>
      </c>
      <c r="BS92" s="1687">
        <v>0</v>
      </c>
      <c r="BT92" s="1687">
        <v>0</v>
      </c>
      <c r="BU92" s="1687">
        <v>0</v>
      </c>
      <c r="BV92" s="1687">
        <v>0</v>
      </c>
      <c r="BW92" s="1687">
        <v>0</v>
      </c>
      <c r="BX92" s="1687">
        <v>0</v>
      </c>
      <c r="BY92" s="1687">
        <v>0</v>
      </c>
      <c r="BZ92" s="1687">
        <v>0</v>
      </c>
      <c r="CA92" s="1687">
        <v>0</v>
      </c>
      <c r="CB92" s="1687"/>
      <c r="CC92" s="1687"/>
      <c r="CD92" s="1687"/>
      <c r="CE92" s="1635"/>
      <c r="CG92" s="1682" t="s">
        <v>317</v>
      </c>
      <c r="CH92" s="1524" t="s">
        <v>484</v>
      </c>
      <c r="CI92" s="1679"/>
      <c r="CJ92" s="1694">
        <f t="shared" si="88"/>
        <v>0</v>
      </c>
      <c r="CK92" s="1694">
        <f t="shared" si="76"/>
        <v>0</v>
      </c>
      <c r="CL92" s="1694">
        <f t="shared" si="77"/>
        <v>0</v>
      </c>
      <c r="CM92" s="1694">
        <f t="shared" si="78"/>
        <v>0</v>
      </c>
      <c r="CN92" s="1694">
        <f t="shared" si="79"/>
        <v>0</v>
      </c>
      <c r="CO92" s="1694">
        <f t="shared" si="80"/>
        <v>0</v>
      </c>
      <c r="CP92" s="1694">
        <f t="shared" si="81"/>
        <v>0</v>
      </c>
      <c r="CQ92" s="1694">
        <f t="shared" si="82"/>
        <v>0</v>
      </c>
      <c r="CR92" s="1694">
        <f t="shared" si="83"/>
        <v>0</v>
      </c>
      <c r="CS92" s="1694">
        <f t="shared" si="84"/>
        <v>0</v>
      </c>
      <c r="CT92" s="1694">
        <f t="shared" si="85"/>
        <v>0</v>
      </c>
      <c r="CU92" s="1694">
        <f t="shared" si="86"/>
        <v>0</v>
      </c>
      <c r="CV92" s="1694">
        <f t="shared" si="87"/>
        <v>0</v>
      </c>
      <c r="CX92" s="1682" t="s">
        <v>317</v>
      </c>
      <c r="CY92" s="1524" t="s">
        <v>484</v>
      </c>
      <c r="CZ92" s="1679" t="s">
        <v>1823</v>
      </c>
      <c r="DA92" s="1697">
        <f t="shared" si="89"/>
        <v>0</v>
      </c>
      <c r="DB92" s="1697"/>
      <c r="DC92" s="1697"/>
      <c r="DD92" s="1697"/>
      <c r="DE92" s="1697"/>
      <c r="DF92" s="1697"/>
      <c r="DG92" s="1697"/>
      <c r="DH92" s="1697"/>
      <c r="DI92" s="1697"/>
      <c r="DJ92" s="1697"/>
      <c r="DK92" s="1697"/>
      <c r="DL92" s="1697"/>
      <c r="DM92" s="1697"/>
    </row>
    <row r="93" spans="2:117">
      <c r="B93" s="1584">
        <f t="shared" si="90"/>
        <v>2.4</v>
      </c>
      <c r="C93" s="1622" t="str">
        <f t="shared" si="67"/>
        <v>Reliability</v>
      </c>
      <c r="D93" s="1623">
        <f>IF(I$78=0,0,G93/I$78)</f>
        <v>0.2</v>
      </c>
      <c r="E93" s="1624">
        <f>IF(J$78=0,0,H93/J$78)</f>
        <v>0</v>
      </c>
      <c r="G93" s="1624">
        <f t="shared" si="72"/>
        <v>0.2</v>
      </c>
      <c r="H93" s="1624">
        <f t="shared" si="73"/>
        <v>0</v>
      </c>
      <c r="I93" s="1624">
        <f>SUM(G94:G98)</f>
        <v>1</v>
      </c>
      <c r="J93" s="1624">
        <f>SUM(H94:H98)</f>
        <v>0</v>
      </c>
      <c r="K93" s="1624">
        <f>IF(Score!Z93=0,0,1)</f>
        <v>1</v>
      </c>
      <c r="L93" s="1624">
        <f>IF(Score!AB93=0,0,1)</f>
        <v>0</v>
      </c>
      <c r="M93" s="1624">
        <f t="shared" si="74"/>
        <v>0.2</v>
      </c>
      <c r="N93" s="1624">
        <f t="shared" si="75"/>
        <v>0</v>
      </c>
      <c r="P93" s="1625">
        <f t="shared" si="68"/>
        <v>2.4</v>
      </c>
      <c r="Q93" s="1625" t="str">
        <f t="shared" si="69"/>
        <v xml:space="preserve"> Q2 2</v>
      </c>
      <c r="R93" s="1622" t="str">
        <f t="shared" si="70"/>
        <v>Reliability</v>
      </c>
      <c r="S93" s="1626">
        <f t="shared" si="52"/>
        <v>0.2</v>
      </c>
      <c r="T93" s="1626">
        <f t="shared" si="53"/>
        <v>0.2</v>
      </c>
      <c r="U93" s="1626">
        <f t="shared" si="54"/>
        <v>0.2</v>
      </c>
      <c r="V93" s="1626">
        <f t="shared" si="55"/>
        <v>0.2</v>
      </c>
      <c r="W93" s="1626">
        <f t="shared" si="56"/>
        <v>0.2</v>
      </c>
      <c r="X93" s="1626">
        <f t="shared" si="57"/>
        <v>0.2</v>
      </c>
      <c r="Y93" s="1626">
        <f t="shared" si="58"/>
        <v>0.2</v>
      </c>
      <c r="Z93" s="1645">
        <f t="shared" si="59"/>
        <v>0.2</v>
      </c>
      <c r="AA93" s="1626">
        <f t="shared" si="60"/>
        <v>0.2</v>
      </c>
      <c r="AB93" s="1626">
        <f t="shared" si="61"/>
        <v>0.2</v>
      </c>
      <c r="AC93" s="1627">
        <f t="shared" si="62"/>
        <v>0</v>
      </c>
      <c r="AD93" s="1626">
        <f t="shared" si="63"/>
        <v>0</v>
      </c>
      <c r="AE93" s="1626">
        <f t="shared" si="64"/>
        <v>0</v>
      </c>
      <c r="AG93" s="1625">
        <v>2.4</v>
      </c>
      <c r="AH93" s="1628" t="s">
        <v>474</v>
      </c>
      <c r="AI93" s="1622" t="s">
        <v>1825</v>
      </c>
      <c r="AJ93" s="1630">
        <v>0.25</v>
      </c>
      <c r="AK93" s="1630">
        <v>0.25</v>
      </c>
      <c r="AL93" s="1630">
        <v>0.25</v>
      </c>
      <c r="AM93" s="1630">
        <v>0.25</v>
      </c>
      <c r="AN93" s="1630">
        <v>0.25</v>
      </c>
      <c r="AO93" s="1630">
        <v>0.25</v>
      </c>
      <c r="AP93" s="1630">
        <v>0.25</v>
      </c>
      <c r="AQ93" s="1732">
        <v>0.25</v>
      </c>
      <c r="AR93" s="1630">
        <v>0.25</v>
      </c>
      <c r="AS93" s="1631">
        <v>0.25</v>
      </c>
      <c r="AT93" s="1632">
        <v>0</v>
      </c>
      <c r="AU93" s="1631">
        <v>0</v>
      </c>
      <c r="AV93" s="1631">
        <v>0</v>
      </c>
      <c r="AX93" s="1625">
        <v>2.4</v>
      </c>
      <c r="AY93" s="1628" t="s">
        <v>474</v>
      </c>
      <c r="AZ93" s="1622" t="s">
        <v>1826</v>
      </c>
      <c r="BA93" s="1631">
        <v>0.2</v>
      </c>
      <c r="BB93" s="1631">
        <v>0.2</v>
      </c>
      <c r="BC93" s="1631">
        <v>0.2</v>
      </c>
      <c r="BD93" s="1631">
        <v>0.2</v>
      </c>
      <c r="BE93" s="1631">
        <v>0.2</v>
      </c>
      <c r="BF93" s="1631">
        <v>0.2</v>
      </c>
      <c r="BG93" s="1631">
        <v>0.2</v>
      </c>
      <c r="BH93" s="1649">
        <v>0.2</v>
      </c>
      <c r="BI93" s="1631">
        <v>0.2</v>
      </c>
      <c r="BJ93" s="1631">
        <v>0.2</v>
      </c>
      <c r="BK93" s="1632"/>
      <c r="BL93" s="1631"/>
      <c r="BM93" s="1631"/>
      <c r="BO93" s="1625">
        <v>2.4</v>
      </c>
      <c r="BP93" s="1628" t="s">
        <v>474</v>
      </c>
      <c r="BQ93" s="1622" t="s">
        <v>1608</v>
      </c>
      <c r="BR93" s="1631">
        <v>0.2</v>
      </c>
      <c r="BS93" s="1631">
        <v>0.2</v>
      </c>
      <c r="BT93" s="1631">
        <v>0.2</v>
      </c>
      <c r="BU93" s="1631">
        <v>0.2</v>
      </c>
      <c r="BV93" s="1631">
        <v>0.2</v>
      </c>
      <c r="BW93" s="1631">
        <v>0.2</v>
      </c>
      <c r="BX93" s="1631">
        <v>0.2</v>
      </c>
      <c r="BY93" s="1649">
        <v>0.2</v>
      </c>
      <c r="BZ93" s="1631">
        <v>0.2</v>
      </c>
      <c r="CA93" s="1631">
        <v>0.2</v>
      </c>
      <c r="CB93" s="1632"/>
      <c r="CC93" s="1631"/>
      <c r="CD93" s="1631"/>
      <c r="CE93" s="1635"/>
      <c r="CG93" s="1625">
        <v>2.4</v>
      </c>
      <c r="CH93" s="1628" t="s">
        <v>474</v>
      </c>
      <c r="CI93" s="1622" t="s">
        <v>1825</v>
      </c>
      <c r="CJ93" s="1638">
        <v>0.1</v>
      </c>
      <c r="CK93" s="1638">
        <v>0.1</v>
      </c>
      <c r="CL93" s="1638">
        <v>0.1</v>
      </c>
      <c r="CM93" s="1638">
        <v>0.1</v>
      </c>
      <c r="CN93" s="1638">
        <v>0.1</v>
      </c>
      <c r="CO93" s="1638">
        <v>0.1</v>
      </c>
      <c r="CP93" s="1638">
        <v>0.1</v>
      </c>
      <c r="CQ93" s="1638">
        <v>0.1</v>
      </c>
      <c r="CR93" s="1638">
        <v>0.1</v>
      </c>
      <c r="CS93" s="1638">
        <v>0.1</v>
      </c>
      <c r="CT93" s="1640">
        <f t="shared" si="85"/>
        <v>0</v>
      </c>
      <c r="CU93" s="1636">
        <f t="shared" si="86"/>
        <v>0</v>
      </c>
      <c r="CV93" s="1636">
        <f t="shared" si="87"/>
        <v>0</v>
      </c>
      <c r="CX93" s="1625">
        <v>2.4</v>
      </c>
      <c r="CY93" s="1628" t="s">
        <v>474</v>
      </c>
      <c r="CZ93" s="1622" t="s">
        <v>1825</v>
      </c>
      <c r="DA93" s="1637">
        <v>0.6</v>
      </c>
      <c r="DB93" s="1638"/>
      <c r="DC93" s="1638"/>
      <c r="DD93" s="1638"/>
      <c r="DE93" s="1638"/>
      <c r="DF93" s="1638"/>
      <c r="DG93" s="1638"/>
      <c r="DH93" s="1721"/>
      <c r="DI93" s="1638"/>
      <c r="DJ93" s="1638"/>
      <c r="DK93" s="1642"/>
      <c r="DL93" s="1638"/>
      <c r="DM93" s="1638"/>
    </row>
    <row r="94" spans="2:117">
      <c r="B94" s="1584" t="str">
        <f t="shared" si="90"/>
        <v>2.4.1</v>
      </c>
      <c r="C94" s="1622" t="str">
        <f t="shared" si="67"/>
        <v>HVAC System</v>
      </c>
      <c r="D94" s="1603">
        <f>IF(I$93&gt;0,G94/I$93,0)</f>
        <v>0.2</v>
      </c>
      <c r="E94" s="1624">
        <f t="shared" ref="D94:E98" si="93">IF(J$93&gt;0,H94/J$93,0)</f>
        <v>0</v>
      </c>
      <c r="G94" s="1624">
        <f t="shared" si="72"/>
        <v>0.2</v>
      </c>
      <c r="H94" s="1624">
        <f t="shared" si="73"/>
        <v>0</v>
      </c>
      <c r="I94" s="1624"/>
      <c r="J94" s="1624"/>
      <c r="K94" s="1624">
        <f>IF(Score!W94=0,0,1)</f>
        <v>1</v>
      </c>
      <c r="L94" s="1624">
        <f>IF(Score!X94=0,0,1)</f>
        <v>0</v>
      </c>
      <c r="M94" s="1624">
        <f t="shared" si="74"/>
        <v>0.2</v>
      </c>
      <c r="N94" s="1624">
        <f t="shared" si="75"/>
        <v>0</v>
      </c>
      <c r="P94" s="1625" t="str">
        <f t="shared" si="68"/>
        <v>2.4.1</v>
      </c>
      <c r="Q94" s="1625" t="str">
        <f t="shared" si="69"/>
        <v xml:space="preserve"> Q2 2.4</v>
      </c>
      <c r="R94" s="1622" t="str">
        <f t="shared" si="70"/>
        <v>HVAC System</v>
      </c>
      <c r="S94" s="1626">
        <f t="shared" si="52"/>
        <v>0.2</v>
      </c>
      <c r="T94" s="1626">
        <f t="shared" si="53"/>
        <v>0.2</v>
      </c>
      <c r="U94" s="1626">
        <f t="shared" si="54"/>
        <v>0.2</v>
      </c>
      <c r="V94" s="1626">
        <f t="shared" si="55"/>
        <v>0.2</v>
      </c>
      <c r="W94" s="1626">
        <f t="shared" si="56"/>
        <v>0.2</v>
      </c>
      <c r="X94" s="1626">
        <f t="shared" si="57"/>
        <v>0.2</v>
      </c>
      <c r="Y94" s="1626">
        <f t="shared" si="58"/>
        <v>0.2</v>
      </c>
      <c r="Z94" s="1645">
        <f t="shared" si="59"/>
        <v>0.2</v>
      </c>
      <c r="AA94" s="1626">
        <f t="shared" si="60"/>
        <v>0.2</v>
      </c>
      <c r="AB94" s="1626">
        <f t="shared" si="61"/>
        <v>0.2</v>
      </c>
      <c r="AC94" s="1627">
        <f t="shared" si="62"/>
        <v>0</v>
      </c>
      <c r="AD94" s="1626">
        <f t="shared" si="63"/>
        <v>0</v>
      </c>
      <c r="AE94" s="1626">
        <f t="shared" si="64"/>
        <v>0</v>
      </c>
      <c r="AG94" s="1625" t="s">
        <v>320</v>
      </c>
      <c r="AH94" s="1628" t="s">
        <v>486</v>
      </c>
      <c r="AI94" s="1622" t="s">
        <v>1827</v>
      </c>
      <c r="AJ94" s="1630">
        <v>0.2</v>
      </c>
      <c r="AK94" s="1630">
        <v>0.2</v>
      </c>
      <c r="AL94" s="1630">
        <v>0.2</v>
      </c>
      <c r="AM94" s="1630">
        <v>0.2</v>
      </c>
      <c r="AN94" s="1630">
        <v>0.2</v>
      </c>
      <c r="AO94" s="1630">
        <v>0.2</v>
      </c>
      <c r="AP94" s="1630">
        <v>0.2</v>
      </c>
      <c r="AQ94" s="1732">
        <v>0.2</v>
      </c>
      <c r="AR94" s="1630">
        <v>0.2</v>
      </c>
      <c r="AS94" s="1631">
        <v>0.2</v>
      </c>
      <c r="AT94" s="1632">
        <v>0</v>
      </c>
      <c r="AU94" s="1631">
        <v>0</v>
      </c>
      <c r="AV94" s="1631">
        <v>0</v>
      </c>
      <c r="AX94" s="1625" t="s">
        <v>320</v>
      </c>
      <c r="AY94" s="1628" t="s">
        <v>486</v>
      </c>
      <c r="AZ94" s="1622" t="s">
        <v>1827</v>
      </c>
      <c r="BA94" s="1631">
        <v>0.2</v>
      </c>
      <c r="BB94" s="1631">
        <v>0.2</v>
      </c>
      <c r="BC94" s="1631">
        <v>0.2</v>
      </c>
      <c r="BD94" s="1631">
        <v>0.2</v>
      </c>
      <c r="BE94" s="1631">
        <v>0.2</v>
      </c>
      <c r="BF94" s="1631">
        <v>0.2</v>
      </c>
      <c r="BG94" s="1631">
        <v>0.2</v>
      </c>
      <c r="BH94" s="1649">
        <v>0.2</v>
      </c>
      <c r="BI94" s="1631">
        <v>0.2</v>
      </c>
      <c r="BJ94" s="1631">
        <v>0.2</v>
      </c>
      <c r="BK94" s="1632"/>
      <c r="BL94" s="1631"/>
      <c r="BM94" s="1631"/>
      <c r="BO94" s="1625" t="s">
        <v>320</v>
      </c>
      <c r="BP94" s="1628" t="s">
        <v>486</v>
      </c>
      <c r="BQ94" s="1622" t="s">
        <v>1609</v>
      </c>
      <c r="BR94" s="1631">
        <v>0.2</v>
      </c>
      <c r="BS94" s="1631">
        <v>0.2</v>
      </c>
      <c r="BT94" s="1631">
        <v>0.2</v>
      </c>
      <c r="BU94" s="1631">
        <v>0.2</v>
      </c>
      <c r="BV94" s="1631">
        <v>0.2</v>
      </c>
      <c r="BW94" s="1631">
        <v>0.2</v>
      </c>
      <c r="BX94" s="1631">
        <v>0.2</v>
      </c>
      <c r="BY94" s="1649">
        <v>0.2</v>
      </c>
      <c r="BZ94" s="1631">
        <v>0.2</v>
      </c>
      <c r="CA94" s="1631">
        <v>0.2</v>
      </c>
      <c r="CB94" s="1632"/>
      <c r="CC94" s="1631"/>
      <c r="CD94" s="1631"/>
      <c r="CE94" s="1635"/>
      <c r="CG94" s="1625" t="s">
        <v>320</v>
      </c>
      <c r="CH94" s="1628" t="s">
        <v>486</v>
      </c>
      <c r="CI94" s="1622" t="s">
        <v>1827</v>
      </c>
      <c r="CJ94" s="1636">
        <v>0</v>
      </c>
      <c r="CK94" s="1636">
        <v>0</v>
      </c>
      <c r="CL94" s="1636">
        <v>0</v>
      </c>
      <c r="CM94" s="1636">
        <v>0</v>
      </c>
      <c r="CN94" s="1636">
        <v>0</v>
      </c>
      <c r="CO94" s="1636">
        <v>0</v>
      </c>
      <c r="CP94" s="1636">
        <v>0</v>
      </c>
      <c r="CQ94" s="1636">
        <v>0</v>
      </c>
      <c r="CR94" s="1636">
        <v>0</v>
      </c>
      <c r="CS94" s="1636">
        <v>0</v>
      </c>
      <c r="CT94" s="1640">
        <f t="shared" si="85"/>
        <v>0</v>
      </c>
      <c r="CU94" s="1636">
        <f t="shared" si="86"/>
        <v>0</v>
      </c>
      <c r="CV94" s="1636">
        <f t="shared" si="87"/>
        <v>0</v>
      </c>
      <c r="CX94" s="1625" t="s">
        <v>320</v>
      </c>
      <c r="CY94" s="1628" t="s">
        <v>486</v>
      </c>
      <c r="CZ94" s="1622" t="s">
        <v>1827</v>
      </c>
      <c r="DA94" s="1722">
        <v>0.15</v>
      </c>
      <c r="DB94" s="1638"/>
      <c r="DC94" s="1638"/>
      <c r="DD94" s="1638"/>
      <c r="DE94" s="1638"/>
      <c r="DF94" s="1638"/>
      <c r="DG94" s="1638"/>
      <c r="DH94" s="1638"/>
      <c r="DI94" s="1638"/>
      <c r="DJ94" s="1638"/>
      <c r="DK94" s="1642"/>
      <c r="DL94" s="1638"/>
      <c r="DM94" s="1638"/>
    </row>
    <row r="95" spans="2:117">
      <c r="B95" s="1584" t="str">
        <f t="shared" si="90"/>
        <v>2.4.2</v>
      </c>
      <c r="C95" s="1622" t="str">
        <f t="shared" si="67"/>
        <v>Water Supply &amp; Drainage</v>
      </c>
      <c r="D95" s="1603">
        <f t="shared" si="93"/>
        <v>0.2</v>
      </c>
      <c r="E95" s="1624">
        <f t="shared" si="93"/>
        <v>0</v>
      </c>
      <c r="G95" s="1624">
        <f t="shared" si="72"/>
        <v>0.2</v>
      </c>
      <c r="H95" s="1624">
        <f t="shared" si="73"/>
        <v>0</v>
      </c>
      <c r="I95" s="1624"/>
      <c r="J95" s="1624"/>
      <c r="K95" s="1624">
        <f>IF(Score!W95=0,0,1)</f>
        <v>1</v>
      </c>
      <c r="L95" s="1624">
        <f>IF(Score!X95=0,0,1)</f>
        <v>0</v>
      </c>
      <c r="M95" s="1624">
        <f t="shared" si="74"/>
        <v>0.2</v>
      </c>
      <c r="N95" s="1624">
        <f t="shared" si="75"/>
        <v>0</v>
      </c>
      <c r="P95" s="1625" t="str">
        <f t="shared" si="68"/>
        <v>2.4.2</v>
      </c>
      <c r="Q95" s="1625" t="str">
        <f t="shared" si="69"/>
        <v xml:space="preserve"> Q2 2.4</v>
      </c>
      <c r="R95" s="1622" t="str">
        <f t="shared" si="70"/>
        <v>Water Supply &amp; Drainage</v>
      </c>
      <c r="S95" s="1626">
        <f t="shared" si="52"/>
        <v>0.2</v>
      </c>
      <c r="T95" s="1626">
        <f t="shared" si="53"/>
        <v>0.2</v>
      </c>
      <c r="U95" s="1626">
        <f t="shared" si="54"/>
        <v>0.2</v>
      </c>
      <c r="V95" s="1626">
        <f t="shared" si="55"/>
        <v>0.2</v>
      </c>
      <c r="W95" s="1626">
        <f t="shared" si="56"/>
        <v>0.2</v>
      </c>
      <c r="X95" s="1626">
        <f t="shared" si="57"/>
        <v>0.2</v>
      </c>
      <c r="Y95" s="1626">
        <f t="shared" si="58"/>
        <v>0.2</v>
      </c>
      <c r="Z95" s="1645">
        <f t="shared" si="59"/>
        <v>0.2</v>
      </c>
      <c r="AA95" s="1626">
        <f t="shared" si="60"/>
        <v>0.2</v>
      </c>
      <c r="AB95" s="1626">
        <f t="shared" si="61"/>
        <v>0.2</v>
      </c>
      <c r="AC95" s="1627">
        <f t="shared" si="62"/>
        <v>0</v>
      </c>
      <c r="AD95" s="1626">
        <f t="shared" si="63"/>
        <v>0</v>
      </c>
      <c r="AE95" s="1626">
        <f t="shared" si="64"/>
        <v>0</v>
      </c>
      <c r="AG95" s="1625" t="s">
        <v>488</v>
      </c>
      <c r="AH95" s="1628" t="s">
        <v>486</v>
      </c>
      <c r="AI95" s="1622" t="s">
        <v>1828</v>
      </c>
      <c r="AJ95" s="1630">
        <v>0.2</v>
      </c>
      <c r="AK95" s="1630">
        <v>0.2</v>
      </c>
      <c r="AL95" s="1630">
        <v>0.2</v>
      </c>
      <c r="AM95" s="1630">
        <v>0.2</v>
      </c>
      <c r="AN95" s="1630">
        <v>0.2</v>
      </c>
      <c r="AO95" s="1630">
        <v>0.2</v>
      </c>
      <c r="AP95" s="1630">
        <v>0.2</v>
      </c>
      <c r="AQ95" s="1732">
        <v>0.2</v>
      </c>
      <c r="AR95" s="1630">
        <v>0.2</v>
      </c>
      <c r="AS95" s="1631">
        <v>0.2</v>
      </c>
      <c r="AT95" s="1632">
        <v>0</v>
      </c>
      <c r="AU95" s="1631">
        <v>0</v>
      </c>
      <c r="AV95" s="1631">
        <v>0</v>
      </c>
      <c r="AX95" s="1625" t="s">
        <v>488</v>
      </c>
      <c r="AY95" s="1628" t="s">
        <v>486</v>
      </c>
      <c r="AZ95" s="1622" t="s">
        <v>1828</v>
      </c>
      <c r="BA95" s="1631">
        <v>0.2</v>
      </c>
      <c r="BB95" s="1631">
        <v>0.2</v>
      </c>
      <c r="BC95" s="1631">
        <v>0.2</v>
      </c>
      <c r="BD95" s="1631">
        <v>0.2</v>
      </c>
      <c r="BE95" s="1631">
        <v>0.2</v>
      </c>
      <c r="BF95" s="1631">
        <v>0.2</v>
      </c>
      <c r="BG95" s="1631">
        <v>0.2</v>
      </c>
      <c r="BH95" s="1649">
        <v>0.2</v>
      </c>
      <c r="BI95" s="1631">
        <v>0.2</v>
      </c>
      <c r="BJ95" s="1631">
        <v>0.2</v>
      </c>
      <c r="BK95" s="1632"/>
      <c r="BL95" s="1631"/>
      <c r="BM95" s="1631"/>
      <c r="BO95" s="1625" t="s">
        <v>488</v>
      </c>
      <c r="BP95" s="1628" t="s">
        <v>486</v>
      </c>
      <c r="BQ95" s="1622" t="s">
        <v>1610</v>
      </c>
      <c r="BR95" s="1631">
        <v>0.2</v>
      </c>
      <c r="BS95" s="1631">
        <v>0.2</v>
      </c>
      <c r="BT95" s="1631">
        <v>0.2</v>
      </c>
      <c r="BU95" s="1631">
        <v>0.2</v>
      </c>
      <c r="BV95" s="1631">
        <v>0.2</v>
      </c>
      <c r="BW95" s="1631">
        <v>0.2</v>
      </c>
      <c r="BX95" s="1631">
        <v>0.2</v>
      </c>
      <c r="BY95" s="1649">
        <v>0.2</v>
      </c>
      <c r="BZ95" s="1631">
        <v>0.2</v>
      </c>
      <c r="CA95" s="1631">
        <v>0.2</v>
      </c>
      <c r="CB95" s="1632"/>
      <c r="CC95" s="1631"/>
      <c r="CD95" s="1631"/>
      <c r="CE95" s="1635"/>
      <c r="CG95" s="1625" t="s">
        <v>488</v>
      </c>
      <c r="CH95" s="1628" t="s">
        <v>486</v>
      </c>
      <c r="CI95" s="1622" t="s">
        <v>1828</v>
      </c>
      <c r="CJ95" s="1636">
        <v>0</v>
      </c>
      <c r="CK95" s="1636">
        <v>0</v>
      </c>
      <c r="CL95" s="1636">
        <v>0</v>
      </c>
      <c r="CM95" s="1636">
        <v>0</v>
      </c>
      <c r="CN95" s="1636">
        <v>0</v>
      </c>
      <c r="CO95" s="1636">
        <v>0</v>
      </c>
      <c r="CP95" s="1636">
        <v>0</v>
      </c>
      <c r="CQ95" s="1636">
        <v>0</v>
      </c>
      <c r="CR95" s="1636">
        <v>0</v>
      </c>
      <c r="CS95" s="1636">
        <v>0</v>
      </c>
      <c r="CT95" s="1640">
        <f t="shared" si="85"/>
        <v>0</v>
      </c>
      <c r="CU95" s="1636">
        <f t="shared" si="86"/>
        <v>0</v>
      </c>
      <c r="CV95" s="1636">
        <f t="shared" si="87"/>
        <v>0</v>
      </c>
      <c r="CX95" s="1625" t="s">
        <v>488</v>
      </c>
      <c r="CY95" s="1628" t="s">
        <v>486</v>
      </c>
      <c r="CZ95" s="1622" t="s">
        <v>1828</v>
      </c>
      <c r="DA95" s="1722">
        <v>0.15</v>
      </c>
      <c r="DB95" s="1638"/>
      <c r="DC95" s="1638"/>
      <c r="DD95" s="1638"/>
      <c r="DE95" s="1638"/>
      <c r="DF95" s="1638"/>
      <c r="DG95" s="1638"/>
      <c r="DH95" s="1638"/>
      <c r="DI95" s="1638"/>
      <c r="DJ95" s="1638"/>
      <c r="DK95" s="1642"/>
      <c r="DL95" s="1638"/>
      <c r="DM95" s="1638"/>
    </row>
    <row r="96" spans="2:117">
      <c r="B96" s="1584" t="str">
        <f t="shared" si="90"/>
        <v>2.4.3</v>
      </c>
      <c r="C96" s="1622" t="str">
        <f t="shared" si="67"/>
        <v>Electrical Equipment</v>
      </c>
      <c r="D96" s="1603">
        <f t="shared" si="93"/>
        <v>0.2</v>
      </c>
      <c r="E96" s="1624">
        <f t="shared" si="93"/>
        <v>0</v>
      </c>
      <c r="G96" s="1624">
        <f t="shared" si="72"/>
        <v>0.2</v>
      </c>
      <c r="H96" s="1624">
        <f t="shared" si="73"/>
        <v>0</v>
      </c>
      <c r="I96" s="1624"/>
      <c r="J96" s="1624"/>
      <c r="K96" s="1624">
        <f>IF(Score!W96=0,0,1)</f>
        <v>1</v>
      </c>
      <c r="L96" s="1624">
        <f>IF(Score!X96=0,0,1)</f>
        <v>0</v>
      </c>
      <c r="M96" s="1624">
        <f t="shared" si="74"/>
        <v>0.2</v>
      </c>
      <c r="N96" s="1624">
        <f t="shared" si="75"/>
        <v>0</v>
      </c>
      <c r="P96" s="1625" t="str">
        <f t="shared" si="68"/>
        <v>2.4.3</v>
      </c>
      <c r="Q96" s="1625" t="str">
        <f t="shared" si="69"/>
        <v xml:space="preserve"> Q2 2.4</v>
      </c>
      <c r="R96" s="1622" t="str">
        <f t="shared" si="70"/>
        <v>Electrical Equipment</v>
      </c>
      <c r="S96" s="1626">
        <f t="shared" si="52"/>
        <v>0.2</v>
      </c>
      <c r="T96" s="1626">
        <f t="shared" si="53"/>
        <v>0.2</v>
      </c>
      <c r="U96" s="1626">
        <f t="shared" si="54"/>
        <v>0.2</v>
      </c>
      <c r="V96" s="1626">
        <f t="shared" si="55"/>
        <v>0.2</v>
      </c>
      <c r="W96" s="1626">
        <f t="shared" si="56"/>
        <v>0.2</v>
      </c>
      <c r="X96" s="1626">
        <f t="shared" si="57"/>
        <v>0.2</v>
      </c>
      <c r="Y96" s="1626">
        <f t="shared" si="58"/>
        <v>0.2</v>
      </c>
      <c r="Z96" s="1645">
        <f t="shared" si="59"/>
        <v>0.2</v>
      </c>
      <c r="AA96" s="1626">
        <f t="shared" si="60"/>
        <v>0.2</v>
      </c>
      <c r="AB96" s="1626">
        <f t="shared" si="61"/>
        <v>0.2</v>
      </c>
      <c r="AC96" s="1627">
        <f t="shared" si="62"/>
        <v>0</v>
      </c>
      <c r="AD96" s="1626">
        <f t="shared" si="63"/>
        <v>0</v>
      </c>
      <c r="AE96" s="1626">
        <f t="shared" si="64"/>
        <v>0</v>
      </c>
      <c r="AG96" s="1625" t="s">
        <v>490</v>
      </c>
      <c r="AH96" s="1628" t="s">
        <v>486</v>
      </c>
      <c r="AI96" s="1622" t="s">
        <v>1829</v>
      </c>
      <c r="AJ96" s="1630">
        <v>0.2</v>
      </c>
      <c r="AK96" s="1630">
        <v>0.2</v>
      </c>
      <c r="AL96" s="1630">
        <v>0.2</v>
      </c>
      <c r="AM96" s="1630">
        <v>0.2</v>
      </c>
      <c r="AN96" s="1630">
        <v>0.2</v>
      </c>
      <c r="AO96" s="1630">
        <v>0.2</v>
      </c>
      <c r="AP96" s="1630">
        <v>0.2</v>
      </c>
      <c r="AQ96" s="1732">
        <v>0.2</v>
      </c>
      <c r="AR96" s="1630">
        <v>0.2</v>
      </c>
      <c r="AS96" s="1631">
        <v>0.2</v>
      </c>
      <c r="AT96" s="1632">
        <v>0</v>
      </c>
      <c r="AU96" s="1631">
        <v>0</v>
      </c>
      <c r="AV96" s="1631">
        <v>0</v>
      </c>
      <c r="AX96" s="1625" t="s">
        <v>490</v>
      </c>
      <c r="AY96" s="1628" t="s">
        <v>486</v>
      </c>
      <c r="AZ96" s="1622" t="s">
        <v>1829</v>
      </c>
      <c r="BA96" s="1631">
        <v>0.2</v>
      </c>
      <c r="BB96" s="1631">
        <v>0.2</v>
      </c>
      <c r="BC96" s="1631">
        <v>0.2</v>
      </c>
      <c r="BD96" s="1631">
        <v>0.2</v>
      </c>
      <c r="BE96" s="1631">
        <v>0.2</v>
      </c>
      <c r="BF96" s="1631">
        <v>0.2</v>
      </c>
      <c r="BG96" s="1631">
        <v>0.2</v>
      </c>
      <c r="BH96" s="1649">
        <v>0.2</v>
      </c>
      <c r="BI96" s="1631">
        <v>0.2</v>
      </c>
      <c r="BJ96" s="1631">
        <v>0.2</v>
      </c>
      <c r="BK96" s="1632"/>
      <c r="BL96" s="1631"/>
      <c r="BM96" s="1631"/>
      <c r="BO96" s="1625" t="s">
        <v>490</v>
      </c>
      <c r="BP96" s="1628" t="s">
        <v>486</v>
      </c>
      <c r="BQ96" s="1622" t="s">
        <v>1611</v>
      </c>
      <c r="BR96" s="1631">
        <v>0.2</v>
      </c>
      <c r="BS96" s="1631">
        <v>0.2</v>
      </c>
      <c r="BT96" s="1631">
        <v>0.2</v>
      </c>
      <c r="BU96" s="1631">
        <v>0.2</v>
      </c>
      <c r="BV96" s="1631">
        <v>0.2</v>
      </c>
      <c r="BW96" s="1631">
        <v>0.2</v>
      </c>
      <c r="BX96" s="1631">
        <v>0.2</v>
      </c>
      <c r="BY96" s="1649">
        <v>0.2</v>
      </c>
      <c r="BZ96" s="1631">
        <v>0.2</v>
      </c>
      <c r="CA96" s="1631">
        <v>0.2</v>
      </c>
      <c r="CB96" s="1632"/>
      <c r="CC96" s="1631"/>
      <c r="CD96" s="1631"/>
      <c r="CE96" s="1635"/>
      <c r="CG96" s="1625" t="s">
        <v>490</v>
      </c>
      <c r="CH96" s="1628" t="s">
        <v>486</v>
      </c>
      <c r="CI96" s="1622" t="s">
        <v>1829</v>
      </c>
      <c r="CJ96" s="1636">
        <v>0</v>
      </c>
      <c r="CK96" s="1636">
        <v>0</v>
      </c>
      <c r="CL96" s="1636">
        <v>0</v>
      </c>
      <c r="CM96" s="1636">
        <v>0</v>
      </c>
      <c r="CN96" s="1636">
        <v>0</v>
      </c>
      <c r="CO96" s="1636">
        <v>0</v>
      </c>
      <c r="CP96" s="1636">
        <v>0</v>
      </c>
      <c r="CQ96" s="1636">
        <v>0</v>
      </c>
      <c r="CR96" s="1636">
        <v>0</v>
      </c>
      <c r="CS96" s="1636">
        <v>0</v>
      </c>
      <c r="CT96" s="1640">
        <f t="shared" si="85"/>
        <v>0</v>
      </c>
      <c r="CU96" s="1636">
        <f t="shared" si="86"/>
        <v>0</v>
      </c>
      <c r="CV96" s="1636">
        <f t="shared" si="87"/>
        <v>0</v>
      </c>
      <c r="CX96" s="1625" t="s">
        <v>490</v>
      </c>
      <c r="CY96" s="1628" t="s">
        <v>486</v>
      </c>
      <c r="CZ96" s="1622" t="s">
        <v>1829</v>
      </c>
      <c r="DA96" s="1722">
        <v>0.25</v>
      </c>
      <c r="DB96" s="1638"/>
      <c r="DC96" s="1638"/>
      <c r="DD96" s="1638"/>
      <c r="DE96" s="1638"/>
      <c r="DF96" s="1638"/>
      <c r="DG96" s="1638"/>
      <c r="DH96" s="1638"/>
      <c r="DI96" s="1638"/>
      <c r="DJ96" s="1638"/>
      <c r="DK96" s="1642"/>
      <c r="DL96" s="1638"/>
      <c r="DM96" s="1638"/>
    </row>
    <row r="97" spans="2:117">
      <c r="B97" s="1584" t="str">
        <f t="shared" si="90"/>
        <v>2.4.4</v>
      </c>
      <c r="C97" s="1622" t="str">
        <f t="shared" si="67"/>
        <v>Support Method of Machines &amp; Ducts</v>
      </c>
      <c r="D97" s="1603">
        <f t="shared" si="93"/>
        <v>0.2</v>
      </c>
      <c r="E97" s="1624">
        <f t="shared" si="93"/>
        <v>0</v>
      </c>
      <c r="G97" s="1624">
        <f t="shared" si="72"/>
        <v>0.2</v>
      </c>
      <c r="H97" s="1624">
        <f t="shared" si="73"/>
        <v>0</v>
      </c>
      <c r="I97" s="1624"/>
      <c r="J97" s="1624"/>
      <c r="K97" s="1624">
        <f>IF(Score!W97=0,0,1)</f>
        <v>1</v>
      </c>
      <c r="L97" s="1624">
        <f>IF(Score!X97=0,0,1)</f>
        <v>0</v>
      </c>
      <c r="M97" s="1624">
        <f t="shared" si="74"/>
        <v>0.2</v>
      </c>
      <c r="N97" s="1624">
        <f t="shared" si="75"/>
        <v>0</v>
      </c>
      <c r="P97" s="1625" t="str">
        <f t="shared" si="68"/>
        <v>2.4.4</v>
      </c>
      <c r="Q97" s="1625" t="str">
        <f t="shared" si="69"/>
        <v xml:space="preserve"> Q2 2.4</v>
      </c>
      <c r="R97" s="1622" t="str">
        <f t="shared" si="70"/>
        <v>Support Method of Machines &amp; Ducts</v>
      </c>
      <c r="S97" s="1626">
        <f t="shared" si="52"/>
        <v>0.2</v>
      </c>
      <c r="T97" s="1626">
        <f t="shared" si="53"/>
        <v>0.2</v>
      </c>
      <c r="U97" s="1626">
        <f t="shared" si="54"/>
        <v>0.2</v>
      </c>
      <c r="V97" s="1626">
        <f t="shared" si="55"/>
        <v>0.2</v>
      </c>
      <c r="W97" s="1626">
        <f t="shared" si="56"/>
        <v>0.2</v>
      </c>
      <c r="X97" s="1626">
        <f t="shared" si="57"/>
        <v>0.2</v>
      </c>
      <c r="Y97" s="1626">
        <f t="shared" si="58"/>
        <v>0.2</v>
      </c>
      <c r="Z97" s="1645">
        <f t="shared" si="59"/>
        <v>0.2</v>
      </c>
      <c r="AA97" s="1626">
        <f t="shared" si="60"/>
        <v>0.2</v>
      </c>
      <c r="AB97" s="1626">
        <f t="shared" si="61"/>
        <v>0.2</v>
      </c>
      <c r="AC97" s="1627">
        <f t="shared" si="62"/>
        <v>0</v>
      </c>
      <c r="AD97" s="1626">
        <f t="shared" si="63"/>
        <v>0</v>
      </c>
      <c r="AE97" s="1626">
        <f t="shared" si="64"/>
        <v>0</v>
      </c>
      <c r="AG97" s="1625" t="s">
        <v>492</v>
      </c>
      <c r="AH97" s="1628" t="s">
        <v>486</v>
      </c>
      <c r="AI97" s="1622" t="s">
        <v>1830</v>
      </c>
      <c r="AJ97" s="1630">
        <v>0.2</v>
      </c>
      <c r="AK97" s="1630">
        <v>0.2</v>
      </c>
      <c r="AL97" s="1630">
        <v>0.2</v>
      </c>
      <c r="AM97" s="1630">
        <v>0.2</v>
      </c>
      <c r="AN97" s="1630">
        <v>0.2</v>
      </c>
      <c r="AO97" s="1630">
        <v>0.2</v>
      </c>
      <c r="AP97" s="1630">
        <v>0.2</v>
      </c>
      <c r="AQ97" s="1732">
        <v>0.2</v>
      </c>
      <c r="AR97" s="1630">
        <v>0.2</v>
      </c>
      <c r="AS97" s="1631">
        <v>0.2</v>
      </c>
      <c r="AT97" s="1632">
        <v>0</v>
      </c>
      <c r="AU97" s="1631">
        <v>0</v>
      </c>
      <c r="AV97" s="1631">
        <v>0</v>
      </c>
      <c r="AX97" s="1625" t="s">
        <v>492</v>
      </c>
      <c r="AY97" s="1628" t="s">
        <v>486</v>
      </c>
      <c r="AZ97" s="1622" t="s">
        <v>1830</v>
      </c>
      <c r="BA97" s="1631">
        <v>0.2</v>
      </c>
      <c r="BB97" s="1631">
        <v>0.2</v>
      </c>
      <c r="BC97" s="1631">
        <v>0.2</v>
      </c>
      <c r="BD97" s="1631">
        <v>0.2</v>
      </c>
      <c r="BE97" s="1631">
        <v>0.2</v>
      </c>
      <c r="BF97" s="1631">
        <v>0.2</v>
      </c>
      <c r="BG97" s="1631">
        <v>0.2</v>
      </c>
      <c r="BH97" s="1649">
        <v>0.2</v>
      </c>
      <c r="BI97" s="1631">
        <v>0.2</v>
      </c>
      <c r="BJ97" s="1631">
        <v>0.2</v>
      </c>
      <c r="BK97" s="1632"/>
      <c r="BL97" s="1631"/>
      <c r="BM97" s="1631"/>
      <c r="BO97" s="1625" t="s">
        <v>492</v>
      </c>
      <c r="BP97" s="1628" t="s">
        <v>486</v>
      </c>
      <c r="BQ97" s="1622" t="s">
        <v>1612</v>
      </c>
      <c r="BR97" s="1631">
        <v>0.2</v>
      </c>
      <c r="BS97" s="1631">
        <v>0.2</v>
      </c>
      <c r="BT97" s="1631">
        <v>0.2</v>
      </c>
      <c r="BU97" s="1631">
        <v>0.2</v>
      </c>
      <c r="BV97" s="1631">
        <v>0.2</v>
      </c>
      <c r="BW97" s="1631">
        <v>0.2</v>
      </c>
      <c r="BX97" s="1631">
        <v>0.2</v>
      </c>
      <c r="BY97" s="1649">
        <v>0.2</v>
      </c>
      <c r="BZ97" s="1631">
        <v>0.2</v>
      </c>
      <c r="CA97" s="1631">
        <v>0.2</v>
      </c>
      <c r="CB97" s="1632"/>
      <c r="CC97" s="1631"/>
      <c r="CD97" s="1631"/>
      <c r="CE97" s="1635"/>
      <c r="CG97" s="1625" t="s">
        <v>492</v>
      </c>
      <c r="CH97" s="1628" t="s">
        <v>486</v>
      </c>
      <c r="CI97" s="1622" t="s">
        <v>1830</v>
      </c>
      <c r="CJ97" s="1638">
        <v>1</v>
      </c>
      <c r="CK97" s="1638">
        <v>1</v>
      </c>
      <c r="CL97" s="1638">
        <v>1</v>
      </c>
      <c r="CM97" s="1638">
        <v>1</v>
      </c>
      <c r="CN97" s="1638">
        <v>1</v>
      </c>
      <c r="CO97" s="1638">
        <v>1</v>
      </c>
      <c r="CP97" s="1638">
        <v>1</v>
      </c>
      <c r="CQ97" s="1638">
        <v>1</v>
      </c>
      <c r="CR97" s="1638">
        <v>1</v>
      </c>
      <c r="CS97" s="1638">
        <v>1</v>
      </c>
      <c r="CT97" s="1640">
        <f t="shared" si="85"/>
        <v>0</v>
      </c>
      <c r="CU97" s="1636">
        <f t="shared" si="86"/>
        <v>0</v>
      </c>
      <c r="CV97" s="1636">
        <f t="shared" si="87"/>
        <v>0</v>
      </c>
      <c r="CX97" s="1625" t="s">
        <v>492</v>
      </c>
      <c r="CY97" s="1628" t="s">
        <v>486</v>
      </c>
      <c r="CZ97" s="1622" t="s">
        <v>1830</v>
      </c>
      <c r="DA97" s="1722">
        <v>0.2</v>
      </c>
      <c r="DB97" s="1638"/>
      <c r="DC97" s="1638"/>
      <c r="DD97" s="1638"/>
      <c r="DE97" s="1638"/>
      <c r="DF97" s="1638"/>
      <c r="DG97" s="1638"/>
      <c r="DH97" s="1638"/>
      <c r="DI97" s="1638"/>
      <c r="DJ97" s="1638"/>
      <c r="DK97" s="1642"/>
      <c r="DL97" s="1638"/>
      <c r="DM97" s="1638"/>
    </row>
    <row r="98" spans="2:117">
      <c r="B98" s="1584" t="str">
        <f t="shared" si="90"/>
        <v>2.4.5</v>
      </c>
      <c r="C98" s="1622" t="str">
        <f t="shared" si="67"/>
        <v>Communications &amp; IT Equipment</v>
      </c>
      <c r="D98" s="1603">
        <f t="shared" si="93"/>
        <v>0.2</v>
      </c>
      <c r="E98" s="1624">
        <f t="shared" si="93"/>
        <v>0</v>
      </c>
      <c r="G98" s="1624">
        <f t="shared" si="72"/>
        <v>0.2</v>
      </c>
      <c r="H98" s="1624">
        <f t="shared" si="73"/>
        <v>0</v>
      </c>
      <c r="I98" s="1624"/>
      <c r="J98" s="1624"/>
      <c r="K98" s="1624">
        <f>IF(Score!W98=0,0,1)</f>
        <v>1</v>
      </c>
      <c r="L98" s="1624">
        <f>IF(Score!X98=0,0,1)</f>
        <v>0</v>
      </c>
      <c r="M98" s="1624">
        <f t="shared" si="74"/>
        <v>0.2</v>
      </c>
      <c r="N98" s="1624">
        <f t="shared" si="75"/>
        <v>0</v>
      </c>
      <c r="P98" s="1625" t="str">
        <f t="shared" si="68"/>
        <v>2.4.5</v>
      </c>
      <c r="Q98" s="1625" t="str">
        <f t="shared" si="69"/>
        <v xml:space="preserve"> Q2 2.4</v>
      </c>
      <c r="R98" s="1622" t="str">
        <f t="shared" si="70"/>
        <v>Communications &amp; IT Equipment</v>
      </c>
      <c r="S98" s="1626">
        <f t="shared" si="52"/>
        <v>0.2</v>
      </c>
      <c r="T98" s="1626">
        <f t="shared" si="53"/>
        <v>0.2</v>
      </c>
      <c r="U98" s="1626">
        <f t="shared" si="54"/>
        <v>0.2</v>
      </c>
      <c r="V98" s="1626">
        <f t="shared" si="55"/>
        <v>0.2</v>
      </c>
      <c r="W98" s="1626">
        <f t="shared" si="56"/>
        <v>0.2</v>
      </c>
      <c r="X98" s="1626">
        <f t="shared" si="57"/>
        <v>0.2</v>
      </c>
      <c r="Y98" s="1626">
        <f t="shared" si="58"/>
        <v>0.2</v>
      </c>
      <c r="Z98" s="1645">
        <f t="shared" si="59"/>
        <v>0.2</v>
      </c>
      <c r="AA98" s="1626">
        <f t="shared" si="60"/>
        <v>0.2</v>
      </c>
      <c r="AB98" s="1626">
        <f t="shared" si="61"/>
        <v>0.2</v>
      </c>
      <c r="AC98" s="1627">
        <f t="shared" si="62"/>
        <v>0</v>
      </c>
      <c r="AD98" s="1626">
        <f t="shared" si="63"/>
        <v>0</v>
      </c>
      <c r="AE98" s="1626">
        <f t="shared" si="64"/>
        <v>0</v>
      </c>
      <c r="AG98" s="1625" t="s">
        <v>494</v>
      </c>
      <c r="AH98" s="1628" t="s">
        <v>486</v>
      </c>
      <c r="AI98" s="1622" t="s">
        <v>1831</v>
      </c>
      <c r="AJ98" s="1630">
        <v>0.2</v>
      </c>
      <c r="AK98" s="1630">
        <v>0.2</v>
      </c>
      <c r="AL98" s="1630">
        <v>0.2</v>
      </c>
      <c r="AM98" s="1630">
        <v>0.2</v>
      </c>
      <c r="AN98" s="1630">
        <v>0.2</v>
      </c>
      <c r="AO98" s="1630">
        <v>0.2</v>
      </c>
      <c r="AP98" s="1630">
        <v>0.2</v>
      </c>
      <c r="AQ98" s="1732">
        <v>0.2</v>
      </c>
      <c r="AR98" s="1630">
        <v>0.2</v>
      </c>
      <c r="AS98" s="1631">
        <v>0.2</v>
      </c>
      <c r="AT98" s="1632">
        <v>0</v>
      </c>
      <c r="AU98" s="1631">
        <v>0</v>
      </c>
      <c r="AV98" s="1631">
        <v>0</v>
      </c>
      <c r="AX98" s="1625" t="s">
        <v>494</v>
      </c>
      <c r="AY98" s="1628" t="s">
        <v>486</v>
      </c>
      <c r="AZ98" s="1622" t="s">
        <v>1831</v>
      </c>
      <c r="BA98" s="1631">
        <v>0.2</v>
      </c>
      <c r="BB98" s="1631">
        <v>0.2</v>
      </c>
      <c r="BC98" s="1631">
        <v>0.2</v>
      </c>
      <c r="BD98" s="1631">
        <v>0.2</v>
      </c>
      <c r="BE98" s="1631">
        <v>0.2</v>
      </c>
      <c r="BF98" s="1631">
        <v>0.2</v>
      </c>
      <c r="BG98" s="1631">
        <v>0.2</v>
      </c>
      <c r="BH98" s="1649">
        <v>0.2</v>
      </c>
      <c r="BI98" s="1631">
        <v>0.2</v>
      </c>
      <c r="BJ98" s="1631">
        <v>0.2</v>
      </c>
      <c r="BK98" s="1632"/>
      <c r="BL98" s="1631"/>
      <c r="BM98" s="1631"/>
      <c r="BO98" s="1625" t="s">
        <v>494</v>
      </c>
      <c r="BP98" s="1628" t="s">
        <v>486</v>
      </c>
      <c r="BQ98" s="1622" t="s">
        <v>1613</v>
      </c>
      <c r="BR98" s="1631">
        <v>0.2</v>
      </c>
      <c r="BS98" s="1631">
        <v>0.2</v>
      </c>
      <c r="BT98" s="1631">
        <v>0.2</v>
      </c>
      <c r="BU98" s="1631">
        <v>0.2</v>
      </c>
      <c r="BV98" s="1631">
        <v>0.2</v>
      </c>
      <c r="BW98" s="1631">
        <v>0.2</v>
      </c>
      <c r="BX98" s="1631">
        <v>0.2</v>
      </c>
      <c r="BY98" s="1649">
        <v>0.2</v>
      </c>
      <c r="BZ98" s="1631">
        <v>0.2</v>
      </c>
      <c r="CA98" s="1631">
        <v>0.2</v>
      </c>
      <c r="CB98" s="1632"/>
      <c r="CC98" s="1631"/>
      <c r="CD98" s="1631"/>
      <c r="CE98" s="1635"/>
      <c r="CG98" s="1625" t="s">
        <v>494</v>
      </c>
      <c r="CH98" s="1628" t="s">
        <v>486</v>
      </c>
      <c r="CI98" s="1622" t="s">
        <v>1831</v>
      </c>
      <c r="CJ98" s="1636">
        <v>0</v>
      </c>
      <c r="CK98" s="1636">
        <v>0</v>
      </c>
      <c r="CL98" s="1636">
        <v>0</v>
      </c>
      <c r="CM98" s="1636">
        <v>0</v>
      </c>
      <c r="CN98" s="1636">
        <v>0</v>
      </c>
      <c r="CO98" s="1636">
        <v>0</v>
      </c>
      <c r="CP98" s="1636">
        <v>0</v>
      </c>
      <c r="CQ98" s="1636">
        <v>0</v>
      </c>
      <c r="CR98" s="1636">
        <v>0</v>
      </c>
      <c r="CS98" s="1636">
        <v>0</v>
      </c>
      <c r="CT98" s="1640">
        <f t="shared" si="85"/>
        <v>0</v>
      </c>
      <c r="CU98" s="1636">
        <f t="shared" si="86"/>
        <v>0</v>
      </c>
      <c r="CV98" s="1636">
        <f t="shared" si="87"/>
        <v>0</v>
      </c>
      <c r="CX98" s="1625" t="s">
        <v>494</v>
      </c>
      <c r="CY98" s="1628" t="s">
        <v>486</v>
      </c>
      <c r="CZ98" s="1622" t="s">
        <v>1831</v>
      </c>
      <c r="DA98" s="1722">
        <v>0.25</v>
      </c>
      <c r="DB98" s="1638"/>
      <c r="DC98" s="1638"/>
      <c r="DD98" s="1638"/>
      <c r="DE98" s="1638"/>
      <c r="DF98" s="1638"/>
      <c r="DG98" s="1638"/>
      <c r="DH98" s="1638"/>
      <c r="DI98" s="1638"/>
      <c r="DJ98" s="1638"/>
      <c r="DK98" s="1642"/>
      <c r="DL98" s="1638"/>
      <c r="DM98" s="1638"/>
    </row>
    <row r="99" spans="2:117" hidden="1">
      <c r="B99" s="1584">
        <f t="shared" si="90"/>
        <v>0</v>
      </c>
      <c r="C99" s="1622">
        <f t="shared" si="67"/>
        <v>0</v>
      </c>
      <c r="D99" s="1603"/>
      <c r="E99" s="1624"/>
      <c r="G99" s="1624">
        <f t="shared" si="72"/>
        <v>0</v>
      </c>
      <c r="H99" s="1624">
        <f t="shared" si="73"/>
        <v>0</v>
      </c>
      <c r="I99" s="1624"/>
      <c r="J99" s="1624"/>
      <c r="K99" s="1624"/>
      <c r="L99" s="1624"/>
      <c r="M99" s="1624">
        <f t="shared" si="74"/>
        <v>0</v>
      </c>
      <c r="N99" s="1624"/>
      <c r="P99" s="1625">
        <f t="shared" si="68"/>
        <v>0</v>
      </c>
      <c r="Q99" s="1625" t="str">
        <f t="shared" si="69"/>
        <v xml:space="preserve"> Q</v>
      </c>
      <c r="R99" s="1622">
        <f t="shared" si="70"/>
        <v>0</v>
      </c>
      <c r="S99" s="1626">
        <f t="shared" si="52"/>
        <v>0</v>
      </c>
      <c r="T99" s="1626">
        <f t="shared" si="53"/>
        <v>0</v>
      </c>
      <c r="U99" s="1626">
        <f t="shared" si="54"/>
        <v>0</v>
      </c>
      <c r="V99" s="1626">
        <f t="shared" si="55"/>
        <v>0</v>
      </c>
      <c r="W99" s="1626">
        <f t="shared" si="56"/>
        <v>0</v>
      </c>
      <c r="X99" s="1626">
        <f t="shared" si="57"/>
        <v>0</v>
      </c>
      <c r="Y99" s="1626">
        <f t="shared" si="58"/>
        <v>0</v>
      </c>
      <c r="Z99" s="1645">
        <f t="shared" si="59"/>
        <v>0</v>
      </c>
      <c r="AA99" s="1626">
        <f t="shared" si="60"/>
        <v>0</v>
      </c>
      <c r="AB99" s="1626">
        <f t="shared" si="61"/>
        <v>0</v>
      </c>
      <c r="AC99" s="1627">
        <f t="shared" si="62"/>
        <v>0</v>
      </c>
      <c r="AD99" s="1626">
        <f t="shared" si="63"/>
        <v>0</v>
      </c>
      <c r="AE99" s="1626">
        <f t="shared" si="64"/>
        <v>0</v>
      </c>
      <c r="AG99" s="1625"/>
      <c r="AH99" s="1628" t="s">
        <v>178</v>
      </c>
      <c r="AI99" s="1622"/>
      <c r="AJ99" s="1646">
        <v>0</v>
      </c>
      <c r="AK99" s="1646">
        <v>0</v>
      </c>
      <c r="AL99" s="1646">
        <v>0</v>
      </c>
      <c r="AM99" s="1646">
        <v>0</v>
      </c>
      <c r="AN99" s="1646">
        <v>0</v>
      </c>
      <c r="AO99" s="1646">
        <v>0</v>
      </c>
      <c r="AP99" s="1646">
        <v>0</v>
      </c>
      <c r="AQ99" s="1736">
        <v>0</v>
      </c>
      <c r="AR99" s="1646">
        <v>0</v>
      </c>
      <c r="AS99" s="1631"/>
      <c r="AT99" s="1632">
        <v>0</v>
      </c>
      <c r="AU99" s="1631">
        <v>0</v>
      </c>
      <c r="AV99" s="1631">
        <v>0</v>
      </c>
      <c r="AX99" s="1625"/>
      <c r="AY99" s="1628" t="s">
        <v>178</v>
      </c>
      <c r="AZ99" s="1622"/>
      <c r="BA99" s="1631"/>
      <c r="BB99" s="1631"/>
      <c r="BC99" s="1631"/>
      <c r="BD99" s="1631"/>
      <c r="BE99" s="1631"/>
      <c r="BF99" s="1631"/>
      <c r="BG99" s="1631"/>
      <c r="BH99" s="1649"/>
      <c r="BI99" s="1631"/>
      <c r="BJ99" s="1631"/>
      <c r="BK99" s="1632"/>
      <c r="BL99" s="1631"/>
      <c r="BM99" s="1631"/>
      <c r="BO99" s="1625"/>
      <c r="BP99" s="1628" t="s">
        <v>178</v>
      </c>
      <c r="BQ99" s="1622"/>
      <c r="BR99" s="1631"/>
      <c r="BS99" s="1631"/>
      <c r="BT99" s="1631"/>
      <c r="BU99" s="1631"/>
      <c r="BV99" s="1631"/>
      <c r="BW99" s="1631"/>
      <c r="BX99" s="1631"/>
      <c r="BY99" s="1649"/>
      <c r="BZ99" s="1631"/>
      <c r="CA99" s="1631"/>
      <c r="CB99" s="1632"/>
      <c r="CC99" s="1631"/>
      <c r="CD99" s="1631"/>
      <c r="CE99" s="1635"/>
      <c r="CG99" s="1625"/>
      <c r="CH99" s="1628" t="s">
        <v>178</v>
      </c>
      <c r="CI99" s="1622"/>
      <c r="CJ99" s="1636">
        <f t="shared" si="88"/>
        <v>0</v>
      </c>
      <c r="CK99" s="1636">
        <f t="shared" si="76"/>
        <v>0</v>
      </c>
      <c r="CL99" s="1636">
        <f t="shared" si="77"/>
        <v>0</v>
      </c>
      <c r="CM99" s="1636">
        <f t="shared" si="78"/>
        <v>0</v>
      </c>
      <c r="CN99" s="1636">
        <f t="shared" si="79"/>
        <v>0</v>
      </c>
      <c r="CO99" s="1636">
        <f t="shared" si="80"/>
        <v>0</v>
      </c>
      <c r="CP99" s="1636">
        <f t="shared" si="81"/>
        <v>0</v>
      </c>
      <c r="CQ99" s="1720">
        <f t="shared" si="82"/>
        <v>0</v>
      </c>
      <c r="CR99" s="1636">
        <f t="shared" si="83"/>
        <v>0</v>
      </c>
      <c r="CS99" s="1636">
        <f t="shared" si="84"/>
        <v>0</v>
      </c>
      <c r="CT99" s="1640">
        <f t="shared" si="85"/>
        <v>0</v>
      </c>
      <c r="CU99" s="1636">
        <f t="shared" si="86"/>
        <v>0</v>
      </c>
      <c r="CV99" s="1636">
        <f t="shared" si="87"/>
        <v>0</v>
      </c>
      <c r="CX99" s="1625"/>
      <c r="CY99" s="1628" t="s">
        <v>178</v>
      </c>
      <c r="CZ99" s="1622"/>
      <c r="DA99" s="1638">
        <f t="shared" si="89"/>
        <v>0</v>
      </c>
      <c r="DB99" s="1638"/>
      <c r="DC99" s="1638"/>
      <c r="DD99" s="1638"/>
      <c r="DE99" s="1638"/>
      <c r="DF99" s="1638"/>
      <c r="DG99" s="1638"/>
      <c r="DH99" s="1721"/>
      <c r="DI99" s="1638"/>
      <c r="DJ99" s="1638"/>
      <c r="DK99" s="1642"/>
      <c r="DL99" s="1638"/>
      <c r="DM99" s="1638"/>
    </row>
    <row r="100" spans="2:117">
      <c r="B100" s="1584">
        <f t="shared" si="90"/>
        <v>3</v>
      </c>
      <c r="C100" s="1600" t="str">
        <f t="shared" si="67"/>
        <v>Flexibility &amp; Adaptability</v>
      </c>
      <c r="D100" s="1601">
        <f>IF(I$62=0,0,G100/I$62)</f>
        <v>0.3</v>
      </c>
      <c r="E100" s="1602">
        <f>IF(J$62=0,0,H100/J$62)</f>
        <v>0</v>
      </c>
      <c r="G100" s="1602">
        <f t="shared" si="72"/>
        <v>0.3</v>
      </c>
      <c r="H100" s="1602">
        <f t="shared" si="73"/>
        <v>0</v>
      </c>
      <c r="I100" s="1602">
        <f>G101+G104+G105</f>
        <v>1</v>
      </c>
      <c r="J100" s="1602">
        <f>H101+H104+H105</f>
        <v>0</v>
      </c>
      <c r="K100" s="1602">
        <f>IF(L100&gt;0,1,IF(Score!Z100=0,0,1))</f>
        <v>1</v>
      </c>
      <c r="L100" s="1602">
        <f>IF(Score!AB100=0,0,1)</f>
        <v>0</v>
      </c>
      <c r="M100" s="1602">
        <f t="shared" si="74"/>
        <v>0.3</v>
      </c>
      <c r="N100" s="1602">
        <f t="shared" ref="N100:N119" si="94">(AC$7*AC100)+(AD$7*AD100)+(AE$7*AE100)</f>
        <v>0</v>
      </c>
      <c r="P100" s="1604">
        <f t="shared" si="68"/>
        <v>3</v>
      </c>
      <c r="Q100" s="1604" t="str">
        <f t="shared" si="69"/>
        <v xml:space="preserve"> Q2</v>
      </c>
      <c r="R100" s="1600" t="str">
        <f t="shared" si="70"/>
        <v>Flexibility &amp; Adaptability</v>
      </c>
      <c r="S100" s="1605">
        <f t="shared" si="52"/>
        <v>0.3</v>
      </c>
      <c r="T100" s="1605">
        <f t="shared" si="53"/>
        <v>0.3</v>
      </c>
      <c r="U100" s="1605">
        <f t="shared" si="54"/>
        <v>0.3</v>
      </c>
      <c r="V100" s="1605">
        <f t="shared" si="55"/>
        <v>0.3</v>
      </c>
      <c r="W100" s="1605">
        <f t="shared" si="56"/>
        <v>0.3</v>
      </c>
      <c r="X100" s="1605">
        <f t="shared" si="57"/>
        <v>0.3</v>
      </c>
      <c r="Y100" s="1605">
        <f t="shared" si="58"/>
        <v>0.3</v>
      </c>
      <c r="Z100" s="1728">
        <f t="shared" si="59"/>
        <v>0.3</v>
      </c>
      <c r="AA100" s="1605">
        <f t="shared" si="60"/>
        <v>0.3</v>
      </c>
      <c r="AB100" s="1605">
        <f t="shared" si="61"/>
        <v>0.3</v>
      </c>
      <c r="AC100" s="1607">
        <f t="shared" si="62"/>
        <v>0</v>
      </c>
      <c r="AD100" s="1605">
        <f t="shared" si="63"/>
        <v>0</v>
      </c>
      <c r="AE100" s="1605">
        <f t="shared" si="64"/>
        <v>0</v>
      </c>
      <c r="AG100" s="1604">
        <v>3</v>
      </c>
      <c r="AH100" s="1608" t="s">
        <v>603</v>
      </c>
      <c r="AI100" s="1600" t="s">
        <v>1832</v>
      </c>
      <c r="AJ100" s="1609">
        <v>0.3</v>
      </c>
      <c r="AK100" s="1609">
        <v>0.3</v>
      </c>
      <c r="AL100" s="1609">
        <v>0.3</v>
      </c>
      <c r="AM100" s="1609">
        <v>0.3</v>
      </c>
      <c r="AN100" s="1609">
        <v>0.3</v>
      </c>
      <c r="AO100" s="1609">
        <v>0.3</v>
      </c>
      <c r="AP100" s="1609">
        <v>0.3</v>
      </c>
      <c r="AQ100" s="1729">
        <v>0.3</v>
      </c>
      <c r="AR100" s="1609">
        <v>0.3</v>
      </c>
      <c r="AS100" s="1611">
        <v>0.3</v>
      </c>
      <c r="AT100" s="1612"/>
      <c r="AU100" s="1611"/>
      <c r="AV100" s="1611"/>
      <c r="AX100" s="1604">
        <v>3</v>
      </c>
      <c r="AY100" s="1608" t="s">
        <v>603</v>
      </c>
      <c r="AZ100" s="1600" t="s">
        <v>1832</v>
      </c>
      <c r="BA100" s="1611">
        <v>0.3</v>
      </c>
      <c r="BB100" s="1611">
        <v>0.3</v>
      </c>
      <c r="BC100" s="1611">
        <v>0.3</v>
      </c>
      <c r="BD100" s="1611">
        <v>0.3</v>
      </c>
      <c r="BE100" s="1611">
        <v>0.3</v>
      </c>
      <c r="BF100" s="1611">
        <v>0.3</v>
      </c>
      <c r="BG100" s="1611">
        <v>0.3</v>
      </c>
      <c r="BH100" s="1730">
        <v>0.3</v>
      </c>
      <c r="BI100" s="1611">
        <v>0.3</v>
      </c>
      <c r="BJ100" s="1611">
        <v>0.3</v>
      </c>
      <c r="BK100" s="1612"/>
      <c r="BL100" s="1611"/>
      <c r="BM100" s="1611"/>
      <c r="BO100" s="1604">
        <v>3</v>
      </c>
      <c r="BP100" s="1608" t="s">
        <v>603</v>
      </c>
      <c r="BQ100" s="1600" t="s">
        <v>1614</v>
      </c>
      <c r="BR100" s="1611">
        <v>0.3</v>
      </c>
      <c r="BS100" s="1611">
        <v>0.3</v>
      </c>
      <c r="BT100" s="1611">
        <v>0.3</v>
      </c>
      <c r="BU100" s="1611">
        <v>0.3</v>
      </c>
      <c r="BV100" s="1611">
        <v>0.3</v>
      </c>
      <c r="BW100" s="1611">
        <v>0.3</v>
      </c>
      <c r="BX100" s="1611">
        <v>0.3</v>
      </c>
      <c r="BY100" s="1730">
        <v>0.3</v>
      </c>
      <c r="BZ100" s="1611">
        <v>0.3</v>
      </c>
      <c r="CA100" s="1611">
        <v>0.3</v>
      </c>
      <c r="CB100" s="1612"/>
      <c r="CC100" s="1611"/>
      <c r="CD100" s="1611"/>
      <c r="CE100" s="1615"/>
      <c r="CG100" s="1604">
        <v>3</v>
      </c>
      <c r="CH100" s="1608" t="s">
        <v>603</v>
      </c>
      <c r="CI100" s="1600" t="s">
        <v>1832</v>
      </c>
      <c r="CJ100" s="1619">
        <v>0</v>
      </c>
      <c r="CK100" s="1619">
        <v>0</v>
      </c>
      <c r="CL100" s="1619">
        <v>0</v>
      </c>
      <c r="CM100" s="1619">
        <v>0</v>
      </c>
      <c r="CN100" s="1619">
        <v>0</v>
      </c>
      <c r="CO100" s="1619">
        <v>0</v>
      </c>
      <c r="CP100" s="1619">
        <v>0</v>
      </c>
      <c r="CQ100" s="1619">
        <v>0</v>
      </c>
      <c r="CR100" s="1619">
        <v>0</v>
      </c>
      <c r="CS100" s="1619">
        <v>0</v>
      </c>
      <c r="CT100" s="1621">
        <f t="shared" si="85"/>
        <v>0</v>
      </c>
      <c r="CU100" s="1619">
        <f t="shared" si="86"/>
        <v>0</v>
      </c>
      <c r="CV100" s="1619">
        <f t="shared" si="87"/>
        <v>0</v>
      </c>
      <c r="CX100" s="1604">
        <v>3</v>
      </c>
      <c r="CY100" s="1608" t="s">
        <v>603</v>
      </c>
      <c r="CZ100" s="1600" t="s">
        <v>1832</v>
      </c>
      <c r="DA100" s="1731">
        <v>0.2</v>
      </c>
      <c r="DB100" s="1619"/>
      <c r="DC100" s="1619"/>
      <c r="DD100" s="1619"/>
      <c r="DE100" s="1619"/>
      <c r="DF100" s="1619"/>
      <c r="DG100" s="1619"/>
      <c r="DH100" s="1619"/>
      <c r="DI100" s="1619"/>
      <c r="DJ100" s="1619"/>
      <c r="DK100" s="1621"/>
      <c r="DL100" s="1619"/>
      <c r="DM100" s="1619"/>
    </row>
    <row r="101" spans="2:117">
      <c r="B101" s="1584">
        <f t="shared" si="90"/>
        <v>3.1</v>
      </c>
      <c r="C101" s="1622" t="str">
        <f t="shared" si="67"/>
        <v>Spatial Margin</v>
      </c>
      <c r="D101" s="1623">
        <f>IF(I$100=0,0,G101/I$100)</f>
        <v>0.3</v>
      </c>
      <c r="E101" s="1624">
        <f>IF(J$100=0,0,H101/J$100)</f>
        <v>0</v>
      </c>
      <c r="G101" s="1624">
        <f t="shared" si="72"/>
        <v>0.3</v>
      </c>
      <c r="H101" s="1624">
        <f t="shared" si="73"/>
        <v>0</v>
      </c>
      <c r="I101" s="1624">
        <f>SUM(G102:G103)</f>
        <v>1</v>
      </c>
      <c r="J101" s="1624">
        <f>SUM(H102:H103)</f>
        <v>0</v>
      </c>
      <c r="K101" s="1624">
        <f>IF(Score!Z101=0,0,1)</f>
        <v>1</v>
      </c>
      <c r="L101" s="1624">
        <f>IF(Score!AB101=0,0,1)</f>
        <v>0</v>
      </c>
      <c r="M101" s="1624">
        <f t="shared" si="74"/>
        <v>0.3</v>
      </c>
      <c r="N101" s="1624">
        <f t="shared" si="94"/>
        <v>0</v>
      </c>
      <c r="P101" s="1625">
        <f t="shared" si="68"/>
        <v>3.1</v>
      </c>
      <c r="Q101" s="1625" t="str">
        <f t="shared" si="69"/>
        <v xml:space="preserve"> Q2 3</v>
      </c>
      <c r="R101" s="1622" t="str">
        <f t="shared" si="70"/>
        <v>Spatial Margin</v>
      </c>
      <c r="S101" s="1626">
        <f t="shared" si="52"/>
        <v>0.3</v>
      </c>
      <c r="T101" s="1626">
        <f t="shared" si="53"/>
        <v>0.3</v>
      </c>
      <c r="U101" s="1626">
        <f t="shared" si="54"/>
        <v>0.3</v>
      </c>
      <c r="V101" s="1626">
        <f t="shared" si="55"/>
        <v>0.3</v>
      </c>
      <c r="W101" s="1626">
        <f t="shared" si="56"/>
        <v>0.3</v>
      </c>
      <c r="X101" s="1626">
        <f t="shared" si="57"/>
        <v>0</v>
      </c>
      <c r="Y101" s="1626">
        <f t="shared" si="58"/>
        <v>0</v>
      </c>
      <c r="Z101" s="1645">
        <f t="shared" si="59"/>
        <v>0.3</v>
      </c>
      <c r="AA101" s="1626">
        <f t="shared" si="60"/>
        <v>0.3</v>
      </c>
      <c r="AB101" s="1626">
        <f t="shared" si="61"/>
        <v>0.3</v>
      </c>
      <c r="AC101" s="1627">
        <f t="shared" si="62"/>
        <v>0.5</v>
      </c>
      <c r="AD101" s="1626">
        <f t="shared" si="63"/>
        <v>0.5</v>
      </c>
      <c r="AE101" s="1626">
        <f t="shared" si="64"/>
        <v>0.5</v>
      </c>
      <c r="AG101" s="1625">
        <v>3.1</v>
      </c>
      <c r="AH101" s="1628" t="s">
        <v>22</v>
      </c>
      <c r="AI101" s="1622" t="s">
        <v>1833</v>
      </c>
      <c r="AJ101" s="1630">
        <v>0.3</v>
      </c>
      <c r="AK101" s="1630">
        <v>0.3</v>
      </c>
      <c r="AL101" s="1630">
        <v>0.3</v>
      </c>
      <c r="AM101" s="1630">
        <v>0.3</v>
      </c>
      <c r="AN101" s="1630">
        <v>0.3</v>
      </c>
      <c r="AO101" s="1630"/>
      <c r="AP101" s="1630"/>
      <c r="AQ101" s="1732">
        <v>0.3</v>
      </c>
      <c r="AR101" s="1630">
        <v>0.3</v>
      </c>
      <c r="AS101" s="1631">
        <v>0.3</v>
      </c>
      <c r="AT101" s="1632">
        <v>0.5</v>
      </c>
      <c r="AU101" s="1631">
        <v>0.5</v>
      </c>
      <c r="AV101" s="1631">
        <v>0.5</v>
      </c>
      <c r="AX101" s="1625">
        <v>3.1</v>
      </c>
      <c r="AY101" s="1628" t="s">
        <v>22</v>
      </c>
      <c r="AZ101" s="1622" t="s">
        <v>1833</v>
      </c>
      <c r="BA101" s="1631">
        <v>0.3</v>
      </c>
      <c r="BB101" s="1631">
        <v>0.3</v>
      </c>
      <c r="BC101" s="1631">
        <v>0.3</v>
      </c>
      <c r="BD101" s="1631">
        <v>0.3</v>
      </c>
      <c r="BE101" s="1631">
        <v>0.3</v>
      </c>
      <c r="BF101" s="1631"/>
      <c r="BG101" s="1631"/>
      <c r="BH101" s="1649">
        <v>0.3</v>
      </c>
      <c r="BI101" s="1631">
        <v>0.3</v>
      </c>
      <c r="BJ101" s="1631">
        <v>0.3</v>
      </c>
      <c r="BK101" s="1632">
        <v>0.5</v>
      </c>
      <c r="BL101" s="1631">
        <v>0.5</v>
      </c>
      <c r="BM101" s="1631">
        <v>0.5</v>
      </c>
      <c r="BO101" s="1625">
        <v>3.1</v>
      </c>
      <c r="BP101" s="1628" t="s">
        <v>22</v>
      </c>
      <c r="BQ101" s="1622" t="s">
        <v>1615</v>
      </c>
      <c r="BR101" s="1631">
        <v>0.3</v>
      </c>
      <c r="BS101" s="1631">
        <v>0.3</v>
      </c>
      <c r="BT101" s="1631">
        <v>0.3</v>
      </c>
      <c r="BU101" s="1631">
        <v>0.3</v>
      </c>
      <c r="BV101" s="1631">
        <v>0.3</v>
      </c>
      <c r="BW101" s="1631"/>
      <c r="BX101" s="1631"/>
      <c r="BY101" s="1649">
        <v>0.3</v>
      </c>
      <c r="BZ101" s="1631">
        <v>0.3</v>
      </c>
      <c r="CA101" s="1631">
        <v>0.3</v>
      </c>
      <c r="CB101" s="1632">
        <v>0.5</v>
      </c>
      <c r="CC101" s="1631">
        <v>0.5</v>
      </c>
      <c r="CD101" s="1631">
        <v>0.5</v>
      </c>
      <c r="CE101" s="1635"/>
      <c r="CG101" s="1625">
        <v>3.1</v>
      </c>
      <c r="CH101" s="1628" t="s">
        <v>22</v>
      </c>
      <c r="CI101" s="1622" t="s">
        <v>1833</v>
      </c>
      <c r="CJ101" s="1636">
        <v>0</v>
      </c>
      <c r="CK101" s="1636">
        <v>0</v>
      </c>
      <c r="CL101" s="1636">
        <v>0</v>
      </c>
      <c r="CM101" s="1636">
        <v>0</v>
      </c>
      <c r="CN101" s="1636">
        <v>0</v>
      </c>
      <c r="CO101" s="1636">
        <v>0</v>
      </c>
      <c r="CP101" s="1636">
        <v>0</v>
      </c>
      <c r="CQ101" s="1636">
        <v>0</v>
      </c>
      <c r="CR101" s="1636">
        <v>0</v>
      </c>
      <c r="CS101" s="1636">
        <v>0</v>
      </c>
      <c r="CT101" s="1636">
        <v>0</v>
      </c>
      <c r="CU101" s="1636">
        <v>0</v>
      </c>
      <c r="CV101" s="1636">
        <v>0</v>
      </c>
      <c r="CX101" s="1625">
        <v>3.1</v>
      </c>
      <c r="CY101" s="1628" t="s">
        <v>22</v>
      </c>
      <c r="CZ101" s="1622" t="s">
        <v>1833</v>
      </c>
      <c r="DA101" s="1638">
        <f t="shared" si="89"/>
        <v>0.3</v>
      </c>
      <c r="DB101" s="1638"/>
      <c r="DC101" s="1638"/>
      <c r="DD101" s="1638"/>
      <c r="DE101" s="1638"/>
      <c r="DF101" s="1638"/>
      <c r="DG101" s="1638"/>
      <c r="DH101" s="1638"/>
      <c r="DI101" s="1638"/>
      <c r="DJ101" s="1638"/>
      <c r="DK101" s="1638"/>
      <c r="DL101" s="1638"/>
      <c r="DM101" s="1638"/>
    </row>
    <row r="102" spans="2:117">
      <c r="B102" s="1584" t="str">
        <f t="shared" si="90"/>
        <v>3.1.1</v>
      </c>
      <c r="C102" s="1622" t="str">
        <f t="shared" si="67"/>
        <v>Allowance for Floor-to-floor Height</v>
      </c>
      <c r="D102" s="1603">
        <f>IF(I$101&gt;0,G102/I$101,0)</f>
        <v>0.6</v>
      </c>
      <c r="E102" s="1624">
        <f>IF(J$101&gt;0,H102/J$101,0)</f>
        <v>0</v>
      </c>
      <c r="G102" s="1624">
        <f t="shared" si="72"/>
        <v>0.6</v>
      </c>
      <c r="H102" s="1624">
        <f t="shared" si="73"/>
        <v>0</v>
      </c>
      <c r="I102" s="1624"/>
      <c r="J102" s="1624"/>
      <c r="K102" s="1624">
        <f>IF(Score!W102=0,0,1)</f>
        <v>1</v>
      </c>
      <c r="L102" s="1624">
        <f>IF(Score!X102=0,0,1)</f>
        <v>1</v>
      </c>
      <c r="M102" s="1624">
        <f t="shared" si="74"/>
        <v>0.6</v>
      </c>
      <c r="N102" s="1624">
        <f t="shared" si="94"/>
        <v>0</v>
      </c>
      <c r="P102" s="1625" t="str">
        <f t="shared" si="68"/>
        <v>3.1.1</v>
      </c>
      <c r="Q102" s="1625" t="str">
        <f t="shared" si="69"/>
        <v xml:space="preserve"> Q2 3.1</v>
      </c>
      <c r="R102" s="1622" t="str">
        <f t="shared" si="70"/>
        <v>Allowance for Floor-to-floor Height</v>
      </c>
      <c r="S102" s="1626">
        <f t="shared" si="52"/>
        <v>0.6</v>
      </c>
      <c r="T102" s="1626">
        <f t="shared" si="53"/>
        <v>0.6</v>
      </c>
      <c r="U102" s="1626">
        <f t="shared" si="54"/>
        <v>0.6</v>
      </c>
      <c r="V102" s="1626">
        <f t="shared" si="55"/>
        <v>0.6</v>
      </c>
      <c r="W102" s="1626">
        <f t="shared" si="56"/>
        <v>0.6</v>
      </c>
      <c r="X102" s="1626">
        <f t="shared" si="57"/>
        <v>0</v>
      </c>
      <c r="Y102" s="1626">
        <f t="shared" si="58"/>
        <v>0</v>
      </c>
      <c r="Z102" s="1645">
        <f t="shared" si="59"/>
        <v>0</v>
      </c>
      <c r="AA102" s="1626">
        <f t="shared" si="60"/>
        <v>0.6</v>
      </c>
      <c r="AB102" s="1626">
        <f t="shared" si="61"/>
        <v>0.6</v>
      </c>
      <c r="AC102" s="1627">
        <f t="shared" si="62"/>
        <v>0.6</v>
      </c>
      <c r="AD102" s="1626">
        <f t="shared" si="63"/>
        <v>0.6</v>
      </c>
      <c r="AE102" s="1626">
        <f t="shared" si="64"/>
        <v>0.6</v>
      </c>
      <c r="AG102" s="1625" t="s">
        <v>321</v>
      </c>
      <c r="AH102" s="1628" t="s">
        <v>23</v>
      </c>
      <c r="AI102" s="1622" t="s">
        <v>1834</v>
      </c>
      <c r="AJ102" s="1630">
        <v>0.6</v>
      </c>
      <c r="AK102" s="1630">
        <v>0.6</v>
      </c>
      <c r="AL102" s="1630">
        <v>0.6</v>
      </c>
      <c r="AM102" s="1630">
        <v>0.6</v>
      </c>
      <c r="AN102" s="1630">
        <v>0.6</v>
      </c>
      <c r="AO102" s="1630"/>
      <c r="AP102" s="1630"/>
      <c r="AQ102" s="1732">
        <v>0</v>
      </c>
      <c r="AR102" s="1630">
        <v>0.6</v>
      </c>
      <c r="AS102" s="1631">
        <v>0.6</v>
      </c>
      <c r="AT102" s="1632">
        <v>0.6</v>
      </c>
      <c r="AU102" s="1631">
        <v>0.6</v>
      </c>
      <c r="AV102" s="1631">
        <v>0.6</v>
      </c>
      <c r="AX102" s="1625" t="s">
        <v>321</v>
      </c>
      <c r="AY102" s="1628" t="s">
        <v>23</v>
      </c>
      <c r="AZ102" s="1622" t="s">
        <v>1834</v>
      </c>
      <c r="BA102" s="1631">
        <v>0.6</v>
      </c>
      <c r="BB102" s="1631">
        <v>0.6</v>
      </c>
      <c r="BC102" s="1631">
        <v>0.6</v>
      </c>
      <c r="BD102" s="1631">
        <v>0.6</v>
      </c>
      <c r="BE102" s="1631">
        <v>0.6</v>
      </c>
      <c r="BF102" s="1631"/>
      <c r="BG102" s="1631"/>
      <c r="BH102" s="1649">
        <v>0</v>
      </c>
      <c r="BI102" s="1631">
        <v>0.6</v>
      </c>
      <c r="BJ102" s="1631">
        <v>0.6</v>
      </c>
      <c r="BK102" s="1632">
        <v>0.6</v>
      </c>
      <c r="BL102" s="1631">
        <v>0.6</v>
      </c>
      <c r="BM102" s="1631">
        <v>0.6</v>
      </c>
      <c r="BO102" s="1625" t="s">
        <v>321</v>
      </c>
      <c r="BP102" s="1628" t="s">
        <v>23</v>
      </c>
      <c r="BQ102" s="1622" t="s">
        <v>1616</v>
      </c>
      <c r="BR102" s="1631">
        <v>0.6</v>
      </c>
      <c r="BS102" s="1631">
        <v>0.6</v>
      </c>
      <c r="BT102" s="1631">
        <v>0.6</v>
      </c>
      <c r="BU102" s="1631">
        <v>0.6</v>
      </c>
      <c r="BV102" s="1631">
        <v>0.6</v>
      </c>
      <c r="BW102" s="1631"/>
      <c r="BX102" s="1631"/>
      <c r="BY102" s="1649">
        <v>0</v>
      </c>
      <c r="BZ102" s="1631">
        <v>0.6</v>
      </c>
      <c r="CA102" s="1631">
        <v>0.6</v>
      </c>
      <c r="CB102" s="1632">
        <v>0.6</v>
      </c>
      <c r="CC102" s="1631">
        <v>0.6</v>
      </c>
      <c r="CD102" s="1631">
        <v>0.6</v>
      </c>
      <c r="CE102" s="1635"/>
      <c r="CG102" s="1625" t="s">
        <v>238</v>
      </c>
      <c r="CH102" s="1628" t="s">
        <v>23</v>
      </c>
      <c r="CI102" s="1622" t="s">
        <v>1834</v>
      </c>
      <c r="CJ102" s="1636">
        <v>0</v>
      </c>
      <c r="CK102" s="1636">
        <v>0</v>
      </c>
      <c r="CL102" s="1636">
        <v>0</v>
      </c>
      <c r="CM102" s="1636">
        <v>0</v>
      </c>
      <c r="CN102" s="1636">
        <v>0</v>
      </c>
      <c r="CO102" s="1636">
        <v>0</v>
      </c>
      <c r="CP102" s="1636">
        <v>0</v>
      </c>
      <c r="CQ102" s="1636">
        <v>0</v>
      </c>
      <c r="CR102" s="1636">
        <v>0</v>
      </c>
      <c r="CS102" s="1636">
        <v>0</v>
      </c>
      <c r="CT102" s="1636">
        <v>0</v>
      </c>
      <c r="CU102" s="1636">
        <v>0</v>
      </c>
      <c r="CV102" s="1636">
        <v>0</v>
      </c>
      <c r="CX102" s="1625" t="s">
        <v>238</v>
      </c>
      <c r="CY102" s="1628" t="s">
        <v>23</v>
      </c>
      <c r="CZ102" s="1622" t="s">
        <v>1834</v>
      </c>
      <c r="DA102" s="1637">
        <v>0</v>
      </c>
      <c r="DB102" s="1638"/>
      <c r="DC102" s="1638"/>
      <c r="DD102" s="1638"/>
      <c r="DE102" s="1638"/>
      <c r="DF102" s="1638"/>
      <c r="DG102" s="1638"/>
      <c r="DH102" s="1638"/>
      <c r="DI102" s="1638"/>
      <c r="DJ102" s="1638"/>
      <c r="DK102" s="1638"/>
      <c r="DL102" s="1638"/>
      <c r="DM102" s="1638"/>
    </row>
    <row r="103" spans="2:117">
      <c r="B103" s="1584" t="str">
        <f t="shared" si="90"/>
        <v>3.1.2</v>
      </c>
      <c r="C103" s="1622" t="str">
        <f t="shared" si="67"/>
        <v>Flexibility in Floor Layout</v>
      </c>
      <c r="D103" s="1603">
        <f>IF(I$101&gt;0,G103/I$101,0)</f>
        <v>0.4</v>
      </c>
      <c r="E103" s="1624">
        <f>IF(J$101&gt;0,H103/J$101,0)</f>
        <v>0</v>
      </c>
      <c r="G103" s="1624">
        <f t="shared" si="72"/>
        <v>0.4</v>
      </c>
      <c r="H103" s="1624">
        <f t="shared" si="73"/>
        <v>0</v>
      </c>
      <c r="I103" s="1624"/>
      <c r="J103" s="1624"/>
      <c r="K103" s="1624">
        <f>IF(Score!W103=0,0,1)</f>
        <v>1</v>
      </c>
      <c r="L103" s="1624">
        <f>IF(Score!X103=0,0,1)</f>
        <v>1</v>
      </c>
      <c r="M103" s="1624">
        <f t="shared" si="74"/>
        <v>0.4</v>
      </c>
      <c r="N103" s="1624">
        <f t="shared" si="94"/>
        <v>0</v>
      </c>
      <c r="P103" s="1625" t="str">
        <f t="shared" si="68"/>
        <v>3.1.2</v>
      </c>
      <c r="Q103" s="1625" t="str">
        <f t="shared" si="69"/>
        <v xml:space="preserve"> Q2 3.1</v>
      </c>
      <c r="R103" s="1622" t="str">
        <f t="shared" si="70"/>
        <v>Flexibility in Floor Layout</v>
      </c>
      <c r="S103" s="1626">
        <f t="shared" si="52"/>
        <v>0.4</v>
      </c>
      <c r="T103" s="1626">
        <f t="shared" si="53"/>
        <v>0.4</v>
      </c>
      <c r="U103" s="1626">
        <f t="shared" si="54"/>
        <v>0.4</v>
      </c>
      <c r="V103" s="1626">
        <f t="shared" si="55"/>
        <v>0.4</v>
      </c>
      <c r="W103" s="1626">
        <f t="shared" si="56"/>
        <v>0.4</v>
      </c>
      <c r="X103" s="1626">
        <f t="shared" si="57"/>
        <v>0</v>
      </c>
      <c r="Y103" s="1626">
        <f t="shared" si="58"/>
        <v>0</v>
      </c>
      <c r="Z103" s="1645">
        <f t="shared" si="59"/>
        <v>1</v>
      </c>
      <c r="AA103" s="1626">
        <f t="shared" si="60"/>
        <v>0.4</v>
      </c>
      <c r="AB103" s="1626">
        <f t="shared" si="61"/>
        <v>0.4</v>
      </c>
      <c r="AC103" s="1627">
        <f t="shared" si="62"/>
        <v>0.4</v>
      </c>
      <c r="AD103" s="1626">
        <f t="shared" si="63"/>
        <v>0.4</v>
      </c>
      <c r="AE103" s="1626">
        <f t="shared" si="64"/>
        <v>0.4</v>
      </c>
      <c r="AG103" s="1625" t="s">
        <v>322</v>
      </c>
      <c r="AH103" s="1628" t="s">
        <v>23</v>
      </c>
      <c r="AI103" s="1622" t="s">
        <v>1835</v>
      </c>
      <c r="AJ103" s="1630">
        <v>0.4</v>
      </c>
      <c r="AK103" s="1630">
        <v>0.4</v>
      </c>
      <c r="AL103" s="1630">
        <v>0.4</v>
      </c>
      <c r="AM103" s="1630">
        <v>0.4</v>
      </c>
      <c r="AN103" s="1630">
        <v>0.4</v>
      </c>
      <c r="AO103" s="1630"/>
      <c r="AP103" s="1630"/>
      <c r="AQ103" s="1732">
        <v>1</v>
      </c>
      <c r="AR103" s="1630">
        <v>0.4</v>
      </c>
      <c r="AS103" s="1631">
        <v>0.4</v>
      </c>
      <c r="AT103" s="1632">
        <v>0.4</v>
      </c>
      <c r="AU103" s="1631">
        <v>0.4</v>
      </c>
      <c r="AV103" s="1631">
        <v>0.4</v>
      </c>
      <c r="AX103" s="1625" t="s">
        <v>322</v>
      </c>
      <c r="AY103" s="1628" t="s">
        <v>23</v>
      </c>
      <c r="AZ103" s="1622" t="s">
        <v>1835</v>
      </c>
      <c r="BA103" s="1631">
        <v>0.4</v>
      </c>
      <c r="BB103" s="1631">
        <v>0.4</v>
      </c>
      <c r="BC103" s="1631">
        <v>0.4</v>
      </c>
      <c r="BD103" s="1631">
        <v>0.4</v>
      </c>
      <c r="BE103" s="1631">
        <v>0.4</v>
      </c>
      <c r="BF103" s="1631"/>
      <c r="BG103" s="1631"/>
      <c r="BH103" s="1649">
        <v>1</v>
      </c>
      <c r="BI103" s="1631">
        <v>0.4</v>
      </c>
      <c r="BJ103" s="1631">
        <v>0.4</v>
      </c>
      <c r="BK103" s="1632">
        <v>0.4</v>
      </c>
      <c r="BL103" s="1631">
        <v>0.4</v>
      </c>
      <c r="BM103" s="1631">
        <v>0.4</v>
      </c>
      <c r="BO103" s="1625" t="s">
        <v>322</v>
      </c>
      <c r="BP103" s="1628" t="s">
        <v>23</v>
      </c>
      <c r="BQ103" s="1818" t="s">
        <v>3383</v>
      </c>
      <c r="BR103" s="1631">
        <v>0.4</v>
      </c>
      <c r="BS103" s="1631">
        <v>0.4</v>
      </c>
      <c r="BT103" s="1631">
        <v>0.4</v>
      </c>
      <c r="BU103" s="1631">
        <v>0.4</v>
      </c>
      <c r="BV103" s="1631">
        <v>0.4</v>
      </c>
      <c r="BW103" s="1631"/>
      <c r="BX103" s="1631"/>
      <c r="BY103" s="1649">
        <v>1</v>
      </c>
      <c r="BZ103" s="1631">
        <v>0.4</v>
      </c>
      <c r="CA103" s="1631">
        <v>0.4</v>
      </c>
      <c r="CB103" s="1632">
        <v>0.4</v>
      </c>
      <c r="CC103" s="1631">
        <v>0.4</v>
      </c>
      <c r="CD103" s="1631">
        <v>0.4</v>
      </c>
      <c r="CE103" s="1635"/>
      <c r="CG103" s="1625" t="s">
        <v>239</v>
      </c>
      <c r="CH103" s="1628" t="s">
        <v>23</v>
      </c>
      <c r="CI103" s="1622" t="s">
        <v>1835</v>
      </c>
      <c r="CJ103" s="1636">
        <v>0</v>
      </c>
      <c r="CK103" s="1636">
        <v>0</v>
      </c>
      <c r="CL103" s="1636">
        <v>0</v>
      </c>
      <c r="CM103" s="1636">
        <v>0</v>
      </c>
      <c r="CN103" s="1636">
        <v>0</v>
      </c>
      <c r="CO103" s="1636">
        <v>0</v>
      </c>
      <c r="CP103" s="1636">
        <v>0</v>
      </c>
      <c r="CQ103" s="1636">
        <v>0</v>
      </c>
      <c r="CR103" s="1636">
        <v>0</v>
      </c>
      <c r="CS103" s="1636">
        <v>0</v>
      </c>
      <c r="CT103" s="1636">
        <v>0</v>
      </c>
      <c r="CU103" s="1636">
        <v>0</v>
      </c>
      <c r="CV103" s="1636">
        <v>0</v>
      </c>
      <c r="CX103" s="1625" t="s">
        <v>239</v>
      </c>
      <c r="CY103" s="1628" t="s">
        <v>23</v>
      </c>
      <c r="CZ103" s="1622" t="s">
        <v>1835</v>
      </c>
      <c r="DA103" s="1637">
        <v>1</v>
      </c>
      <c r="DB103" s="1638"/>
      <c r="DC103" s="1638"/>
      <c r="DD103" s="1638"/>
      <c r="DE103" s="1638"/>
      <c r="DF103" s="1638"/>
      <c r="DG103" s="1638"/>
      <c r="DH103" s="1638"/>
      <c r="DI103" s="1638"/>
      <c r="DJ103" s="1638"/>
      <c r="DK103" s="1638"/>
      <c r="DL103" s="1638"/>
      <c r="DM103" s="1638"/>
    </row>
    <row r="104" spans="2:117">
      <c r="B104" s="1584">
        <f t="shared" si="90"/>
        <v>3.2</v>
      </c>
      <c r="C104" s="1622" t="str">
        <f t="shared" si="67"/>
        <v>Floor Load Margin</v>
      </c>
      <c r="D104" s="1623">
        <f>IF(I$100=0,0,G104/I$100)</f>
        <v>0.3</v>
      </c>
      <c r="E104" s="1624">
        <f>IF(J$100=0,0,H104/J$100)</f>
        <v>0</v>
      </c>
      <c r="G104" s="1624">
        <f t="shared" si="72"/>
        <v>0.3</v>
      </c>
      <c r="H104" s="1624">
        <f t="shared" si="73"/>
        <v>0</v>
      </c>
      <c r="I104" s="1624"/>
      <c r="J104" s="1624"/>
      <c r="K104" s="1624">
        <f>IF(Score!W104=0,0,1)</f>
        <v>1</v>
      </c>
      <c r="L104" s="1624">
        <f>IF(Score!X104=0,0,1)</f>
        <v>1</v>
      </c>
      <c r="M104" s="1624">
        <f t="shared" si="74"/>
        <v>0.3</v>
      </c>
      <c r="N104" s="1624">
        <f t="shared" si="94"/>
        <v>0</v>
      </c>
      <c r="P104" s="1625">
        <f t="shared" si="68"/>
        <v>3.2</v>
      </c>
      <c r="Q104" s="1625" t="str">
        <f t="shared" si="69"/>
        <v xml:space="preserve"> Q2 3</v>
      </c>
      <c r="R104" s="1622" t="str">
        <f t="shared" si="70"/>
        <v>Floor Load Margin</v>
      </c>
      <c r="S104" s="1626">
        <f t="shared" si="52"/>
        <v>0.3</v>
      </c>
      <c r="T104" s="1626">
        <f t="shared" si="53"/>
        <v>0.3</v>
      </c>
      <c r="U104" s="1626">
        <f t="shared" si="54"/>
        <v>0.3</v>
      </c>
      <c r="V104" s="1626">
        <f t="shared" si="55"/>
        <v>0.3</v>
      </c>
      <c r="W104" s="1626">
        <f t="shared" si="56"/>
        <v>0.3</v>
      </c>
      <c r="X104" s="1626">
        <f t="shared" si="57"/>
        <v>0</v>
      </c>
      <c r="Y104" s="1626">
        <f t="shared" si="58"/>
        <v>0</v>
      </c>
      <c r="Z104" s="1645">
        <f t="shared" si="59"/>
        <v>0.3</v>
      </c>
      <c r="AA104" s="1626">
        <f t="shared" si="60"/>
        <v>0.3</v>
      </c>
      <c r="AB104" s="1626">
        <f t="shared" si="61"/>
        <v>0.3</v>
      </c>
      <c r="AC104" s="1627">
        <f t="shared" si="62"/>
        <v>0.5</v>
      </c>
      <c r="AD104" s="1626">
        <f t="shared" si="63"/>
        <v>0.5</v>
      </c>
      <c r="AE104" s="1626">
        <f t="shared" si="64"/>
        <v>0.5</v>
      </c>
      <c r="AG104" s="1625">
        <v>3.2</v>
      </c>
      <c r="AH104" s="1628" t="s">
        <v>22</v>
      </c>
      <c r="AI104" s="1622" t="s">
        <v>1836</v>
      </c>
      <c r="AJ104" s="1630">
        <v>0.3</v>
      </c>
      <c r="AK104" s="1630">
        <v>0.3</v>
      </c>
      <c r="AL104" s="1630">
        <v>0.3</v>
      </c>
      <c r="AM104" s="1630">
        <v>0.3</v>
      </c>
      <c r="AN104" s="1630">
        <v>0.3</v>
      </c>
      <c r="AO104" s="1630"/>
      <c r="AP104" s="1630"/>
      <c r="AQ104" s="1732">
        <v>0.3</v>
      </c>
      <c r="AR104" s="1630">
        <v>0.3</v>
      </c>
      <c r="AS104" s="1631">
        <v>0.3</v>
      </c>
      <c r="AT104" s="1632">
        <v>0.5</v>
      </c>
      <c r="AU104" s="1631">
        <v>0.5</v>
      </c>
      <c r="AV104" s="1631">
        <v>0.5</v>
      </c>
      <c r="AX104" s="1625">
        <v>3.2</v>
      </c>
      <c r="AY104" s="1628" t="s">
        <v>22</v>
      </c>
      <c r="AZ104" s="1622" t="s">
        <v>1836</v>
      </c>
      <c r="BA104" s="1631">
        <v>0.3</v>
      </c>
      <c r="BB104" s="1631">
        <v>0.3</v>
      </c>
      <c r="BC104" s="1631">
        <v>0.3</v>
      </c>
      <c r="BD104" s="1631">
        <v>0.3</v>
      </c>
      <c r="BE104" s="1631">
        <v>0.3</v>
      </c>
      <c r="BF104" s="1631"/>
      <c r="BG104" s="1631"/>
      <c r="BH104" s="1649">
        <v>0.3</v>
      </c>
      <c r="BI104" s="1631">
        <v>0.3</v>
      </c>
      <c r="BJ104" s="1631">
        <v>0.3</v>
      </c>
      <c r="BK104" s="1632">
        <v>0.5</v>
      </c>
      <c r="BL104" s="1631">
        <v>0.5</v>
      </c>
      <c r="BM104" s="1631">
        <v>0.5</v>
      </c>
      <c r="BO104" s="1625">
        <v>3.2</v>
      </c>
      <c r="BP104" s="1628" t="s">
        <v>22</v>
      </c>
      <c r="BQ104" s="1622" t="s">
        <v>1617</v>
      </c>
      <c r="BR104" s="1631">
        <v>0.3</v>
      </c>
      <c r="BS104" s="1631">
        <v>0.3</v>
      </c>
      <c r="BT104" s="1631">
        <v>0.3</v>
      </c>
      <c r="BU104" s="1631">
        <v>0.3</v>
      </c>
      <c r="BV104" s="1631">
        <v>0.3</v>
      </c>
      <c r="BW104" s="1631"/>
      <c r="BX104" s="1631"/>
      <c r="BY104" s="1649">
        <v>0.3</v>
      </c>
      <c r="BZ104" s="1631">
        <v>0.3</v>
      </c>
      <c r="CA104" s="1631">
        <v>0.3</v>
      </c>
      <c r="CB104" s="1632">
        <v>0.5</v>
      </c>
      <c r="CC104" s="1631">
        <v>0.5</v>
      </c>
      <c r="CD104" s="1631">
        <v>0.5</v>
      </c>
      <c r="CE104" s="1635"/>
      <c r="CG104" s="1625">
        <v>3.2</v>
      </c>
      <c r="CH104" s="1628" t="s">
        <v>22</v>
      </c>
      <c r="CI104" s="1622" t="s">
        <v>1836</v>
      </c>
      <c r="CJ104" s="1636">
        <v>0</v>
      </c>
      <c r="CK104" s="1636">
        <v>0</v>
      </c>
      <c r="CL104" s="1636">
        <v>0</v>
      </c>
      <c r="CM104" s="1636">
        <v>0</v>
      </c>
      <c r="CN104" s="1636">
        <v>0</v>
      </c>
      <c r="CO104" s="1636">
        <v>0</v>
      </c>
      <c r="CP104" s="1636">
        <v>0</v>
      </c>
      <c r="CQ104" s="1636">
        <v>0</v>
      </c>
      <c r="CR104" s="1636">
        <v>0</v>
      </c>
      <c r="CS104" s="1636">
        <v>0</v>
      </c>
      <c r="CT104" s="1636">
        <v>0</v>
      </c>
      <c r="CU104" s="1636">
        <v>0</v>
      </c>
      <c r="CV104" s="1636">
        <v>0</v>
      </c>
      <c r="CX104" s="1625">
        <v>3.2</v>
      </c>
      <c r="CY104" s="1628" t="s">
        <v>22</v>
      </c>
      <c r="CZ104" s="1622" t="s">
        <v>1836</v>
      </c>
      <c r="DA104" s="1638">
        <f t="shared" si="89"/>
        <v>0.3</v>
      </c>
      <c r="DB104" s="1638"/>
      <c r="DC104" s="1638"/>
      <c r="DD104" s="1638"/>
      <c r="DE104" s="1638"/>
      <c r="DF104" s="1638"/>
      <c r="DG104" s="1638"/>
      <c r="DH104" s="1638"/>
      <c r="DI104" s="1638"/>
      <c r="DJ104" s="1638"/>
      <c r="DK104" s="1638"/>
      <c r="DL104" s="1638"/>
      <c r="DM104" s="1638"/>
    </row>
    <row r="105" spans="2:117">
      <c r="B105" s="1584">
        <f t="shared" si="90"/>
        <v>3.3</v>
      </c>
      <c r="C105" s="1622" t="str">
        <f t="shared" si="67"/>
        <v>System Renewability</v>
      </c>
      <c r="D105" s="1623">
        <f>IF(I$100=0,0,G105/I$100)</f>
        <v>0.4</v>
      </c>
      <c r="E105" s="1624">
        <f>IF(J$100=0,0,H105/J$100)</f>
        <v>0</v>
      </c>
      <c r="G105" s="1624">
        <f t="shared" si="72"/>
        <v>0.4</v>
      </c>
      <c r="H105" s="1624">
        <f t="shared" si="73"/>
        <v>0</v>
      </c>
      <c r="I105" s="1624">
        <f>SUM(G106:G111)</f>
        <v>1</v>
      </c>
      <c r="J105" s="1624">
        <f>SUM(H106:H111)</f>
        <v>0</v>
      </c>
      <c r="K105" s="1624">
        <f>IF(Score!Z105=0,0,1)</f>
        <v>1</v>
      </c>
      <c r="L105" s="1624">
        <f>IF(Score!AB105=0,0,1)</f>
        <v>0</v>
      </c>
      <c r="M105" s="1624">
        <f t="shared" si="74"/>
        <v>0.4</v>
      </c>
      <c r="N105" s="1624">
        <f t="shared" si="94"/>
        <v>0</v>
      </c>
      <c r="P105" s="1625">
        <f t="shared" si="68"/>
        <v>3.3</v>
      </c>
      <c r="Q105" s="1625" t="str">
        <f t="shared" si="69"/>
        <v xml:space="preserve"> Q2 3</v>
      </c>
      <c r="R105" s="1622" t="str">
        <f t="shared" si="70"/>
        <v>System Renewability</v>
      </c>
      <c r="S105" s="1626">
        <f t="shared" si="52"/>
        <v>0.4</v>
      </c>
      <c r="T105" s="1626">
        <f t="shared" si="53"/>
        <v>0.4</v>
      </c>
      <c r="U105" s="1626">
        <f t="shared" si="54"/>
        <v>0.4</v>
      </c>
      <c r="V105" s="1626">
        <f t="shared" si="55"/>
        <v>0.4</v>
      </c>
      <c r="W105" s="1626">
        <f t="shared" si="56"/>
        <v>0.4</v>
      </c>
      <c r="X105" s="1626">
        <f t="shared" si="57"/>
        <v>1</v>
      </c>
      <c r="Y105" s="1626">
        <f t="shared" si="58"/>
        <v>1</v>
      </c>
      <c r="Z105" s="1645">
        <f t="shared" si="59"/>
        <v>0.4</v>
      </c>
      <c r="AA105" s="1626">
        <f t="shared" si="60"/>
        <v>0.4</v>
      </c>
      <c r="AB105" s="1626">
        <f t="shared" si="61"/>
        <v>0.4</v>
      </c>
      <c r="AC105" s="1627">
        <f t="shared" si="62"/>
        <v>0</v>
      </c>
      <c r="AD105" s="1626">
        <f t="shared" si="63"/>
        <v>0</v>
      </c>
      <c r="AE105" s="1626">
        <f t="shared" si="64"/>
        <v>0</v>
      </c>
      <c r="AG105" s="1625">
        <v>3.3</v>
      </c>
      <c r="AH105" s="1628" t="s">
        <v>22</v>
      </c>
      <c r="AI105" s="1622" t="s">
        <v>1837</v>
      </c>
      <c r="AJ105" s="1630">
        <v>0.4</v>
      </c>
      <c r="AK105" s="1630">
        <v>0.4</v>
      </c>
      <c r="AL105" s="1630">
        <v>0.4</v>
      </c>
      <c r="AM105" s="1630">
        <v>0.4</v>
      </c>
      <c r="AN105" s="1630">
        <v>0.4</v>
      </c>
      <c r="AO105" s="1630">
        <v>1</v>
      </c>
      <c r="AP105" s="1630">
        <v>1</v>
      </c>
      <c r="AQ105" s="1732">
        <v>0.4</v>
      </c>
      <c r="AR105" s="1630">
        <v>0.4</v>
      </c>
      <c r="AS105" s="1631">
        <v>0.4</v>
      </c>
      <c r="AT105" s="1632"/>
      <c r="AU105" s="1631"/>
      <c r="AV105" s="1631"/>
      <c r="AX105" s="1625">
        <v>3.3</v>
      </c>
      <c r="AY105" s="1628" t="s">
        <v>22</v>
      </c>
      <c r="AZ105" s="1622" t="s">
        <v>1837</v>
      </c>
      <c r="BA105" s="1631">
        <v>0.4</v>
      </c>
      <c r="BB105" s="1631">
        <v>0.4</v>
      </c>
      <c r="BC105" s="1631">
        <v>0.4</v>
      </c>
      <c r="BD105" s="1631">
        <v>0.4</v>
      </c>
      <c r="BE105" s="1631">
        <v>0.4</v>
      </c>
      <c r="BF105" s="1631">
        <v>1</v>
      </c>
      <c r="BG105" s="1631">
        <v>1</v>
      </c>
      <c r="BH105" s="1649">
        <v>0.4</v>
      </c>
      <c r="BI105" s="1631">
        <v>0.4</v>
      </c>
      <c r="BJ105" s="1631">
        <v>0.4</v>
      </c>
      <c r="BK105" s="1632"/>
      <c r="BL105" s="1631"/>
      <c r="BM105" s="1631"/>
      <c r="BO105" s="1625">
        <v>3.3</v>
      </c>
      <c r="BP105" s="1628" t="s">
        <v>22</v>
      </c>
      <c r="BQ105" s="1818" t="s">
        <v>3385</v>
      </c>
      <c r="BR105" s="1631">
        <v>0.4</v>
      </c>
      <c r="BS105" s="1631">
        <v>0.4</v>
      </c>
      <c r="BT105" s="1631">
        <v>0.4</v>
      </c>
      <c r="BU105" s="1631">
        <v>0.4</v>
      </c>
      <c r="BV105" s="1631">
        <v>0.4</v>
      </c>
      <c r="BW105" s="1631">
        <v>1</v>
      </c>
      <c r="BX105" s="1631">
        <v>1</v>
      </c>
      <c r="BY105" s="1649">
        <v>0.4</v>
      </c>
      <c r="BZ105" s="1631">
        <v>0.4</v>
      </c>
      <c r="CA105" s="1631">
        <v>0.4</v>
      </c>
      <c r="CB105" s="1632"/>
      <c r="CC105" s="1631"/>
      <c r="CD105" s="1631"/>
      <c r="CE105" s="1635"/>
      <c r="CG105" s="1625">
        <v>3.3</v>
      </c>
      <c r="CH105" s="1628" t="s">
        <v>22</v>
      </c>
      <c r="CI105" s="1622" t="s">
        <v>1837</v>
      </c>
      <c r="CJ105" s="1636">
        <v>0</v>
      </c>
      <c r="CK105" s="1636">
        <v>0</v>
      </c>
      <c r="CL105" s="1636">
        <v>0</v>
      </c>
      <c r="CM105" s="1636">
        <v>0</v>
      </c>
      <c r="CN105" s="1636">
        <v>0</v>
      </c>
      <c r="CO105" s="1636">
        <v>0</v>
      </c>
      <c r="CP105" s="1636">
        <v>0</v>
      </c>
      <c r="CQ105" s="1636">
        <v>0</v>
      </c>
      <c r="CR105" s="1636">
        <v>0</v>
      </c>
      <c r="CS105" s="1636">
        <v>0</v>
      </c>
      <c r="CT105" s="1636">
        <v>0</v>
      </c>
      <c r="CU105" s="1636">
        <v>0</v>
      </c>
      <c r="CV105" s="1636">
        <v>0</v>
      </c>
      <c r="CX105" s="1625">
        <v>3.3</v>
      </c>
      <c r="CY105" s="1628" t="s">
        <v>22</v>
      </c>
      <c r="CZ105" s="1622" t="s">
        <v>1837</v>
      </c>
      <c r="DA105" s="1638">
        <f t="shared" si="89"/>
        <v>0.4</v>
      </c>
      <c r="DB105" s="1638"/>
      <c r="DC105" s="1638"/>
      <c r="DD105" s="1638"/>
      <c r="DE105" s="1638"/>
      <c r="DF105" s="1638"/>
      <c r="DG105" s="1638"/>
      <c r="DH105" s="1638"/>
      <c r="DI105" s="1638"/>
      <c r="DJ105" s="1638"/>
      <c r="DK105" s="1638"/>
      <c r="DL105" s="1638"/>
      <c r="DM105" s="1638"/>
    </row>
    <row r="106" spans="2:117">
      <c r="B106" s="1584" t="str">
        <f t="shared" si="90"/>
        <v>3.3.1</v>
      </c>
      <c r="C106" s="1622" t="str">
        <f t="shared" si="67"/>
        <v>Ease of Air Conditioning Duct Renewal</v>
      </c>
      <c r="D106" s="1603">
        <f>IF(I$105&gt;0,G106/I$105,0)</f>
        <v>0.2</v>
      </c>
      <c r="E106" s="1624">
        <f t="shared" ref="D106:E111" si="95">IF(J$105&gt;0,H106/J$105,0)</f>
        <v>0</v>
      </c>
      <c r="G106" s="1624">
        <f t="shared" si="72"/>
        <v>0.2</v>
      </c>
      <c r="H106" s="1624">
        <f t="shared" si="73"/>
        <v>0</v>
      </c>
      <c r="I106" s="1624"/>
      <c r="J106" s="1624"/>
      <c r="K106" s="1624">
        <f>IF(Score!W106=0,0,1)</f>
        <v>1</v>
      </c>
      <c r="L106" s="1624">
        <f>IF(Score!X106=0,0,1)</f>
        <v>0</v>
      </c>
      <c r="M106" s="1624">
        <f t="shared" si="74"/>
        <v>0.2</v>
      </c>
      <c r="N106" s="1624">
        <f t="shared" si="94"/>
        <v>0</v>
      </c>
      <c r="P106" s="1625" t="str">
        <f t="shared" si="68"/>
        <v>3.3.1</v>
      </c>
      <c r="Q106" s="1625" t="str">
        <f t="shared" si="69"/>
        <v xml:space="preserve"> Q2 3.3</v>
      </c>
      <c r="R106" s="1622" t="str">
        <f t="shared" si="70"/>
        <v>Ease of Air Conditioning Duct Renewal</v>
      </c>
      <c r="S106" s="1626">
        <f t="shared" si="52"/>
        <v>0.2</v>
      </c>
      <c r="T106" s="1626">
        <f t="shared" si="53"/>
        <v>0.2</v>
      </c>
      <c r="U106" s="1626">
        <f t="shared" si="54"/>
        <v>0.2</v>
      </c>
      <c r="V106" s="1626">
        <f t="shared" si="55"/>
        <v>0.2</v>
      </c>
      <c r="W106" s="1626">
        <f t="shared" si="56"/>
        <v>0.2</v>
      </c>
      <c r="X106" s="1626">
        <f t="shared" si="57"/>
        <v>0.2</v>
      </c>
      <c r="Y106" s="1626">
        <f t="shared" si="58"/>
        <v>0.2</v>
      </c>
      <c r="Z106" s="1645">
        <f t="shared" si="59"/>
        <v>0.2</v>
      </c>
      <c r="AA106" s="1626">
        <f t="shared" si="60"/>
        <v>0.2</v>
      </c>
      <c r="AB106" s="1626">
        <f t="shared" si="61"/>
        <v>0.2</v>
      </c>
      <c r="AC106" s="1627">
        <f t="shared" si="62"/>
        <v>0</v>
      </c>
      <c r="AD106" s="1626">
        <f t="shared" si="63"/>
        <v>0</v>
      </c>
      <c r="AE106" s="1626">
        <f t="shared" si="64"/>
        <v>0</v>
      </c>
      <c r="AG106" s="1625" t="s">
        <v>323</v>
      </c>
      <c r="AH106" s="1628" t="s">
        <v>26</v>
      </c>
      <c r="AI106" s="1622" t="s">
        <v>1838</v>
      </c>
      <c r="AJ106" s="1630">
        <v>0.2</v>
      </c>
      <c r="AK106" s="1630">
        <v>0.2</v>
      </c>
      <c r="AL106" s="1630">
        <v>0.2</v>
      </c>
      <c r="AM106" s="1630">
        <v>0.2</v>
      </c>
      <c r="AN106" s="1630">
        <v>0.2</v>
      </c>
      <c r="AO106" s="1630">
        <v>0.2</v>
      </c>
      <c r="AP106" s="1630">
        <v>0.2</v>
      </c>
      <c r="AQ106" s="1732">
        <v>0.2</v>
      </c>
      <c r="AR106" s="1630">
        <v>0.2</v>
      </c>
      <c r="AS106" s="1631">
        <v>0.2</v>
      </c>
      <c r="AT106" s="1632"/>
      <c r="AU106" s="1631"/>
      <c r="AV106" s="1631"/>
      <c r="AX106" s="1625" t="s">
        <v>323</v>
      </c>
      <c r="AY106" s="1628" t="s">
        <v>26</v>
      </c>
      <c r="AZ106" s="1622" t="s">
        <v>1838</v>
      </c>
      <c r="BA106" s="1631">
        <v>0.2</v>
      </c>
      <c r="BB106" s="1631">
        <v>0.2</v>
      </c>
      <c r="BC106" s="1631">
        <v>0.2</v>
      </c>
      <c r="BD106" s="1631">
        <v>0.2</v>
      </c>
      <c r="BE106" s="1631">
        <v>0.2</v>
      </c>
      <c r="BF106" s="1631">
        <v>0.2</v>
      </c>
      <c r="BG106" s="1631">
        <v>0.2</v>
      </c>
      <c r="BH106" s="1649">
        <v>0.2</v>
      </c>
      <c r="BI106" s="1631">
        <v>0.2</v>
      </c>
      <c r="BJ106" s="1631">
        <v>0.2</v>
      </c>
      <c r="BK106" s="1632"/>
      <c r="BL106" s="1631"/>
      <c r="BM106" s="1631"/>
      <c r="BO106" s="1625" t="s">
        <v>323</v>
      </c>
      <c r="BP106" s="1628" t="s">
        <v>26</v>
      </c>
      <c r="BQ106" s="1622" t="s">
        <v>1618</v>
      </c>
      <c r="BR106" s="1631">
        <v>0.2</v>
      </c>
      <c r="BS106" s="1631">
        <v>0.2</v>
      </c>
      <c r="BT106" s="1631">
        <v>0.2</v>
      </c>
      <c r="BU106" s="1631">
        <v>0.2</v>
      </c>
      <c r="BV106" s="1631">
        <v>0.2</v>
      </c>
      <c r="BW106" s="1631">
        <v>0.2</v>
      </c>
      <c r="BX106" s="1631">
        <v>0.2</v>
      </c>
      <c r="BY106" s="1649">
        <v>0.2</v>
      </c>
      <c r="BZ106" s="1631">
        <v>0.2</v>
      </c>
      <c r="CA106" s="1631">
        <v>0.2</v>
      </c>
      <c r="CB106" s="1632"/>
      <c r="CC106" s="1631"/>
      <c r="CD106" s="1631"/>
      <c r="CE106" s="1635"/>
      <c r="CG106" s="1625" t="s">
        <v>323</v>
      </c>
      <c r="CH106" s="1628" t="s">
        <v>26</v>
      </c>
      <c r="CI106" s="1622" t="s">
        <v>1838</v>
      </c>
      <c r="CJ106" s="1636">
        <v>0</v>
      </c>
      <c r="CK106" s="1636">
        <v>0</v>
      </c>
      <c r="CL106" s="1636">
        <v>0</v>
      </c>
      <c r="CM106" s="1636">
        <v>0</v>
      </c>
      <c r="CN106" s="1636">
        <v>0</v>
      </c>
      <c r="CO106" s="1636">
        <v>0</v>
      </c>
      <c r="CP106" s="1636">
        <v>0</v>
      </c>
      <c r="CQ106" s="1636">
        <v>0</v>
      </c>
      <c r="CR106" s="1636">
        <v>0</v>
      </c>
      <c r="CS106" s="1636">
        <v>0</v>
      </c>
      <c r="CT106" s="1636">
        <v>0</v>
      </c>
      <c r="CU106" s="1636">
        <v>0</v>
      </c>
      <c r="CV106" s="1636">
        <v>0</v>
      </c>
      <c r="CX106" s="1625" t="s">
        <v>323</v>
      </c>
      <c r="CY106" s="1628" t="s">
        <v>26</v>
      </c>
      <c r="CZ106" s="1622" t="s">
        <v>1838</v>
      </c>
      <c r="DA106" s="1637">
        <v>0</v>
      </c>
      <c r="DB106" s="1638"/>
      <c r="DC106" s="1638"/>
      <c r="DD106" s="1638"/>
      <c r="DE106" s="1638"/>
      <c r="DF106" s="1638"/>
      <c r="DG106" s="1638"/>
      <c r="DH106" s="1638"/>
      <c r="DI106" s="1638"/>
      <c r="DJ106" s="1638"/>
      <c r="DK106" s="1638"/>
      <c r="DL106" s="1638"/>
      <c r="DM106" s="1638"/>
    </row>
    <row r="107" spans="2:117">
      <c r="B107" s="1584" t="str">
        <f t="shared" si="90"/>
        <v>3.3.2</v>
      </c>
      <c r="C107" s="1622" t="str">
        <f t="shared" si="67"/>
        <v>Ease of Water Supply and Drain Pipe Renewal</v>
      </c>
      <c r="D107" s="1603">
        <f t="shared" si="95"/>
        <v>0.2</v>
      </c>
      <c r="E107" s="1624">
        <f t="shared" si="95"/>
        <v>0</v>
      </c>
      <c r="G107" s="1624">
        <f t="shared" si="72"/>
        <v>0.2</v>
      </c>
      <c r="H107" s="1624">
        <f t="shared" si="73"/>
        <v>0</v>
      </c>
      <c r="I107" s="1624"/>
      <c r="J107" s="1624"/>
      <c r="K107" s="1624">
        <f>IF(Score!W107=0,0,1)</f>
        <v>1</v>
      </c>
      <c r="L107" s="1624">
        <f>IF(Score!X107=0,0,1)</f>
        <v>0</v>
      </c>
      <c r="M107" s="1624">
        <f t="shared" si="74"/>
        <v>0.2</v>
      </c>
      <c r="N107" s="1624">
        <f t="shared" si="94"/>
        <v>0</v>
      </c>
      <c r="P107" s="1625" t="str">
        <f t="shared" si="68"/>
        <v>3.3.2</v>
      </c>
      <c r="Q107" s="1625" t="str">
        <f t="shared" si="69"/>
        <v xml:space="preserve"> Q2 3.3</v>
      </c>
      <c r="R107" s="1622" t="str">
        <f t="shared" si="70"/>
        <v>Ease of Water Supply and Drain Pipe Renewal</v>
      </c>
      <c r="S107" s="1626">
        <f t="shared" si="52"/>
        <v>0.2</v>
      </c>
      <c r="T107" s="1626">
        <f t="shared" si="53"/>
        <v>0.2</v>
      </c>
      <c r="U107" s="1626">
        <f t="shared" si="54"/>
        <v>0.2</v>
      </c>
      <c r="V107" s="1626">
        <f t="shared" si="55"/>
        <v>0.2</v>
      </c>
      <c r="W107" s="1626">
        <f t="shared" si="56"/>
        <v>0.2</v>
      </c>
      <c r="X107" s="1626">
        <f t="shared" si="57"/>
        <v>0.2</v>
      </c>
      <c r="Y107" s="1626">
        <f t="shared" si="58"/>
        <v>0.2</v>
      </c>
      <c r="Z107" s="1645">
        <f t="shared" si="59"/>
        <v>0.2</v>
      </c>
      <c r="AA107" s="1626">
        <f t="shared" si="60"/>
        <v>0.2</v>
      </c>
      <c r="AB107" s="1626">
        <f t="shared" si="61"/>
        <v>0.2</v>
      </c>
      <c r="AC107" s="1627">
        <f t="shared" si="62"/>
        <v>0</v>
      </c>
      <c r="AD107" s="1626">
        <f t="shared" si="63"/>
        <v>0</v>
      </c>
      <c r="AE107" s="1626">
        <f t="shared" si="64"/>
        <v>0</v>
      </c>
      <c r="AG107" s="1625" t="s">
        <v>324</v>
      </c>
      <c r="AH107" s="1628" t="s">
        <v>26</v>
      </c>
      <c r="AI107" s="1622" t="s">
        <v>1839</v>
      </c>
      <c r="AJ107" s="1630">
        <v>0.2</v>
      </c>
      <c r="AK107" s="1630">
        <v>0.2</v>
      </c>
      <c r="AL107" s="1630">
        <v>0.2</v>
      </c>
      <c r="AM107" s="1630">
        <v>0.2</v>
      </c>
      <c r="AN107" s="1630">
        <v>0.2</v>
      </c>
      <c r="AO107" s="1630">
        <v>0.2</v>
      </c>
      <c r="AP107" s="1630">
        <v>0.2</v>
      </c>
      <c r="AQ107" s="1732">
        <v>0.2</v>
      </c>
      <c r="AR107" s="1630">
        <v>0.2</v>
      </c>
      <c r="AS107" s="1631">
        <v>0.2</v>
      </c>
      <c r="AT107" s="1632"/>
      <c r="AU107" s="1631"/>
      <c r="AV107" s="1631"/>
      <c r="AX107" s="1625" t="s">
        <v>324</v>
      </c>
      <c r="AY107" s="1628" t="s">
        <v>26</v>
      </c>
      <c r="AZ107" s="1622" t="s">
        <v>1839</v>
      </c>
      <c r="BA107" s="1631">
        <v>0.2</v>
      </c>
      <c r="BB107" s="1631">
        <v>0.2</v>
      </c>
      <c r="BC107" s="1631">
        <v>0.2</v>
      </c>
      <c r="BD107" s="1631">
        <v>0.2</v>
      </c>
      <c r="BE107" s="1631">
        <v>0.2</v>
      </c>
      <c r="BF107" s="1631">
        <v>0.2</v>
      </c>
      <c r="BG107" s="1631">
        <v>0.2</v>
      </c>
      <c r="BH107" s="1649">
        <v>0.2</v>
      </c>
      <c r="BI107" s="1631">
        <v>0.2</v>
      </c>
      <c r="BJ107" s="1631">
        <v>0.2</v>
      </c>
      <c r="BK107" s="1632"/>
      <c r="BL107" s="1631"/>
      <c r="BM107" s="1631"/>
      <c r="BO107" s="1625" t="s">
        <v>324</v>
      </c>
      <c r="BP107" s="1628" t="s">
        <v>26</v>
      </c>
      <c r="BQ107" s="1622" t="s">
        <v>1619</v>
      </c>
      <c r="BR107" s="1631">
        <v>0.2</v>
      </c>
      <c r="BS107" s="1631">
        <v>0.2</v>
      </c>
      <c r="BT107" s="1631">
        <v>0.2</v>
      </c>
      <c r="BU107" s="1631">
        <v>0.2</v>
      </c>
      <c r="BV107" s="1631">
        <v>0.2</v>
      </c>
      <c r="BW107" s="1631">
        <v>0.2</v>
      </c>
      <c r="BX107" s="1631">
        <v>0.2</v>
      </c>
      <c r="BY107" s="1649">
        <v>0.2</v>
      </c>
      <c r="BZ107" s="1631">
        <v>0.2</v>
      </c>
      <c r="CA107" s="1631">
        <v>0.2</v>
      </c>
      <c r="CB107" s="1632"/>
      <c r="CC107" s="1631"/>
      <c r="CD107" s="1631"/>
      <c r="CE107" s="1635"/>
      <c r="CG107" s="1625" t="s">
        <v>324</v>
      </c>
      <c r="CH107" s="1628" t="s">
        <v>26</v>
      </c>
      <c r="CI107" s="1622" t="s">
        <v>1839</v>
      </c>
      <c r="CJ107" s="1636">
        <v>0</v>
      </c>
      <c r="CK107" s="1636">
        <v>0</v>
      </c>
      <c r="CL107" s="1636">
        <v>0</v>
      </c>
      <c r="CM107" s="1636">
        <v>0</v>
      </c>
      <c r="CN107" s="1636">
        <v>0</v>
      </c>
      <c r="CO107" s="1636">
        <v>0</v>
      </c>
      <c r="CP107" s="1636">
        <v>0</v>
      </c>
      <c r="CQ107" s="1636">
        <v>0</v>
      </c>
      <c r="CR107" s="1636">
        <v>0</v>
      </c>
      <c r="CS107" s="1636">
        <v>0</v>
      </c>
      <c r="CT107" s="1636">
        <v>0</v>
      </c>
      <c r="CU107" s="1636">
        <v>0</v>
      </c>
      <c r="CV107" s="1636">
        <v>0</v>
      </c>
      <c r="CX107" s="1625" t="s">
        <v>324</v>
      </c>
      <c r="CY107" s="1628" t="s">
        <v>26</v>
      </c>
      <c r="CZ107" s="1622" t="s">
        <v>1839</v>
      </c>
      <c r="DA107" s="1637">
        <v>0.4</v>
      </c>
      <c r="DB107" s="1638"/>
      <c r="DC107" s="1638"/>
      <c r="DD107" s="1638"/>
      <c r="DE107" s="1638"/>
      <c r="DF107" s="1638"/>
      <c r="DG107" s="1638"/>
      <c r="DH107" s="1638"/>
      <c r="DI107" s="1638"/>
      <c r="DJ107" s="1638"/>
      <c r="DK107" s="1638"/>
      <c r="DL107" s="1638"/>
      <c r="DM107" s="1638"/>
    </row>
    <row r="108" spans="2:117">
      <c r="B108" s="1584" t="str">
        <f t="shared" si="90"/>
        <v>3.3.3</v>
      </c>
      <c r="C108" s="1622" t="str">
        <f t="shared" si="67"/>
        <v>Ease of Electrical Wiring Renewal</v>
      </c>
      <c r="D108" s="1603">
        <f t="shared" si="95"/>
        <v>0.1</v>
      </c>
      <c r="E108" s="1624">
        <f t="shared" si="95"/>
        <v>0</v>
      </c>
      <c r="G108" s="1624">
        <f t="shared" ref="G108:G147" si="96">K108*M108</f>
        <v>0.1</v>
      </c>
      <c r="H108" s="1624">
        <f t="shared" ref="H108:H147" si="97">L108*N108</f>
        <v>0</v>
      </c>
      <c r="I108" s="1624"/>
      <c r="J108" s="1624"/>
      <c r="K108" s="1624">
        <f>IF(Score!W108=0,0,1)</f>
        <v>1</v>
      </c>
      <c r="L108" s="1624">
        <f>IF(Score!X108=0,0,1)</f>
        <v>0</v>
      </c>
      <c r="M108" s="1624">
        <f t="shared" ref="M108:M147" si="98">SUMPRODUCT($S$7:$AB$7,S108:AB108)</f>
        <v>0.1</v>
      </c>
      <c r="N108" s="1624">
        <f t="shared" si="94"/>
        <v>0</v>
      </c>
      <c r="P108" s="1625" t="str">
        <f t="shared" si="68"/>
        <v>3.3.3</v>
      </c>
      <c r="Q108" s="1625" t="str">
        <f t="shared" si="69"/>
        <v xml:space="preserve"> Q2 3.3</v>
      </c>
      <c r="R108" s="1622" t="str">
        <f t="shared" si="70"/>
        <v>Ease of Electrical Wiring Renewal</v>
      </c>
      <c r="S108" s="1626">
        <f t="shared" si="52"/>
        <v>0.1</v>
      </c>
      <c r="T108" s="1626">
        <f t="shared" si="53"/>
        <v>0.1</v>
      </c>
      <c r="U108" s="1626">
        <f t="shared" si="54"/>
        <v>0.1</v>
      </c>
      <c r="V108" s="1626">
        <f t="shared" si="55"/>
        <v>0.1</v>
      </c>
      <c r="W108" s="1626">
        <f t="shared" si="56"/>
        <v>0.1</v>
      </c>
      <c r="X108" s="1626">
        <f t="shared" si="57"/>
        <v>0.1</v>
      </c>
      <c r="Y108" s="1626">
        <f t="shared" si="58"/>
        <v>0.1</v>
      </c>
      <c r="Z108" s="1645">
        <f t="shared" si="59"/>
        <v>0.1</v>
      </c>
      <c r="AA108" s="1626">
        <f t="shared" si="60"/>
        <v>0.1</v>
      </c>
      <c r="AB108" s="1626">
        <f t="shared" si="61"/>
        <v>0.1</v>
      </c>
      <c r="AC108" s="1627">
        <f t="shared" si="62"/>
        <v>0</v>
      </c>
      <c r="AD108" s="1626">
        <f t="shared" si="63"/>
        <v>0</v>
      </c>
      <c r="AE108" s="1626">
        <f t="shared" si="64"/>
        <v>0</v>
      </c>
      <c r="AG108" s="1625" t="s">
        <v>325</v>
      </c>
      <c r="AH108" s="1628" t="s">
        <v>26</v>
      </c>
      <c r="AI108" s="1622" t="s">
        <v>1840</v>
      </c>
      <c r="AJ108" s="1630">
        <v>0.1</v>
      </c>
      <c r="AK108" s="1630">
        <v>0.1</v>
      </c>
      <c r="AL108" s="1630">
        <v>0.1</v>
      </c>
      <c r="AM108" s="1630">
        <v>0.1</v>
      </c>
      <c r="AN108" s="1630">
        <v>0.1</v>
      </c>
      <c r="AO108" s="1630">
        <v>0.1</v>
      </c>
      <c r="AP108" s="1630">
        <v>0.1</v>
      </c>
      <c r="AQ108" s="1732">
        <v>0.1</v>
      </c>
      <c r="AR108" s="1630">
        <v>0.1</v>
      </c>
      <c r="AS108" s="1631">
        <v>0.1</v>
      </c>
      <c r="AT108" s="1632"/>
      <c r="AU108" s="1631"/>
      <c r="AV108" s="1631"/>
      <c r="AX108" s="1625" t="s">
        <v>325</v>
      </c>
      <c r="AY108" s="1628" t="s">
        <v>26</v>
      </c>
      <c r="AZ108" s="1622" t="s">
        <v>1840</v>
      </c>
      <c r="BA108" s="1631">
        <v>0.1</v>
      </c>
      <c r="BB108" s="1631">
        <v>0.1</v>
      </c>
      <c r="BC108" s="1631">
        <v>0.1</v>
      </c>
      <c r="BD108" s="1631">
        <v>0.1</v>
      </c>
      <c r="BE108" s="1631">
        <v>0.1</v>
      </c>
      <c r="BF108" s="1631">
        <v>0.1</v>
      </c>
      <c r="BG108" s="1631">
        <v>0.1</v>
      </c>
      <c r="BH108" s="1649">
        <v>0.1</v>
      </c>
      <c r="BI108" s="1631">
        <v>0.1</v>
      </c>
      <c r="BJ108" s="1631">
        <v>0.1</v>
      </c>
      <c r="BK108" s="1632"/>
      <c r="BL108" s="1631"/>
      <c r="BM108" s="1631"/>
      <c r="BO108" s="1625" t="s">
        <v>325</v>
      </c>
      <c r="BP108" s="1628" t="s">
        <v>26</v>
      </c>
      <c r="BQ108" s="1622" t="s">
        <v>1620</v>
      </c>
      <c r="BR108" s="1631">
        <v>0.1</v>
      </c>
      <c r="BS108" s="1631">
        <v>0.1</v>
      </c>
      <c r="BT108" s="1631">
        <v>0.1</v>
      </c>
      <c r="BU108" s="1631">
        <v>0.1</v>
      </c>
      <c r="BV108" s="1631">
        <v>0.1</v>
      </c>
      <c r="BW108" s="1631">
        <v>0.1</v>
      </c>
      <c r="BX108" s="1631">
        <v>0.1</v>
      </c>
      <c r="BY108" s="1649">
        <v>0.1</v>
      </c>
      <c r="BZ108" s="1631">
        <v>0.1</v>
      </c>
      <c r="CA108" s="1631">
        <v>0.1</v>
      </c>
      <c r="CB108" s="1632"/>
      <c r="CC108" s="1631"/>
      <c r="CD108" s="1631"/>
      <c r="CE108" s="1635"/>
      <c r="CG108" s="1625" t="s">
        <v>325</v>
      </c>
      <c r="CH108" s="1628" t="s">
        <v>26</v>
      </c>
      <c r="CI108" s="1622" t="s">
        <v>1840</v>
      </c>
      <c r="CJ108" s="1636">
        <v>0</v>
      </c>
      <c r="CK108" s="1636">
        <v>0</v>
      </c>
      <c r="CL108" s="1636">
        <v>0</v>
      </c>
      <c r="CM108" s="1636">
        <v>0</v>
      </c>
      <c r="CN108" s="1636">
        <v>0</v>
      </c>
      <c r="CO108" s="1636">
        <v>0</v>
      </c>
      <c r="CP108" s="1636">
        <v>0</v>
      </c>
      <c r="CQ108" s="1636">
        <v>0</v>
      </c>
      <c r="CR108" s="1636">
        <v>0</v>
      </c>
      <c r="CS108" s="1636">
        <v>0</v>
      </c>
      <c r="CT108" s="1636">
        <v>0</v>
      </c>
      <c r="CU108" s="1636">
        <v>0</v>
      </c>
      <c r="CV108" s="1636">
        <v>0</v>
      </c>
      <c r="CX108" s="1625" t="s">
        <v>325</v>
      </c>
      <c r="CY108" s="1628" t="s">
        <v>26</v>
      </c>
      <c r="CZ108" s="1622" t="s">
        <v>1840</v>
      </c>
      <c r="DA108" s="1638">
        <f t="shared" si="89"/>
        <v>0.1</v>
      </c>
      <c r="DB108" s="1638"/>
      <c r="DC108" s="1638"/>
      <c r="DD108" s="1638"/>
      <c r="DE108" s="1638"/>
      <c r="DF108" s="1638"/>
      <c r="DG108" s="1638"/>
      <c r="DH108" s="1638"/>
      <c r="DI108" s="1638"/>
      <c r="DJ108" s="1638"/>
      <c r="DK108" s="1638"/>
      <c r="DL108" s="1638"/>
      <c r="DM108" s="1638"/>
    </row>
    <row r="109" spans="2:117">
      <c r="B109" s="1584" t="str">
        <f t="shared" si="90"/>
        <v>3.3.4</v>
      </c>
      <c r="C109" s="1622" t="str">
        <f t="shared" si="67"/>
        <v>Ease of Communications Cable Renewal</v>
      </c>
      <c r="D109" s="1603">
        <f t="shared" si="95"/>
        <v>0.1</v>
      </c>
      <c r="E109" s="1624">
        <f t="shared" si="95"/>
        <v>0</v>
      </c>
      <c r="G109" s="1624">
        <f t="shared" si="96"/>
        <v>0.1</v>
      </c>
      <c r="H109" s="1624">
        <f t="shared" si="97"/>
        <v>0</v>
      </c>
      <c r="I109" s="1624"/>
      <c r="J109" s="1624"/>
      <c r="K109" s="1624">
        <f>IF(Score!W109=0,0,1)</f>
        <v>1</v>
      </c>
      <c r="L109" s="1624">
        <f>IF(Score!X109=0,0,1)</f>
        <v>0</v>
      </c>
      <c r="M109" s="1624">
        <f t="shared" si="98"/>
        <v>0.1</v>
      </c>
      <c r="N109" s="1624">
        <f t="shared" si="94"/>
        <v>0</v>
      </c>
      <c r="P109" s="1625" t="str">
        <f t="shared" si="68"/>
        <v>3.3.4</v>
      </c>
      <c r="Q109" s="1625" t="str">
        <f t="shared" si="69"/>
        <v xml:space="preserve"> Q2 3.3</v>
      </c>
      <c r="R109" s="1622" t="str">
        <f t="shared" si="70"/>
        <v>Ease of Communications Cable Renewal</v>
      </c>
      <c r="S109" s="1626">
        <f t="shared" si="52"/>
        <v>0.1</v>
      </c>
      <c r="T109" s="1626">
        <f t="shared" si="53"/>
        <v>0.1</v>
      </c>
      <c r="U109" s="1626">
        <f t="shared" si="54"/>
        <v>0.1</v>
      </c>
      <c r="V109" s="1626">
        <f t="shared" si="55"/>
        <v>0.1</v>
      </c>
      <c r="W109" s="1626">
        <f t="shared" si="56"/>
        <v>0.1</v>
      </c>
      <c r="X109" s="1626">
        <f t="shared" si="57"/>
        <v>0.1</v>
      </c>
      <c r="Y109" s="1626">
        <f t="shared" si="58"/>
        <v>0.1</v>
      </c>
      <c r="Z109" s="1645">
        <f t="shared" si="59"/>
        <v>0.1</v>
      </c>
      <c r="AA109" s="1626">
        <f t="shared" si="60"/>
        <v>0.1</v>
      </c>
      <c r="AB109" s="1626">
        <f t="shared" si="61"/>
        <v>0.1</v>
      </c>
      <c r="AC109" s="1627">
        <f t="shared" si="62"/>
        <v>0</v>
      </c>
      <c r="AD109" s="1626">
        <f t="shared" si="63"/>
        <v>0</v>
      </c>
      <c r="AE109" s="1626">
        <f t="shared" si="64"/>
        <v>0</v>
      </c>
      <c r="AG109" s="1625" t="s">
        <v>326</v>
      </c>
      <c r="AH109" s="1628" t="s">
        <v>26</v>
      </c>
      <c r="AI109" s="1622" t="s">
        <v>1841</v>
      </c>
      <c r="AJ109" s="1630">
        <v>0.1</v>
      </c>
      <c r="AK109" s="1630">
        <v>0.1</v>
      </c>
      <c r="AL109" s="1630">
        <v>0.1</v>
      </c>
      <c r="AM109" s="1630">
        <v>0.1</v>
      </c>
      <c r="AN109" s="1630">
        <v>0.1</v>
      </c>
      <c r="AO109" s="1630">
        <v>0.1</v>
      </c>
      <c r="AP109" s="1630">
        <v>0.1</v>
      </c>
      <c r="AQ109" s="1732">
        <v>0.1</v>
      </c>
      <c r="AR109" s="1630">
        <v>0.1</v>
      </c>
      <c r="AS109" s="1631">
        <v>0.1</v>
      </c>
      <c r="AT109" s="1632"/>
      <c r="AU109" s="1631"/>
      <c r="AV109" s="1631"/>
      <c r="AX109" s="1625" t="s">
        <v>326</v>
      </c>
      <c r="AY109" s="1628" t="s">
        <v>26</v>
      </c>
      <c r="AZ109" s="1622" t="s">
        <v>1841</v>
      </c>
      <c r="BA109" s="1631">
        <v>0.1</v>
      </c>
      <c r="BB109" s="1631">
        <v>0.1</v>
      </c>
      <c r="BC109" s="1631">
        <v>0.1</v>
      </c>
      <c r="BD109" s="1631">
        <v>0.1</v>
      </c>
      <c r="BE109" s="1631">
        <v>0.1</v>
      </c>
      <c r="BF109" s="1631">
        <v>0.1</v>
      </c>
      <c r="BG109" s="1631">
        <v>0.1</v>
      </c>
      <c r="BH109" s="1649">
        <v>0.1</v>
      </c>
      <c r="BI109" s="1631">
        <v>0.1</v>
      </c>
      <c r="BJ109" s="1631">
        <v>0.1</v>
      </c>
      <c r="BK109" s="1632"/>
      <c r="BL109" s="1631"/>
      <c r="BM109" s="1631"/>
      <c r="BO109" s="1625" t="s">
        <v>326</v>
      </c>
      <c r="BP109" s="1628" t="s">
        <v>26</v>
      </c>
      <c r="BQ109" s="1622" t="s">
        <v>1621</v>
      </c>
      <c r="BR109" s="1631">
        <v>0.1</v>
      </c>
      <c r="BS109" s="1631">
        <v>0.1</v>
      </c>
      <c r="BT109" s="1631">
        <v>0.1</v>
      </c>
      <c r="BU109" s="1631">
        <v>0.1</v>
      </c>
      <c r="BV109" s="1631">
        <v>0.1</v>
      </c>
      <c r="BW109" s="1631">
        <v>0.1</v>
      </c>
      <c r="BX109" s="1631">
        <v>0.1</v>
      </c>
      <c r="BY109" s="1649">
        <v>0.1</v>
      </c>
      <c r="BZ109" s="1631">
        <v>0.1</v>
      </c>
      <c r="CA109" s="1631">
        <v>0.1</v>
      </c>
      <c r="CB109" s="1632"/>
      <c r="CC109" s="1631"/>
      <c r="CD109" s="1631"/>
      <c r="CE109" s="1635"/>
      <c r="CG109" s="1625" t="s">
        <v>326</v>
      </c>
      <c r="CH109" s="1628" t="s">
        <v>26</v>
      </c>
      <c r="CI109" s="1622" t="s">
        <v>1841</v>
      </c>
      <c r="CJ109" s="1636">
        <v>0</v>
      </c>
      <c r="CK109" s="1636">
        <v>0</v>
      </c>
      <c r="CL109" s="1636">
        <v>0</v>
      </c>
      <c r="CM109" s="1636">
        <v>0</v>
      </c>
      <c r="CN109" s="1636">
        <v>0</v>
      </c>
      <c r="CO109" s="1636">
        <v>0</v>
      </c>
      <c r="CP109" s="1636">
        <v>0</v>
      </c>
      <c r="CQ109" s="1636">
        <v>0</v>
      </c>
      <c r="CR109" s="1636">
        <v>0</v>
      </c>
      <c r="CS109" s="1636">
        <v>0</v>
      </c>
      <c r="CT109" s="1636">
        <v>0</v>
      </c>
      <c r="CU109" s="1636">
        <v>0</v>
      </c>
      <c r="CV109" s="1636">
        <v>0</v>
      </c>
      <c r="CX109" s="1625" t="s">
        <v>326</v>
      </c>
      <c r="CY109" s="1628" t="s">
        <v>26</v>
      </c>
      <c r="CZ109" s="1622" t="s">
        <v>1841</v>
      </c>
      <c r="DA109" s="1638">
        <f t="shared" si="89"/>
        <v>0.1</v>
      </c>
      <c r="DB109" s="1638"/>
      <c r="DC109" s="1638"/>
      <c r="DD109" s="1638"/>
      <c r="DE109" s="1638"/>
      <c r="DF109" s="1638"/>
      <c r="DG109" s="1638"/>
      <c r="DH109" s="1638"/>
      <c r="DI109" s="1638"/>
      <c r="DJ109" s="1638"/>
      <c r="DK109" s="1638"/>
      <c r="DL109" s="1638"/>
      <c r="DM109" s="1638"/>
    </row>
    <row r="110" spans="2:117">
      <c r="B110" s="1584" t="str">
        <f t="shared" ref="B110:B149" si="99">P110</f>
        <v>3.3.5</v>
      </c>
      <c r="C110" s="1622" t="str">
        <f t="shared" si="67"/>
        <v>Ease of Equipment Renewal</v>
      </c>
      <c r="D110" s="1603">
        <f>IF(I$105&gt;0,G110/I$105,0)</f>
        <v>0.2</v>
      </c>
      <c r="E110" s="1624">
        <f t="shared" si="95"/>
        <v>0</v>
      </c>
      <c r="G110" s="1624">
        <f t="shared" si="96"/>
        <v>0.2</v>
      </c>
      <c r="H110" s="1624">
        <f t="shared" si="97"/>
        <v>0</v>
      </c>
      <c r="I110" s="1624"/>
      <c r="J110" s="1624"/>
      <c r="K110" s="1624">
        <f>IF(Score!W110=0,0,1)</f>
        <v>1</v>
      </c>
      <c r="L110" s="1624">
        <f>IF(Score!X110=0,0,1)</f>
        <v>0</v>
      </c>
      <c r="M110" s="1624">
        <f t="shared" si="98"/>
        <v>0.2</v>
      </c>
      <c r="N110" s="1624">
        <f t="shared" si="94"/>
        <v>0</v>
      </c>
      <c r="P110" s="1625" t="str">
        <f t="shared" si="68"/>
        <v>3.3.5</v>
      </c>
      <c r="Q110" s="1625" t="str">
        <f t="shared" si="69"/>
        <v xml:space="preserve"> Q2 3.3</v>
      </c>
      <c r="R110" s="1622" t="str">
        <f t="shared" si="70"/>
        <v>Ease of Equipment Renewal</v>
      </c>
      <c r="S110" s="1626">
        <f t="shared" si="52"/>
        <v>0.2</v>
      </c>
      <c r="T110" s="1626">
        <f t="shared" si="53"/>
        <v>0.2</v>
      </c>
      <c r="U110" s="1626">
        <f t="shared" si="54"/>
        <v>0.2</v>
      </c>
      <c r="V110" s="1626">
        <f t="shared" si="55"/>
        <v>0.2</v>
      </c>
      <c r="W110" s="1626">
        <f t="shared" si="56"/>
        <v>0.2</v>
      </c>
      <c r="X110" s="1626">
        <f t="shared" si="57"/>
        <v>0.2</v>
      </c>
      <c r="Y110" s="1626">
        <f t="shared" si="58"/>
        <v>0.2</v>
      </c>
      <c r="Z110" s="1645">
        <f t="shared" si="59"/>
        <v>0.2</v>
      </c>
      <c r="AA110" s="1626">
        <f t="shared" si="60"/>
        <v>0.2</v>
      </c>
      <c r="AB110" s="1626">
        <f t="shared" si="61"/>
        <v>0.2</v>
      </c>
      <c r="AC110" s="1627">
        <f t="shared" si="62"/>
        <v>0</v>
      </c>
      <c r="AD110" s="1626">
        <f t="shared" si="63"/>
        <v>0</v>
      </c>
      <c r="AE110" s="1626">
        <f t="shared" si="64"/>
        <v>0</v>
      </c>
      <c r="AG110" s="1625" t="s">
        <v>327</v>
      </c>
      <c r="AH110" s="1628" t="s">
        <v>26</v>
      </c>
      <c r="AI110" s="1622" t="s">
        <v>1842</v>
      </c>
      <c r="AJ110" s="1630">
        <v>0.2</v>
      </c>
      <c r="AK110" s="1630">
        <v>0.2</v>
      </c>
      <c r="AL110" s="1630">
        <v>0.2</v>
      </c>
      <c r="AM110" s="1630">
        <v>0.2</v>
      </c>
      <c r="AN110" s="1630">
        <v>0.2</v>
      </c>
      <c r="AO110" s="1630">
        <v>0.2</v>
      </c>
      <c r="AP110" s="1630">
        <v>0.2</v>
      </c>
      <c r="AQ110" s="1732">
        <v>0.2</v>
      </c>
      <c r="AR110" s="1630">
        <v>0.2</v>
      </c>
      <c r="AS110" s="1631">
        <v>0.2</v>
      </c>
      <c r="AT110" s="1632"/>
      <c r="AU110" s="1631"/>
      <c r="AV110" s="1631"/>
      <c r="AX110" s="1625" t="s">
        <v>327</v>
      </c>
      <c r="AY110" s="1628" t="s">
        <v>26</v>
      </c>
      <c r="AZ110" s="1622" t="s">
        <v>1842</v>
      </c>
      <c r="BA110" s="1631">
        <v>0.2</v>
      </c>
      <c r="BB110" s="1631">
        <v>0.2</v>
      </c>
      <c r="BC110" s="1631">
        <v>0.2</v>
      </c>
      <c r="BD110" s="1631">
        <v>0.2</v>
      </c>
      <c r="BE110" s="1631">
        <v>0.2</v>
      </c>
      <c r="BF110" s="1631">
        <v>0.2</v>
      </c>
      <c r="BG110" s="1631">
        <v>0.2</v>
      </c>
      <c r="BH110" s="1649">
        <v>0.2</v>
      </c>
      <c r="BI110" s="1631">
        <v>0.2</v>
      </c>
      <c r="BJ110" s="1631">
        <v>0.2</v>
      </c>
      <c r="BK110" s="1632"/>
      <c r="BL110" s="1631"/>
      <c r="BM110" s="1631"/>
      <c r="BO110" s="1625" t="s">
        <v>327</v>
      </c>
      <c r="BP110" s="1628" t="s">
        <v>26</v>
      </c>
      <c r="BQ110" s="1622" t="s">
        <v>1622</v>
      </c>
      <c r="BR110" s="1631">
        <v>0.2</v>
      </c>
      <c r="BS110" s="1631">
        <v>0.2</v>
      </c>
      <c r="BT110" s="1631">
        <v>0.2</v>
      </c>
      <c r="BU110" s="1631">
        <v>0.2</v>
      </c>
      <c r="BV110" s="1631">
        <v>0.2</v>
      </c>
      <c r="BW110" s="1631">
        <v>0.2</v>
      </c>
      <c r="BX110" s="1631">
        <v>0.2</v>
      </c>
      <c r="BY110" s="1649">
        <v>0.2</v>
      </c>
      <c r="BZ110" s="1631">
        <v>0.2</v>
      </c>
      <c r="CA110" s="1631">
        <v>0.2</v>
      </c>
      <c r="CB110" s="1632"/>
      <c r="CC110" s="1631"/>
      <c r="CD110" s="1631"/>
      <c r="CE110" s="1635"/>
      <c r="CG110" s="1625" t="s">
        <v>327</v>
      </c>
      <c r="CH110" s="1628" t="s">
        <v>26</v>
      </c>
      <c r="CI110" s="1622" t="s">
        <v>1842</v>
      </c>
      <c r="CJ110" s="1636">
        <v>0</v>
      </c>
      <c r="CK110" s="1636">
        <v>0</v>
      </c>
      <c r="CL110" s="1636">
        <v>0</v>
      </c>
      <c r="CM110" s="1636">
        <v>0</v>
      </c>
      <c r="CN110" s="1636">
        <v>0</v>
      </c>
      <c r="CO110" s="1636">
        <v>0</v>
      </c>
      <c r="CP110" s="1636">
        <v>0</v>
      </c>
      <c r="CQ110" s="1636">
        <v>0</v>
      </c>
      <c r="CR110" s="1636">
        <v>0</v>
      </c>
      <c r="CS110" s="1636">
        <v>0</v>
      </c>
      <c r="CT110" s="1636">
        <v>0</v>
      </c>
      <c r="CU110" s="1636">
        <v>0</v>
      </c>
      <c r="CV110" s="1636">
        <v>0</v>
      </c>
      <c r="CX110" s="1625" t="s">
        <v>327</v>
      </c>
      <c r="CY110" s="1628" t="s">
        <v>26</v>
      </c>
      <c r="CZ110" s="1622" t="s">
        <v>1842</v>
      </c>
      <c r="DA110" s="1638">
        <f t="shared" si="89"/>
        <v>0.2</v>
      </c>
      <c r="DB110" s="1638"/>
      <c r="DC110" s="1638"/>
      <c r="DD110" s="1638"/>
      <c r="DE110" s="1638"/>
      <c r="DF110" s="1638"/>
      <c r="DG110" s="1638"/>
      <c r="DH110" s="1638"/>
      <c r="DI110" s="1638"/>
      <c r="DJ110" s="1638"/>
      <c r="DK110" s="1638"/>
      <c r="DL110" s="1638"/>
      <c r="DM110" s="1638"/>
    </row>
    <row r="111" spans="2:117">
      <c r="B111" s="1584" t="str">
        <f t="shared" si="99"/>
        <v>3.3.6</v>
      </c>
      <c r="C111" s="1622" t="str">
        <f t="shared" si="67"/>
        <v>Provision of Backup Space</v>
      </c>
      <c r="D111" s="1603">
        <f t="shared" si="95"/>
        <v>0.2</v>
      </c>
      <c r="E111" s="1624">
        <f t="shared" si="95"/>
        <v>0</v>
      </c>
      <c r="G111" s="1624">
        <f t="shared" si="96"/>
        <v>0.2</v>
      </c>
      <c r="H111" s="1624">
        <f t="shared" si="97"/>
        <v>0</v>
      </c>
      <c r="I111" s="1624"/>
      <c r="J111" s="1624"/>
      <c r="K111" s="1624">
        <f>IF(Score!W111=0,0,1)</f>
        <v>1</v>
      </c>
      <c r="L111" s="1624">
        <f>IF(Score!X111=0,0,1)</f>
        <v>0</v>
      </c>
      <c r="M111" s="1624">
        <f t="shared" si="98"/>
        <v>0.2</v>
      </c>
      <c r="N111" s="1624">
        <f t="shared" si="94"/>
        <v>0</v>
      </c>
      <c r="P111" s="1625" t="str">
        <f t="shared" si="68"/>
        <v>3.3.6</v>
      </c>
      <c r="Q111" s="1625" t="str">
        <f t="shared" si="69"/>
        <v xml:space="preserve"> Q2 3.3</v>
      </c>
      <c r="R111" s="1622" t="str">
        <f t="shared" si="70"/>
        <v>Provision of Backup Space</v>
      </c>
      <c r="S111" s="1626">
        <f t="shared" si="52"/>
        <v>0.2</v>
      </c>
      <c r="T111" s="1626">
        <f t="shared" si="53"/>
        <v>0.2</v>
      </c>
      <c r="U111" s="1626">
        <f t="shared" si="54"/>
        <v>0.2</v>
      </c>
      <c r="V111" s="1626">
        <f t="shared" si="55"/>
        <v>0.2</v>
      </c>
      <c r="W111" s="1626">
        <f t="shared" si="56"/>
        <v>0.2</v>
      </c>
      <c r="X111" s="1626">
        <f t="shared" si="57"/>
        <v>0.2</v>
      </c>
      <c r="Y111" s="1626">
        <f t="shared" si="58"/>
        <v>0.2</v>
      </c>
      <c r="Z111" s="1645">
        <f t="shared" si="59"/>
        <v>0.2</v>
      </c>
      <c r="AA111" s="1626">
        <f t="shared" si="60"/>
        <v>0.2</v>
      </c>
      <c r="AB111" s="1626">
        <f t="shared" si="61"/>
        <v>0.2</v>
      </c>
      <c r="AC111" s="1627">
        <f t="shared" si="62"/>
        <v>0</v>
      </c>
      <c r="AD111" s="1626">
        <f t="shared" si="63"/>
        <v>0</v>
      </c>
      <c r="AE111" s="1626">
        <f t="shared" si="64"/>
        <v>0</v>
      </c>
      <c r="AG111" s="1625" t="s">
        <v>328</v>
      </c>
      <c r="AH111" s="1628" t="s">
        <v>26</v>
      </c>
      <c r="AI111" s="1622" t="s">
        <v>1843</v>
      </c>
      <c r="AJ111" s="1630">
        <v>0.2</v>
      </c>
      <c r="AK111" s="1630">
        <v>0.2</v>
      </c>
      <c r="AL111" s="1630">
        <v>0.2</v>
      </c>
      <c r="AM111" s="1630">
        <v>0.2</v>
      </c>
      <c r="AN111" s="1630">
        <v>0.2</v>
      </c>
      <c r="AO111" s="1630">
        <v>0.2</v>
      </c>
      <c r="AP111" s="1630">
        <v>0.2</v>
      </c>
      <c r="AQ111" s="1732">
        <v>0.2</v>
      </c>
      <c r="AR111" s="1630">
        <v>0.2</v>
      </c>
      <c r="AS111" s="1631">
        <v>0.2</v>
      </c>
      <c r="AT111" s="1632"/>
      <c r="AU111" s="1631"/>
      <c r="AV111" s="1631"/>
      <c r="AX111" s="1625" t="s">
        <v>328</v>
      </c>
      <c r="AY111" s="1628" t="s">
        <v>26</v>
      </c>
      <c r="AZ111" s="1622" t="s">
        <v>1844</v>
      </c>
      <c r="BA111" s="1631">
        <v>0.2</v>
      </c>
      <c r="BB111" s="1631">
        <v>0.2</v>
      </c>
      <c r="BC111" s="1631">
        <v>0.2</v>
      </c>
      <c r="BD111" s="1631">
        <v>0.2</v>
      </c>
      <c r="BE111" s="1631">
        <v>0.2</v>
      </c>
      <c r="BF111" s="1631">
        <v>0.2</v>
      </c>
      <c r="BG111" s="1631">
        <v>0.2</v>
      </c>
      <c r="BH111" s="1649">
        <v>0.2</v>
      </c>
      <c r="BI111" s="1631">
        <v>0.2</v>
      </c>
      <c r="BJ111" s="1631">
        <v>0.2</v>
      </c>
      <c r="BK111" s="1632"/>
      <c r="BL111" s="1631"/>
      <c r="BM111" s="1631"/>
      <c r="BO111" s="1625" t="s">
        <v>328</v>
      </c>
      <c r="BP111" s="1628" t="s">
        <v>26</v>
      </c>
      <c r="BQ111" s="1622" t="s">
        <v>1623</v>
      </c>
      <c r="BR111" s="1631">
        <v>0.2</v>
      </c>
      <c r="BS111" s="1631">
        <v>0.2</v>
      </c>
      <c r="BT111" s="1631">
        <v>0.2</v>
      </c>
      <c r="BU111" s="1631">
        <v>0.2</v>
      </c>
      <c r="BV111" s="1631">
        <v>0.2</v>
      </c>
      <c r="BW111" s="1631">
        <v>0.2</v>
      </c>
      <c r="BX111" s="1631">
        <v>0.2</v>
      </c>
      <c r="BY111" s="1649">
        <v>0.2</v>
      </c>
      <c r="BZ111" s="1631">
        <v>0.2</v>
      </c>
      <c r="CA111" s="1631">
        <v>0.2</v>
      </c>
      <c r="CB111" s="1632"/>
      <c r="CC111" s="1631"/>
      <c r="CD111" s="1631"/>
      <c r="CE111" s="1635"/>
      <c r="CG111" s="1625" t="s">
        <v>328</v>
      </c>
      <c r="CH111" s="1628" t="s">
        <v>26</v>
      </c>
      <c r="CI111" s="1622" t="s">
        <v>1843</v>
      </c>
      <c r="CJ111" s="1636">
        <v>0</v>
      </c>
      <c r="CK111" s="1636">
        <v>0</v>
      </c>
      <c r="CL111" s="1636">
        <v>0</v>
      </c>
      <c r="CM111" s="1636">
        <v>0</v>
      </c>
      <c r="CN111" s="1636">
        <v>0</v>
      </c>
      <c r="CO111" s="1636">
        <v>0</v>
      </c>
      <c r="CP111" s="1636">
        <v>0</v>
      </c>
      <c r="CQ111" s="1636">
        <v>0</v>
      </c>
      <c r="CR111" s="1636">
        <v>0</v>
      </c>
      <c r="CS111" s="1636">
        <v>0</v>
      </c>
      <c r="CT111" s="1636">
        <v>0</v>
      </c>
      <c r="CU111" s="1636">
        <v>0</v>
      </c>
      <c r="CV111" s="1636">
        <v>0</v>
      </c>
      <c r="CX111" s="1625" t="s">
        <v>328</v>
      </c>
      <c r="CY111" s="1628" t="s">
        <v>26</v>
      </c>
      <c r="CZ111" s="1622" t="s">
        <v>1843</v>
      </c>
      <c r="DA111" s="1638">
        <f t="shared" si="89"/>
        <v>0.2</v>
      </c>
      <c r="DB111" s="1638"/>
      <c r="DC111" s="1638"/>
      <c r="DD111" s="1638"/>
      <c r="DE111" s="1638"/>
      <c r="DF111" s="1638"/>
      <c r="DG111" s="1638"/>
      <c r="DH111" s="1638"/>
      <c r="DI111" s="1638"/>
      <c r="DJ111" s="1638"/>
      <c r="DK111" s="1638"/>
      <c r="DL111" s="1638"/>
      <c r="DM111" s="1638"/>
    </row>
    <row r="112" spans="2:117">
      <c r="B112" s="1584" t="str">
        <f t="shared" si="99"/>
        <v>Q3</v>
      </c>
      <c r="C112" s="1585" t="str">
        <f t="shared" si="67"/>
        <v>Outdoor Environment on Site</v>
      </c>
      <c r="D112" s="1586">
        <f>IF(I$8=0,0,G112/I$8)</f>
        <v>0.3</v>
      </c>
      <c r="E112" s="1587">
        <f>IF(J$8=0,0,H112/J$8)</f>
        <v>0</v>
      </c>
      <c r="G112" s="1587">
        <f t="shared" si="96"/>
        <v>0.3</v>
      </c>
      <c r="H112" s="1587">
        <f t="shared" si="97"/>
        <v>0</v>
      </c>
      <c r="I112" s="1587">
        <f>G113+G116+G117+G114</f>
        <v>1</v>
      </c>
      <c r="J112" s="1587">
        <f>H113+H116+H117+H114</f>
        <v>0</v>
      </c>
      <c r="K112" s="1587">
        <f>IF(Score!U112=0,0,1)</f>
        <v>1</v>
      </c>
      <c r="L112" s="1587"/>
      <c r="M112" s="1587">
        <f t="shared" si="98"/>
        <v>0.3</v>
      </c>
      <c r="N112" s="1587">
        <f t="shared" si="94"/>
        <v>0</v>
      </c>
      <c r="P112" s="1584" t="str">
        <f t="shared" si="68"/>
        <v>Q3</v>
      </c>
      <c r="Q112" s="1584" t="str">
        <f t="shared" si="69"/>
        <v xml:space="preserve"> Q</v>
      </c>
      <c r="R112" s="1585" t="str">
        <f t="shared" si="70"/>
        <v>Outdoor Environment on Site</v>
      </c>
      <c r="S112" s="1588">
        <f t="shared" si="52"/>
        <v>0.3</v>
      </c>
      <c r="T112" s="1588">
        <f t="shared" si="53"/>
        <v>0.3</v>
      </c>
      <c r="U112" s="1588">
        <f t="shared" si="54"/>
        <v>0.3</v>
      </c>
      <c r="V112" s="1588">
        <f t="shared" si="55"/>
        <v>0.3</v>
      </c>
      <c r="W112" s="1588">
        <f t="shared" si="56"/>
        <v>0.3</v>
      </c>
      <c r="X112" s="1588">
        <f t="shared" si="57"/>
        <v>0.3</v>
      </c>
      <c r="Y112" s="1588">
        <f t="shared" si="58"/>
        <v>0.3</v>
      </c>
      <c r="Z112" s="1588">
        <f t="shared" si="59"/>
        <v>0.3</v>
      </c>
      <c r="AA112" s="1588">
        <f t="shared" si="60"/>
        <v>0.4</v>
      </c>
      <c r="AB112" s="1588">
        <f t="shared" si="61"/>
        <v>0.3</v>
      </c>
      <c r="AC112" s="1710">
        <f t="shared" si="62"/>
        <v>0</v>
      </c>
      <c r="AD112" s="1588">
        <f t="shared" si="63"/>
        <v>0</v>
      </c>
      <c r="AE112" s="1588">
        <f t="shared" si="64"/>
        <v>0</v>
      </c>
      <c r="AG112" s="1584" t="s">
        <v>329</v>
      </c>
      <c r="AH112" s="1590" t="s">
        <v>178</v>
      </c>
      <c r="AI112" s="1585" t="s">
        <v>1845</v>
      </c>
      <c r="AJ112" s="1591">
        <v>0.3</v>
      </c>
      <c r="AK112" s="1591">
        <v>0.3</v>
      </c>
      <c r="AL112" s="1591">
        <v>0.3</v>
      </c>
      <c r="AM112" s="1591">
        <v>0.3</v>
      </c>
      <c r="AN112" s="1591">
        <v>0.3</v>
      </c>
      <c r="AO112" s="1591">
        <v>0.3</v>
      </c>
      <c r="AP112" s="1591">
        <v>0.3</v>
      </c>
      <c r="AQ112" s="1591">
        <v>0.3</v>
      </c>
      <c r="AR112" s="1591">
        <v>0.4</v>
      </c>
      <c r="AS112" s="1592">
        <v>0.3</v>
      </c>
      <c r="AT112" s="1593">
        <v>0</v>
      </c>
      <c r="AU112" s="1592">
        <v>0</v>
      </c>
      <c r="AV112" s="1592">
        <v>0</v>
      </c>
      <c r="AX112" s="1584" t="s">
        <v>329</v>
      </c>
      <c r="AY112" s="1590" t="s">
        <v>178</v>
      </c>
      <c r="AZ112" s="1585" t="s">
        <v>1845</v>
      </c>
      <c r="BA112" s="1592">
        <v>0.3</v>
      </c>
      <c r="BB112" s="1592">
        <v>0.3</v>
      </c>
      <c r="BC112" s="1592">
        <v>0.3</v>
      </c>
      <c r="BD112" s="1592">
        <v>0.3</v>
      </c>
      <c r="BE112" s="1592">
        <v>0.3</v>
      </c>
      <c r="BF112" s="1592">
        <v>0.3</v>
      </c>
      <c r="BG112" s="1592">
        <v>0.3</v>
      </c>
      <c r="BH112" s="1592">
        <v>0.3</v>
      </c>
      <c r="BI112" s="1592">
        <v>0.4</v>
      </c>
      <c r="BJ112" s="1592">
        <v>0.3</v>
      </c>
      <c r="BK112" s="1593"/>
      <c r="BL112" s="1592"/>
      <c r="BM112" s="1592"/>
      <c r="BO112" s="1584" t="s">
        <v>329</v>
      </c>
      <c r="BP112" s="1590" t="s">
        <v>178</v>
      </c>
      <c r="BQ112" s="1585" t="s">
        <v>1668</v>
      </c>
      <c r="BR112" s="1592">
        <v>0.3</v>
      </c>
      <c r="BS112" s="1592">
        <v>0.3</v>
      </c>
      <c r="BT112" s="1592">
        <v>0.3</v>
      </c>
      <c r="BU112" s="1592">
        <v>0.3</v>
      </c>
      <c r="BV112" s="1592">
        <v>0.3</v>
      </c>
      <c r="BW112" s="1592">
        <v>0.3</v>
      </c>
      <c r="BX112" s="1592">
        <v>0.3</v>
      </c>
      <c r="BY112" s="1592">
        <v>0.3</v>
      </c>
      <c r="BZ112" s="1592">
        <v>0.4</v>
      </c>
      <c r="CA112" s="1592">
        <v>0.3</v>
      </c>
      <c r="CB112" s="1593"/>
      <c r="CC112" s="1592"/>
      <c r="CD112" s="1592"/>
      <c r="CE112" s="1594"/>
      <c r="CG112" s="1584" t="s">
        <v>137</v>
      </c>
      <c r="CH112" s="1590" t="s">
        <v>178</v>
      </c>
      <c r="CI112" s="1585" t="s">
        <v>1845</v>
      </c>
      <c r="CJ112" s="1595">
        <v>0.35</v>
      </c>
      <c r="CK112" s="1595">
        <v>0.35</v>
      </c>
      <c r="CL112" s="1595">
        <v>0.35</v>
      </c>
      <c r="CM112" s="1595">
        <v>0.35</v>
      </c>
      <c r="CN112" s="1595">
        <v>0.35</v>
      </c>
      <c r="CO112" s="1595">
        <v>0.35</v>
      </c>
      <c r="CP112" s="1595">
        <v>0.35</v>
      </c>
      <c r="CQ112" s="1595">
        <v>0.35</v>
      </c>
      <c r="CR112" s="1595">
        <v>0.5</v>
      </c>
      <c r="CS112" s="1595">
        <v>0.35</v>
      </c>
      <c r="CT112" s="1599">
        <f t="shared" si="85"/>
        <v>0</v>
      </c>
      <c r="CU112" s="1595">
        <f t="shared" si="86"/>
        <v>0</v>
      </c>
      <c r="CV112" s="1595">
        <f t="shared" si="87"/>
        <v>0</v>
      </c>
      <c r="CX112" s="1584" t="s">
        <v>137</v>
      </c>
      <c r="CY112" s="1590" t="s">
        <v>178</v>
      </c>
      <c r="CZ112" s="1585" t="s">
        <v>1845</v>
      </c>
      <c r="DA112" s="1598">
        <v>0.1</v>
      </c>
      <c r="DB112" s="1595"/>
      <c r="DC112" s="1595"/>
      <c r="DD112" s="1595"/>
      <c r="DE112" s="1595"/>
      <c r="DF112" s="1595"/>
      <c r="DG112" s="1595"/>
      <c r="DH112" s="1595"/>
      <c r="DI112" s="1595"/>
      <c r="DJ112" s="1595"/>
      <c r="DK112" s="1599"/>
      <c r="DL112" s="1595"/>
      <c r="DM112" s="1595"/>
    </row>
    <row r="113" spans="2:117">
      <c r="B113" s="1584">
        <f t="shared" si="99"/>
        <v>1</v>
      </c>
      <c r="C113" s="1600" t="str">
        <f t="shared" si="67"/>
        <v>Preservation &amp; Creation of Biotope</v>
      </c>
      <c r="D113" s="1601">
        <f>IF(I$112=0,0,G113/I$112)</f>
        <v>0.3</v>
      </c>
      <c r="E113" s="1602">
        <f t="shared" ref="D113:E117" si="100">IF(J$112=0,0,H113/J$112)</f>
        <v>0</v>
      </c>
      <c r="G113" s="1602">
        <f t="shared" si="96"/>
        <v>0.3</v>
      </c>
      <c r="H113" s="1602">
        <f t="shared" si="97"/>
        <v>0</v>
      </c>
      <c r="I113" s="1602"/>
      <c r="J113" s="1602"/>
      <c r="K113" s="1602">
        <f>IF(Score!W113=0,0,1)</f>
        <v>1</v>
      </c>
      <c r="L113" s="1602">
        <f>IF(Score!X113=0,0,1)</f>
        <v>0</v>
      </c>
      <c r="M113" s="1602">
        <f t="shared" si="98"/>
        <v>0.3</v>
      </c>
      <c r="N113" s="1602">
        <f t="shared" si="94"/>
        <v>0</v>
      </c>
      <c r="P113" s="1604">
        <f t="shared" si="68"/>
        <v>1</v>
      </c>
      <c r="Q113" s="1604" t="str">
        <f t="shared" si="69"/>
        <v xml:space="preserve"> Q3</v>
      </c>
      <c r="R113" s="1600" t="str">
        <f t="shared" si="70"/>
        <v>Preservation &amp; Creation of Biotope</v>
      </c>
      <c r="S113" s="1605">
        <f t="shared" si="52"/>
        <v>0.3</v>
      </c>
      <c r="T113" s="1605">
        <f t="shared" si="53"/>
        <v>0.3</v>
      </c>
      <c r="U113" s="1605">
        <f t="shared" si="54"/>
        <v>0.3</v>
      </c>
      <c r="V113" s="1605">
        <f t="shared" si="55"/>
        <v>0.3</v>
      </c>
      <c r="W113" s="1605">
        <f t="shared" si="56"/>
        <v>0.3</v>
      </c>
      <c r="X113" s="1605">
        <f t="shared" si="57"/>
        <v>0.3</v>
      </c>
      <c r="Y113" s="1605">
        <f t="shared" si="58"/>
        <v>0.3</v>
      </c>
      <c r="Z113" s="1728">
        <f t="shared" si="59"/>
        <v>0.3</v>
      </c>
      <c r="AA113" s="1605">
        <f t="shared" si="60"/>
        <v>0.3</v>
      </c>
      <c r="AB113" s="1605">
        <f t="shared" si="61"/>
        <v>0.3</v>
      </c>
      <c r="AC113" s="1607">
        <f t="shared" si="62"/>
        <v>0</v>
      </c>
      <c r="AD113" s="1605">
        <f t="shared" si="63"/>
        <v>0</v>
      </c>
      <c r="AE113" s="1605">
        <f t="shared" si="64"/>
        <v>0</v>
      </c>
      <c r="AG113" s="1604">
        <v>1</v>
      </c>
      <c r="AH113" s="1608" t="s">
        <v>32</v>
      </c>
      <c r="AI113" s="1600" t="s">
        <v>1846</v>
      </c>
      <c r="AJ113" s="1609">
        <v>0.3</v>
      </c>
      <c r="AK113" s="1609">
        <v>0.3</v>
      </c>
      <c r="AL113" s="1609">
        <v>0.3</v>
      </c>
      <c r="AM113" s="1609">
        <v>0.3</v>
      </c>
      <c r="AN113" s="1609">
        <v>0.3</v>
      </c>
      <c r="AO113" s="1609">
        <v>0.3</v>
      </c>
      <c r="AP113" s="1609">
        <v>0.3</v>
      </c>
      <c r="AQ113" s="1729">
        <v>0.3</v>
      </c>
      <c r="AR113" s="1609">
        <v>0.3</v>
      </c>
      <c r="AS113" s="1611">
        <v>0.3</v>
      </c>
      <c r="AT113" s="1612">
        <v>0</v>
      </c>
      <c r="AU113" s="1611">
        <v>0</v>
      </c>
      <c r="AV113" s="1611">
        <v>0</v>
      </c>
      <c r="AX113" s="1604">
        <v>1</v>
      </c>
      <c r="AY113" s="1608" t="s">
        <v>32</v>
      </c>
      <c r="AZ113" s="1600" t="s">
        <v>1846</v>
      </c>
      <c r="BA113" s="1611">
        <v>0.3</v>
      </c>
      <c r="BB113" s="1611">
        <v>0.3</v>
      </c>
      <c r="BC113" s="1611">
        <v>0.3</v>
      </c>
      <c r="BD113" s="1611">
        <v>0.3</v>
      </c>
      <c r="BE113" s="1611">
        <v>0.3</v>
      </c>
      <c r="BF113" s="1611">
        <v>0.3</v>
      </c>
      <c r="BG113" s="1611">
        <v>0.3</v>
      </c>
      <c r="BH113" s="1730">
        <v>0.3</v>
      </c>
      <c r="BI113" s="1611">
        <v>0.3</v>
      </c>
      <c r="BJ113" s="1611">
        <v>0.3</v>
      </c>
      <c r="BK113" s="1612"/>
      <c r="BL113" s="1611"/>
      <c r="BM113" s="1611"/>
      <c r="BO113" s="1604">
        <v>1</v>
      </c>
      <c r="BP113" s="1608" t="s">
        <v>32</v>
      </c>
      <c r="BQ113" s="1600" t="s">
        <v>1625</v>
      </c>
      <c r="BR113" s="1611">
        <v>0.3</v>
      </c>
      <c r="BS113" s="1611">
        <v>0.3</v>
      </c>
      <c r="BT113" s="1611">
        <v>0.3</v>
      </c>
      <c r="BU113" s="1611">
        <v>0.3</v>
      </c>
      <c r="BV113" s="1611">
        <v>0.3</v>
      </c>
      <c r="BW113" s="1611">
        <v>0.3</v>
      </c>
      <c r="BX113" s="1611">
        <v>0.3</v>
      </c>
      <c r="BY113" s="1730">
        <v>0.3</v>
      </c>
      <c r="BZ113" s="1611">
        <v>0.3</v>
      </c>
      <c r="CA113" s="1611">
        <v>0.3</v>
      </c>
      <c r="CB113" s="1612"/>
      <c r="CC113" s="1611"/>
      <c r="CD113" s="1611"/>
      <c r="CE113" s="1615"/>
      <c r="CG113" s="1604">
        <v>1</v>
      </c>
      <c r="CH113" s="1608" t="s">
        <v>32</v>
      </c>
      <c r="CI113" s="1600" t="s">
        <v>1846</v>
      </c>
      <c r="CJ113" s="1616">
        <f t="shared" si="88"/>
        <v>0.3</v>
      </c>
      <c r="CK113" s="1616">
        <f t="shared" si="76"/>
        <v>0.3</v>
      </c>
      <c r="CL113" s="1616">
        <f t="shared" si="77"/>
        <v>0.3</v>
      </c>
      <c r="CM113" s="1616">
        <f t="shared" si="78"/>
        <v>0.3</v>
      </c>
      <c r="CN113" s="1616">
        <f t="shared" si="79"/>
        <v>0.3</v>
      </c>
      <c r="CO113" s="1616">
        <f t="shared" si="80"/>
        <v>0.3</v>
      </c>
      <c r="CP113" s="1616">
        <f t="shared" si="81"/>
        <v>0.3</v>
      </c>
      <c r="CQ113" s="1737">
        <f t="shared" si="82"/>
        <v>0.3</v>
      </c>
      <c r="CR113" s="1616">
        <f t="shared" si="83"/>
        <v>0.3</v>
      </c>
      <c r="CS113" s="1616">
        <f t="shared" si="84"/>
        <v>0.3</v>
      </c>
      <c r="CT113" s="1618">
        <f t="shared" si="85"/>
        <v>0</v>
      </c>
      <c r="CU113" s="1616">
        <f t="shared" si="86"/>
        <v>0</v>
      </c>
      <c r="CV113" s="1616">
        <f t="shared" si="87"/>
        <v>0</v>
      </c>
      <c r="CX113" s="1604">
        <v>1</v>
      </c>
      <c r="CY113" s="1608" t="s">
        <v>32</v>
      </c>
      <c r="CZ113" s="1600" t="s">
        <v>1846</v>
      </c>
      <c r="DA113" s="1731">
        <v>0</v>
      </c>
      <c r="DB113" s="1619"/>
      <c r="DC113" s="1619"/>
      <c r="DD113" s="1619"/>
      <c r="DE113" s="1619"/>
      <c r="DF113" s="1619"/>
      <c r="DG113" s="1619"/>
      <c r="DH113" s="1738"/>
      <c r="DI113" s="1619"/>
      <c r="DJ113" s="1619"/>
      <c r="DK113" s="1621"/>
      <c r="DL113" s="1619"/>
      <c r="DM113" s="1619"/>
    </row>
    <row r="114" spans="2:117" hidden="1">
      <c r="B114" s="1584">
        <v>1</v>
      </c>
      <c r="C114" s="1600">
        <f t="shared" si="67"/>
        <v>0</v>
      </c>
      <c r="D114" s="1601">
        <f>IF(I$112=0,0,G114/I$112)</f>
        <v>0</v>
      </c>
      <c r="E114" s="1602">
        <f>IF(J$112=0,0,H114/J$112)</f>
        <v>0</v>
      </c>
      <c r="G114" s="1602">
        <f>K114*M114</f>
        <v>0</v>
      </c>
      <c r="H114" s="1602">
        <f>L114*N114</f>
        <v>0</v>
      </c>
      <c r="I114" s="1739">
        <f>SUM(G115)</f>
        <v>0</v>
      </c>
      <c r="J114" s="1739">
        <f>SUM(H115)</f>
        <v>0</v>
      </c>
      <c r="K114" s="1602">
        <f>IF(Score!W114=0,0,1)</f>
        <v>1</v>
      </c>
      <c r="L114" s="1602">
        <f>IF(Score!X114=0,0,1)</f>
        <v>0</v>
      </c>
      <c r="M114" s="1602">
        <f>SUMPRODUCT($S$7:$AB$7,S114:AB114)</f>
        <v>0</v>
      </c>
      <c r="N114" s="1602">
        <f>(AC$7*AC114)+(AD$7*AD114)+(AE$7*AE114)</f>
        <v>0</v>
      </c>
      <c r="P114" s="1604">
        <f t="shared" si="68"/>
        <v>0</v>
      </c>
      <c r="Q114" s="1604">
        <f t="shared" si="69"/>
        <v>0</v>
      </c>
      <c r="R114" s="1600">
        <f t="shared" si="70"/>
        <v>0</v>
      </c>
      <c r="S114" s="1605">
        <f t="shared" si="52"/>
        <v>0</v>
      </c>
      <c r="T114" s="1605">
        <f t="shared" si="53"/>
        <v>0</v>
      </c>
      <c r="U114" s="1605">
        <f t="shared" si="54"/>
        <v>0</v>
      </c>
      <c r="V114" s="1605">
        <f t="shared" si="55"/>
        <v>0</v>
      </c>
      <c r="W114" s="1605">
        <f t="shared" si="56"/>
        <v>0</v>
      </c>
      <c r="X114" s="1605">
        <f t="shared" si="57"/>
        <v>0</v>
      </c>
      <c r="Y114" s="1605">
        <f t="shared" si="58"/>
        <v>0</v>
      </c>
      <c r="Z114" s="1728">
        <f t="shared" si="59"/>
        <v>0</v>
      </c>
      <c r="AA114" s="1605">
        <f t="shared" si="60"/>
        <v>0</v>
      </c>
      <c r="AB114" s="1605">
        <f t="shared" si="61"/>
        <v>0</v>
      </c>
      <c r="AC114" s="1607">
        <f t="shared" si="62"/>
        <v>0</v>
      </c>
      <c r="AD114" s="1605">
        <f t="shared" si="63"/>
        <v>0</v>
      </c>
      <c r="AE114" s="1605">
        <f t="shared" si="64"/>
        <v>0</v>
      </c>
      <c r="AG114" s="1604"/>
      <c r="AH114" s="1608"/>
      <c r="AI114" s="1600"/>
      <c r="AJ114" s="1609"/>
      <c r="AK114" s="1609"/>
      <c r="AL114" s="1609"/>
      <c r="AM114" s="1609"/>
      <c r="AN114" s="1609"/>
      <c r="AO114" s="1609"/>
      <c r="AP114" s="1609"/>
      <c r="AQ114" s="1729"/>
      <c r="AR114" s="1609"/>
      <c r="AS114" s="1611"/>
      <c r="AT114" s="1612"/>
      <c r="AU114" s="1611"/>
      <c r="AV114" s="1611"/>
      <c r="AX114" s="1604"/>
      <c r="AY114" s="1608"/>
      <c r="AZ114" s="1600"/>
      <c r="BA114" s="1611"/>
      <c r="BB114" s="1611"/>
      <c r="BC114" s="1611"/>
      <c r="BD114" s="1611"/>
      <c r="BE114" s="1611"/>
      <c r="BF114" s="1611"/>
      <c r="BG114" s="1611"/>
      <c r="BH114" s="1730"/>
      <c r="BI114" s="1611"/>
      <c r="BJ114" s="1611"/>
      <c r="BK114" s="1612"/>
      <c r="BL114" s="1611"/>
      <c r="BM114" s="1611"/>
      <c r="BO114" s="1604"/>
      <c r="BP114" s="1608"/>
      <c r="BQ114" s="1600"/>
      <c r="BR114" s="1611"/>
      <c r="BS114" s="1611"/>
      <c r="BT114" s="1611"/>
      <c r="BU114" s="1611"/>
      <c r="BV114" s="1611"/>
      <c r="BW114" s="1611"/>
      <c r="BX114" s="1611"/>
      <c r="BY114" s="1730"/>
      <c r="BZ114" s="1611"/>
      <c r="CA114" s="1611"/>
      <c r="CB114" s="1612"/>
      <c r="CC114" s="1611"/>
      <c r="CD114" s="1611"/>
      <c r="CE114" s="1615"/>
      <c r="CG114" s="1604"/>
      <c r="CH114" s="1608"/>
      <c r="CI114" s="1600"/>
      <c r="CJ114" s="1616"/>
      <c r="CK114" s="1616"/>
      <c r="CL114" s="1616"/>
      <c r="CM114" s="1616"/>
      <c r="CN114" s="1616"/>
      <c r="CO114" s="1616"/>
      <c r="CP114" s="1616"/>
      <c r="CQ114" s="1737"/>
      <c r="CR114" s="1616"/>
      <c r="CS114" s="1616"/>
      <c r="CT114" s="1618"/>
      <c r="CU114" s="1616"/>
      <c r="CV114" s="1616"/>
      <c r="CX114" s="1604">
        <v>1</v>
      </c>
      <c r="CY114" s="1608" t="s">
        <v>32</v>
      </c>
      <c r="CZ114" s="1740" t="s">
        <v>1847</v>
      </c>
      <c r="DA114" s="1731">
        <v>1</v>
      </c>
      <c r="DB114" s="1619"/>
      <c r="DC114" s="1619"/>
      <c r="DD114" s="1619"/>
      <c r="DE114" s="1619"/>
      <c r="DF114" s="1619"/>
      <c r="DG114" s="1619"/>
      <c r="DH114" s="1738"/>
      <c r="DI114" s="1619"/>
      <c r="DJ114" s="1619"/>
      <c r="DK114" s="1621"/>
      <c r="DL114" s="1619"/>
      <c r="DM114" s="1619"/>
    </row>
    <row r="115" spans="2:117" hidden="1">
      <c r="B115" s="1584">
        <v>1.1000000000000001</v>
      </c>
      <c r="C115" s="1622">
        <f t="shared" si="67"/>
        <v>0</v>
      </c>
      <c r="D115" s="1624">
        <f>IF(I$114=0,0,G115/I$114)</f>
        <v>0</v>
      </c>
      <c r="E115" s="1624">
        <f>IF(J$114=0,0,H115/J$114)</f>
        <v>0</v>
      </c>
      <c r="G115" s="1624">
        <f>K115*M115</f>
        <v>0</v>
      </c>
      <c r="H115" s="1624">
        <f>L115*N115</f>
        <v>0</v>
      </c>
      <c r="I115" s="1741"/>
      <c r="J115" s="1624"/>
      <c r="K115" s="1624">
        <f>IF(Score!W115=0,0,1)</f>
        <v>1</v>
      </c>
      <c r="L115" s="1624">
        <f>IF(Score!X115=0,0,1)</f>
        <v>0</v>
      </c>
      <c r="M115" s="1624">
        <f>SUMPRODUCT($S$7:$AB$7,S115:AB115)</f>
        <v>0</v>
      </c>
      <c r="N115" s="1624">
        <f>(AC$7*AC115)+(AD$7*AD115)+(AE$7*AE115)</f>
        <v>0</v>
      </c>
      <c r="P115" s="1604">
        <f t="shared" si="68"/>
        <v>0</v>
      </c>
      <c r="Q115" s="1604">
        <f t="shared" si="69"/>
        <v>0</v>
      </c>
      <c r="R115" s="1600">
        <f t="shared" si="70"/>
        <v>0</v>
      </c>
      <c r="S115" s="1605">
        <f t="shared" si="52"/>
        <v>0</v>
      </c>
      <c r="T115" s="1605">
        <f t="shared" si="53"/>
        <v>0</v>
      </c>
      <c r="U115" s="1605">
        <f t="shared" si="54"/>
        <v>0</v>
      </c>
      <c r="V115" s="1605">
        <f t="shared" si="55"/>
        <v>0</v>
      </c>
      <c r="W115" s="1605">
        <f t="shared" si="56"/>
        <v>0</v>
      </c>
      <c r="X115" s="1605">
        <f t="shared" si="57"/>
        <v>0</v>
      </c>
      <c r="Y115" s="1605">
        <f t="shared" si="58"/>
        <v>0</v>
      </c>
      <c r="Z115" s="1728">
        <f t="shared" si="59"/>
        <v>0</v>
      </c>
      <c r="AA115" s="1605">
        <f t="shared" si="60"/>
        <v>0</v>
      </c>
      <c r="AB115" s="1605">
        <f t="shared" si="61"/>
        <v>0</v>
      </c>
      <c r="AC115" s="1607">
        <f t="shared" si="62"/>
        <v>0</v>
      </c>
      <c r="AD115" s="1605">
        <f t="shared" si="63"/>
        <v>0</v>
      </c>
      <c r="AE115" s="1605">
        <f t="shared" si="64"/>
        <v>0</v>
      </c>
      <c r="AG115" s="1604"/>
      <c r="AH115" s="1608"/>
      <c r="AI115" s="1600"/>
      <c r="AJ115" s="1609"/>
      <c r="AK115" s="1609"/>
      <c r="AL115" s="1609"/>
      <c r="AM115" s="1609"/>
      <c r="AN115" s="1609"/>
      <c r="AO115" s="1609"/>
      <c r="AP115" s="1609"/>
      <c r="AQ115" s="1729"/>
      <c r="AR115" s="1609"/>
      <c r="AS115" s="1611"/>
      <c r="AT115" s="1612"/>
      <c r="AU115" s="1611"/>
      <c r="AV115" s="1611"/>
      <c r="AX115" s="1604"/>
      <c r="AY115" s="1608"/>
      <c r="AZ115" s="1600"/>
      <c r="BA115" s="1611"/>
      <c r="BB115" s="1611"/>
      <c r="BC115" s="1611"/>
      <c r="BD115" s="1611"/>
      <c r="BE115" s="1611"/>
      <c r="BF115" s="1611"/>
      <c r="BG115" s="1611"/>
      <c r="BH115" s="1730"/>
      <c r="BI115" s="1611"/>
      <c r="BJ115" s="1611"/>
      <c r="BK115" s="1612"/>
      <c r="BL115" s="1611"/>
      <c r="BM115" s="1611"/>
      <c r="BO115" s="1604"/>
      <c r="BP115" s="1608"/>
      <c r="BQ115" s="1600"/>
      <c r="BR115" s="1611"/>
      <c r="BS115" s="1611"/>
      <c r="BT115" s="1611"/>
      <c r="BU115" s="1611"/>
      <c r="BV115" s="1611"/>
      <c r="BW115" s="1611"/>
      <c r="BX115" s="1611"/>
      <c r="BY115" s="1730"/>
      <c r="BZ115" s="1611"/>
      <c r="CA115" s="1611"/>
      <c r="CB115" s="1612"/>
      <c r="CC115" s="1611"/>
      <c r="CD115" s="1611"/>
      <c r="CE115" s="1615"/>
      <c r="CG115" s="1604"/>
      <c r="CH115" s="1608"/>
      <c r="CI115" s="1600"/>
      <c r="CJ115" s="1616"/>
      <c r="CK115" s="1616"/>
      <c r="CL115" s="1616"/>
      <c r="CM115" s="1616"/>
      <c r="CN115" s="1616"/>
      <c r="CO115" s="1616"/>
      <c r="CP115" s="1616"/>
      <c r="CQ115" s="1737"/>
      <c r="CR115" s="1616"/>
      <c r="CS115" s="1616"/>
      <c r="CT115" s="1618"/>
      <c r="CU115" s="1616"/>
      <c r="CV115" s="1616"/>
      <c r="CX115" s="1625" t="s">
        <v>330</v>
      </c>
      <c r="CY115" s="1628" t="s">
        <v>34</v>
      </c>
      <c r="CZ115" s="1742" t="s">
        <v>1790</v>
      </c>
      <c r="DA115" s="1731">
        <v>1</v>
      </c>
      <c r="DB115" s="1619"/>
      <c r="DC115" s="1619"/>
      <c r="DD115" s="1619"/>
      <c r="DE115" s="1619"/>
      <c r="DF115" s="1619"/>
      <c r="DG115" s="1619"/>
      <c r="DH115" s="1738"/>
      <c r="DI115" s="1619"/>
      <c r="DJ115" s="1619"/>
      <c r="DK115" s="1621"/>
      <c r="DL115" s="1619"/>
      <c r="DM115" s="1619"/>
    </row>
    <row r="116" spans="2:117">
      <c r="B116" s="1584">
        <f t="shared" si="99"/>
        <v>2</v>
      </c>
      <c r="C116" s="1600" t="str">
        <f t="shared" si="67"/>
        <v>Townscape &amp; Landscape</v>
      </c>
      <c r="D116" s="1601">
        <f t="shared" si="100"/>
        <v>0.4</v>
      </c>
      <c r="E116" s="1602">
        <f t="shared" si="100"/>
        <v>0</v>
      </c>
      <c r="G116" s="1602">
        <f t="shared" si="96"/>
        <v>0.4</v>
      </c>
      <c r="H116" s="1602">
        <f t="shared" si="97"/>
        <v>0</v>
      </c>
      <c r="I116" s="1602"/>
      <c r="J116" s="1602"/>
      <c r="K116" s="1602">
        <f>IF(Score!W116=0,0,1)</f>
        <v>1</v>
      </c>
      <c r="L116" s="1602">
        <f>IF(Score!X116=0,0,1)</f>
        <v>0</v>
      </c>
      <c r="M116" s="1602">
        <f t="shared" si="98"/>
        <v>0.4</v>
      </c>
      <c r="N116" s="1602">
        <f t="shared" si="94"/>
        <v>0</v>
      </c>
      <c r="P116" s="1604">
        <f t="shared" si="68"/>
        <v>2</v>
      </c>
      <c r="Q116" s="1604" t="str">
        <f t="shared" si="69"/>
        <v xml:space="preserve"> Q3</v>
      </c>
      <c r="R116" s="1600" t="str">
        <f t="shared" si="70"/>
        <v>Townscape &amp; Landscape</v>
      </c>
      <c r="S116" s="1605">
        <f t="shared" si="52"/>
        <v>0.4</v>
      </c>
      <c r="T116" s="1605">
        <f t="shared" si="53"/>
        <v>0.4</v>
      </c>
      <c r="U116" s="1605">
        <f t="shared" si="54"/>
        <v>0.4</v>
      </c>
      <c r="V116" s="1605">
        <f t="shared" si="55"/>
        <v>0.4</v>
      </c>
      <c r="W116" s="1605">
        <f t="shared" si="56"/>
        <v>0.4</v>
      </c>
      <c r="X116" s="1605">
        <f t="shared" si="57"/>
        <v>0.4</v>
      </c>
      <c r="Y116" s="1605">
        <f t="shared" si="58"/>
        <v>0.4</v>
      </c>
      <c r="Z116" s="1728">
        <f t="shared" si="59"/>
        <v>0.4</v>
      </c>
      <c r="AA116" s="1605">
        <f t="shared" si="60"/>
        <v>0.4</v>
      </c>
      <c r="AB116" s="1605">
        <f t="shared" si="61"/>
        <v>0.4</v>
      </c>
      <c r="AC116" s="1607">
        <f t="shared" si="62"/>
        <v>0</v>
      </c>
      <c r="AD116" s="1605">
        <f t="shared" si="63"/>
        <v>0</v>
      </c>
      <c r="AE116" s="1605">
        <f t="shared" si="64"/>
        <v>0</v>
      </c>
      <c r="AG116" s="1604">
        <v>2</v>
      </c>
      <c r="AH116" s="1608" t="s">
        <v>32</v>
      </c>
      <c r="AI116" s="1600" t="s">
        <v>1848</v>
      </c>
      <c r="AJ116" s="1609">
        <v>0.4</v>
      </c>
      <c r="AK116" s="1609">
        <v>0.4</v>
      </c>
      <c r="AL116" s="1609">
        <v>0.4</v>
      </c>
      <c r="AM116" s="1609">
        <v>0.4</v>
      </c>
      <c r="AN116" s="1609">
        <v>0.4</v>
      </c>
      <c r="AO116" s="1609">
        <v>0.4</v>
      </c>
      <c r="AP116" s="1609">
        <v>0.4</v>
      </c>
      <c r="AQ116" s="1729">
        <v>0.4</v>
      </c>
      <c r="AR116" s="1609">
        <v>0.4</v>
      </c>
      <c r="AS116" s="1611">
        <v>0.4</v>
      </c>
      <c r="AT116" s="1612">
        <v>0</v>
      </c>
      <c r="AU116" s="1611">
        <v>0</v>
      </c>
      <c r="AV116" s="1611">
        <v>0</v>
      </c>
      <c r="AX116" s="1604">
        <v>2</v>
      </c>
      <c r="AY116" s="1608" t="s">
        <v>32</v>
      </c>
      <c r="AZ116" s="1600" t="s">
        <v>1848</v>
      </c>
      <c r="BA116" s="1611">
        <v>0.4</v>
      </c>
      <c r="BB116" s="1611">
        <v>0.4</v>
      </c>
      <c r="BC116" s="1611">
        <v>0.4</v>
      </c>
      <c r="BD116" s="1611">
        <v>0.4</v>
      </c>
      <c r="BE116" s="1611">
        <v>0.4</v>
      </c>
      <c r="BF116" s="1611">
        <v>0.4</v>
      </c>
      <c r="BG116" s="1611">
        <v>0.4</v>
      </c>
      <c r="BH116" s="1730">
        <v>0.4</v>
      </c>
      <c r="BI116" s="1611">
        <v>0.4</v>
      </c>
      <c r="BJ116" s="1611">
        <v>0.4</v>
      </c>
      <c r="BK116" s="1612"/>
      <c r="BL116" s="1611"/>
      <c r="BM116" s="1611"/>
      <c r="BO116" s="1604">
        <v>2</v>
      </c>
      <c r="BP116" s="1608" t="s">
        <v>32</v>
      </c>
      <c r="BQ116" s="1600" t="s">
        <v>1626</v>
      </c>
      <c r="BR116" s="1611">
        <v>0.4</v>
      </c>
      <c r="BS116" s="1611">
        <v>0.4</v>
      </c>
      <c r="BT116" s="1611">
        <v>0.4</v>
      </c>
      <c r="BU116" s="1611">
        <v>0.4</v>
      </c>
      <c r="BV116" s="1611">
        <v>0.4</v>
      </c>
      <c r="BW116" s="1611">
        <v>0.4</v>
      </c>
      <c r="BX116" s="1611">
        <v>0.4</v>
      </c>
      <c r="BY116" s="1730">
        <v>0.4</v>
      </c>
      <c r="BZ116" s="1611">
        <v>0.4</v>
      </c>
      <c r="CA116" s="1611">
        <v>0.4</v>
      </c>
      <c r="CB116" s="1612"/>
      <c r="CC116" s="1611"/>
      <c r="CD116" s="1611"/>
      <c r="CE116" s="1615"/>
      <c r="CG116" s="1604">
        <v>2</v>
      </c>
      <c r="CH116" s="1608" t="s">
        <v>32</v>
      </c>
      <c r="CI116" s="1600" t="s">
        <v>1848</v>
      </c>
      <c r="CJ116" s="1616">
        <f t="shared" si="88"/>
        <v>0.4</v>
      </c>
      <c r="CK116" s="1616">
        <f t="shared" si="76"/>
        <v>0.4</v>
      </c>
      <c r="CL116" s="1616">
        <f t="shared" si="77"/>
        <v>0.4</v>
      </c>
      <c r="CM116" s="1616">
        <f t="shared" si="78"/>
        <v>0.4</v>
      </c>
      <c r="CN116" s="1616">
        <f t="shared" si="79"/>
        <v>0.4</v>
      </c>
      <c r="CO116" s="1616">
        <f t="shared" si="80"/>
        <v>0.4</v>
      </c>
      <c r="CP116" s="1616">
        <f t="shared" si="81"/>
        <v>0.4</v>
      </c>
      <c r="CQ116" s="1737">
        <f t="shared" si="82"/>
        <v>0.4</v>
      </c>
      <c r="CR116" s="1616">
        <f t="shared" si="83"/>
        <v>0.4</v>
      </c>
      <c r="CS116" s="1616">
        <f t="shared" si="84"/>
        <v>0.4</v>
      </c>
      <c r="CT116" s="1618">
        <f t="shared" si="85"/>
        <v>0</v>
      </c>
      <c r="CU116" s="1616">
        <f t="shared" si="86"/>
        <v>0</v>
      </c>
      <c r="CV116" s="1616">
        <f t="shared" si="87"/>
        <v>0</v>
      </c>
      <c r="CX116" s="1604">
        <v>2</v>
      </c>
      <c r="CY116" s="1608" t="s">
        <v>32</v>
      </c>
      <c r="CZ116" s="1600" t="s">
        <v>1848</v>
      </c>
      <c r="DA116" s="1731">
        <v>0</v>
      </c>
      <c r="DB116" s="1619"/>
      <c r="DC116" s="1619"/>
      <c r="DD116" s="1619"/>
      <c r="DE116" s="1619"/>
      <c r="DF116" s="1619"/>
      <c r="DG116" s="1619"/>
      <c r="DH116" s="1738"/>
      <c r="DI116" s="1619"/>
      <c r="DJ116" s="1619"/>
      <c r="DK116" s="1621"/>
      <c r="DL116" s="1619"/>
      <c r="DM116" s="1619"/>
    </row>
    <row r="117" spans="2:117">
      <c r="B117" s="1584">
        <f t="shared" si="99"/>
        <v>3</v>
      </c>
      <c r="C117" s="1600" t="str">
        <f t="shared" si="67"/>
        <v>Local Characteristics &amp; Outdoor Amenity</v>
      </c>
      <c r="D117" s="1601">
        <f t="shared" si="100"/>
        <v>0.3</v>
      </c>
      <c r="E117" s="1602">
        <f t="shared" si="100"/>
        <v>0</v>
      </c>
      <c r="G117" s="1602">
        <f t="shared" si="96"/>
        <v>0.3</v>
      </c>
      <c r="H117" s="1602">
        <f t="shared" si="97"/>
        <v>0</v>
      </c>
      <c r="I117" s="1739">
        <f>SUM(G118:G119)</f>
        <v>1</v>
      </c>
      <c r="J117" s="1739">
        <f>SUM(H118:H119)</f>
        <v>0</v>
      </c>
      <c r="K117" s="1602">
        <f>IF(L117&gt;0,1,IF(Score!Z117=0,0,1))</f>
        <v>1</v>
      </c>
      <c r="L117" s="1602">
        <f>IF(Score!AB117=0,0,1)</f>
        <v>0</v>
      </c>
      <c r="M117" s="1602">
        <f t="shared" si="98"/>
        <v>0.3</v>
      </c>
      <c r="N117" s="1602">
        <f t="shared" si="94"/>
        <v>0</v>
      </c>
      <c r="P117" s="1604">
        <f t="shared" si="68"/>
        <v>3</v>
      </c>
      <c r="Q117" s="1604" t="str">
        <f t="shared" si="69"/>
        <v xml:space="preserve"> Q3</v>
      </c>
      <c r="R117" s="1600" t="str">
        <f t="shared" si="70"/>
        <v>Local Characteristics &amp; Outdoor Amenity</v>
      </c>
      <c r="S117" s="1605">
        <f t="shared" si="52"/>
        <v>0.3</v>
      </c>
      <c r="T117" s="1605">
        <f t="shared" si="53"/>
        <v>0.3</v>
      </c>
      <c r="U117" s="1605">
        <f t="shared" si="54"/>
        <v>0.3</v>
      </c>
      <c r="V117" s="1605">
        <f t="shared" si="55"/>
        <v>0.3</v>
      </c>
      <c r="W117" s="1605">
        <f t="shared" si="56"/>
        <v>0.3</v>
      </c>
      <c r="X117" s="1605">
        <f t="shared" si="57"/>
        <v>0.3</v>
      </c>
      <c r="Y117" s="1605">
        <f t="shared" si="58"/>
        <v>0.3</v>
      </c>
      <c r="Z117" s="1728">
        <f t="shared" si="59"/>
        <v>0.3</v>
      </c>
      <c r="AA117" s="1605">
        <f t="shared" si="60"/>
        <v>0.3</v>
      </c>
      <c r="AB117" s="1605">
        <f t="shared" si="61"/>
        <v>0.3</v>
      </c>
      <c r="AC117" s="1607">
        <f t="shared" si="62"/>
        <v>0</v>
      </c>
      <c r="AD117" s="1605">
        <f t="shared" si="63"/>
        <v>0</v>
      </c>
      <c r="AE117" s="1605">
        <f t="shared" si="64"/>
        <v>0</v>
      </c>
      <c r="AG117" s="1604">
        <v>3</v>
      </c>
      <c r="AH117" s="1608" t="s">
        <v>32</v>
      </c>
      <c r="AI117" s="1600" t="s">
        <v>1849</v>
      </c>
      <c r="AJ117" s="1609">
        <v>0.3</v>
      </c>
      <c r="AK117" s="1609">
        <v>0.3</v>
      </c>
      <c r="AL117" s="1609">
        <v>0.3</v>
      </c>
      <c r="AM117" s="1609">
        <v>0.3</v>
      </c>
      <c r="AN117" s="1609">
        <v>0.3</v>
      </c>
      <c r="AO117" s="1609">
        <v>0.3</v>
      </c>
      <c r="AP117" s="1609">
        <v>0.3</v>
      </c>
      <c r="AQ117" s="1729">
        <v>0.3</v>
      </c>
      <c r="AR117" s="1609">
        <v>0.3</v>
      </c>
      <c r="AS117" s="1611">
        <v>0.3</v>
      </c>
      <c r="AT117" s="1612">
        <v>0</v>
      </c>
      <c r="AU117" s="1611">
        <v>0</v>
      </c>
      <c r="AV117" s="1611">
        <v>0</v>
      </c>
      <c r="AX117" s="1604">
        <v>3</v>
      </c>
      <c r="AY117" s="1608" t="s">
        <v>32</v>
      </c>
      <c r="AZ117" s="1600" t="s">
        <v>1849</v>
      </c>
      <c r="BA117" s="1611">
        <v>0.3</v>
      </c>
      <c r="BB117" s="1611">
        <v>0.3</v>
      </c>
      <c r="BC117" s="1611">
        <v>0.3</v>
      </c>
      <c r="BD117" s="1611">
        <v>0.3</v>
      </c>
      <c r="BE117" s="1611">
        <v>0.3</v>
      </c>
      <c r="BF117" s="1611">
        <v>0.3</v>
      </c>
      <c r="BG117" s="1611">
        <v>0.3</v>
      </c>
      <c r="BH117" s="1730">
        <v>0.3</v>
      </c>
      <c r="BI117" s="1611">
        <v>0.3</v>
      </c>
      <c r="BJ117" s="1611">
        <v>0.3</v>
      </c>
      <c r="BK117" s="1612"/>
      <c r="BL117" s="1611"/>
      <c r="BM117" s="1611"/>
      <c r="BO117" s="1604">
        <v>3</v>
      </c>
      <c r="BP117" s="1608" t="s">
        <v>32</v>
      </c>
      <c r="BQ117" s="1600" t="s">
        <v>1627</v>
      </c>
      <c r="BR117" s="1611">
        <v>0.3</v>
      </c>
      <c r="BS117" s="1611">
        <v>0.3</v>
      </c>
      <c r="BT117" s="1611">
        <v>0.3</v>
      </c>
      <c r="BU117" s="1611">
        <v>0.3</v>
      </c>
      <c r="BV117" s="1611">
        <v>0.3</v>
      </c>
      <c r="BW117" s="1611">
        <v>0.3</v>
      </c>
      <c r="BX117" s="1611">
        <v>0.3</v>
      </c>
      <c r="BY117" s="1730">
        <v>0.3</v>
      </c>
      <c r="BZ117" s="1611">
        <v>0.3</v>
      </c>
      <c r="CA117" s="1611">
        <v>0.3</v>
      </c>
      <c r="CB117" s="1612"/>
      <c r="CC117" s="1611"/>
      <c r="CD117" s="1611"/>
      <c r="CE117" s="1615"/>
      <c r="CG117" s="1604">
        <v>3</v>
      </c>
      <c r="CH117" s="1608" t="s">
        <v>32</v>
      </c>
      <c r="CI117" s="1600" t="s">
        <v>1849</v>
      </c>
      <c r="CJ117" s="1616">
        <f t="shared" si="88"/>
        <v>0.3</v>
      </c>
      <c r="CK117" s="1616">
        <f t="shared" si="76"/>
        <v>0.3</v>
      </c>
      <c r="CL117" s="1616">
        <f t="shared" si="77"/>
        <v>0.3</v>
      </c>
      <c r="CM117" s="1616">
        <f t="shared" si="78"/>
        <v>0.3</v>
      </c>
      <c r="CN117" s="1616">
        <f t="shared" si="79"/>
        <v>0.3</v>
      </c>
      <c r="CO117" s="1616">
        <f t="shared" si="80"/>
        <v>0.3</v>
      </c>
      <c r="CP117" s="1616">
        <f t="shared" si="81"/>
        <v>0.3</v>
      </c>
      <c r="CQ117" s="1737">
        <f t="shared" si="82"/>
        <v>0.3</v>
      </c>
      <c r="CR117" s="1616">
        <f t="shared" si="83"/>
        <v>0.3</v>
      </c>
      <c r="CS117" s="1616">
        <f t="shared" si="84"/>
        <v>0.3</v>
      </c>
      <c r="CT117" s="1618">
        <f t="shared" si="85"/>
        <v>0</v>
      </c>
      <c r="CU117" s="1616">
        <f t="shared" si="86"/>
        <v>0</v>
      </c>
      <c r="CV117" s="1616">
        <f t="shared" si="87"/>
        <v>0</v>
      </c>
      <c r="CX117" s="1604">
        <v>3</v>
      </c>
      <c r="CY117" s="1608" t="s">
        <v>32</v>
      </c>
      <c r="CZ117" s="1600" t="s">
        <v>1849</v>
      </c>
      <c r="DA117" s="1731">
        <v>0</v>
      </c>
      <c r="DB117" s="1619"/>
      <c r="DC117" s="1619"/>
      <c r="DD117" s="1619"/>
      <c r="DE117" s="1619"/>
      <c r="DF117" s="1619"/>
      <c r="DG117" s="1619"/>
      <c r="DH117" s="1738"/>
      <c r="DI117" s="1619"/>
      <c r="DJ117" s="1619"/>
      <c r="DK117" s="1621"/>
      <c r="DL117" s="1619"/>
      <c r="DM117" s="1619"/>
    </row>
    <row r="118" spans="2:117">
      <c r="B118" s="1584" t="str">
        <f t="shared" si="99"/>
        <v>3.1</v>
      </c>
      <c r="C118" s="1622" t="str">
        <f t="shared" si="67"/>
        <v>Attention to Local Character &amp; Improvement of Comfort</v>
      </c>
      <c r="D118" s="1623">
        <f>IF(I$117=0,0,G118/I$117)</f>
        <v>0.5</v>
      </c>
      <c r="E118" s="1624">
        <f>IF(J$117=0,0,H118/J$117)</f>
        <v>0</v>
      </c>
      <c r="G118" s="1624">
        <f>K118*M118</f>
        <v>0.5</v>
      </c>
      <c r="H118" s="1624">
        <f t="shared" si="97"/>
        <v>0</v>
      </c>
      <c r="I118" s="1741"/>
      <c r="J118" s="1624"/>
      <c r="K118" s="1624">
        <f>IF(Score!W118=0,0,1)</f>
        <v>1</v>
      </c>
      <c r="L118" s="1624">
        <f>IF(Score!X118=0,0,1)</f>
        <v>0</v>
      </c>
      <c r="M118" s="1624">
        <f t="shared" si="98"/>
        <v>0.5</v>
      </c>
      <c r="N118" s="1624">
        <f t="shared" si="94"/>
        <v>0</v>
      </c>
      <c r="P118" s="1625" t="str">
        <f t="shared" si="68"/>
        <v>3.1</v>
      </c>
      <c r="Q118" s="1625" t="str">
        <f t="shared" si="69"/>
        <v xml:space="preserve"> Q3 3</v>
      </c>
      <c r="R118" s="1622" t="str">
        <f t="shared" si="70"/>
        <v>Attention to Local Character &amp; Improvement of Comfort</v>
      </c>
      <c r="S118" s="1743">
        <f t="shared" si="52"/>
        <v>0.5</v>
      </c>
      <c r="T118" s="1743">
        <f t="shared" si="53"/>
        <v>0.5</v>
      </c>
      <c r="U118" s="1743">
        <f t="shared" si="54"/>
        <v>0.5</v>
      </c>
      <c r="V118" s="1743">
        <f t="shared" si="55"/>
        <v>0.5</v>
      </c>
      <c r="W118" s="1743">
        <f t="shared" si="56"/>
        <v>0.5</v>
      </c>
      <c r="X118" s="1743">
        <f t="shared" si="57"/>
        <v>0.5</v>
      </c>
      <c r="Y118" s="1743">
        <f t="shared" si="58"/>
        <v>0.5</v>
      </c>
      <c r="Z118" s="1743">
        <f t="shared" si="59"/>
        <v>0.5</v>
      </c>
      <c r="AA118" s="1743">
        <f t="shared" si="60"/>
        <v>0.5</v>
      </c>
      <c r="AB118" s="1743">
        <f t="shared" si="61"/>
        <v>0.5</v>
      </c>
      <c r="AC118" s="1744">
        <f t="shared" si="62"/>
        <v>0</v>
      </c>
      <c r="AD118" s="1743">
        <f t="shared" si="63"/>
        <v>0</v>
      </c>
      <c r="AE118" s="1743">
        <f t="shared" si="64"/>
        <v>0</v>
      </c>
      <c r="AG118" s="1625" t="s">
        <v>330</v>
      </c>
      <c r="AH118" s="1628" t="s">
        <v>34</v>
      </c>
      <c r="AI118" s="1745" t="s">
        <v>1850</v>
      </c>
      <c r="AJ118" s="1746">
        <v>0.5</v>
      </c>
      <c r="AK118" s="1746">
        <v>0.5</v>
      </c>
      <c r="AL118" s="1746">
        <v>0.5</v>
      </c>
      <c r="AM118" s="1746">
        <v>0.5</v>
      </c>
      <c r="AN118" s="1746">
        <v>0.5</v>
      </c>
      <c r="AO118" s="1746">
        <v>0.5</v>
      </c>
      <c r="AP118" s="1746">
        <v>0.5</v>
      </c>
      <c r="AQ118" s="1746">
        <v>0.5</v>
      </c>
      <c r="AR118" s="1746">
        <v>0.5</v>
      </c>
      <c r="AS118" s="1747">
        <v>0.5</v>
      </c>
      <c r="AT118" s="1748">
        <v>0</v>
      </c>
      <c r="AU118" s="1747">
        <v>0</v>
      </c>
      <c r="AV118" s="1747">
        <v>0</v>
      </c>
      <c r="AX118" s="1625" t="s">
        <v>330</v>
      </c>
      <c r="AY118" s="1628" t="s">
        <v>34</v>
      </c>
      <c r="AZ118" s="1745" t="s">
        <v>1850</v>
      </c>
      <c r="BA118" s="1747">
        <v>0.5</v>
      </c>
      <c r="BB118" s="1747">
        <v>0.5</v>
      </c>
      <c r="BC118" s="1747">
        <v>0.5</v>
      </c>
      <c r="BD118" s="1747">
        <v>0.5</v>
      </c>
      <c r="BE118" s="1747">
        <v>0.5</v>
      </c>
      <c r="BF118" s="1747">
        <v>0.5</v>
      </c>
      <c r="BG118" s="1747">
        <v>0.5</v>
      </c>
      <c r="BH118" s="1747">
        <v>0.5</v>
      </c>
      <c r="BI118" s="1747">
        <v>0.5</v>
      </c>
      <c r="BJ118" s="1747">
        <v>0.5</v>
      </c>
      <c r="BK118" s="1748"/>
      <c r="BL118" s="1747"/>
      <c r="BM118" s="1747"/>
      <c r="BO118" s="1625" t="s">
        <v>330</v>
      </c>
      <c r="BP118" s="1628" t="s">
        <v>34</v>
      </c>
      <c r="BQ118" s="1745" t="s">
        <v>3408</v>
      </c>
      <c r="BR118" s="1747">
        <v>0.5</v>
      </c>
      <c r="BS118" s="1747">
        <v>0.5</v>
      </c>
      <c r="BT118" s="1747">
        <v>0.5</v>
      </c>
      <c r="BU118" s="1747">
        <v>0.5</v>
      </c>
      <c r="BV118" s="1747">
        <v>0.5</v>
      </c>
      <c r="BW118" s="1747">
        <v>0.5</v>
      </c>
      <c r="BX118" s="1747">
        <v>0.5</v>
      </c>
      <c r="BY118" s="1747">
        <v>0.5</v>
      </c>
      <c r="BZ118" s="1747">
        <v>0.5</v>
      </c>
      <c r="CA118" s="1747">
        <v>0.5</v>
      </c>
      <c r="CB118" s="1748"/>
      <c r="CC118" s="1747"/>
      <c r="CD118" s="1747"/>
      <c r="CE118" s="1749"/>
      <c r="CG118" s="1625" t="s">
        <v>330</v>
      </c>
      <c r="CH118" s="1628" t="s">
        <v>34</v>
      </c>
      <c r="CI118" s="1745" t="s">
        <v>1850</v>
      </c>
      <c r="CJ118" s="1750">
        <f t="shared" si="88"/>
        <v>0.5</v>
      </c>
      <c r="CK118" s="1750">
        <f t="shared" si="76"/>
        <v>0.5</v>
      </c>
      <c r="CL118" s="1750">
        <f t="shared" si="77"/>
        <v>0.5</v>
      </c>
      <c r="CM118" s="1750">
        <f t="shared" si="78"/>
        <v>0.5</v>
      </c>
      <c r="CN118" s="1750">
        <f t="shared" si="79"/>
        <v>0.5</v>
      </c>
      <c r="CO118" s="1750">
        <f t="shared" si="80"/>
        <v>0.5</v>
      </c>
      <c r="CP118" s="1750">
        <f t="shared" si="81"/>
        <v>0.5</v>
      </c>
      <c r="CQ118" s="1750">
        <f t="shared" si="82"/>
        <v>0.5</v>
      </c>
      <c r="CR118" s="1750">
        <f t="shared" si="83"/>
        <v>0.5</v>
      </c>
      <c r="CS118" s="1750">
        <f t="shared" si="84"/>
        <v>0.5</v>
      </c>
      <c r="CT118" s="1751">
        <f t="shared" si="85"/>
        <v>0</v>
      </c>
      <c r="CU118" s="1750">
        <f t="shared" si="86"/>
        <v>0</v>
      </c>
      <c r="CV118" s="1750">
        <f t="shared" si="87"/>
        <v>0</v>
      </c>
      <c r="CX118" s="1625" t="s">
        <v>330</v>
      </c>
      <c r="CY118" s="1628" t="s">
        <v>34</v>
      </c>
      <c r="CZ118" s="1745" t="s">
        <v>1850</v>
      </c>
      <c r="DA118" s="1752">
        <v>0</v>
      </c>
      <c r="DB118" s="1753"/>
      <c r="DC118" s="1753"/>
      <c r="DD118" s="1753"/>
      <c r="DE118" s="1753"/>
      <c r="DF118" s="1753"/>
      <c r="DG118" s="1753"/>
      <c r="DH118" s="1753"/>
      <c r="DI118" s="1753"/>
      <c r="DJ118" s="1753"/>
      <c r="DK118" s="1754"/>
      <c r="DL118" s="1753"/>
      <c r="DM118" s="1753"/>
    </row>
    <row r="119" spans="2:117">
      <c r="B119" s="1584" t="str">
        <f t="shared" si="99"/>
        <v>3.2</v>
      </c>
      <c r="C119" s="1622" t="str">
        <f t="shared" si="67"/>
        <v>Improvement of the Thermal Environment on Site</v>
      </c>
      <c r="D119" s="1623">
        <f>IF(I$117=0,0,G119/I$117)</f>
        <v>0.5</v>
      </c>
      <c r="E119" s="1624">
        <f>IF(J$117=0,0,H119/J$117)</f>
        <v>0</v>
      </c>
      <c r="G119" s="1624">
        <f t="shared" si="96"/>
        <v>0.5</v>
      </c>
      <c r="H119" s="1624">
        <f t="shared" si="97"/>
        <v>0</v>
      </c>
      <c r="I119" s="1741"/>
      <c r="J119" s="1624"/>
      <c r="K119" s="1624">
        <f>IF(Score!W119=0,0,1)</f>
        <v>1</v>
      </c>
      <c r="L119" s="1624">
        <f>IF(Score!X119=0,0,1)</f>
        <v>0</v>
      </c>
      <c r="M119" s="1624">
        <f t="shared" si="98"/>
        <v>0.5</v>
      </c>
      <c r="N119" s="1624">
        <f t="shared" si="94"/>
        <v>0</v>
      </c>
      <c r="P119" s="1625" t="str">
        <f t="shared" si="68"/>
        <v>3.2</v>
      </c>
      <c r="Q119" s="1625" t="str">
        <f t="shared" si="69"/>
        <v xml:space="preserve"> Q3 3</v>
      </c>
      <c r="R119" s="1622" t="str">
        <f t="shared" si="70"/>
        <v>Improvement of the Thermal Environment on Site</v>
      </c>
      <c r="S119" s="1743">
        <f t="shared" si="52"/>
        <v>0.5</v>
      </c>
      <c r="T119" s="1743">
        <f t="shared" si="53"/>
        <v>0.5</v>
      </c>
      <c r="U119" s="1743">
        <f t="shared" si="54"/>
        <v>0.5</v>
      </c>
      <c r="V119" s="1743">
        <f t="shared" si="55"/>
        <v>0.5</v>
      </c>
      <c r="W119" s="1743">
        <f t="shared" si="56"/>
        <v>0.5</v>
      </c>
      <c r="X119" s="1743">
        <f t="shared" si="57"/>
        <v>0.5</v>
      </c>
      <c r="Y119" s="1743">
        <f t="shared" si="58"/>
        <v>0.5</v>
      </c>
      <c r="Z119" s="1743">
        <f t="shared" si="59"/>
        <v>0.5</v>
      </c>
      <c r="AA119" s="1743">
        <f t="shared" si="60"/>
        <v>0.5</v>
      </c>
      <c r="AB119" s="1743">
        <f t="shared" si="61"/>
        <v>0.5</v>
      </c>
      <c r="AC119" s="1744">
        <f t="shared" si="62"/>
        <v>0</v>
      </c>
      <c r="AD119" s="1743">
        <f t="shared" si="63"/>
        <v>0</v>
      </c>
      <c r="AE119" s="1743">
        <f t="shared" si="64"/>
        <v>0</v>
      </c>
      <c r="AG119" s="1625" t="s">
        <v>331</v>
      </c>
      <c r="AH119" s="1628" t="s">
        <v>34</v>
      </c>
      <c r="AI119" s="1745" t="s">
        <v>1851</v>
      </c>
      <c r="AJ119" s="1746">
        <v>0.5</v>
      </c>
      <c r="AK119" s="1746">
        <v>0.5</v>
      </c>
      <c r="AL119" s="1746">
        <v>0.5</v>
      </c>
      <c r="AM119" s="1746">
        <v>0.5</v>
      </c>
      <c r="AN119" s="1746">
        <v>0.5</v>
      </c>
      <c r="AO119" s="1746">
        <v>0.5</v>
      </c>
      <c r="AP119" s="1746">
        <v>0.5</v>
      </c>
      <c r="AQ119" s="1746">
        <v>0.5</v>
      </c>
      <c r="AR119" s="1746">
        <v>0.5</v>
      </c>
      <c r="AS119" s="1747">
        <v>0.5</v>
      </c>
      <c r="AT119" s="1748">
        <v>0</v>
      </c>
      <c r="AU119" s="1747">
        <v>0</v>
      </c>
      <c r="AV119" s="1747">
        <v>0</v>
      </c>
      <c r="AX119" s="1625" t="s">
        <v>331</v>
      </c>
      <c r="AY119" s="1628" t="s">
        <v>34</v>
      </c>
      <c r="AZ119" s="1745" t="s">
        <v>1851</v>
      </c>
      <c r="BA119" s="1747">
        <v>0.5</v>
      </c>
      <c r="BB119" s="1747">
        <v>0.5</v>
      </c>
      <c r="BC119" s="1747">
        <v>0.5</v>
      </c>
      <c r="BD119" s="1747">
        <v>0.5</v>
      </c>
      <c r="BE119" s="1747">
        <v>0.5</v>
      </c>
      <c r="BF119" s="1747">
        <v>0.5</v>
      </c>
      <c r="BG119" s="1747">
        <v>0.5</v>
      </c>
      <c r="BH119" s="1747">
        <v>0.5</v>
      </c>
      <c r="BI119" s="1747">
        <v>0.5</v>
      </c>
      <c r="BJ119" s="1747">
        <v>0.5</v>
      </c>
      <c r="BK119" s="1748"/>
      <c r="BL119" s="1747"/>
      <c r="BM119" s="1747"/>
      <c r="BO119" s="1625" t="s">
        <v>331</v>
      </c>
      <c r="BP119" s="1628" t="s">
        <v>34</v>
      </c>
      <c r="BQ119" s="1745" t="s">
        <v>1628</v>
      </c>
      <c r="BR119" s="1747">
        <v>0.5</v>
      </c>
      <c r="BS119" s="1747">
        <v>0.5</v>
      </c>
      <c r="BT119" s="1747">
        <v>0.5</v>
      </c>
      <c r="BU119" s="1747">
        <v>0.5</v>
      </c>
      <c r="BV119" s="1747">
        <v>0.5</v>
      </c>
      <c r="BW119" s="1747">
        <v>0.5</v>
      </c>
      <c r="BX119" s="1747">
        <v>0.5</v>
      </c>
      <c r="BY119" s="1747">
        <v>0.5</v>
      </c>
      <c r="BZ119" s="1747">
        <v>0.5</v>
      </c>
      <c r="CA119" s="1747">
        <v>0.5</v>
      </c>
      <c r="CB119" s="1748"/>
      <c r="CC119" s="1747"/>
      <c r="CD119" s="1747"/>
      <c r="CE119" s="1749"/>
      <c r="CG119" s="1625" t="s">
        <v>331</v>
      </c>
      <c r="CH119" s="1628" t="s">
        <v>34</v>
      </c>
      <c r="CI119" s="1745" t="s">
        <v>1851</v>
      </c>
      <c r="CJ119" s="1750">
        <f t="shared" si="88"/>
        <v>0.5</v>
      </c>
      <c r="CK119" s="1750">
        <f t="shared" si="76"/>
        <v>0.5</v>
      </c>
      <c r="CL119" s="1750">
        <f t="shared" si="77"/>
        <v>0.5</v>
      </c>
      <c r="CM119" s="1750">
        <f t="shared" si="78"/>
        <v>0.5</v>
      </c>
      <c r="CN119" s="1750">
        <f t="shared" si="79"/>
        <v>0.5</v>
      </c>
      <c r="CO119" s="1750">
        <f t="shared" si="80"/>
        <v>0.5</v>
      </c>
      <c r="CP119" s="1750">
        <f t="shared" si="81"/>
        <v>0.5</v>
      </c>
      <c r="CQ119" s="1750">
        <f t="shared" si="82"/>
        <v>0.5</v>
      </c>
      <c r="CR119" s="1750">
        <f t="shared" si="83"/>
        <v>0.5</v>
      </c>
      <c r="CS119" s="1750">
        <f t="shared" si="84"/>
        <v>0.5</v>
      </c>
      <c r="CT119" s="1751">
        <f t="shared" si="85"/>
        <v>0</v>
      </c>
      <c r="CU119" s="1750">
        <f t="shared" si="86"/>
        <v>0</v>
      </c>
      <c r="CV119" s="1750">
        <f t="shared" si="87"/>
        <v>0</v>
      </c>
      <c r="CX119" s="1625" t="s">
        <v>331</v>
      </c>
      <c r="CY119" s="1628" t="s">
        <v>34</v>
      </c>
      <c r="CZ119" s="1745" t="s">
        <v>1851</v>
      </c>
      <c r="DA119" s="1752">
        <v>0</v>
      </c>
      <c r="DB119" s="1753"/>
      <c r="DC119" s="1753"/>
      <c r="DD119" s="1753"/>
      <c r="DE119" s="1753"/>
      <c r="DF119" s="1753"/>
      <c r="DG119" s="1753"/>
      <c r="DH119" s="1753"/>
      <c r="DI119" s="1753"/>
      <c r="DJ119" s="1753"/>
      <c r="DK119" s="1754"/>
      <c r="DL119" s="1753"/>
      <c r="DM119" s="1753"/>
    </row>
    <row r="120" spans="2:117" hidden="1">
      <c r="B120" s="1584">
        <f t="shared" si="99"/>
        <v>0</v>
      </c>
      <c r="C120" s="1600">
        <f t="shared" si="67"/>
        <v>0</v>
      </c>
      <c r="D120" s="1601"/>
      <c r="E120" s="1602"/>
      <c r="G120" s="1602">
        <f t="shared" si="96"/>
        <v>0</v>
      </c>
      <c r="H120" s="1602">
        <f t="shared" si="97"/>
        <v>0</v>
      </c>
      <c r="I120" s="1602"/>
      <c r="J120" s="1602"/>
      <c r="K120" s="1602"/>
      <c r="L120" s="1602"/>
      <c r="M120" s="1602">
        <f t="shared" si="98"/>
        <v>0</v>
      </c>
      <c r="N120" s="1602"/>
      <c r="P120" s="1604">
        <f t="shared" si="68"/>
        <v>0</v>
      </c>
      <c r="Q120" s="1604" t="str">
        <f t="shared" si="69"/>
        <v xml:space="preserve"> Q</v>
      </c>
      <c r="R120" s="1600">
        <f t="shared" si="70"/>
        <v>0</v>
      </c>
      <c r="S120" s="1605">
        <f t="shared" si="52"/>
        <v>0</v>
      </c>
      <c r="T120" s="1605">
        <f t="shared" si="53"/>
        <v>0</v>
      </c>
      <c r="U120" s="1605">
        <f t="shared" si="54"/>
        <v>0</v>
      </c>
      <c r="V120" s="1605">
        <f t="shared" si="55"/>
        <v>0</v>
      </c>
      <c r="W120" s="1605">
        <f t="shared" si="56"/>
        <v>0</v>
      </c>
      <c r="X120" s="1605">
        <f t="shared" si="57"/>
        <v>0</v>
      </c>
      <c r="Y120" s="1605">
        <f t="shared" si="58"/>
        <v>0</v>
      </c>
      <c r="Z120" s="1728">
        <f t="shared" si="59"/>
        <v>0</v>
      </c>
      <c r="AA120" s="1605">
        <f t="shared" si="60"/>
        <v>0</v>
      </c>
      <c r="AB120" s="1605">
        <f t="shared" si="61"/>
        <v>0</v>
      </c>
      <c r="AC120" s="1607">
        <f t="shared" si="62"/>
        <v>0</v>
      </c>
      <c r="AD120" s="1605">
        <f t="shared" si="63"/>
        <v>0</v>
      </c>
      <c r="AE120" s="1605">
        <f t="shared" si="64"/>
        <v>0</v>
      </c>
      <c r="AG120" s="1604"/>
      <c r="AH120" s="1608" t="s">
        <v>178</v>
      </c>
      <c r="AI120" s="1600"/>
      <c r="AJ120" s="1611">
        <v>0</v>
      </c>
      <c r="AK120" s="1611">
        <v>0</v>
      </c>
      <c r="AL120" s="1611">
        <v>0</v>
      </c>
      <c r="AM120" s="1611">
        <v>0</v>
      </c>
      <c r="AN120" s="1611">
        <v>0</v>
      </c>
      <c r="AO120" s="1611">
        <v>0</v>
      </c>
      <c r="AP120" s="1611">
        <v>0</v>
      </c>
      <c r="AQ120" s="1730">
        <v>0</v>
      </c>
      <c r="AR120" s="1611">
        <v>0</v>
      </c>
      <c r="AS120" s="1611">
        <v>0</v>
      </c>
      <c r="AT120" s="1612">
        <v>0</v>
      </c>
      <c r="AU120" s="1611">
        <v>0</v>
      </c>
      <c r="AV120" s="1611">
        <v>0</v>
      </c>
      <c r="AX120" s="1604"/>
      <c r="AY120" s="1608" t="s">
        <v>178</v>
      </c>
      <c r="AZ120" s="1600"/>
      <c r="BA120" s="1611"/>
      <c r="BB120" s="1611"/>
      <c r="BC120" s="1611"/>
      <c r="BD120" s="1611"/>
      <c r="BE120" s="1611"/>
      <c r="BF120" s="1611"/>
      <c r="BG120" s="1611"/>
      <c r="BH120" s="1730"/>
      <c r="BI120" s="1611"/>
      <c r="BJ120" s="1611"/>
      <c r="BK120" s="1612"/>
      <c r="BL120" s="1611"/>
      <c r="BM120" s="1611"/>
      <c r="BO120" s="1604"/>
      <c r="BP120" s="1608" t="s">
        <v>178</v>
      </c>
      <c r="BQ120" s="1600"/>
      <c r="BR120" s="1611"/>
      <c r="BS120" s="1611"/>
      <c r="BT120" s="1611"/>
      <c r="BU120" s="1611"/>
      <c r="BV120" s="1611"/>
      <c r="BW120" s="1611"/>
      <c r="BX120" s="1611"/>
      <c r="BY120" s="1730"/>
      <c r="BZ120" s="1611"/>
      <c r="CA120" s="1611"/>
      <c r="CB120" s="1612"/>
      <c r="CC120" s="1611"/>
      <c r="CD120" s="1611"/>
      <c r="CE120" s="1615"/>
      <c r="CG120" s="1604"/>
      <c r="CH120" s="1608" t="s">
        <v>178</v>
      </c>
      <c r="CI120" s="1600"/>
      <c r="CJ120" s="1616">
        <f t="shared" si="88"/>
        <v>0</v>
      </c>
      <c r="CK120" s="1616">
        <f t="shared" si="76"/>
        <v>0</v>
      </c>
      <c r="CL120" s="1616">
        <f t="shared" si="77"/>
        <v>0</v>
      </c>
      <c r="CM120" s="1616">
        <f t="shared" si="78"/>
        <v>0</v>
      </c>
      <c r="CN120" s="1616">
        <f t="shared" si="79"/>
        <v>0</v>
      </c>
      <c r="CO120" s="1616">
        <f t="shared" si="80"/>
        <v>0</v>
      </c>
      <c r="CP120" s="1616">
        <f t="shared" si="81"/>
        <v>0</v>
      </c>
      <c r="CQ120" s="1737">
        <f t="shared" si="82"/>
        <v>0</v>
      </c>
      <c r="CR120" s="1616">
        <f t="shared" si="83"/>
        <v>0</v>
      </c>
      <c r="CS120" s="1616">
        <f t="shared" si="84"/>
        <v>0</v>
      </c>
      <c r="CT120" s="1618">
        <f t="shared" si="85"/>
        <v>0</v>
      </c>
      <c r="CU120" s="1616">
        <f t="shared" si="86"/>
        <v>0</v>
      </c>
      <c r="CV120" s="1616">
        <f t="shared" si="87"/>
        <v>0</v>
      </c>
      <c r="CX120" s="1604"/>
      <c r="CY120" s="1608" t="s">
        <v>178</v>
      </c>
      <c r="CZ120" s="1600"/>
      <c r="DA120" s="1619">
        <f t="shared" si="89"/>
        <v>0</v>
      </c>
      <c r="DB120" s="1619"/>
      <c r="DC120" s="1619"/>
      <c r="DD120" s="1619"/>
      <c r="DE120" s="1619"/>
      <c r="DF120" s="1619"/>
      <c r="DG120" s="1619"/>
      <c r="DH120" s="1738"/>
      <c r="DI120" s="1619"/>
      <c r="DJ120" s="1619"/>
      <c r="DK120" s="1621"/>
      <c r="DL120" s="1619"/>
      <c r="DM120" s="1619"/>
    </row>
    <row r="121" spans="2:117" ht="15.75">
      <c r="B121" s="1755" t="str">
        <f t="shared" si="99"/>
        <v>LR</v>
      </c>
      <c r="C121" s="1573" t="str">
        <f t="shared" si="67"/>
        <v>Environmental Load Reduction of Building</v>
      </c>
      <c r="D121" s="1574"/>
      <c r="E121" s="1575"/>
      <c r="G121" s="1575" t="e">
        <f t="shared" si="96"/>
        <v>#VALUE!</v>
      </c>
      <c r="H121" s="1575">
        <f t="shared" si="97"/>
        <v>0</v>
      </c>
      <c r="I121" s="1575" t="e">
        <f>G122+G147+G174</f>
        <v>#VALUE!</v>
      </c>
      <c r="J121" s="1575">
        <f>H122+H147+H174</f>
        <v>0</v>
      </c>
      <c r="K121" s="1575" t="e">
        <f>IF(Score!U121=0,0,1)</f>
        <v>#VALUE!</v>
      </c>
      <c r="L121" s="1575">
        <f>IF(Score!X121=0,0,1)</f>
        <v>0</v>
      </c>
      <c r="M121" s="1575">
        <f t="shared" si="98"/>
        <v>0</v>
      </c>
      <c r="N121" s="1575">
        <f t="shared" ref="N121:N158" si="101">(AC$7*AC121)+(AD$7*AD121)+(AE$7*AE121)</f>
        <v>0</v>
      </c>
      <c r="P121" s="1572" t="str">
        <f t="shared" si="68"/>
        <v>LR</v>
      </c>
      <c r="Q121" s="1572" t="str">
        <f t="shared" si="69"/>
        <v xml:space="preserve"> </v>
      </c>
      <c r="R121" s="1756" t="str">
        <f t="shared" si="70"/>
        <v>Environmental Load Reduction of Building</v>
      </c>
      <c r="S121" s="1579">
        <f t="shared" si="52"/>
        <v>0</v>
      </c>
      <c r="T121" s="1579">
        <f t="shared" si="53"/>
        <v>0</v>
      </c>
      <c r="U121" s="1579">
        <f t="shared" si="54"/>
        <v>0</v>
      </c>
      <c r="V121" s="1579">
        <f t="shared" si="55"/>
        <v>0</v>
      </c>
      <c r="W121" s="1579">
        <f t="shared" si="56"/>
        <v>0</v>
      </c>
      <c r="X121" s="1579">
        <f t="shared" si="57"/>
        <v>0</v>
      </c>
      <c r="Y121" s="1579">
        <f t="shared" si="58"/>
        <v>0</v>
      </c>
      <c r="Z121" s="1580">
        <f t="shared" si="59"/>
        <v>0</v>
      </c>
      <c r="AA121" s="1579">
        <f t="shared" si="60"/>
        <v>0</v>
      </c>
      <c r="AB121" s="1579">
        <f t="shared" si="61"/>
        <v>0</v>
      </c>
      <c r="AC121" s="1757">
        <f t="shared" si="62"/>
        <v>0</v>
      </c>
      <c r="AD121" s="1758">
        <f t="shared" si="63"/>
        <v>0</v>
      </c>
      <c r="AE121" s="1758">
        <f t="shared" si="64"/>
        <v>0</v>
      </c>
      <c r="AG121" s="1572" t="s">
        <v>332</v>
      </c>
      <c r="AH121" s="1572" t="s">
        <v>35</v>
      </c>
      <c r="AI121" s="1573" t="s">
        <v>1852</v>
      </c>
      <c r="AJ121" s="1579">
        <v>0</v>
      </c>
      <c r="AK121" s="1579">
        <v>0</v>
      </c>
      <c r="AL121" s="1579">
        <v>0</v>
      </c>
      <c r="AM121" s="1579">
        <v>0</v>
      </c>
      <c r="AN121" s="1579">
        <v>0</v>
      </c>
      <c r="AO121" s="1579">
        <v>0</v>
      </c>
      <c r="AP121" s="1579">
        <v>0</v>
      </c>
      <c r="AQ121" s="1580">
        <v>0</v>
      </c>
      <c r="AR121" s="1579">
        <v>0</v>
      </c>
      <c r="AS121" s="1579">
        <v>0</v>
      </c>
      <c r="AT121" s="1581">
        <v>0</v>
      </c>
      <c r="AU121" s="1582">
        <v>0</v>
      </c>
      <c r="AV121" s="1582">
        <v>0</v>
      </c>
      <c r="AX121" s="1572" t="s">
        <v>333</v>
      </c>
      <c r="AY121" s="1572" t="s">
        <v>35</v>
      </c>
      <c r="AZ121" s="1573" t="s">
        <v>1852</v>
      </c>
      <c r="BA121" s="1579"/>
      <c r="BB121" s="1579"/>
      <c r="BC121" s="1579"/>
      <c r="BD121" s="1579"/>
      <c r="BE121" s="1579"/>
      <c r="BF121" s="1579"/>
      <c r="BG121" s="1579"/>
      <c r="BH121" s="1580"/>
      <c r="BI121" s="1579"/>
      <c r="BJ121" s="1579"/>
      <c r="BK121" s="1581"/>
      <c r="BL121" s="1582"/>
      <c r="BM121" s="1582"/>
      <c r="BO121" s="1572" t="s">
        <v>333</v>
      </c>
      <c r="BP121" s="1572" t="s">
        <v>35</v>
      </c>
      <c r="BQ121" s="1573" t="s">
        <v>1699</v>
      </c>
      <c r="BR121" s="1579"/>
      <c r="BS121" s="1579"/>
      <c r="BT121" s="1579"/>
      <c r="BU121" s="1579"/>
      <c r="BV121" s="1579"/>
      <c r="BW121" s="1579"/>
      <c r="BX121" s="1579"/>
      <c r="BY121" s="1580"/>
      <c r="BZ121" s="1579"/>
      <c r="CA121" s="1579"/>
      <c r="CB121" s="1581"/>
      <c r="CC121" s="1582"/>
      <c r="CD121" s="1582"/>
      <c r="CE121" s="1583"/>
      <c r="CG121" s="1572" t="s">
        <v>332</v>
      </c>
      <c r="CH121" s="1572" t="s">
        <v>35</v>
      </c>
      <c r="CI121" s="1573" t="s">
        <v>1852</v>
      </c>
      <c r="CJ121" s="1759">
        <f t="shared" si="88"/>
        <v>0</v>
      </c>
      <c r="CK121" s="1759">
        <f t="shared" si="76"/>
        <v>0</v>
      </c>
      <c r="CL121" s="1759">
        <f t="shared" si="77"/>
        <v>0</v>
      </c>
      <c r="CM121" s="1759">
        <f t="shared" si="78"/>
        <v>0</v>
      </c>
      <c r="CN121" s="1759">
        <f t="shared" si="79"/>
        <v>0</v>
      </c>
      <c r="CO121" s="1759">
        <f t="shared" si="80"/>
        <v>0</v>
      </c>
      <c r="CP121" s="1759">
        <f t="shared" si="81"/>
        <v>0</v>
      </c>
      <c r="CQ121" s="1760">
        <f t="shared" si="82"/>
        <v>0</v>
      </c>
      <c r="CR121" s="1759">
        <f t="shared" si="83"/>
        <v>0</v>
      </c>
      <c r="CS121" s="1759">
        <f t="shared" si="84"/>
        <v>0</v>
      </c>
      <c r="CT121" s="1761">
        <f t="shared" si="85"/>
        <v>0</v>
      </c>
      <c r="CU121" s="1762">
        <f t="shared" si="86"/>
        <v>0</v>
      </c>
      <c r="CV121" s="1762">
        <f t="shared" si="87"/>
        <v>0</v>
      </c>
      <c r="CX121" s="1572" t="s">
        <v>332</v>
      </c>
      <c r="CY121" s="1572" t="s">
        <v>35</v>
      </c>
      <c r="CZ121" s="1573" t="s">
        <v>1852</v>
      </c>
      <c r="DA121" s="1763">
        <f t="shared" si="89"/>
        <v>0</v>
      </c>
      <c r="DB121" s="1763"/>
      <c r="DC121" s="1763"/>
      <c r="DD121" s="1763"/>
      <c r="DE121" s="1763"/>
      <c r="DF121" s="1763"/>
      <c r="DG121" s="1763"/>
      <c r="DH121" s="1764"/>
      <c r="DI121" s="1763"/>
      <c r="DJ121" s="1763"/>
      <c r="DK121" s="1765"/>
      <c r="DL121" s="1766"/>
      <c r="DM121" s="1766"/>
    </row>
    <row r="122" spans="2:117">
      <c r="B122" s="1584" t="str">
        <f t="shared" si="99"/>
        <v>LR1</v>
      </c>
      <c r="C122" s="1585" t="str">
        <f t="shared" si="67"/>
        <v>Energy</v>
      </c>
      <c r="D122" s="1767" t="e">
        <f>IF(I$121=0,0,G122/I$121)</f>
        <v>#VALUE!</v>
      </c>
      <c r="E122" s="1587">
        <f>IF(J$121=0,0,H122/J$121)</f>
        <v>0</v>
      </c>
      <c r="G122" s="1587">
        <f t="shared" si="96"/>
        <v>0.4</v>
      </c>
      <c r="H122" s="1587">
        <f t="shared" si="97"/>
        <v>0</v>
      </c>
      <c r="I122" s="1587">
        <f>G123+G124+G129+G138</f>
        <v>1</v>
      </c>
      <c r="J122" s="1587">
        <f>H123+H124+H129+H138</f>
        <v>0</v>
      </c>
      <c r="K122" s="1587">
        <f>IF(Score!U122=0,0,1)</f>
        <v>1</v>
      </c>
      <c r="L122" s="1587"/>
      <c r="M122" s="1587">
        <f t="shared" si="98"/>
        <v>0.4</v>
      </c>
      <c r="N122" s="1587">
        <f t="shared" si="101"/>
        <v>0</v>
      </c>
      <c r="P122" s="1584" t="str">
        <f t="shared" si="68"/>
        <v>LR1</v>
      </c>
      <c r="Q122" s="1584" t="str">
        <f t="shared" si="69"/>
        <v>LR</v>
      </c>
      <c r="R122" s="1585" t="str">
        <f t="shared" si="70"/>
        <v>Energy</v>
      </c>
      <c r="S122" s="1588">
        <f t="shared" si="52"/>
        <v>0.4</v>
      </c>
      <c r="T122" s="1588">
        <f t="shared" si="53"/>
        <v>0.4</v>
      </c>
      <c r="U122" s="1588">
        <f t="shared" si="54"/>
        <v>0.4</v>
      </c>
      <c r="V122" s="1588">
        <f t="shared" si="55"/>
        <v>0.4</v>
      </c>
      <c r="W122" s="1588">
        <f t="shared" si="56"/>
        <v>0.4</v>
      </c>
      <c r="X122" s="1588">
        <f t="shared" si="57"/>
        <v>0.4</v>
      </c>
      <c r="Y122" s="1588">
        <f t="shared" si="58"/>
        <v>0.4</v>
      </c>
      <c r="Z122" s="1588">
        <f t="shared" si="59"/>
        <v>0.4</v>
      </c>
      <c r="AA122" s="1588">
        <f t="shared" si="60"/>
        <v>0.4</v>
      </c>
      <c r="AB122" s="1588">
        <f t="shared" si="61"/>
        <v>0.4</v>
      </c>
      <c r="AC122" s="1710">
        <f t="shared" si="62"/>
        <v>0</v>
      </c>
      <c r="AD122" s="1588">
        <f t="shared" si="63"/>
        <v>0</v>
      </c>
      <c r="AE122" s="1588">
        <f t="shared" si="64"/>
        <v>0</v>
      </c>
      <c r="AG122" s="1584" t="s">
        <v>334</v>
      </c>
      <c r="AH122" s="1590" t="s">
        <v>335</v>
      </c>
      <c r="AI122" s="1585" t="s">
        <v>1853</v>
      </c>
      <c r="AJ122" s="1592">
        <v>0.4</v>
      </c>
      <c r="AK122" s="1592">
        <v>0.4</v>
      </c>
      <c r="AL122" s="1592">
        <v>0.4</v>
      </c>
      <c r="AM122" s="1592">
        <v>0.4</v>
      </c>
      <c r="AN122" s="1592">
        <v>0.4</v>
      </c>
      <c r="AO122" s="1592">
        <v>0.4</v>
      </c>
      <c r="AP122" s="1592">
        <v>0.4</v>
      </c>
      <c r="AQ122" s="1592">
        <v>0.4</v>
      </c>
      <c r="AR122" s="1592">
        <v>0.4</v>
      </c>
      <c r="AS122" s="1592">
        <v>0.4</v>
      </c>
      <c r="AT122" s="1593"/>
      <c r="AU122" s="1592"/>
      <c r="AV122" s="1592"/>
      <c r="AX122" s="1584" t="s">
        <v>334</v>
      </c>
      <c r="AY122" s="1590" t="s">
        <v>335</v>
      </c>
      <c r="AZ122" s="1585" t="s">
        <v>1853</v>
      </c>
      <c r="BA122" s="1592">
        <v>0.4</v>
      </c>
      <c r="BB122" s="1592">
        <v>0.4</v>
      </c>
      <c r="BC122" s="1592">
        <v>0.4</v>
      </c>
      <c r="BD122" s="1592">
        <v>0.4</v>
      </c>
      <c r="BE122" s="1592">
        <v>0.4</v>
      </c>
      <c r="BF122" s="1592">
        <v>0.4</v>
      </c>
      <c r="BG122" s="1592">
        <v>0.4</v>
      </c>
      <c r="BH122" s="1592">
        <v>0.4</v>
      </c>
      <c r="BI122" s="1592">
        <v>0.4</v>
      </c>
      <c r="BJ122" s="1592">
        <v>0.4</v>
      </c>
      <c r="BK122" s="1593"/>
      <c r="BL122" s="1592"/>
      <c r="BM122" s="1592"/>
      <c r="BO122" s="1584" t="s">
        <v>334</v>
      </c>
      <c r="BP122" s="1590" t="s">
        <v>335</v>
      </c>
      <c r="BQ122" s="1585" t="s">
        <v>1629</v>
      </c>
      <c r="BR122" s="1592">
        <v>0.4</v>
      </c>
      <c r="BS122" s="1592">
        <v>0.4</v>
      </c>
      <c r="BT122" s="1592">
        <v>0.4</v>
      </c>
      <c r="BU122" s="1592">
        <v>0.4</v>
      </c>
      <c r="BV122" s="1592">
        <v>0.4</v>
      </c>
      <c r="BW122" s="1592">
        <v>0.4</v>
      </c>
      <c r="BX122" s="1592">
        <v>0.4</v>
      </c>
      <c r="BY122" s="1592">
        <v>0.4</v>
      </c>
      <c r="BZ122" s="1768">
        <v>0.4</v>
      </c>
      <c r="CA122" s="1592">
        <v>0.4</v>
      </c>
      <c r="CB122" s="1593"/>
      <c r="CC122" s="1592"/>
      <c r="CD122" s="1592"/>
      <c r="CE122" s="1594"/>
      <c r="CG122" s="1584" t="s">
        <v>281</v>
      </c>
      <c r="CH122" s="1590" t="s">
        <v>335</v>
      </c>
      <c r="CI122" s="1585" t="s">
        <v>1853</v>
      </c>
      <c r="CJ122" s="1595">
        <v>0.2</v>
      </c>
      <c r="CK122" s="1595">
        <v>0.2</v>
      </c>
      <c r="CL122" s="1595">
        <v>0.2</v>
      </c>
      <c r="CM122" s="1595">
        <v>0.2</v>
      </c>
      <c r="CN122" s="1595">
        <v>0.2</v>
      </c>
      <c r="CO122" s="1595">
        <v>0.2</v>
      </c>
      <c r="CP122" s="1595">
        <v>0.2</v>
      </c>
      <c r="CQ122" s="1595">
        <v>0.2</v>
      </c>
      <c r="CR122" s="1595">
        <v>0.2</v>
      </c>
      <c r="CS122" s="1595">
        <v>0.2</v>
      </c>
      <c r="CT122" s="1599">
        <f t="shared" si="85"/>
        <v>0</v>
      </c>
      <c r="CU122" s="1595">
        <f t="shared" si="86"/>
        <v>0</v>
      </c>
      <c r="CV122" s="1595">
        <f t="shared" si="87"/>
        <v>0</v>
      </c>
      <c r="CX122" s="1584" t="s">
        <v>281</v>
      </c>
      <c r="CY122" s="1590" t="s">
        <v>335</v>
      </c>
      <c r="CZ122" s="1585" t="s">
        <v>1853</v>
      </c>
      <c r="DA122" s="1598">
        <v>0.55000000000000004</v>
      </c>
      <c r="DB122" s="1595"/>
      <c r="DC122" s="1595"/>
      <c r="DD122" s="1595"/>
      <c r="DE122" s="1595"/>
      <c r="DF122" s="1595"/>
      <c r="DG122" s="1595"/>
      <c r="DH122" s="1595"/>
      <c r="DI122" s="1595"/>
      <c r="DJ122" s="1595"/>
      <c r="DK122" s="1599"/>
      <c r="DL122" s="1595"/>
      <c r="DM122" s="1595"/>
    </row>
    <row r="123" spans="2:117">
      <c r="B123" s="1584">
        <f t="shared" si="99"/>
        <v>1</v>
      </c>
      <c r="C123" s="1600" t="str">
        <f t="shared" si="67"/>
        <v>Control of Heat Load on Building Envelopes</v>
      </c>
      <c r="D123" s="1601">
        <f>IF(I$122=0,0,G123/I$122)</f>
        <v>0.2</v>
      </c>
      <c r="E123" s="1602">
        <f>IF(J$122=0,0,H123/J$122)</f>
        <v>0</v>
      </c>
      <c r="G123" s="1602">
        <f t="shared" si="96"/>
        <v>0.2</v>
      </c>
      <c r="H123" s="1602">
        <f t="shared" si="97"/>
        <v>0</v>
      </c>
      <c r="I123" s="1602"/>
      <c r="J123" s="1602"/>
      <c r="K123" s="1602">
        <f>IF(Score!W123=0,0,1)</f>
        <v>1</v>
      </c>
      <c r="L123" s="1602">
        <f>IF(Score!X123=0,0,1)</f>
        <v>0</v>
      </c>
      <c r="M123" s="1602">
        <f t="shared" si="98"/>
        <v>0.2</v>
      </c>
      <c r="N123" s="1602">
        <f t="shared" si="101"/>
        <v>0</v>
      </c>
      <c r="P123" s="1769">
        <f t="shared" si="68"/>
        <v>1</v>
      </c>
      <c r="Q123" s="1604" t="str">
        <f t="shared" si="69"/>
        <v>LR1</v>
      </c>
      <c r="R123" s="1600" t="str">
        <f t="shared" si="70"/>
        <v>Control of Heat Load on Building Envelopes</v>
      </c>
      <c r="S123" s="1711">
        <f t="shared" si="52"/>
        <v>0.2</v>
      </c>
      <c r="T123" s="1711">
        <f t="shared" si="53"/>
        <v>0.2</v>
      </c>
      <c r="U123" s="1711">
        <f t="shared" si="54"/>
        <v>0.2</v>
      </c>
      <c r="V123" s="1711">
        <f t="shared" si="55"/>
        <v>0.2</v>
      </c>
      <c r="W123" s="1711">
        <f t="shared" si="56"/>
        <v>0.2</v>
      </c>
      <c r="X123" s="1711">
        <f t="shared" si="57"/>
        <v>0.2</v>
      </c>
      <c r="Y123" s="1711">
        <f t="shared" si="58"/>
        <v>0.2</v>
      </c>
      <c r="Z123" s="1606">
        <f t="shared" si="59"/>
        <v>0.2</v>
      </c>
      <c r="AA123" s="1711">
        <f t="shared" si="60"/>
        <v>0.2</v>
      </c>
      <c r="AB123" s="1711">
        <f t="shared" si="61"/>
        <v>0.2</v>
      </c>
      <c r="AC123" s="1607">
        <f t="shared" si="62"/>
        <v>0</v>
      </c>
      <c r="AD123" s="1605">
        <f t="shared" si="63"/>
        <v>0</v>
      </c>
      <c r="AE123" s="1605">
        <f t="shared" si="64"/>
        <v>0</v>
      </c>
      <c r="AG123" s="1769">
        <v>1</v>
      </c>
      <c r="AH123" s="1608" t="s">
        <v>405</v>
      </c>
      <c r="AI123" s="1600" t="s">
        <v>1854</v>
      </c>
      <c r="AJ123" s="1714">
        <v>0.2</v>
      </c>
      <c r="AK123" s="1714">
        <v>0.2</v>
      </c>
      <c r="AL123" s="1714">
        <v>0.2</v>
      </c>
      <c r="AM123" s="1714">
        <v>0.2</v>
      </c>
      <c r="AN123" s="1714">
        <v>0.2</v>
      </c>
      <c r="AO123" s="1714">
        <v>0.2</v>
      </c>
      <c r="AP123" s="1714">
        <v>0.2</v>
      </c>
      <c r="AQ123" s="1714">
        <v>0.2</v>
      </c>
      <c r="AR123" s="1714"/>
      <c r="AS123" s="1714">
        <v>0.2</v>
      </c>
      <c r="AT123" s="1612"/>
      <c r="AU123" s="1611"/>
      <c r="AV123" s="1611"/>
      <c r="AX123" s="1769">
        <v>1</v>
      </c>
      <c r="AY123" s="1608" t="s">
        <v>405</v>
      </c>
      <c r="AZ123" s="1600" t="s">
        <v>1854</v>
      </c>
      <c r="BA123" s="1714">
        <v>0.2</v>
      </c>
      <c r="BB123" s="1714">
        <v>0.2</v>
      </c>
      <c r="BC123" s="1714">
        <v>0.2</v>
      </c>
      <c r="BD123" s="1714">
        <v>0.2</v>
      </c>
      <c r="BE123" s="1714">
        <v>0.2</v>
      </c>
      <c r="BF123" s="1714">
        <v>0.2</v>
      </c>
      <c r="BG123" s="1714">
        <v>0.2</v>
      </c>
      <c r="BH123" s="1714">
        <v>0.2</v>
      </c>
      <c r="BI123" s="1714">
        <v>0.2</v>
      </c>
      <c r="BJ123" s="1714">
        <v>0.2</v>
      </c>
      <c r="BK123" s="1612"/>
      <c r="BL123" s="1611"/>
      <c r="BM123" s="1611"/>
      <c r="BO123" s="1769">
        <v>1</v>
      </c>
      <c r="BP123" s="1608" t="s">
        <v>405</v>
      </c>
      <c r="BQ123" s="1819" t="s">
        <v>2406</v>
      </c>
      <c r="BR123" s="1714">
        <v>0.2</v>
      </c>
      <c r="BS123" s="1714">
        <v>0.2</v>
      </c>
      <c r="BT123" s="1714">
        <v>0.2</v>
      </c>
      <c r="BU123" s="1714">
        <v>0.2</v>
      </c>
      <c r="BV123" s="1714">
        <v>0.2</v>
      </c>
      <c r="BW123" s="1714">
        <v>0.2</v>
      </c>
      <c r="BX123" s="1714">
        <v>0.2</v>
      </c>
      <c r="BY123" s="1714">
        <v>0.2</v>
      </c>
      <c r="BZ123" s="1768">
        <v>0.2</v>
      </c>
      <c r="CA123" s="1714">
        <v>0.2</v>
      </c>
      <c r="CB123" s="1612"/>
      <c r="CC123" s="1611"/>
      <c r="CD123" s="1611"/>
      <c r="CE123" s="1615"/>
      <c r="CG123" s="1769">
        <v>1</v>
      </c>
      <c r="CH123" s="1608" t="s">
        <v>405</v>
      </c>
      <c r="CI123" s="1600" t="s">
        <v>1854</v>
      </c>
      <c r="CJ123" s="1770">
        <f t="shared" si="88"/>
        <v>0.2</v>
      </c>
      <c r="CK123" s="1770">
        <f t="shared" si="76"/>
        <v>0.2</v>
      </c>
      <c r="CL123" s="1770">
        <f t="shared" si="77"/>
        <v>0.2</v>
      </c>
      <c r="CM123" s="1770">
        <f t="shared" si="78"/>
        <v>0.2</v>
      </c>
      <c r="CN123" s="1770">
        <f t="shared" si="79"/>
        <v>0.2</v>
      </c>
      <c r="CO123" s="1770">
        <f t="shared" si="80"/>
        <v>0.2</v>
      </c>
      <c r="CP123" s="1770">
        <f t="shared" si="81"/>
        <v>0.2</v>
      </c>
      <c r="CQ123" s="1770">
        <f t="shared" si="82"/>
        <v>0.2</v>
      </c>
      <c r="CR123" s="1770">
        <f t="shared" si="83"/>
        <v>0.2</v>
      </c>
      <c r="CS123" s="1770">
        <f t="shared" si="84"/>
        <v>0.2</v>
      </c>
      <c r="CT123" s="1618">
        <f t="shared" si="85"/>
        <v>0</v>
      </c>
      <c r="CU123" s="1616">
        <f t="shared" si="86"/>
        <v>0</v>
      </c>
      <c r="CV123" s="1616">
        <f t="shared" si="87"/>
        <v>0</v>
      </c>
      <c r="CX123" s="1769">
        <v>1</v>
      </c>
      <c r="CY123" s="1608" t="s">
        <v>405</v>
      </c>
      <c r="CZ123" s="1600" t="s">
        <v>1854</v>
      </c>
      <c r="DA123" s="1717">
        <f t="shared" si="89"/>
        <v>0.2</v>
      </c>
      <c r="DB123" s="1717"/>
      <c r="DC123" s="1717"/>
      <c r="DD123" s="1717"/>
      <c r="DE123" s="1717"/>
      <c r="DF123" s="1717"/>
      <c r="DG123" s="1717"/>
      <c r="DH123" s="1717"/>
      <c r="DI123" s="1717"/>
      <c r="DJ123" s="1717"/>
      <c r="DK123" s="1621"/>
      <c r="DL123" s="1619"/>
      <c r="DM123" s="1619"/>
    </row>
    <row r="124" spans="2:117">
      <c r="B124" s="1584">
        <f t="shared" si="99"/>
        <v>2</v>
      </c>
      <c r="C124" s="1600" t="str">
        <f t="shared" si="67"/>
        <v>Natural Energy Utilization (Direct Use)</v>
      </c>
      <c r="D124" s="1601">
        <f>IF(I$122=0,0,G124/I$122)</f>
        <v>0.1</v>
      </c>
      <c r="E124" s="1602">
        <f>IF(J$122=0,0,H124/J$122)</f>
        <v>0</v>
      </c>
      <c r="G124" s="1602">
        <f>K124*M124</f>
        <v>0.1</v>
      </c>
      <c r="H124" s="1602">
        <f t="shared" si="97"/>
        <v>0</v>
      </c>
      <c r="I124" s="1771">
        <f>SUM(G125:G126)</f>
        <v>0</v>
      </c>
      <c r="J124" s="1771">
        <f>SUM(H125:H126)</f>
        <v>0</v>
      </c>
      <c r="K124" s="1602">
        <f>IF(Score!W124=0,0,1)</f>
        <v>1</v>
      </c>
      <c r="L124" s="1602">
        <f>IF(Score!X124=0,0,1)</f>
        <v>0</v>
      </c>
      <c r="M124" s="1602">
        <f t="shared" si="98"/>
        <v>0.1</v>
      </c>
      <c r="N124" s="1602">
        <f t="shared" si="101"/>
        <v>0</v>
      </c>
      <c r="P124" s="1604">
        <f t="shared" si="68"/>
        <v>2</v>
      </c>
      <c r="Q124" s="1604" t="str">
        <f t="shared" si="69"/>
        <v>LR1</v>
      </c>
      <c r="R124" s="1600" t="str">
        <f t="shared" si="70"/>
        <v>Natural Energy Utilization (Direct Use)</v>
      </c>
      <c r="S124" s="1711">
        <f t="shared" si="52"/>
        <v>0.1</v>
      </c>
      <c r="T124" s="1711">
        <f t="shared" si="53"/>
        <v>0.1</v>
      </c>
      <c r="U124" s="1711">
        <f t="shared" si="54"/>
        <v>0.1</v>
      </c>
      <c r="V124" s="1711">
        <f t="shared" si="55"/>
        <v>0.1</v>
      </c>
      <c r="W124" s="1711">
        <f t="shared" si="56"/>
        <v>0.1</v>
      </c>
      <c r="X124" s="1711">
        <f t="shared" si="57"/>
        <v>0.1</v>
      </c>
      <c r="Y124" s="1711">
        <f t="shared" si="58"/>
        <v>0.1</v>
      </c>
      <c r="Z124" s="1606">
        <f t="shared" si="59"/>
        <v>0.1</v>
      </c>
      <c r="AA124" s="1711">
        <f t="shared" si="60"/>
        <v>0.1</v>
      </c>
      <c r="AB124" s="1711">
        <f t="shared" si="61"/>
        <v>0.1</v>
      </c>
      <c r="AC124" s="1607">
        <f t="shared" si="62"/>
        <v>0</v>
      </c>
      <c r="AD124" s="1605">
        <f t="shared" si="63"/>
        <v>0</v>
      </c>
      <c r="AE124" s="1605">
        <f t="shared" si="64"/>
        <v>0</v>
      </c>
      <c r="AG124" s="1604">
        <v>2</v>
      </c>
      <c r="AH124" s="1608" t="s">
        <v>405</v>
      </c>
      <c r="AI124" s="1600" t="s">
        <v>1855</v>
      </c>
      <c r="AJ124" s="1714">
        <v>0.1</v>
      </c>
      <c r="AK124" s="1714">
        <v>0.1</v>
      </c>
      <c r="AL124" s="1714">
        <v>0.1</v>
      </c>
      <c r="AM124" s="1714">
        <v>0.1</v>
      </c>
      <c r="AN124" s="1714">
        <v>0.1</v>
      </c>
      <c r="AO124" s="1714">
        <v>0.1</v>
      </c>
      <c r="AP124" s="1714">
        <v>0.1</v>
      </c>
      <c r="AQ124" s="1714">
        <v>0.1</v>
      </c>
      <c r="AR124" s="1772">
        <v>0.125</v>
      </c>
      <c r="AS124" s="1714">
        <v>0.1</v>
      </c>
      <c r="AT124" s="1612"/>
      <c r="AU124" s="1611"/>
      <c r="AV124" s="1611"/>
      <c r="AX124" s="1604">
        <v>2</v>
      </c>
      <c r="AY124" s="1608" t="s">
        <v>405</v>
      </c>
      <c r="AZ124" s="1600" t="s">
        <v>1855</v>
      </c>
      <c r="BA124" s="1714">
        <v>0.1</v>
      </c>
      <c r="BB124" s="1714">
        <v>0.1</v>
      </c>
      <c r="BC124" s="1714">
        <v>0.1</v>
      </c>
      <c r="BD124" s="1714">
        <v>0.1</v>
      </c>
      <c r="BE124" s="1714">
        <v>0.1</v>
      </c>
      <c r="BF124" s="1714">
        <v>0.1</v>
      </c>
      <c r="BG124" s="1714">
        <v>0.1</v>
      </c>
      <c r="BH124" s="1714">
        <v>0.1</v>
      </c>
      <c r="BI124" s="1714">
        <v>0.1</v>
      </c>
      <c r="BJ124" s="1714">
        <v>0.1</v>
      </c>
      <c r="BK124" s="1612"/>
      <c r="BL124" s="1611"/>
      <c r="BM124" s="1611"/>
      <c r="BO124" s="1604">
        <v>2</v>
      </c>
      <c r="BP124" s="1608" t="s">
        <v>405</v>
      </c>
      <c r="BQ124" s="1819" t="s">
        <v>3348</v>
      </c>
      <c r="BR124" s="1714">
        <v>0.1</v>
      </c>
      <c r="BS124" s="1714">
        <v>0.1</v>
      </c>
      <c r="BT124" s="1714">
        <v>0.1</v>
      </c>
      <c r="BU124" s="1714">
        <v>0.1</v>
      </c>
      <c r="BV124" s="1714">
        <v>0.1</v>
      </c>
      <c r="BW124" s="1714">
        <v>0.1</v>
      </c>
      <c r="BX124" s="1714">
        <v>0.1</v>
      </c>
      <c r="BY124" s="1714">
        <v>0.1</v>
      </c>
      <c r="BZ124" s="1768">
        <v>0.1</v>
      </c>
      <c r="CA124" s="1714">
        <v>0.1</v>
      </c>
      <c r="CB124" s="1612"/>
      <c r="CC124" s="1611"/>
      <c r="CD124" s="1611"/>
      <c r="CE124" s="1615"/>
      <c r="CG124" s="1604">
        <v>2</v>
      </c>
      <c r="CH124" s="1608" t="s">
        <v>405</v>
      </c>
      <c r="CI124" s="1600" t="s">
        <v>1855</v>
      </c>
      <c r="CJ124" s="1770">
        <f t="shared" si="88"/>
        <v>0.1</v>
      </c>
      <c r="CK124" s="1770">
        <f t="shared" si="76"/>
        <v>0.1</v>
      </c>
      <c r="CL124" s="1770">
        <f t="shared" si="77"/>
        <v>0.1</v>
      </c>
      <c r="CM124" s="1770">
        <f t="shared" si="78"/>
        <v>0.1</v>
      </c>
      <c r="CN124" s="1770">
        <f t="shared" si="79"/>
        <v>0.1</v>
      </c>
      <c r="CO124" s="1770">
        <f t="shared" si="80"/>
        <v>0.1</v>
      </c>
      <c r="CP124" s="1770">
        <f t="shared" si="81"/>
        <v>0.1</v>
      </c>
      <c r="CQ124" s="1770">
        <f t="shared" si="82"/>
        <v>0.1</v>
      </c>
      <c r="CR124" s="1770">
        <f t="shared" si="83"/>
        <v>0.1</v>
      </c>
      <c r="CS124" s="1770">
        <f t="shared" si="84"/>
        <v>0.1</v>
      </c>
      <c r="CT124" s="1618">
        <f t="shared" si="85"/>
        <v>0</v>
      </c>
      <c r="CU124" s="1616">
        <f t="shared" si="86"/>
        <v>0</v>
      </c>
      <c r="CV124" s="1616">
        <f t="shared" si="87"/>
        <v>0</v>
      </c>
      <c r="CX124" s="1604">
        <v>2</v>
      </c>
      <c r="CY124" s="1608" t="s">
        <v>405</v>
      </c>
      <c r="CZ124" s="1600" t="s">
        <v>1855</v>
      </c>
      <c r="DA124" s="1717">
        <f t="shared" si="89"/>
        <v>0.1</v>
      </c>
      <c r="DB124" s="1717"/>
      <c r="DC124" s="1717"/>
      <c r="DD124" s="1717"/>
      <c r="DE124" s="1717"/>
      <c r="DF124" s="1717"/>
      <c r="DG124" s="1717"/>
      <c r="DH124" s="1717"/>
      <c r="DI124" s="1717"/>
      <c r="DJ124" s="1717"/>
      <c r="DK124" s="1621"/>
      <c r="DL124" s="1619"/>
      <c r="DM124" s="1619"/>
    </row>
    <row r="125" spans="2:117" hidden="1">
      <c r="B125" s="1584">
        <f t="shared" si="99"/>
        <v>0</v>
      </c>
      <c r="C125" s="1600">
        <f t="shared" si="67"/>
        <v>0</v>
      </c>
      <c r="D125" s="1623">
        <f>IF(I$124=0,0,G125/I$124)</f>
        <v>0</v>
      </c>
      <c r="E125" s="1623">
        <f>IF(J$124=0,0,H125/J$124)</f>
        <v>0</v>
      </c>
      <c r="G125" s="1602">
        <f t="shared" si="96"/>
        <v>0</v>
      </c>
      <c r="H125" s="1602">
        <f t="shared" si="97"/>
        <v>0</v>
      </c>
      <c r="I125" s="1602"/>
      <c r="J125" s="1602"/>
      <c r="K125" s="1624">
        <f>IF(Score!W125=0,0,1)</f>
        <v>0</v>
      </c>
      <c r="L125" s="1624">
        <f>IF(Score!X125=0,0,1)</f>
        <v>0</v>
      </c>
      <c r="M125" s="1624">
        <f t="shared" si="98"/>
        <v>0</v>
      </c>
      <c r="N125" s="1624">
        <f t="shared" si="101"/>
        <v>0</v>
      </c>
      <c r="P125" s="1604">
        <f t="shared" si="68"/>
        <v>0</v>
      </c>
      <c r="Q125" s="1604" t="str">
        <f t="shared" si="69"/>
        <v>LR</v>
      </c>
      <c r="R125" s="1600">
        <f t="shared" si="70"/>
        <v>0</v>
      </c>
      <c r="S125" s="1626">
        <f t="shared" si="52"/>
        <v>0</v>
      </c>
      <c r="T125" s="1626">
        <f t="shared" si="53"/>
        <v>0</v>
      </c>
      <c r="U125" s="1626">
        <f t="shared" si="54"/>
        <v>0</v>
      </c>
      <c r="V125" s="1626">
        <f t="shared" si="55"/>
        <v>0</v>
      </c>
      <c r="W125" s="1626">
        <f t="shared" si="56"/>
        <v>0</v>
      </c>
      <c r="X125" s="1626">
        <f t="shared" si="57"/>
        <v>0</v>
      </c>
      <c r="Y125" s="1626">
        <f t="shared" si="58"/>
        <v>0</v>
      </c>
      <c r="Z125" s="1645">
        <f t="shared" si="59"/>
        <v>0</v>
      </c>
      <c r="AA125" s="1626">
        <f t="shared" si="60"/>
        <v>0</v>
      </c>
      <c r="AB125" s="1626">
        <f t="shared" si="61"/>
        <v>0</v>
      </c>
      <c r="AC125" s="1607">
        <f t="shared" si="62"/>
        <v>0</v>
      </c>
      <c r="AD125" s="1605">
        <f t="shared" si="63"/>
        <v>0</v>
      </c>
      <c r="AE125" s="1605">
        <f t="shared" si="64"/>
        <v>0</v>
      </c>
      <c r="AG125" s="1604"/>
      <c r="AH125" s="1608" t="s">
        <v>37</v>
      </c>
      <c r="AI125" s="1600" t="s">
        <v>1856</v>
      </c>
      <c r="AJ125" s="1714"/>
      <c r="AK125" s="1714"/>
      <c r="AL125" s="1714"/>
      <c r="AM125" s="1714"/>
      <c r="AN125" s="1714"/>
      <c r="AO125" s="1714"/>
      <c r="AP125" s="1714"/>
      <c r="AQ125" s="1714"/>
      <c r="AR125" s="1714"/>
      <c r="AS125" s="1714"/>
      <c r="AT125" s="1612"/>
      <c r="AU125" s="1611"/>
      <c r="AV125" s="1611"/>
      <c r="AX125" s="1604"/>
      <c r="AY125" s="1608" t="s">
        <v>37</v>
      </c>
      <c r="AZ125" s="1600" t="s">
        <v>1857</v>
      </c>
      <c r="BA125" s="1714"/>
      <c r="BB125" s="1714"/>
      <c r="BC125" s="1714"/>
      <c r="BD125" s="1714"/>
      <c r="BE125" s="1714"/>
      <c r="BF125" s="1714"/>
      <c r="BG125" s="1714"/>
      <c r="BH125" s="1714"/>
      <c r="BI125" s="1714"/>
      <c r="BJ125" s="1714"/>
      <c r="BK125" s="1612"/>
      <c r="BL125" s="1611"/>
      <c r="BM125" s="1611"/>
      <c r="BO125" s="1604"/>
      <c r="BP125" s="1608" t="s">
        <v>37</v>
      </c>
      <c r="BQ125" s="1600"/>
      <c r="BR125" s="1714"/>
      <c r="BS125" s="1714"/>
      <c r="BT125" s="1714"/>
      <c r="BU125" s="1714"/>
      <c r="BV125" s="1714"/>
      <c r="BW125" s="1714"/>
      <c r="BX125" s="1714"/>
      <c r="BY125" s="1714"/>
      <c r="BZ125" s="1768"/>
      <c r="CA125" s="1714"/>
      <c r="CB125" s="1612"/>
      <c r="CC125" s="1611"/>
      <c r="CD125" s="1611"/>
      <c r="CE125" s="1615"/>
      <c r="CG125" s="1604"/>
      <c r="CH125" s="1608" t="s">
        <v>37</v>
      </c>
      <c r="CI125" s="1600"/>
      <c r="CJ125" s="1770">
        <f t="shared" si="88"/>
        <v>0</v>
      </c>
      <c r="CK125" s="1770">
        <f t="shared" si="76"/>
        <v>0</v>
      </c>
      <c r="CL125" s="1770">
        <f t="shared" si="77"/>
        <v>0</v>
      </c>
      <c r="CM125" s="1770">
        <f t="shared" si="78"/>
        <v>0</v>
      </c>
      <c r="CN125" s="1770">
        <f t="shared" si="79"/>
        <v>0</v>
      </c>
      <c r="CO125" s="1770">
        <f t="shared" si="80"/>
        <v>0</v>
      </c>
      <c r="CP125" s="1770">
        <f t="shared" si="81"/>
        <v>0</v>
      </c>
      <c r="CQ125" s="1770">
        <f t="shared" si="82"/>
        <v>0</v>
      </c>
      <c r="CR125" s="1770">
        <f t="shared" si="83"/>
        <v>0</v>
      </c>
      <c r="CS125" s="1770">
        <f t="shared" si="84"/>
        <v>0</v>
      </c>
      <c r="CT125" s="1618">
        <f t="shared" si="85"/>
        <v>0</v>
      </c>
      <c r="CU125" s="1616">
        <f t="shared" si="86"/>
        <v>0</v>
      </c>
      <c r="CV125" s="1616">
        <f t="shared" si="87"/>
        <v>0</v>
      </c>
      <c r="CX125" s="1604"/>
      <c r="CY125" s="1608" t="s">
        <v>37</v>
      </c>
      <c r="CZ125" s="1600"/>
      <c r="DA125" s="1717">
        <f t="shared" si="89"/>
        <v>0</v>
      </c>
      <c r="DB125" s="1717"/>
      <c r="DC125" s="1717"/>
      <c r="DD125" s="1717"/>
      <c r="DE125" s="1717"/>
      <c r="DF125" s="1717"/>
      <c r="DG125" s="1717"/>
      <c r="DH125" s="1717"/>
      <c r="DI125" s="1717"/>
      <c r="DJ125" s="1717"/>
      <c r="DK125" s="1621"/>
      <c r="DL125" s="1619"/>
      <c r="DM125" s="1619"/>
    </row>
    <row r="126" spans="2:117" hidden="1">
      <c r="B126" s="1584">
        <f t="shared" si="99"/>
        <v>0</v>
      </c>
      <c r="C126" s="1600">
        <f t="shared" si="67"/>
        <v>0</v>
      </c>
      <c r="D126" s="1623">
        <f>IF(I$124=0,0,G126/I$124)</f>
        <v>0</v>
      </c>
      <c r="E126" s="1623">
        <f>IF(J$124=0,0,H126/J$124)</f>
        <v>0</v>
      </c>
      <c r="G126" s="1602">
        <f t="shared" si="96"/>
        <v>0</v>
      </c>
      <c r="H126" s="1602">
        <f t="shared" si="97"/>
        <v>0</v>
      </c>
      <c r="I126" s="1771">
        <f>SUM(G127:G128)</f>
        <v>0</v>
      </c>
      <c r="J126" s="1771">
        <f>SUM(H127:H128)</f>
        <v>0</v>
      </c>
      <c r="K126" s="1624">
        <f>IF(Score!W126=0,0,1)</f>
        <v>0</v>
      </c>
      <c r="L126" s="1624">
        <f>IF(Score!X126=0,0,1)</f>
        <v>0</v>
      </c>
      <c r="M126" s="1624">
        <f t="shared" si="98"/>
        <v>0</v>
      </c>
      <c r="N126" s="1624">
        <f t="shared" si="101"/>
        <v>0</v>
      </c>
      <c r="P126" s="1604">
        <f t="shared" si="68"/>
        <v>0</v>
      </c>
      <c r="Q126" s="1604" t="str">
        <f t="shared" si="69"/>
        <v>LR</v>
      </c>
      <c r="R126" s="1600">
        <f t="shared" si="70"/>
        <v>0</v>
      </c>
      <c r="S126" s="1626">
        <f t="shared" si="52"/>
        <v>0</v>
      </c>
      <c r="T126" s="1626">
        <f t="shared" si="53"/>
        <v>0</v>
      </c>
      <c r="U126" s="1626">
        <f t="shared" si="54"/>
        <v>0</v>
      </c>
      <c r="V126" s="1626">
        <f t="shared" si="55"/>
        <v>0</v>
      </c>
      <c r="W126" s="1626">
        <f t="shared" si="56"/>
        <v>0</v>
      </c>
      <c r="X126" s="1626">
        <f t="shared" si="57"/>
        <v>0</v>
      </c>
      <c r="Y126" s="1626">
        <f t="shared" si="58"/>
        <v>0</v>
      </c>
      <c r="Z126" s="1645">
        <f t="shared" si="59"/>
        <v>0</v>
      </c>
      <c r="AA126" s="1626">
        <f t="shared" si="60"/>
        <v>0</v>
      </c>
      <c r="AB126" s="1626">
        <f t="shared" si="61"/>
        <v>0</v>
      </c>
      <c r="AC126" s="1607">
        <f t="shared" si="62"/>
        <v>0</v>
      </c>
      <c r="AD126" s="1605">
        <f t="shared" si="63"/>
        <v>0</v>
      </c>
      <c r="AE126" s="1605">
        <f t="shared" si="64"/>
        <v>0</v>
      </c>
      <c r="AG126" s="1604"/>
      <c r="AH126" s="1608" t="s">
        <v>37</v>
      </c>
      <c r="AI126" s="1600" t="s">
        <v>1858</v>
      </c>
      <c r="AJ126" s="1714"/>
      <c r="AK126" s="1714"/>
      <c r="AL126" s="1714"/>
      <c r="AM126" s="1714"/>
      <c r="AN126" s="1714"/>
      <c r="AO126" s="1714"/>
      <c r="AP126" s="1714"/>
      <c r="AQ126" s="1714"/>
      <c r="AR126" s="1714"/>
      <c r="AS126" s="1714"/>
      <c r="AT126" s="1612"/>
      <c r="AU126" s="1611"/>
      <c r="AV126" s="1611"/>
      <c r="AX126" s="1604"/>
      <c r="AY126" s="1608" t="s">
        <v>37</v>
      </c>
      <c r="AZ126" s="1600" t="s">
        <v>1859</v>
      </c>
      <c r="BA126" s="1714">
        <v>1</v>
      </c>
      <c r="BB126" s="1714">
        <v>1</v>
      </c>
      <c r="BC126" s="1714">
        <v>1</v>
      </c>
      <c r="BD126" s="1714">
        <v>1</v>
      </c>
      <c r="BE126" s="1714">
        <v>1</v>
      </c>
      <c r="BF126" s="1714">
        <v>1</v>
      </c>
      <c r="BG126" s="1714">
        <v>1</v>
      </c>
      <c r="BH126" s="1714">
        <v>1</v>
      </c>
      <c r="BI126" s="1714">
        <v>1</v>
      </c>
      <c r="BJ126" s="1714">
        <v>1</v>
      </c>
      <c r="BK126" s="1612"/>
      <c r="BL126" s="1611"/>
      <c r="BM126" s="1611"/>
      <c r="BO126" s="1604"/>
      <c r="BP126" s="1608" t="s">
        <v>37</v>
      </c>
      <c r="BQ126" s="1600"/>
      <c r="BR126" s="1714"/>
      <c r="BS126" s="1714"/>
      <c r="BT126" s="1714"/>
      <c r="BU126" s="1714"/>
      <c r="BV126" s="1714"/>
      <c r="BW126" s="1714"/>
      <c r="BX126" s="1714"/>
      <c r="BY126" s="1714"/>
      <c r="BZ126" s="1768"/>
      <c r="CA126" s="1714"/>
      <c r="CB126" s="1612"/>
      <c r="CC126" s="1611"/>
      <c r="CD126" s="1611"/>
      <c r="CE126" s="1615"/>
      <c r="CG126" s="1604"/>
      <c r="CH126" s="1608" t="s">
        <v>37</v>
      </c>
      <c r="CI126" s="1600"/>
      <c r="CJ126" s="1770">
        <f t="shared" si="88"/>
        <v>0</v>
      </c>
      <c r="CK126" s="1770">
        <f t="shared" si="76"/>
        <v>0</v>
      </c>
      <c r="CL126" s="1770">
        <f t="shared" si="77"/>
        <v>0</v>
      </c>
      <c r="CM126" s="1770">
        <f t="shared" si="78"/>
        <v>0</v>
      </c>
      <c r="CN126" s="1770">
        <f t="shared" si="79"/>
        <v>0</v>
      </c>
      <c r="CO126" s="1770">
        <f t="shared" si="80"/>
        <v>0</v>
      </c>
      <c r="CP126" s="1770">
        <f t="shared" si="81"/>
        <v>0</v>
      </c>
      <c r="CQ126" s="1770">
        <f t="shared" si="82"/>
        <v>0</v>
      </c>
      <c r="CR126" s="1770">
        <f t="shared" si="83"/>
        <v>0</v>
      </c>
      <c r="CS126" s="1770">
        <f t="shared" si="84"/>
        <v>0</v>
      </c>
      <c r="CT126" s="1618">
        <f t="shared" si="85"/>
        <v>0</v>
      </c>
      <c r="CU126" s="1616">
        <f t="shared" si="86"/>
        <v>0</v>
      </c>
      <c r="CV126" s="1616">
        <f t="shared" si="87"/>
        <v>0</v>
      </c>
      <c r="CX126" s="1604"/>
      <c r="CY126" s="1608" t="s">
        <v>37</v>
      </c>
      <c r="CZ126" s="1600"/>
      <c r="DA126" s="1717">
        <f t="shared" si="89"/>
        <v>0</v>
      </c>
      <c r="DB126" s="1717"/>
      <c r="DC126" s="1717"/>
      <c r="DD126" s="1717"/>
      <c r="DE126" s="1717"/>
      <c r="DF126" s="1717"/>
      <c r="DG126" s="1717"/>
      <c r="DH126" s="1717"/>
      <c r="DI126" s="1717"/>
      <c r="DJ126" s="1717"/>
      <c r="DK126" s="1621"/>
      <c r="DL126" s="1619"/>
      <c r="DM126" s="1619"/>
    </row>
    <row r="127" spans="2:117" hidden="1">
      <c r="B127" s="1584" t="str">
        <f t="shared" si="99"/>
        <v>2.1</v>
      </c>
      <c r="C127" s="1622">
        <f t="shared" si="67"/>
        <v>0</v>
      </c>
      <c r="D127" s="1623">
        <f>IF(I$126=0,0,G127/I$126)</f>
        <v>0</v>
      </c>
      <c r="E127" s="1623">
        <f>IF(J$126=0,0,H127/J$126)</f>
        <v>0</v>
      </c>
      <c r="G127" s="1624">
        <f t="shared" si="96"/>
        <v>0</v>
      </c>
      <c r="H127" s="1624">
        <f t="shared" si="97"/>
        <v>0</v>
      </c>
      <c r="I127" s="1624"/>
      <c r="J127" s="1624"/>
      <c r="K127" s="1624">
        <f>IF(Score!W127=0,0,1)</f>
        <v>0</v>
      </c>
      <c r="L127" s="1624">
        <f>IF(Score!X127=0,0,1)</f>
        <v>0</v>
      </c>
      <c r="M127" s="1624">
        <f t="shared" si="98"/>
        <v>0</v>
      </c>
      <c r="N127" s="1624">
        <f t="shared" si="101"/>
        <v>0</v>
      </c>
      <c r="P127" s="1625" t="str">
        <f t="shared" si="68"/>
        <v>2.1</v>
      </c>
      <c r="Q127" s="1625" t="str">
        <f t="shared" si="69"/>
        <v>LR1 2</v>
      </c>
      <c r="R127" s="1622">
        <f t="shared" si="70"/>
        <v>0</v>
      </c>
      <c r="S127" s="1626">
        <f t="shared" si="52"/>
        <v>0</v>
      </c>
      <c r="T127" s="1626">
        <f t="shared" si="53"/>
        <v>0</v>
      </c>
      <c r="U127" s="1626">
        <f t="shared" si="54"/>
        <v>0</v>
      </c>
      <c r="V127" s="1626">
        <f t="shared" si="55"/>
        <v>0</v>
      </c>
      <c r="W127" s="1626">
        <f t="shared" si="56"/>
        <v>0</v>
      </c>
      <c r="X127" s="1626">
        <f t="shared" si="57"/>
        <v>0</v>
      </c>
      <c r="Y127" s="1626">
        <f t="shared" si="58"/>
        <v>0</v>
      </c>
      <c r="Z127" s="1645">
        <f t="shared" si="59"/>
        <v>0</v>
      </c>
      <c r="AA127" s="1626">
        <f t="shared" si="60"/>
        <v>0</v>
      </c>
      <c r="AB127" s="1626">
        <f t="shared" si="61"/>
        <v>0</v>
      </c>
      <c r="AC127" s="1744">
        <f t="shared" si="62"/>
        <v>0</v>
      </c>
      <c r="AD127" s="1743">
        <f t="shared" si="63"/>
        <v>0</v>
      </c>
      <c r="AE127" s="1743">
        <f t="shared" si="64"/>
        <v>0</v>
      </c>
      <c r="AG127" s="1625" t="s">
        <v>336</v>
      </c>
      <c r="AH127" s="1628" t="s">
        <v>38</v>
      </c>
      <c r="AI127" s="1622" t="s">
        <v>1860</v>
      </c>
      <c r="AJ127" s="1631"/>
      <c r="AK127" s="1631"/>
      <c r="AL127" s="1631"/>
      <c r="AM127" s="1631"/>
      <c r="AN127" s="1631"/>
      <c r="AO127" s="1631"/>
      <c r="AP127" s="1631"/>
      <c r="AQ127" s="1631"/>
      <c r="AR127" s="1631"/>
      <c r="AS127" s="1631"/>
      <c r="AT127" s="1748"/>
      <c r="AU127" s="1747"/>
      <c r="AV127" s="1747"/>
      <c r="AX127" s="1625" t="s">
        <v>336</v>
      </c>
      <c r="AY127" s="1628" t="s">
        <v>38</v>
      </c>
      <c r="AZ127" s="1622" t="s">
        <v>1860</v>
      </c>
      <c r="BA127" s="1631"/>
      <c r="BB127" s="1631"/>
      <c r="BC127" s="1631"/>
      <c r="BD127" s="1631"/>
      <c r="BE127" s="1631"/>
      <c r="BF127" s="1631"/>
      <c r="BG127" s="1631"/>
      <c r="BH127" s="1631"/>
      <c r="BI127" s="1631"/>
      <c r="BJ127" s="1631"/>
      <c r="BK127" s="1748"/>
      <c r="BL127" s="1747"/>
      <c r="BM127" s="1747"/>
      <c r="BO127" s="1625" t="s">
        <v>336</v>
      </c>
      <c r="BP127" s="1628" t="s">
        <v>38</v>
      </c>
      <c r="BQ127" s="1622"/>
      <c r="BR127" s="1631"/>
      <c r="BS127" s="1631"/>
      <c r="BT127" s="1631"/>
      <c r="BU127" s="1631"/>
      <c r="BV127" s="1631"/>
      <c r="BW127" s="1631"/>
      <c r="BX127" s="1631"/>
      <c r="BY127" s="1631"/>
      <c r="BZ127" s="1773"/>
      <c r="CA127" s="1631"/>
      <c r="CB127" s="1748"/>
      <c r="CC127" s="1747"/>
      <c r="CD127" s="1747"/>
      <c r="CE127" s="1749"/>
      <c r="CG127" s="1625" t="s">
        <v>336</v>
      </c>
      <c r="CH127" s="1628" t="s">
        <v>38</v>
      </c>
      <c r="CI127" s="1622"/>
      <c r="CJ127" s="1636">
        <f t="shared" si="88"/>
        <v>0</v>
      </c>
      <c r="CK127" s="1636">
        <f t="shared" si="76"/>
        <v>0</v>
      </c>
      <c r="CL127" s="1636">
        <f t="shared" si="77"/>
        <v>0</v>
      </c>
      <c r="CM127" s="1636">
        <f t="shared" si="78"/>
        <v>0</v>
      </c>
      <c r="CN127" s="1636">
        <f t="shared" si="79"/>
        <v>0</v>
      </c>
      <c r="CO127" s="1636">
        <f t="shared" si="80"/>
        <v>0</v>
      </c>
      <c r="CP127" s="1636">
        <f t="shared" si="81"/>
        <v>0</v>
      </c>
      <c r="CQ127" s="1636">
        <f t="shared" si="82"/>
        <v>0</v>
      </c>
      <c r="CR127" s="1636">
        <f t="shared" si="83"/>
        <v>0</v>
      </c>
      <c r="CS127" s="1636">
        <f t="shared" si="84"/>
        <v>0</v>
      </c>
      <c r="CT127" s="1751">
        <f t="shared" si="85"/>
        <v>0</v>
      </c>
      <c r="CU127" s="1750">
        <f t="shared" si="86"/>
        <v>0</v>
      </c>
      <c r="CV127" s="1750">
        <f t="shared" si="87"/>
        <v>0</v>
      </c>
      <c r="CX127" s="1625" t="s">
        <v>336</v>
      </c>
      <c r="CY127" s="1628" t="s">
        <v>38</v>
      </c>
      <c r="CZ127" s="1622"/>
      <c r="DA127" s="1638">
        <f t="shared" si="89"/>
        <v>0</v>
      </c>
      <c r="DB127" s="1638"/>
      <c r="DC127" s="1638"/>
      <c r="DD127" s="1638"/>
      <c r="DE127" s="1638"/>
      <c r="DF127" s="1638"/>
      <c r="DG127" s="1638"/>
      <c r="DH127" s="1638"/>
      <c r="DI127" s="1638"/>
      <c r="DJ127" s="1638"/>
      <c r="DK127" s="1754"/>
      <c r="DL127" s="1753"/>
      <c r="DM127" s="1753"/>
    </row>
    <row r="128" spans="2:117" hidden="1">
      <c r="B128" s="1584" t="str">
        <f t="shared" si="99"/>
        <v>2.2</v>
      </c>
      <c r="C128" s="1622">
        <f t="shared" si="67"/>
        <v>0</v>
      </c>
      <c r="D128" s="1623">
        <f>IF(I$126=0,0,G128/I$126)</f>
        <v>0</v>
      </c>
      <c r="E128" s="1623">
        <f>IF(J$126=0,0,H128/J$126)</f>
        <v>0</v>
      </c>
      <c r="G128" s="1624">
        <f t="shared" si="96"/>
        <v>0</v>
      </c>
      <c r="H128" s="1624">
        <f t="shared" si="97"/>
        <v>0</v>
      </c>
      <c r="I128" s="1624"/>
      <c r="J128" s="1624"/>
      <c r="K128" s="1624">
        <f>IF(Score!W128=0,0,1)</f>
        <v>0</v>
      </c>
      <c r="L128" s="1624">
        <f>IF(Score!X128=0,0,1)</f>
        <v>0</v>
      </c>
      <c r="M128" s="1624">
        <f t="shared" si="98"/>
        <v>0</v>
      </c>
      <c r="N128" s="1624">
        <f t="shared" si="101"/>
        <v>0</v>
      </c>
      <c r="P128" s="1625" t="str">
        <f t="shared" si="68"/>
        <v>2.2</v>
      </c>
      <c r="Q128" s="1625" t="str">
        <f t="shared" si="69"/>
        <v>LR1 2</v>
      </c>
      <c r="R128" s="1622">
        <f t="shared" si="70"/>
        <v>0</v>
      </c>
      <c r="S128" s="1626">
        <f t="shared" ref="S128:S193" si="102">IF($P$3=1,BA128,IF($P$3=2,BR128,IF($P$3=3,CJ128,IF($P$3=4,DA128,AJ128))))</f>
        <v>0</v>
      </c>
      <c r="T128" s="1626">
        <f t="shared" ref="T128:T193" si="103">IF($P$3=1,BB128,IF($P$3=2,BS128,IF($P$3=3,CK128,IF($P$3=4,DB128,AK128))))</f>
        <v>0</v>
      </c>
      <c r="U128" s="1626">
        <f t="shared" ref="U128:U193" si="104">IF($P$3=1,BC128,IF($P$3=2,BT128,IF($P$3=3,CL128,IF($P$3=4,DC128,AL128))))</f>
        <v>0</v>
      </c>
      <c r="V128" s="1626">
        <f t="shared" ref="V128:V193" si="105">IF($P$3=1,BD128,IF($P$3=2,BU128,IF($P$3=3,CM128,IF($P$3=4,DD128,AM128))))</f>
        <v>0</v>
      </c>
      <c r="W128" s="1626">
        <f t="shared" ref="W128:W193" si="106">IF($P$3=1,BE128,IF($P$3=2,BV128,IF($P$3=3,CN128,IF($P$3=4,DE128,AN128))))</f>
        <v>0</v>
      </c>
      <c r="X128" s="1626">
        <f t="shared" ref="X128:X193" si="107">IF($P$3=1,BF128,IF($P$3=2,BW128,IF($P$3=3,CO128,IF($P$3=4,DF128,AO128))))</f>
        <v>0</v>
      </c>
      <c r="Y128" s="1626">
        <f t="shared" ref="Y128:Y193" si="108">IF($P$3=1,BG128,IF($P$3=2,BX128,IF($P$3=3,CP128,IF($P$3=4,DG128,AP128))))</f>
        <v>0</v>
      </c>
      <c r="Z128" s="1645">
        <f t="shared" ref="Z128:Z193" si="109">IF($P$3=1,BH128,IF($P$3=2,BY128,IF($P$3=3,CQ128,IF($P$3=4,DH128,AQ128))))</f>
        <v>0</v>
      </c>
      <c r="AA128" s="1626">
        <f t="shared" ref="AA128:AA193" si="110">IF($P$3=1,BI128,IF($P$3=2,BZ128,IF($P$3=3,CR128,IF($P$3=4,DI128,AR128))))</f>
        <v>0</v>
      </c>
      <c r="AB128" s="1626">
        <f t="shared" ref="AB128:AB193" si="111">IF($P$3=1,BJ128,IF($P$3=2,CA128,IF($P$3=3,CS128,IF($P$3=4,DJ128,AS128))))</f>
        <v>0</v>
      </c>
      <c r="AC128" s="1744">
        <f t="shared" ref="AC128:AC193" si="112">IF($P$3=1,BK128,IF($P$3=2,CB128,IF($P$3=3,CT128,IF($P$3=4,DK128,AT128))))</f>
        <v>0</v>
      </c>
      <c r="AD128" s="1743">
        <f t="shared" ref="AD128:AD193" si="113">IF($P$3=1,BL128,IF($P$3=2,CC128,IF($P$3=3,CU128,IF($P$3=4,DL128,AU128))))</f>
        <v>0</v>
      </c>
      <c r="AE128" s="1743">
        <f t="shared" ref="AE128:AE193" si="114">IF($P$3=1,BM128,IF($P$3=2,CD128,IF($P$3=3,CV128,IF($P$3=4,DM128,AV128))))</f>
        <v>0</v>
      </c>
      <c r="AG128" s="1625" t="s">
        <v>337</v>
      </c>
      <c r="AH128" s="1628" t="s">
        <v>38</v>
      </c>
      <c r="AI128" s="1622" t="s">
        <v>1861</v>
      </c>
      <c r="AJ128" s="1631"/>
      <c r="AK128" s="1631"/>
      <c r="AL128" s="1631"/>
      <c r="AM128" s="1631"/>
      <c r="AN128" s="1631"/>
      <c r="AO128" s="1631"/>
      <c r="AP128" s="1631"/>
      <c r="AQ128" s="1631"/>
      <c r="AR128" s="1631"/>
      <c r="AS128" s="1631"/>
      <c r="AT128" s="1748"/>
      <c r="AU128" s="1747"/>
      <c r="AV128" s="1747"/>
      <c r="AX128" s="1625" t="s">
        <v>337</v>
      </c>
      <c r="AY128" s="1628" t="s">
        <v>38</v>
      </c>
      <c r="AZ128" s="1622" t="s">
        <v>1861</v>
      </c>
      <c r="BA128" s="1631"/>
      <c r="BB128" s="1631"/>
      <c r="BC128" s="1631"/>
      <c r="BD128" s="1631"/>
      <c r="BE128" s="1631"/>
      <c r="BF128" s="1631"/>
      <c r="BG128" s="1631"/>
      <c r="BH128" s="1631"/>
      <c r="BI128" s="1631"/>
      <c r="BJ128" s="1631"/>
      <c r="BK128" s="1748"/>
      <c r="BL128" s="1747"/>
      <c r="BM128" s="1747"/>
      <c r="BO128" s="1625" t="s">
        <v>337</v>
      </c>
      <c r="BP128" s="1628" t="s">
        <v>38</v>
      </c>
      <c r="BQ128" s="1622"/>
      <c r="BR128" s="1631"/>
      <c r="BS128" s="1631"/>
      <c r="BT128" s="1631"/>
      <c r="BU128" s="1631"/>
      <c r="BV128" s="1631"/>
      <c r="BW128" s="1631"/>
      <c r="BX128" s="1631"/>
      <c r="BY128" s="1631"/>
      <c r="BZ128" s="1773"/>
      <c r="CA128" s="1631"/>
      <c r="CB128" s="1748"/>
      <c r="CC128" s="1747"/>
      <c r="CD128" s="1747"/>
      <c r="CE128" s="1749"/>
      <c r="CG128" s="1625" t="s">
        <v>337</v>
      </c>
      <c r="CH128" s="1628" t="s">
        <v>38</v>
      </c>
      <c r="CI128" s="1622"/>
      <c r="CJ128" s="1636">
        <f t="shared" si="88"/>
        <v>0</v>
      </c>
      <c r="CK128" s="1636">
        <f t="shared" si="76"/>
        <v>0</v>
      </c>
      <c r="CL128" s="1636">
        <f t="shared" si="77"/>
        <v>0</v>
      </c>
      <c r="CM128" s="1636">
        <f t="shared" si="78"/>
        <v>0</v>
      </c>
      <c r="CN128" s="1636">
        <f t="shared" si="79"/>
        <v>0</v>
      </c>
      <c r="CO128" s="1636">
        <f t="shared" si="80"/>
        <v>0</v>
      </c>
      <c r="CP128" s="1636">
        <f t="shared" si="81"/>
        <v>0</v>
      </c>
      <c r="CQ128" s="1636">
        <f t="shared" si="82"/>
        <v>0</v>
      </c>
      <c r="CR128" s="1636">
        <f t="shared" si="83"/>
        <v>0</v>
      </c>
      <c r="CS128" s="1636">
        <f t="shared" si="84"/>
        <v>0</v>
      </c>
      <c r="CT128" s="1751">
        <f t="shared" si="85"/>
        <v>0</v>
      </c>
      <c r="CU128" s="1750">
        <f t="shared" si="86"/>
        <v>0</v>
      </c>
      <c r="CV128" s="1750">
        <f t="shared" si="87"/>
        <v>0</v>
      </c>
      <c r="CX128" s="1625" t="s">
        <v>337</v>
      </c>
      <c r="CY128" s="1628" t="s">
        <v>38</v>
      </c>
      <c r="CZ128" s="1622"/>
      <c r="DA128" s="1638">
        <f t="shared" si="89"/>
        <v>0</v>
      </c>
      <c r="DB128" s="1638"/>
      <c r="DC128" s="1638"/>
      <c r="DD128" s="1638"/>
      <c r="DE128" s="1638"/>
      <c r="DF128" s="1638"/>
      <c r="DG128" s="1638"/>
      <c r="DH128" s="1638"/>
      <c r="DI128" s="1638"/>
      <c r="DJ128" s="1638"/>
      <c r="DK128" s="1754"/>
      <c r="DL128" s="1753"/>
      <c r="DM128" s="1753"/>
    </row>
    <row r="129" spans="2:117">
      <c r="B129" s="1584">
        <f t="shared" si="99"/>
        <v>3</v>
      </c>
      <c r="C129" s="1600" t="str">
        <f t="shared" si="67"/>
        <v>Efficiency in Building Service System</v>
      </c>
      <c r="D129" s="1601">
        <f>IF(I$122=0,0,G129/I$122)</f>
        <v>0.5</v>
      </c>
      <c r="E129" s="1602">
        <f>IF(J$122=0,0,H129/J$122)</f>
        <v>0</v>
      </c>
      <c r="G129" s="1602">
        <f t="shared" si="96"/>
        <v>0.5</v>
      </c>
      <c r="H129" s="1602">
        <f t="shared" si="97"/>
        <v>0</v>
      </c>
      <c r="I129" s="1771">
        <f>SUM(G130:G131)</f>
        <v>0</v>
      </c>
      <c r="J129" s="1771">
        <f>SUM(H130:H131)</f>
        <v>0</v>
      </c>
      <c r="K129" s="1602">
        <f>IF(Score!W129=0,0,1)</f>
        <v>1</v>
      </c>
      <c r="L129" s="1602">
        <f>IF(Score!X129=0,0,1)</f>
        <v>0</v>
      </c>
      <c r="M129" s="1602">
        <f t="shared" si="98"/>
        <v>0.5</v>
      </c>
      <c r="N129" s="1602">
        <f t="shared" si="101"/>
        <v>0</v>
      </c>
      <c r="P129" s="1604">
        <f t="shared" si="68"/>
        <v>3</v>
      </c>
      <c r="Q129" s="1604" t="str">
        <f t="shared" si="69"/>
        <v>LR1</v>
      </c>
      <c r="R129" s="1600" t="str">
        <f t="shared" si="70"/>
        <v>Efficiency in Building Service System</v>
      </c>
      <c r="S129" s="1711">
        <f t="shared" si="102"/>
        <v>0.5</v>
      </c>
      <c r="T129" s="1711">
        <f t="shared" si="103"/>
        <v>0.5</v>
      </c>
      <c r="U129" s="1711">
        <f t="shared" si="104"/>
        <v>0.5</v>
      </c>
      <c r="V129" s="1711">
        <f t="shared" si="105"/>
        <v>0.5</v>
      </c>
      <c r="W129" s="1711">
        <f t="shared" si="106"/>
        <v>0.5</v>
      </c>
      <c r="X129" s="1711">
        <f t="shared" si="107"/>
        <v>0.5</v>
      </c>
      <c r="Y129" s="1711">
        <f t="shared" si="108"/>
        <v>0.5</v>
      </c>
      <c r="Z129" s="1606">
        <f t="shared" si="109"/>
        <v>0.5</v>
      </c>
      <c r="AA129" s="1711">
        <f t="shared" si="110"/>
        <v>0.5</v>
      </c>
      <c r="AB129" s="1711">
        <f t="shared" si="111"/>
        <v>0.5</v>
      </c>
      <c r="AC129" s="1607">
        <f t="shared" si="112"/>
        <v>0</v>
      </c>
      <c r="AD129" s="1605">
        <f t="shared" si="113"/>
        <v>0</v>
      </c>
      <c r="AE129" s="1605">
        <f t="shared" si="114"/>
        <v>0</v>
      </c>
      <c r="AG129" s="1604">
        <v>3</v>
      </c>
      <c r="AH129" s="1608" t="s">
        <v>405</v>
      </c>
      <c r="AI129" s="1600" t="s">
        <v>1862</v>
      </c>
      <c r="AJ129" s="1714">
        <v>0.5</v>
      </c>
      <c r="AK129" s="1714">
        <v>0.5</v>
      </c>
      <c r="AL129" s="1714">
        <v>0.5</v>
      </c>
      <c r="AM129" s="1714">
        <v>0.5</v>
      </c>
      <c r="AN129" s="1714">
        <v>0.5</v>
      </c>
      <c r="AO129" s="1714">
        <v>0.5</v>
      </c>
      <c r="AP129" s="1714">
        <v>0.5</v>
      </c>
      <c r="AQ129" s="1714">
        <v>0.5</v>
      </c>
      <c r="AR129" s="1772">
        <v>0.625</v>
      </c>
      <c r="AS129" s="1714">
        <v>0.5</v>
      </c>
      <c r="AT129" s="1612"/>
      <c r="AU129" s="1611"/>
      <c r="AV129" s="1611"/>
      <c r="AX129" s="1604">
        <v>3</v>
      </c>
      <c r="AY129" s="1608" t="s">
        <v>405</v>
      </c>
      <c r="AZ129" s="1600" t="s">
        <v>1862</v>
      </c>
      <c r="BA129" s="1714">
        <v>0.5</v>
      </c>
      <c r="BB129" s="1714">
        <v>0.5</v>
      </c>
      <c r="BC129" s="1714">
        <v>0.5</v>
      </c>
      <c r="BD129" s="1714">
        <v>0.5</v>
      </c>
      <c r="BE129" s="1714">
        <v>0.5</v>
      </c>
      <c r="BF129" s="1714">
        <v>0.5</v>
      </c>
      <c r="BG129" s="1714">
        <v>0.5</v>
      </c>
      <c r="BH129" s="1714">
        <v>0.5</v>
      </c>
      <c r="BI129" s="1714">
        <v>0.5</v>
      </c>
      <c r="BJ129" s="1714">
        <v>0.5</v>
      </c>
      <c r="BK129" s="1612"/>
      <c r="BL129" s="1611"/>
      <c r="BM129" s="1611"/>
      <c r="BO129" s="1604">
        <v>3</v>
      </c>
      <c r="BP129" s="1608" t="s">
        <v>405</v>
      </c>
      <c r="BQ129" s="1600" t="s">
        <v>2408</v>
      </c>
      <c r="BR129" s="1714">
        <v>0.5</v>
      </c>
      <c r="BS129" s="1714">
        <v>0.5</v>
      </c>
      <c r="BT129" s="1714">
        <v>0.5</v>
      </c>
      <c r="BU129" s="1714">
        <v>0.5</v>
      </c>
      <c r="BV129" s="1714">
        <v>0.5</v>
      </c>
      <c r="BW129" s="1714">
        <v>0.5</v>
      </c>
      <c r="BX129" s="1714">
        <v>0.5</v>
      </c>
      <c r="BY129" s="1714">
        <v>0.5</v>
      </c>
      <c r="BZ129" s="1768">
        <v>0.5</v>
      </c>
      <c r="CA129" s="1714">
        <v>0.5</v>
      </c>
      <c r="CB129" s="1612"/>
      <c r="CC129" s="1611"/>
      <c r="CD129" s="1611"/>
      <c r="CE129" s="1615"/>
      <c r="CG129" s="1604">
        <v>3</v>
      </c>
      <c r="CH129" s="1608" t="s">
        <v>405</v>
      </c>
      <c r="CI129" s="1600" t="s">
        <v>1862</v>
      </c>
      <c r="CJ129" s="1770">
        <f t="shared" si="88"/>
        <v>0.5</v>
      </c>
      <c r="CK129" s="1770">
        <f t="shared" si="76"/>
        <v>0.5</v>
      </c>
      <c r="CL129" s="1770">
        <f t="shared" si="77"/>
        <v>0.5</v>
      </c>
      <c r="CM129" s="1770">
        <f t="shared" si="78"/>
        <v>0.5</v>
      </c>
      <c r="CN129" s="1770">
        <f t="shared" si="79"/>
        <v>0.5</v>
      </c>
      <c r="CO129" s="1770">
        <f t="shared" si="80"/>
        <v>0.5</v>
      </c>
      <c r="CP129" s="1770">
        <f t="shared" si="81"/>
        <v>0.5</v>
      </c>
      <c r="CQ129" s="1770">
        <f t="shared" si="82"/>
        <v>0.5</v>
      </c>
      <c r="CR129" s="1770">
        <f t="shared" si="83"/>
        <v>0.5</v>
      </c>
      <c r="CS129" s="1770">
        <f t="shared" si="84"/>
        <v>0.5</v>
      </c>
      <c r="CT129" s="1618">
        <f t="shared" si="85"/>
        <v>0</v>
      </c>
      <c r="CU129" s="1616">
        <f t="shared" si="86"/>
        <v>0</v>
      </c>
      <c r="CV129" s="1616">
        <f t="shared" si="87"/>
        <v>0</v>
      </c>
      <c r="CX129" s="1604">
        <v>3</v>
      </c>
      <c r="CY129" s="1608" t="s">
        <v>405</v>
      </c>
      <c r="CZ129" s="1600" t="s">
        <v>1862</v>
      </c>
      <c r="DA129" s="1717">
        <f t="shared" si="89"/>
        <v>0.5</v>
      </c>
      <c r="DB129" s="1717"/>
      <c r="DC129" s="1717"/>
      <c r="DD129" s="1717"/>
      <c r="DE129" s="1717"/>
      <c r="DF129" s="1717"/>
      <c r="DG129" s="1717"/>
      <c r="DH129" s="1717"/>
      <c r="DI129" s="1717"/>
      <c r="DJ129" s="1717"/>
      <c r="DK129" s="1621"/>
      <c r="DL129" s="1619"/>
      <c r="DM129" s="1619"/>
    </row>
    <row r="130" spans="2:117">
      <c r="B130" s="1584">
        <f t="shared" si="99"/>
        <v>3.1</v>
      </c>
      <c r="C130" s="1600" t="str">
        <f t="shared" si="67"/>
        <v xml:space="preserve">Other than apartment </v>
      </c>
      <c r="D130" s="1601">
        <f>IF(I$129=0,0,G130/I$129)</f>
        <v>0</v>
      </c>
      <c r="E130" s="1602">
        <f>IF(J$129=0,0,H130/J$129)</f>
        <v>0</v>
      </c>
      <c r="G130" s="1602">
        <f t="shared" si="96"/>
        <v>0</v>
      </c>
      <c r="H130" s="1602">
        <f t="shared" si="97"/>
        <v>0</v>
      </c>
      <c r="I130" s="1602"/>
      <c r="J130" s="1602"/>
      <c r="K130" s="1602">
        <f>IF(Score!W130=0,0,1)</f>
        <v>0</v>
      </c>
      <c r="L130" s="1602">
        <f>IF(Score!X130=0,0,1)</f>
        <v>0</v>
      </c>
      <c r="M130" s="1602">
        <f>SUMPRODUCT($S$7:$AB$7,S130:AB130)</f>
        <v>1</v>
      </c>
      <c r="N130" s="1602">
        <f t="shared" si="101"/>
        <v>0</v>
      </c>
      <c r="P130" s="1604">
        <f t="shared" si="68"/>
        <v>3.1</v>
      </c>
      <c r="Q130" s="1604" t="str">
        <f t="shared" si="69"/>
        <v>LR1 3</v>
      </c>
      <c r="R130" s="1600" t="str">
        <f t="shared" si="70"/>
        <v xml:space="preserve">Other than apartment </v>
      </c>
      <c r="S130" s="1626">
        <f t="shared" si="102"/>
        <v>1</v>
      </c>
      <c r="T130" s="1626">
        <f t="shared" si="103"/>
        <v>1</v>
      </c>
      <c r="U130" s="1626">
        <f t="shared" si="104"/>
        <v>1</v>
      </c>
      <c r="V130" s="1626">
        <f t="shared" si="105"/>
        <v>1</v>
      </c>
      <c r="W130" s="1626">
        <f t="shared" si="106"/>
        <v>1</v>
      </c>
      <c r="X130" s="1626">
        <f t="shared" si="107"/>
        <v>1</v>
      </c>
      <c r="Y130" s="1626">
        <f t="shared" si="108"/>
        <v>0</v>
      </c>
      <c r="Z130" s="1645">
        <f t="shared" si="109"/>
        <v>1</v>
      </c>
      <c r="AA130" s="1626">
        <f t="shared" si="110"/>
        <v>1</v>
      </c>
      <c r="AB130" s="1626">
        <f t="shared" si="111"/>
        <v>1</v>
      </c>
      <c r="AC130" s="1607">
        <f t="shared" si="112"/>
        <v>0</v>
      </c>
      <c r="AD130" s="1605">
        <f t="shared" si="113"/>
        <v>0</v>
      </c>
      <c r="AE130" s="1605">
        <f t="shared" si="114"/>
        <v>0</v>
      </c>
      <c r="AG130" s="1604" t="s">
        <v>338</v>
      </c>
      <c r="AH130" s="1608" t="s">
        <v>339</v>
      </c>
      <c r="AI130" s="1600" t="s">
        <v>1863</v>
      </c>
      <c r="AJ130" s="1774"/>
      <c r="AK130" s="1774"/>
      <c r="AL130" s="1774"/>
      <c r="AM130" s="1774"/>
      <c r="AN130" s="1774"/>
      <c r="AO130" s="1774"/>
      <c r="AP130" s="1775"/>
      <c r="AQ130" s="1774"/>
      <c r="AR130" s="1774"/>
      <c r="AS130" s="1775"/>
      <c r="AT130" s="1612"/>
      <c r="AU130" s="1611"/>
      <c r="AV130" s="1611"/>
      <c r="AX130" s="1604" t="s">
        <v>338</v>
      </c>
      <c r="AY130" s="1608" t="s">
        <v>339</v>
      </c>
      <c r="AZ130" s="1600" t="s">
        <v>1864</v>
      </c>
      <c r="BA130" s="1775">
        <v>1</v>
      </c>
      <c r="BB130" s="1775">
        <v>1</v>
      </c>
      <c r="BC130" s="1775">
        <v>1</v>
      </c>
      <c r="BD130" s="1775">
        <v>1</v>
      </c>
      <c r="BE130" s="1775">
        <v>1</v>
      </c>
      <c r="BF130" s="1775">
        <v>1</v>
      </c>
      <c r="BG130" s="1775"/>
      <c r="BH130" s="1775">
        <v>1</v>
      </c>
      <c r="BI130" s="1775">
        <v>1</v>
      </c>
      <c r="BJ130" s="1775">
        <v>1</v>
      </c>
      <c r="BK130" s="1612"/>
      <c r="BL130" s="1611"/>
      <c r="BM130" s="1611"/>
      <c r="BO130" s="1604">
        <v>3.1</v>
      </c>
      <c r="BP130" s="1628" t="s">
        <v>339</v>
      </c>
      <c r="BQ130" s="1600" t="s">
        <v>3042</v>
      </c>
      <c r="BR130" s="1775">
        <v>1</v>
      </c>
      <c r="BS130" s="1775">
        <v>1</v>
      </c>
      <c r="BT130" s="1775">
        <v>1</v>
      </c>
      <c r="BU130" s="1775">
        <v>1</v>
      </c>
      <c r="BV130" s="1775">
        <v>1</v>
      </c>
      <c r="BW130" s="1775">
        <v>1</v>
      </c>
      <c r="BX130" s="1775"/>
      <c r="BY130" s="1775">
        <v>1</v>
      </c>
      <c r="BZ130" s="1776">
        <v>1</v>
      </c>
      <c r="CA130" s="1775">
        <v>1</v>
      </c>
      <c r="CB130" s="1612"/>
      <c r="CC130" s="1611"/>
      <c r="CD130" s="1611"/>
      <c r="CE130" s="1615"/>
      <c r="CG130" s="1604" t="s">
        <v>706</v>
      </c>
      <c r="CH130" s="1608" t="s">
        <v>339</v>
      </c>
      <c r="CI130" s="1600" t="s">
        <v>1864</v>
      </c>
      <c r="CJ130" s="1777">
        <f t="shared" si="88"/>
        <v>1</v>
      </c>
      <c r="CK130" s="1777">
        <f t="shared" si="76"/>
        <v>1</v>
      </c>
      <c r="CL130" s="1777">
        <f t="shared" si="77"/>
        <v>1</v>
      </c>
      <c r="CM130" s="1777">
        <f t="shared" si="78"/>
        <v>1</v>
      </c>
      <c r="CN130" s="1777">
        <f t="shared" si="79"/>
        <v>1</v>
      </c>
      <c r="CO130" s="1777">
        <f t="shared" si="80"/>
        <v>1</v>
      </c>
      <c r="CP130" s="1777">
        <f t="shared" si="81"/>
        <v>0</v>
      </c>
      <c r="CQ130" s="1777">
        <f t="shared" si="82"/>
        <v>1</v>
      </c>
      <c r="CR130" s="1777">
        <f t="shared" si="83"/>
        <v>1</v>
      </c>
      <c r="CS130" s="1777">
        <f t="shared" si="84"/>
        <v>1</v>
      </c>
      <c r="CT130" s="1618">
        <f t="shared" si="85"/>
        <v>0</v>
      </c>
      <c r="CU130" s="1616">
        <f t="shared" si="86"/>
        <v>0</v>
      </c>
      <c r="CV130" s="1616">
        <f t="shared" si="87"/>
        <v>0</v>
      </c>
      <c r="CX130" s="1604" t="s">
        <v>706</v>
      </c>
      <c r="CY130" s="1608" t="s">
        <v>339</v>
      </c>
      <c r="CZ130" s="1600" t="s">
        <v>1864</v>
      </c>
      <c r="DA130" s="1718">
        <f t="shared" si="89"/>
        <v>1</v>
      </c>
      <c r="DB130" s="1718"/>
      <c r="DC130" s="1718"/>
      <c r="DD130" s="1718"/>
      <c r="DE130" s="1718"/>
      <c r="DF130" s="1718"/>
      <c r="DG130" s="1718"/>
      <c r="DH130" s="1718"/>
      <c r="DI130" s="1718"/>
      <c r="DJ130" s="1718"/>
      <c r="DK130" s="1621"/>
      <c r="DL130" s="1619"/>
      <c r="DM130" s="1619"/>
    </row>
    <row r="131" spans="2:117">
      <c r="B131" s="1584">
        <f t="shared" si="99"/>
        <v>3.2</v>
      </c>
      <c r="C131" s="1600" t="str">
        <f t="shared" si="67"/>
        <v>Apartment</v>
      </c>
      <c r="D131" s="1601">
        <f>IF(I$129=0,0,G131/I$129)</f>
        <v>0</v>
      </c>
      <c r="E131" s="1602">
        <f>IF(J$129=0,0,H131/J$129)</f>
        <v>0</v>
      </c>
      <c r="G131" s="1602">
        <f>K131*M131</f>
        <v>0</v>
      </c>
      <c r="H131" s="1602">
        <f t="shared" si="97"/>
        <v>0</v>
      </c>
      <c r="I131" s="1602">
        <f>G132+G133+G134+G135+G136</f>
        <v>0</v>
      </c>
      <c r="J131" s="1602">
        <f>H132+H133+H134+H135+H136</f>
        <v>0</v>
      </c>
      <c r="K131" s="1602">
        <f>IF(Score!W131=0,0,1)</f>
        <v>0</v>
      </c>
      <c r="L131" s="1602">
        <f>IF(Score!X131=0,0,1)</f>
        <v>0</v>
      </c>
      <c r="M131" s="1602">
        <f>SUMPRODUCT($S$7:$AB$7,S131:AB131)</f>
        <v>0</v>
      </c>
      <c r="N131" s="1602">
        <f t="shared" si="101"/>
        <v>0</v>
      </c>
      <c r="P131" s="1604">
        <f t="shared" si="68"/>
        <v>3.2</v>
      </c>
      <c r="Q131" s="1604" t="str">
        <f t="shared" si="69"/>
        <v>LR1 3</v>
      </c>
      <c r="R131" s="1600" t="str">
        <f t="shared" si="70"/>
        <v>Apartment</v>
      </c>
      <c r="S131" s="1626">
        <f t="shared" si="102"/>
        <v>0</v>
      </c>
      <c r="T131" s="1626">
        <f t="shared" si="103"/>
        <v>0</v>
      </c>
      <c r="U131" s="1626">
        <f t="shared" si="104"/>
        <v>0</v>
      </c>
      <c r="V131" s="1626">
        <f t="shared" si="105"/>
        <v>0</v>
      </c>
      <c r="W131" s="1626">
        <f t="shared" si="106"/>
        <v>0</v>
      </c>
      <c r="X131" s="1626">
        <f t="shared" si="107"/>
        <v>0</v>
      </c>
      <c r="Y131" s="1626">
        <f t="shared" si="108"/>
        <v>1</v>
      </c>
      <c r="Z131" s="1645">
        <f t="shared" si="109"/>
        <v>0</v>
      </c>
      <c r="AA131" s="1626">
        <f t="shared" si="110"/>
        <v>0</v>
      </c>
      <c r="AB131" s="1626">
        <f t="shared" si="111"/>
        <v>0</v>
      </c>
      <c r="AC131" s="1607">
        <f t="shared" si="112"/>
        <v>0</v>
      </c>
      <c r="AD131" s="1605">
        <f t="shared" si="113"/>
        <v>0</v>
      </c>
      <c r="AE131" s="1605">
        <f t="shared" si="114"/>
        <v>0</v>
      </c>
      <c r="AG131" s="1604" t="s">
        <v>432</v>
      </c>
      <c r="AH131" s="1608" t="s">
        <v>339</v>
      </c>
      <c r="AI131" s="1600" t="s">
        <v>1865</v>
      </c>
      <c r="AJ131" s="1778"/>
      <c r="AK131" s="1778"/>
      <c r="AL131" s="1778"/>
      <c r="AM131" s="1778"/>
      <c r="AN131" s="1778"/>
      <c r="AO131" s="1778"/>
      <c r="AP131" s="1775"/>
      <c r="AQ131" s="1778"/>
      <c r="AR131" s="1778"/>
      <c r="AS131" s="1775"/>
      <c r="AT131" s="1612"/>
      <c r="AU131" s="1611"/>
      <c r="AV131" s="1611"/>
      <c r="AX131" s="1604" t="s">
        <v>432</v>
      </c>
      <c r="AY131" s="1608" t="s">
        <v>339</v>
      </c>
      <c r="AZ131" s="1600" t="s">
        <v>1866</v>
      </c>
      <c r="BA131" s="1778"/>
      <c r="BB131" s="1778"/>
      <c r="BC131" s="1778"/>
      <c r="BD131" s="1778"/>
      <c r="BE131" s="1778"/>
      <c r="BF131" s="1778"/>
      <c r="BG131" s="1775">
        <v>1</v>
      </c>
      <c r="BH131" s="1778"/>
      <c r="BI131" s="1778"/>
      <c r="BJ131" s="1775"/>
      <c r="BK131" s="1612"/>
      <c r="BL131" s="1611"/>
      <c r="BM131" s="1611"/>
      <c r="BO131" s="1604">
        <v>3.2</v>
      </c>
      <c r="BP131" s="1628" t="s">
        <v>339</v>
      </c>
      <c r="BQ131" s="1600" t="s">
        <v>3043</v>
      </c>
      <c r="BR131" s="1778"/>
      <c r="BS131" s="1778"/>
      <c r="BT131" s="1778"/>
      <c r="BU131" s="1778"/>
      <c r="BV131" s="1778"/>
      <c r="BW131" s="1778"/>
      <c r="BX131" s="1775">
        <v>1</v>
      </c>
      <c r="BY131" s="1778"/>
      <c r="BZ131" s="1779"/>
      <c r="CA131" s="1775"/>
      <c r="CB131" s="1612"/>
      <c r="CC131" s="1611"/>
      <c r="CD131" s="1611"/>
      <c r="CE131" s="1615"/>
      <c r="CG131" s="1604" t="s">
        <v>707</v>
      </c>
      <c r="CH131" s="1608" t="s">
        <v>339</v>
      </c>
      <c r="CI131" s="1600" t="s">
        <v>1867</v>
      </c>
      <c r="CJ131" s="1770">
        <f t="shared" si="88"/>
        <v>0</v>
      </c>
      <c r="CK131" s="1770">
        <f t="shared" si="76"/>
        <v>0</v>
      </c>
      <c r="CL131" s="1770">
        <f t="shared" si="77"/>
        <v>0</v>
      </c>
      <c r="CM131" s="1770">
        <f t="shared" si="78"/>
        <v>0</v>
      </c>
      <c r="CN131" s="1770">
        <f t="shared" si="79"/>
        <v>0</v>
      </c>
      <c r="CO131" s="1770">
        <f t="shared" si="80"/>
        <v>0</v>
      </c>
      <c r="CP131" s="1777">
        <f t="shared" si="81"/>
        <v>1</v>
      </c>
      <c r="CQ131" s="1770">
        <f t="shared" si="82"/>
        <v>0</v>
      </c>
      <c r="CR131" s="1770">
        <f t="shared" si="83"/>
        <v>0</v>
      </c>
      <c r="CS131" s="1777">
        <f t="shared" si="84"/>
        <v>0</v>
      </c>
      <c r="CT131" s="1618">
        <f t="shared" si="85"/>
        <v>0</v>
      </c>
      <c r="CU131" s="1616">
        <f t="shared" si="86"/>
        <v>0</v>
      </c>
      <c r="CV131" s="1616">
        <f t="shared" si="87"/>
        <v>0</v>
      </c>
      <c r="CX131" s="1604" t="s">
        <v>707</v>
      </c>
      <c r="CY131" s="1608" t="s">
        <v>339</v>
      </c>
      <c r="CZ131" s="1600" t="s">
        <v>1867</v>
      </c>
      <c r="DA131" s="1717">
        <f t="shared" si="89"/>
        <v>0</v>
      </c>
      <c r="DB131" s="1717"/>
      <c r="DC131" s="1717"/>
      <c r="DD131" s="1717"/>
      <c r="DE131" s="1717"/>
      <c r="DF131" s="1717"/>
      <c r="DG131" s="1718"/>
      <c r="DH131" s="1717"/>
      <c r="DI131" s="1717"/>
      <c r="DJ131" s="1718"/>
      <c r="DK131" s="1621"/>
      <c r="DL131" s="1619"/>
      <c r="DM131" s="1619"/>
    </row>
    <row r="132" spans="2:117" hidden="1">
      <c r="B132" s="1584">
        <f t="shared" si="99"/>
        <v>3.1</v>
      </c>
      <c r="C132" s="1622">
        <f t="shared" si="67"/>
        <v>0</v>
      </c>
      <c r="D132" s="1623">
        <f t="shared" ref="D132:E136" si="115">IF(I$131=0,0,G132/I$131)</f>
        <v>0</v>
      </c>
      <c r="E132" s="1624">
        <f t="shared" si="115"/>
        <v>0</v>
      </c>
      <c r="G132" s="1624">
        <f t="shared" si="96"/>
        <v>0</v>
      </c>
      <c r="H132" s="1624">
        <f t="shared" si="97"/>
        <v>0</v>
      </c>
      <c r="I132" s="1624"/>
      <c r="J132" s="1624"/>
      <c r="K132" s="1624">
        <f>IF(Score!W132=0,0,1)</f>
        <v>0</v>
      </c>
      <c r="L132" s="1624">
        <f>IF(Score!X132=0,0,1)</f>
        <v>0</v>
      </c>
      <c r="M132" s="1624">
        <f t="shared" si="98"/>
        <v>0</v>
      </c>
      <c r="N132" s="1624">
        <f t="shared" si="101"/>
        <v>0</v>
      </c>
      <c r="P132" s="1625">
        <f t="shared" si="68"/>
        <v>3.1</v>
      </c>
      <c r="Q132" s="1625" t="str">
        <f t="shared" si="69"/>
        <v>LR1 3b</v>
      </c>
      <c r="R132" s="1622">
        <f t="shared" si="70"/>
        <v>0</v>
      </c>
      <c r="S132" s="1626">
        <f t="shared" si="102"/>
        <v>0</v>
      </c>
      <c r="T132" s="1626">
        <f t="shared" si="103"/>
        <v>0</v>
      </c>
      <c r="U132" s="1626">
        <f t="shared" si="104"/>
        <v>0</v>
      </c>
      <c r="V132" s="1626">
        <f t="shared" si="105"/>
        <v>0</v>
      </c>
      <c r="W132" s="1626">
        <f t="shared" si="106"/>
        <v>0</v>
      </c>
      <c r="X132" s="1626">
        <f t="shared" si="107"/>
        <v>0</v>
      </c>
      <c r="Y132" s="1626">
        <f t="shared" si="108"/>
        <v>0</v>
      </c>
      <c r="Z132" s="1645">
        <f t="shared" si="109"/>
        <v>0</v>
      </c>
      <c r="AA132" s="1626">
        <f t="shared" si="110"/>
        <v>0</v>
      </c>
      <c r="AB132" s="1626">
        <f t="shared" si="111"/>
        <v>0</v>
      </c>
      <c r="AC132" s="1627">
        <f t="shared" si="112"/>
        <v>0</v>
      </c>
      <c r="AD132" s="1626">
        <f t="shared" si="113"/>
        <v>0</v>
      </c>
      <c r="AE132" s="1626">
        <f t="shared" si="114"/>
        <v>0</v>
      </c>
      <c r="AG132" s="1625">
        <v>3.1</v>
      </c>
      <c r="AH132" s="1628" t="s">
        <v>340</v>
      </c>
      <c r="AI132" s="1622" t="s">
        <v>1868</v>
      </c>
      <c r="AJ132" s="1631"/>
      <c r="AK132" s="1631"/>
      <c r="AL132" s="1631"/>
      <c r="AM132" s="1631"/>
      <c r="AN132" s="1631"/>
      <c r="AO132" s="1631"/>
      <c r="AP132" s="1631"/>
      <c r="AQ132" s="1649"/>
      <c r="AR132" s="1631"/>
      <c r="AS132" s="1780">
        <v>0.65</v>
      </c>
      <c r="AT132" s="1632"/>
      <c r="AU132" s="1631"/>
      <c r="AV132" s="1631"/>
      <c r="AX132" s="1625">
        <v>3.1</v>
      </c>
      <c r="AY132" s="1628" t="s">
        <v>340</v>
      </c>
      <c r="AZ132" s="1622" t="s">
        <v>1868</v>
      </c>
      <c r="BA132" s="1631"/>
      <c r="BB132" s="1631"/>
      <c r="BC132" s="1631"/>
      <c r="BD132" s="1631"/>
      <c r="BE132" s="1631"/>
      <c r="BF132" s="1631"/>
      <c r="BG132" s="1631"/>
      <c r="BH132" s="1649"/>
      <c r="BI132" s="1631"/>
      <c r="BJ132" s="1780">
        <v>0.65</v>
      </c>
      <c r="BK132" s="1632"/>
      <c r="BL132" s="1631"/>
      <c r="BM132" s="1631"/>
      <c r="BO132" s="1625">
        <v>3.1</v>
      </c>
      <c r="BP132" s="1628" t="s">
        <v>340</v>
      </c>
      <c r="BQ132" s="1622"/>
      <c r="BR132" s="1631"/>
      <c r="BS132" s="1631"/>
      <c r="BT132" s="1631"/>
      <c r="BU132" s="1631"/>
      <c r="BV132" s="1631"/>
      <c r="BW132" s="1631"/>
      <c r="BX132" s="1631"/>
      <c r="BY132" s="1649"/>
      <c r="BZ132" s="1773"/>
      <c r="CA132" s="1631"/>
      <c r="CB132" s="1632"/>
      <c r="CC132" s="1631"/>
      <c r="CD132" s="1631"/>
      <c r="CE132" s="1635"/>
      <c r="CF132" s="1105">
        <f>ROWS($CF$5:CF131)</f>
        <v>127</v>
      </c>
      <c r="CG132" s="1625">
        <v>3.1</v>
      </c>
      <c r="CH132" s="1628" t="s">
        <v>340</v>
      </c>
      <c r="CI132" s="1622"/>
      <c r="CJ132" s="1636">
        <f t="shared" si="88"/>
        <v>0</v>
      </c>
      <c r="CK132" s="1636">
        <f t="shared" si="76"/>
        <v>0</v>
      </c>
      <c r="CL132" s="1636">
        <f t="shared" si="77"/>
        <v>0</v>
      </c>
      <c r="CM132" s="1636">
        <f t="shared" si="78"/>
        <v>0</v>
      </c>
      <c r="CN132" s="1636">
        <f t="shared" si="79"/>
        <v>0</v>
      </c>
      <c r="CO132" s="1636">
        <f t="shared" si="80"/>
        <v>0</v>
      </c>
      <c r="CP132" s="1636">
        <f t="shared" si="81"/>
        <v>0</v>
      </c>
      <c r="CQ132" s="1720">
        <f t="shared" si="82"/>
        <v>0</v>
      </c>
      <c r="CR132" s="1636">
        <f t="shared" si="83"/>
        <v>0</v>
      </c>
      <c r="CS132" s="1636">
        <f t="shared" si="84"/>
        <v>0</v>
      </c>
      <c r="CT132" s="1640">
        <f t="shared" si="85"/>
        <v>0</v>
      </c>
      <c r="CU132" s="1636">
        <f t="shared" si="86"/>
        <v>0</v>
      </c>
      <c r="CV132" s="1636">
        <f t="shared" si="87"/>
        <v>0</v>
      </c>
      <c r="CX132" s="1625">
        <v>3.1</v>
      </c>
      <c r="CY132" s="1628" t="s">
        <v>340</v>
      </c>
      <c r="CZ132" s="1622"/>
      <c r="DA132" s="1638">
        <f t="shared" si="89"/>
        <v>0</v>
      </c>
      <c r="DB132" s="1638"/>
      <c r="DC132" s="1638"/>
      <c r="DD132" s="1638"/>
      <c r="DE132" s="1638"/>
      <c r="DF132" s="1638"/>
      <c r="DG132" s="1638"/>
      <c r="DH132" s="1721"/>
      <c r="DI132" s="1638"/>
      <c r="DJ132" s="1638"/>
      <c r="DK132" s="1642"/>
      <c r="DL132" s="1638"/>
      <c r="DM132" s="1638"/>
    </row>
    <row r="133" spans="2:117" hidden="1">
      <c r="B133" s="1584">
        <f t="shared" si="99"/>
        <v>3.2</v>
      </c>
      <c r="C133" s="1622">
        <f t="shared" si="67"/>
        <v>0</v>
      </c>
      <c r="D133" s="1623">
        <f t="shared" si="115"/>
        <v>0</v>
      </c>
      <c r="E133" s="1624">
        <f t="shared" si="115"/>
        <v>0</v>
      </c>
      <c r="G133" s="1624">
        <f t="shared" si="96"/>
        <v>0</v>
      </c>
      <c r="H133" s="1624">
        <f t="shared" si="97"/>
        <v>0</v>
      </c>
      <c r="I133" s="1624"/>
      <c r="J133" s="1624"/>
      <c r="K133" s="1624">
        <f>IF(Score!W133=0,0,1)</f>
        <v>0</v>
      </c>
      <c r="L133" s="1624">
        <f>IF(Score!X133=0,0,1)</f>
        <v>0</v>
      </c>
      <c r="M133" s="1624">
        <f t="shared" si="98"/>
        <v>0</v>
      </c>
      <c r="N133" s="1624">
        <f t="shared" si="101"/>
        <v>0</v>
      </c>
      <c r="P133" s="1625">
        <f t="shared" si="68"/>
        <v>3.2</v>
      </c>
      <c r="Q133" s="1625" t="str">
        <f t="shared" si="69"/>
        <v>LR1 3b</v>
      </c>
      <c r="R133" s="1622">
        <f t="shared" si="70"/>
        <v>0</v>
      </c>
      <c r="S133" s="1626">
        <f t="shared" si="102"/>
        <v>0</v>
      </c>
      <c r="T133" s="1626">
        <f t="shared" si="103"/>
        <v>0</v>
      </c>
      <c r="U133" s="1626">
        <f t="shared" si="104"/>
        <v>0</v>
      </c>
      <c r="V133" s="1626">
        <f t="shared" si="105"/>
        <v>0</v>
      </c>
      <c r="W133" s="1626">
        <f t="shared" si="106"/>
        <v>0</v>
      </c>
      <c r="X133" s="1626">
        <f t="shared" si="107"/>
        <v>0</v>
      </c>
      <c r="Y133" s="1626">
        <f t="shared" si="108"/>
        <v>0</v>
      </c>
      <c r="Z133" s="1645">
        <f t="shared" si="109"/>
        <v>0</v>
      </c>
      <c r="AA133" s="1626">
        <f t="shared" si="110"/>
        <v>0</v>
      </c>
      <c r="AB133" s="1626">
        <f t="shared" si="111"/>
        <v>0</v>
      </c>
      <c r="AC133" s="1627">
        <f t="shared" si="112"/>
        <v>0</v>
      </c>
      <c r="AD133" s="1626">
        <f t="shared" si="113"/>
        <v>0</v>
      </c>
      <c r="AE133" s="1626">
        <f t="shared" si="114"/>
        <v>0</v>
      </c>
      <c r="AG133" s="1625">
        <v>3.2</v>
      </c>
      <c r="AH133" s="1628" t="s">
        <v>340</v>
      </c>
      <c r="AI133" s="1622" t="s">
        <v>1869</v>
      </c>
      <c r="AJ133" s="1631"/>
      <c r="AK133" s="1631"/>
      <c r="AL133" s="1631"/>
      <c r="AM133" s="1631"/>
      <c r="AN133" s="1631"/>
      <c r="AO133" s="1631"/>
      <c r="AP133" s="1631"/>
      <c r="AQ133" s="1649"/>
      <c r="AR133" s="1631"/>
      <c r="AS133" s="1780">
        <v>0.1</v>
      </c>
      <c r="AT133" s="1632"/>
      <c r="AU133" s="1631"/>
      <c r="AV133" s="1631"/>
      <c r="AX133" s="1625">
        <v>3.2</v>
      </c>
      <c r="AY133" s="1628" t="s">
        <v>340</v>
      </c>
      <c r="AZ133" s="1622" t="s">
        <v>1869</v>
      </c>
      <c r="BA133" s="1631"/>
      <c r="BB133" s="1631"/>
      <c r="BC133" s="1631"/>
      <c r="BD133" s="1631"/>
      <c r="BE133" s="1631"/>
      <c r="BF133" s="1631"/>
      <c r="BG133" s="1631"/>
      <c r="BH133" s="1649"/>
      <c r="BI133" s="1631"/>
      <c r="BJ133" s="1780">
        <v>0.1</v>
      </c>
      <c r="BK133" s="1632"/>
      <c r="BL133" s="1631"/>
      <c r="BM133" s="1631"/>
      <c r="BO133" s="1625">
        <v>3.2</v>
      </c>
      <c r="BP133" s="1628" t="s">
        <v>340</v>
      </c>
      <c r="BQ133" s="1622"/>
      <c r="BR133" s="1631"/>
      <c r="BS133" s="1631"/>
      <c r="BT133" s="1631"/>
      <c r="BU133" s="1631"/>
      <c r="BV133" s="1631"/>
      <c r="BW133" s="1631"/>
      <c r="BX133" s="1631"/>
      <c r="BY133" s="1649"/>
      <c r="BZ133" s="1773"/>
      <c r="CA133" s="1631"/>
      <c r="CB133" s="1632"/>
      <c r="CC133" s="1631"/>
      <c r="CD133" s="1631"/>
      <c r="CE133" s="1635"/>
      <c r="CF133" s="1105">
        <f>ROWS($CF$5:CF132)</f>
        <v>128</v>
      </c>
      <c r="CG133" s="1625">
        <v>3.2</v>
      </c>
      <c r="CH133" s="1628" t="s">
        <v>340</v>
      </c>
      <c r="CI133" s="1622"/>
      <c r="CJ133" s="1636">
        <f t="shared" si="88"/>
        <v>0</v>
      </c>
      <c r="CK133" s="1636">
        <f t="shared" si="76"/>
        <v>0</v>
      </c>
      <c r="CL133" s="1636">
        <f t="shared" si="77"/>
        <v>0</v>
      </c>
      <c r="CM133" s="1636">
        <f t="shared" si="78"/>
        <v>0</v>
      </c>
      <c r="CN133" s="1636">
        <f t="shared" si="79"/>
        <v>0</v>
      </c>
      <c r="CO133" s="1636">
        <f t="shared" si="80"/>
        <v>0</v>
      </c>
      <c r="CP133" s="1636">
        <f t="shared" si="81"/>
        <v>0</v>
      </c>
      <c r="CQ133" s="1720">
        <f t="shared" si="82"/>
        <v>0</v>
      </c>
      <c r="CR133" s="1636">
        <f t="shared" si="83"/>
        <v>0</v>
      </c>
      <c r="CS133" s="1636">
        <f t="shared" si="84"/>
        <v>0</v>
      </c>
      <c r="CT133" s="1640">
        <f t="shared" si="85"/>
        <v>0</v>
      </c>
      <c r="CU133" s="1636">
        <f t="shared" si="86"/>
        <v>0</v>
      </c>
      <c r="CV133" s="1636">
        <f t="shared" si="87"/>
        <v>0</v>
      </c>
      <c r="CX133" s="1625">
        <v>3.2</v>
      </c>
      <c r="CY133" s="1628" t="s">
        <v>340</v>
      </c>
      <c r="CZ133" s="1622"/>
      <c r="DA133" s="1638">
        <f t="shared" si="89"/>
        <v>0</v>
      </c>
      <c r="DB133" s="1638"/>
      <c r="DC133" s="1638"/>
      <c r="DD133" s="1638"/>
      <c r="DE133" s="1638"/>
      <c r="DF133" s="1638"/>
      <c r="DG133" s="1638"/>
      <c r="DH133" s="1721"/>
      <c r="DI133" s="1638"/>
      <c r="DJ133" s="1638"/>
      <c r="DK133" s="1642"/>
      <c r="DL133" s="1638"/>
      <c r="DM133" s="1638"/>
    </row>
    <row r="134" spans="2:117" hidden="1">
      <c r="B134" s="1584">
        <f t="shared" si="99"/>
        <v>3.3</v>
      </c>
      <c r="C134" s="1622">
        <f t="shared" si="67"/>
        <v>0</v>
      </c>
      <c r="D134" s="1623">
        <f t="shared" si="115"/>
        <v>0</v>
      </c>
      <c r="E134" s="1624">
        <f t="shared" si="115"/>
        <v>0</v>
      </c>
      <c r="G134" s="1624">
        <f t="shared" si="96"/>
        <v>0</v>
      </c>
      <c r="H134" s="1624">
        <f t="shared" si="97"/>
        <v>0</v>
      </c>
      <c r="I134" s="1624"/>
      <c r="J134" s="1624"/>
      <c r="K134" s="1624">
        <f>IF(Score!W134=0,0,1)</f>
        <v>0</v>
      </c>
      <c r="L134" s="1624">
        <f>IF(Score!X134=0,0,1)</f>
        <v>0</v>
      </c>
      <c r="M134" s="1624">
        <f t="shared" si="98"/>
        <v>0</v>
      </c>
      <c r="N134" s="1624">
        <f t="shared" si="101"/>
        <v>0</v>
      </c>
      <c r="P134" s="1625">
        <f t="shared" si="68"/>
        <v>3.3</v>
      </c>
      <c r="Q134" s="1625" t="str">
        <f t="shared" si="69"/>
        <v>LR1 3b</v>
      </c>
      <c r="R134" s="1622">
        <f t="shared" si="70"/>
        <v>0</v>
      </c>
      <c r="S134" s="1626">
        <f t="shared" si="102"/>
        <v>0</v>
      </c>
      <c r="T134" s="1626">
        <f t="shared" si="103"/>
        <v>0</v>
      </c>
      <c r="U134" s="1626">
        <f t="shared" si="104"/>
        <v>0</v>
      </c>
      <c r="V134" s="1626">
        <f t="shared" si="105"/>
        <v>0</v>
      </c>
      <c r="W134" s="1626">
        <f t="shared" si="106"/>
        <v>0</v>
      </c>
      <c r="X134" s="1626">
        <f t="shared" si="107"/>
        <v>0</v>
      </c>
      <c r="Y134" s="1626">
        <f t="shared" si="108"/>
        <v>0</v>
      </c>
      <c r="Z134" s="1645">
        <f t="shared" si="109"/>
        <v>0</v>
      </c>
      <c r="AA134" s="1626">
        <f t="shared" si="110"/>
        <v>0</v>
      </c>
      <c r="AB134" s="1626">
        <f t="shared" si="111"/>
        <v>0</v>
      </c>
      <c r="AC134" s="1627">
        <f t="shared" si="112"/>
        <v>0</v>
      </c>
      <c r="AD134" s="1626">
        <f t="shared" si="113"/>
        <v>0</v>
      </c>
      <c r="AE134" s="1626">
        <f t="shared" si="114"/>
        <v>0</v>
      </c>
      <c r="AG134" s="1625">
        <v>3.3</v>
      </c>
      <c r="AH134" s="1628" t="s">
        <v>340</v>
      </c>
      <c r="AI134" s="1622" t="s">
        <v>1870</v>
      </c>
      <c r="AJ134" s="1631"/>
      <c r="AK134" s="1631"/>
      <c r="AL134" s="1631"/>
      <c r="AM134" s="1631"/>
      <c r="AN134" s="1631"/>
      <c r="AO134" s="1631"/>
      <c r="AP134" s="1631"/>
      <c r="AQ134" s="1649"/>
      <c r="AR134" s="1631"/>
      <c r="AS134" s="1780">
        <v>0.2</v>
      </c>
      <c r="AT134" s="1632"/>
      <c r="AU134" s="1631"/>
      <c r="AV134" s="1631"/>
      <c r="AX134" s="1625">
        <v>3.3</v>
      </c>
      <c r="AY134" s="1628" t="s">
        <v>340</v>
      </c>
      <c r="AZ134" s="1622" t="s">
        <v>1870</v>
      </c>
      <c r="BA134" s="1631"/>
      <c r="BB134" s="1631"/>
      <c r="BC134" s="1631"/>
      <c r="BD134" s="1631"/>
      <c r="BE134" s="1631"/>
      <c r="BF134" s="1631"/>
      <c r="BG134" s="1631"/>
      <c r="BH134" s="1649"/>
      <c r="BI134" s="1631"/>
      <c r="BJ134" s="1780">
        <v>0.2</v>
      </c>
      <c r="BK134" s="1632"/>
      <c r="BL134" s="1631"/>
      <c r="BM134" s="1631"/>
      <c r="BO134" s="1625">
        <v>3.3</v>
      </c>
      <c r="BP134" s="1628" t="s">
        <v>340</v>
      </c>
      <c r="BQ134" s="1622"/>
      <c r="BR134" s="1631"/>
      <c r="BS134" s="1631"/>
      <c r="BT134" s="1631"/>
      <c r="BU134" s="1631"/>
      <c r="BV134" s="1631"/>
      <c r="BW134" s="1631"/>
      <c r="BX134" s="1631"/>
      <c r="BY134" s="1649"/>
      <c r="BZ134" s="1773"/>
      <c r="CA134" s="1631"/>
      <c r="CB134" s="1632"/>
      <c r="CC134" s="1631"/>
      <c r="CD134" s="1631"/>
      <c r="CE134" s="1635"/>
      <c r="CF134" s="1105">
        <f>ROWS($CF$5:CF133)</f>
        <v>129</v>
      </c>
      <c r="CG134" s="1625">
        <v>3.3</v>
      </c>
      <c r="CH134" s="1628" t="s">
        <v>340</v>
      </c>
      <c r="CI134" s="1622"/>
      <c r="CJ134" s="1636">
        <f t="shared" si="88"/>
        <v>0</v>
      </c>
      <c r="CK134" s="1636">
        <f t="shared" si="76"/>
        <v>0</v>
      </c>
      <c r="CL134" s="1636">
        <f t="shared" si="77"/>
        <v>0</v>
      </c>
      <c r="CM134" s="1636">
        <f t="shared" si="78"/>
        <v>0</v>
      </c>
      <c r="CN134" s="1636">
        <f t="shared" si="79"/>
        <v>0</v>
      </c>
      <c r="CO134" s="1636">
        <f t="shared" si="80"/>
        <v>0</v>
      </c>
      <c r="CP134" s="1636">
        <f t="shared" si="81"/>
        <v>0</v>
      </c>
      <c r="CQ134" s="1720">
        <f t="shared" si="82"/>
        <v>0</v>
      </c>
      <c r="CR134" s="1636">
        <f t="shared" si="83"/>
        <v>0</v>
      </c>
      <c r="CS134" s="1636">
        <f t="shared" si="84"/>
        <v>0</v>
      </c>
      <c r="CT134" s="1640">
        <f t="shared" si="85"/>
        <v>0</v>
      </c>
      <c r="CU134" s="1636">
        <f t="shared" si="86"/>
        <v>0</v>
      </c>
      <c r="CV134" s="1636">
        <f t="shared" si="87"/>
        <v>0</v>
      </c>
      <c r="CX134" s="1625">
        <v>3.3</v>
      </c>
      <c r="CY134" s="1628" t="s">
        <v>340</v>
      </c>
      <c r="CZ134" s="1622"/>
      <c r="DA134" s="1638">
        <f t="shared" si="89"/>
        <v>0</v>
      </c>
      <c r="DB134" s="1638"/>
      <c r="DC134" s="1638"/>
      <c r="DD134" s="1638"/>
      <c r="DE134" s="1638"/>
      <c r="DF134" s="1638"/>
      <c r="DG134" s="1638"/>
      <c r="DH134" s="1721"/>
      <c r="DI134" s="1638"/>
      <c r="DJ134" s="1638"/>
      <c r="DK134" s="1642"/>
      <c r="DL134" s="1638"/>
      <c r="DM134" s="1638"/>
    </row>
    <row r="135" spans="2:117" hidden="1">
      <c r="B135" s="1584">
        <f t="shared" si="99"/>
        <v>3.4</v>
      </c>
      <c r="C135" s="1622">
        <f t="shared" si="67"/>
        <v>0</v>
      </c>
      <c r="D135" s="1623">
        <f t="shared" si="115"/>
        <v>0</v>
      </c>
      <c r="E135" s="1624">
        <f t="shared" si="115"/>
        <v>0</v>
      </c>
      <c r="G135" s="1624">
        <f t="shared" si="96"/>
        <v>0</v>
      </c>
      <c r="H135" s="1624">
        <f t="shared" si="97"/>
        <v>0</v>
      </c>
      <c r="I135" s="1624"/>
      <c r="J135" s="1624"/>
      <c r="K135" s="1624">
        <f>IF(Score!W135=0,0,1)</f>
        <v>0</v>
      </c>
      <c r="L135" s="1624">
        <f>IF(Score!X135=0,0,1)</f>
        <v>0</v>
      </c>
      <c r="M135" s="1624">
        <f t="shared" si="98"/>
        <v>0</v>
      </c>
      <c r="N135" s="1624">
        <f t="shared" si="101"/>
        <v>0</v>
      </c>
      <c r="P135" s="1781">
        <f t="shared" si="68"/>
        <v>3.4</v>
      </c>
      <c r="Q135" s="1625" t="str">
        <f t="shared" si="69"/>
        <v>LR1 3b</v>
      </c>
      <c r="R135" s="1622">
        <f t="shared" si="70"/>
        <v>0</v>
      </c>
      <c r="S135" s="1626">
        <f t="shared" si="102"/>
        <v>0</v>
      </c>
      <c r="T135" s="1626">
        <f t="shared" si="103"/>
        <v>0</v>
      </c>
      <c r="U135" s="1626">
        <f t="shared" si="104"/>
        <v>0</v>
      </c>
      <c r="V135" s="1626">
        <f t="shared" si="105"/>
        <v>0</v>
      </c>
      <c r="W135" s="1626">
        <f t="shared" si="106"/>
        <v>0</v>
      </c>
      <c r="X135" s="1626">
        <f t="shared" si="107"/>
        <v>0</v>
      </c>
      <c r="Y135" s="1626">
        <f t="shared" si="108"/>
        <v>0</v>
      </c>
      <c r="Z135" s="1645">
        <f t="shared" si="109"/>
        <v>0</v>
      </c>
      <c r="AA135" s="1626">
        <f t="shared" si="110"/>
        <v>0</v>
      </c>
      <c r="AB135" s="1626">
        <f t="shared" si="111"/>
        <v>0</v>
      </c>
      <c r="AC135" s="1627">
        <f t="shared" si="112"/>
        <v>0</v>
      </c>
      <c r="AD135" s="1626">
        <f t="shared" si="113"/>
        <v>0</v>
      </c>
      <c r="AE135" s="1626">
        <f t="shared" si="114"/>
        <v>0</v>
      </c>
      <c r="AG135" s="1781">
        <v>3.4</v>
      </c>
      <c r="AH135" s="1628" t="s">
        <v>340</v>
      </c>
      <c r="AI135" s="1622" t="s">
        <v>1871</v>
      </c>
      <c r="AJ135" s="1631"/>
      <c r="AK135" s="1631"/>
      <c r="AL135" s="1631"/>
      <c r="AM135" s="1631"/>
      <c r="AN135" s="1631"/>
      <c r="AO135" s="1631"/>
      <c r="AP135" s="1631"/>
      <c r="AQ135" s="1649"/>
      <c r="AR135" s="1631"/>
      <c r="AS135" s="1780">
        <v>0.05</v>
      </c>
      <c r="AT135" s="1632"/>
      <c r="AU135" s="1631"/>
      <c r="AV135" s="1631"/>
      <c r="AX135" s="1781">
        <v>3.4</v>
      </c>
      <c r="AY135" s="1628" t="s">
        <v>340</v>
      </c>
      <c r="AZ135" s="1622" t="s">
        <v>1871</v>
      </c>
      <c r="BA135" s="1631"/>
      <c r="BB135" s="1631"/>
      <c r="BC135" s="1631"/>
      <c r="BD135" s="1631"/>
      <c r="BE135" s="1631"/>
      <c r="BF135" s="1631"/>
      <c r="BG135" s="1631"/>
      <c r="BH135" s="1649"/>
      <c r="BI135" s="1631"/>
      <c r="BJ135" s="1780">
        <v>0.05</v>
      </c>
      <c r="BK135" s="1632"/>
      <c r="BL135" s="1631"/>
      <c r="BM135" s="1631"/>
      <c r="BO135" s="1781">
        <v>3.4</v>
      </c>
      <c r="BP135" s="1628" t="s">
        <v>340</v>
      </c>
      <c r="BQ135" s="1622"/>
      <c r="BR135" s="1631"/>
      <c r="BS135" s="1631"/>
      <c r="BT135" s="1631"/>
      <c r="BU135" s="1631"/>
      <c r="BV135" s="1631"/>
      <c r="BW135" s="1631"/>
      <c r="BX135" s="1631"/>
      <c r="BY135" s="1649"/>
      <c r="BZ135" s="1773"/>
      <c r="CA135" s="1631"/>
      <c r="CB135" s="1632"/>
      <c r="CC135" s="1631"/>
      <c r="CD135" s="1631"/>
      <c r="CE135" s="1635"/>
      <c r="CF135" s="1105">
        <f>ROWS($CF$5:CF134)</f>
        <v>130</v>
      </c>
      <c r="CG135" s="1781">
        <v>3.4</v>
      </c>
      <c r="CH135" s="1628" t="s">
        <v>340</v>
      </c>
      <c r="CI135" s="1622"/>
      <c r="CJ135" s="1636">
        <f t="shared" si="88"/>
        <v>0</v>
      </c>
      <c r="CK135" s="1636">
        <f t="shared" si="76"/>
        <v>0</v>
      </c>
      <c r="CL135" s="1636">
        <f t="shared" si="77"/>
        <v>0</v>
      </c>
      <c r="CM135" s="1636">
        <f t="shared" si="78"/>
        <v>0</v>
      </c>
      <c r="CN135" s="1636">
        <f t="shared" si="79"/>
        <v>0</v>
      </c>
      <c r="CO135" s="1636">
        <f t="shared" si="80"/>
        <v>0</v>
      </c>
      <c r="CP135" s="1636">
        <f t="shared" si="81"/>
        <v>0</v>
      </c>
      <c r="CQ135" s="1720">
        <f t="shared" si="82"/>
        <v>0</v>
      </c>
      <c r="CR135" s="1636">
        <f t="shared" si="83"/>
        <v>0</v>
      </c>
      <c r="CS135" s="1636">
        <f t="shared" si="84"/>
        <v>0</v>
      </c>
      <c r="CT135" s="1640">
        <f t="shared" si="85"/>
        <v>0</v>
      </c>
      <c r="CU135" s="1636">
        <f t="shared" si="86"/>
        <v>0</v>
      </c>
      <c r="CV135" s="1636">
        <f t="shared" si="87"/>
        <v>0</v>
      </c>
      <c r="CX135" s="1781">
        <v>3.4</v>
      </c>
      <c r="CY135" s="1628" t="s">
        <v>340</v>
      </c>
      <c r="CZ135" s="1622"/>
      <c r="DA135" s="1638">
        <f t="shared" si="89"/>
        <v>0</v>
      </c>
      <c r="DB135" s="1638"/>
      <c r="DC135" s="1638"/>
      <c r="DD135" s="1638"/>
      <c r="DE135" s="1638"/>
      <c r="DF135" s="1638"/>
      <c r="DG135" s="1638"/>
      <c r="DH135" s="1721"/>
      <c r="DI135" s="1638"/>
      <c r="DJ135" s="1638"/>
      <c r="DK135" s="1642"/>
      <c r="DL135" s="1638"/>
      <c r="DM135" s="1638"/>
    </row>
    <row r="136" spans="2:117" hidden="1">
      <c r="B136" s="1584">
        <f t="shared" si="99"/>
        <v>3.5</v>
      </c>
      <c r="C136" s="1622">
        <f t="shared" si="67"/>
        <v>0</v>
      </c>
      <c r="D136" s="1623">
        <f t="shared" si="115"/>
        <v>0</v>
      </c>
      <c r="E136" s="1624">
        <f t="shared" si="115"/>
        <v>0</v>
      </c>
      <c r="G136" s="1624">
        <f t="shared" si="96"/>
        <v>0</v>
      </c>
      <c r="H136" s="1624">
        <f t="shared" si="97"/>
        <v>0</v>
      </c>
      <c r="I136" s="1624"/>
      <c r="J136" s="1624"/>
      <c r="K136" s="1624">
        <f>IF(Score!W136=0,0,1)</f>
        <v>0</v>
      </c>
      <c r="L136" s="1624">
        <f>IF(Score!X136=0,0,1)</f>
        <v>0</v>
      </c>
      <c r="M136" s="1624">
        <f t="shared" si="98"/>
        <v>0</v>
      </c>
      <c r="N136" s="1624">
        <f t="shared" si="101"/>
        <v>0</v>
      </c>
      <c r="P136" s="1781">
        <f t="shared" si="68"/>
        <v>3.5</v>
      </c>
      <c r="Q136" s="1625" t="str">
        <f t="shared" si="69"/>
        <v>LR1 3b</v>
      </c>
      <c r="R136" s="1622">
        <f t="shared" si="70"/>
        <v>0</v>
      </c>
      <c r="S136" s="1626">
        <f t="shared" si="102"/>
        <v>0</v>
      </c>
      <c r="T136" s="1626">
        <f t="shared" si="103"/>
        <v>0</v>
      </c>
      <c r="U136" s="1626">
        <f t="shared" si="104"/>
        <v>0</v>
      </c>
      <c r="V136" s="1626">
        <f t="shared" si="105"/>
        <v>0</v>
      </c>
      <c r="W136" s="1626">
        <f t="shared" si="106"/>
        <v>0</v>
      </c>
      <c r="X136" s="1626">
        <f t="shared" si="107"/>
        <v>0</v>
      </c>
      <c r="Y136" s="1626">
        <f t="shared" si="108"/>
        <v>0</v>
      </c>
      <c r="Z136" s="1645">
        <f t="shared" si="109"/>
        <v>0</v>
      </c>
      <c r="AA136" s="1626">
        <f t="shared" si="110"/>
        <v>0</v>
      </c>
      <c r="AB136" s="1626">
        <f t="shared" si="111"/>
        <v>0</v>
      </c>
      <c r="AC136" s="1627">
        <f t="shared" si="112"/>
        <v>0</v>
      </c>
      <c r="AD136" s="1626">
        <f t="shared" si="113"/>
        <v>0</v>
      </c>
      <c r="AE136" s="1626">
        <f t="shared" si="114"/>
        <v>0</v>
      </c>
      <c r="AG136" s="1781">
        <v>3.5</v>
      </c>
      <c r="AH136" s="1628" t="s">
        <v>340</v>
      </c>
      <c r="AI136" s="1622" t="s">
        <v>1872</v>
      </c>
      <c r="AJ136" s="1631"/>
      <c r="AK136" s="1631"/>
      <c r="AL136" s="1631"/>
      <c r="AM136" s="1631"/>
      <c r="AN136" s="1631"/>
      <c r="AO136" s="1631"/>
      <c r="AP136" s="1631"/>
      <c r="AQ136" s="1649"/>
      <c r="AR136" s="1631"/>
      <c r="AS136" s="1631"/>
      <c r="AT136" s="1632"/>
      <c r="AU136" s="1631"/>
      <c r="AV136" s="1631"/>
      <c r="AX136" s="1781">
        <v>3.5</v>
      </c>
      <c r="AY136" s="1628" t="s">
        <v>340</v>
      </c>
      <c r="AZ136" s="1622" t="s">
        <v>1872</v>
      </c>
      <c r="BA136" s="1631"/>
      <c r="BB136" s="1631"/>
      <c r="BC136" s="1631"/>
      <c r="BD136" s="1631"/>
      <c r="BE136" s="1631"/>
      <c r="BF136" s="1631"/>
      <c r="BG136" s="1631"/>
      <c r="BH136" s="1649"/>
      <c r="BI136" s="1631"/>
      <c r="BJ136" s="1631"/>
      <c r="BK136" s="1632"/>
      <c r="BL136" s="1631"/>
      <c r="BM136" s="1631"/>
      <c r="BO136" s="1781">
        <v>3.5</v>
      </c>
      <c r="BP136" s="1628" t="s">
        <v>340</v>
      </c>
      <c r="BQ136" s="1622"/>
      <c r="BR136" s="1631"/>
      <c r="BS136" s="1631"/>
      <c r="BT136" s="1631"/>
      <c r="BU136" s="1631"/>
      <c r="BV136" s="1631"/>
      <c r="BW136" s="1631"/>
      <c r="BX136" s="1631"/>
      <c r="BY136" s="1649"/>
      <c r="BZ136" s="1773"/>
      <c r="CA136" s="1631"/>
      <c r="CB136" s="1632"/>
      <c r="CC136" s="1631"/>
      <c r="CD136" s="1631"/>
      <c r="CE136" s="1635"/>
      <c r="CF136" s="1105">
        <f>ROWS($CF$5:CF135)</f>
        <v>131</v>
      </c>
      <c r="CG136" s="1781">
        <v>3.5</v>
      </c>
      <c r="CH136" s="1628" t="s">
        <v>340</v>
      </c>
      <c r="CI136" s="1622"/>
      <c r="CJ136" s="1636">
        <f t="shared" si="88"/>
        <v>0</v>
      </c>
      <c r="CK136" s="1636">
        <f t="shared" si="76"/>
        <v>0</v>
      </c>
      <c r="CL136" s="1636">
        <f t="shared" si="77"/>
        <v>0</v>
      </c>
      <c r="CM136" s="1636">
        <f t="shared" si="78"/>
        <v>0</v>
      </c>
      <c r="CN136" s="1636">
        <f t="shared" si="79"/>
        <v>0</v>
      </c>
      <c r="CO136" s="1636">
        <f t="shared" si="80"/>
        <v>0</v>
      </c>
      <c r="CP136" s="1636">
        <f t="shared" si="81"/>
        <v>0</v>
      </c>
      <c r="CQ136" s="1720">
        <f t="shared" si="82"/>
        <v>0</v>
      </c>
      <c r="CR136" s="1636">
        <f t="shared" si="83"/>
        <v>0</v>
      </c>
      <c r="CS136" s="1636">
        <f t="shared" si="84"/>
        <v>0</v>
      </c>
      <c r="CT136" s="1640">
        <f t="shared" si="85"/>
        <v>0</v>
      </c>
      <c r="CU136" s="1636">
        <f t="shared" si="86"/>
        <v>0</v>
      </c>
      <c r="CV136" s="1636">
        <f t="shared" si="87"/>
        <v>0</v>
      </c>
      <c r="CX136" s="1781">
        <v>3.5</v>
      </c>
      <c r="CY136" s="1628" t="s">
        <v>340</v>
      </c>
      <c r="CZ136" s="1622"/>
      <c r="DA136" s="1638">
        <f t="shared" si="89"/>
        <v>0</v>
      </c>
      <c r="DB136" s="1638"/>
      <c r="DC136" s="1638"/>
      <c r="DD136" s="1638"/>
      <c r="DE136" s="1638"/>
      <c r="DF136" s="1638"/>
      <c r="DG136" s="1638"/>
      <c r="DH136" s="1721"/>
      <c r="DI136" s="1638"/>
      <c r="DJ136" s="1638"/>
      <c r="DK136" s="1642"/>
      <c r="DL136" s="1638"/>
      <c r="DM136" s="1638"/>
    </row>
    <row r="137" spans="2:117" hidden="1">
      <c r="B137" s="1584">
        <f t="shared" si="99"/>
        <v>0</v>
      </c>
      <c r="C137" s="1622">
        <f t="shared" ref="C137:C196" si="116">R137</f>
        <v>0</v>
      </c>
      <c r="D137" s="1623"/>
      <c r="E137" s="1624"/>
      <c r="G137" s="1624">
        <f t="shared" si="96"/>
        <v>0</v>
      </c>
      <c r="H137" s="1624">
        <f t="shared" si="97"/>
        <v>0</v>
      </c>
      <c r="I137" s="1624"/>
      <c r="J137" s="1624"/>
      <c r="K137" s="1624">
        <f>IF(Score!W137=0,0,1)</f>
        <v>0</v>
      </c>
      <c r="L137" s="1624">
        <f>IF(Score!X137=0,0,1)</f>
        <v>0</v>
      </c>
      <c r="M137" s="1624">
        <f t="shared" si="98"/>
        <v>0</v>
      </c>
      <c r="N137" s="1624">
        <f t="shared" si="101"/>
        <v>0</v>
      </c>
      <c r="P137" s="1781">
        <f t="shared" si="68"/>
        <v>0</v>
      </c>
      <c r="Q137" s="1781" t="str">
        <f t="shared" si="69"/>
        <v>LR</v>
      </c>
      <c r="R137" s="1622">
        <f t="shared" si="70"/>
        <v>0</v>
      </c>
      <c r="S137" s="1626">
        <f t="shared" si="102"/>
        <v>0</v>
      </c>
      <c r="T137" s="1626">
        <f t="shared" si="103"/>
        <v>0</v>
      </c>
      <c r="U137" s="1626">
        <f t="shared" si="104"/>
        <v>0</v>
      </c>
      <c r="V137" s="1626">
        <f t="shared" si="105"/>
        <v>0</v>
      </c>
      <c r="W137" s="1626">
        <f t="shared" si="106"/>
        <v>0</v>
      </c>
      <c r="X137" s="1626">
        <f t="shared" si="107"/>
        <v>0</v>
      </c>
      <c r="Y137" s="1626">
        <f t="shared" si="108"/>
        <v>0</v>
      </c>
      <c r="Z137" s="1645">
        <f t="shared" si="109"/>
        <v>0</v>
      </c>
      <c r="AA137" s="1626">
        <f t="shared" si="110"/>
        <v>0</v>
      </c>
      <c r="AB137" s="1626">
        <f t="shared" si="111"/>
        <v>0</v>
      </c>
      <c r="AC137" s="1627">
        <f t="shared" si="112"/>
        <v>0</v>
      </c>
      <c r="AD137" s="1626">
        <f t="shared" si="113"/>
        <v>0</v>
      </c>
      <c r="AE137" s="1626">
        <f t="shared" si="114"/>
        <v>0</v>
      </c>
      <c r="AG137" s="1781"/>
      <c r="AH137" s="1782" t="s">
        <v>37</v>
      </c>
      <c r="AI137" s="1622"/>
      <c r="AJ137" s="1631"/>
      <c r="AK137" s="1631"/>
      <c r="AL137" s="1631"/>
      <c r="AM137" s="1631"/>
      <c r="AN137" s="1631"/>
      <c r="AO137" s="1631"/>
      <c r="AP137" s="1631"/>
      <c r="AQ137" s="1649"/>
      <c r="AR137" s="1631"/>
      <c r="AS137" s="1631"/>
      <c r="AT137" s="1632"/>
      <c r="AU137" s="1631"/>
      <c r="AV137" s="1631"/>
      <c r="AX137" s="1781"/>
      <c r="AY137" s="1782" t="s">
        <v>37</v>
      </c>
      <c r="AZ137" s="1622"/>
      <c r="BA137" s="1631"/>
      <c r="BB137" s="1631"/>
      <c r="BC137" s="1631"/>
      <c r="BD137" s="1631"/>
      <c r="BE137" s="1631"/>
      <c r="BF137" s="1631"/>
      <c r="BG137" s="1631"/>
      <c r="BH137" s="1649"/>
      <c r="BI137" s="1631"/>
      <c r="BJ137" s="1631"/>
      <c r="BK137" s="1632"/>
      <c r="BL137" s="1631"/>
      <c r="BM137" s="1631"/>
      <c r="BO137" s="1781"/>
      <c r="BP137" s="1782" t="s">
        <v>37</v>
      </c>
      <c r="BQ137" s="1622"/>
      <c r="BR137" s="1631"/>
      <c r="BS137" s="1631"/>
      <c r="BT137" s="1631"/>
      <c r="BU137" s="1631"/>
      <c r="BV137" s="1631"/>
      <c r="BW137" s="1631"/>
      <c r="BX137" s="1631"/>
      <c r="BY137" s="1649"/>
      <c r="BZ137" s="1773"/>
      <c r="CA137" s="1631"/>
      <c r="CB137" s="1632"/>
      <c r="CC137" s="1631"/>
      <c r="CD137" s="1631"/>
      <c r="CE137" s="1635"/>
      <c r="CF137" s="1105">
        <f>ROWS($CF$5:CF136)</f>
        <v>132</v>
      </c>
      <c r="CG137" s="1781"/>
      <c r="CH137" s="1782" t="s">
        <v>37</v>
      </c>
      <c r="CI137" s="1622"/>
      <c r="CJ137" s="1636">
        <f t="shared" si="88"/>
        <v>0</v>
      </c>
      <c r="CK137" s="1636">
        <f t="shared" si="76"/>
        <v>0</v>
      </c>
      <c r="CL137" s="1636">
        <f t="shared" si="77"/>
        <v>0</v>
      </c>
      <c r="CM137" s="1636">
        <f t="shared" si="78"/>
        <v>0</v>
      </c>
      <c r="CN137" s="1636">
        <f t="shared" si="79"/>
        <v>0</v>
      </c>
      <c r="CO137" s="1636">
        <f t="shared" si="80"/>
        <v>0</v>
      </c>
      <c r="CP137" s="1636">
        <f t="shared" si="81"/>
        <v>0</v>
      </c>
      <c r="CQ137" s="1720">
        <f t="shared" si="82"/>
        <v>0</v>
      </c>
      <c r="CR137" s="1636">
        <f t="shared" si="83"/>
        <v>0</v>
      </c>
      <c r="CS137" s="1636">
        <f t="shared" si="84"/>
        <v>0</v>
      </c>
      <c r="CT137" s="1640">
        <f t="shared" si="85"/>
        <v>0</v>
      </c>
      <c r="CU137" s="1636">
        <f t="shared" si="86"/>
        <v>0</v>
      </c>
      <c r="CV137" s="1636">
        <f t="shared" si="87"/>
        <v>0</v>
      </c>
      <c r="CX137" s="1781"/>
      <c r="CY137" s="1782" t="s">
        <v>37</v>
      </c>
      <c r="CZ137" s="1622"/>
      <c r="DA137" s="1638">
        <f t="shared" si="89"/>
        <v>0</v>
      </c>
      <c r="DB137" s="1638"/>
      <c r="DC137" s="1638"/>
      <c r="DD137" s="1638"/>
      <c r="DE137" s="1638"/>
      <c r="DF137" s="1638"/>
      <c r="DG137" s="1638"/>
      <c r="DH137" s="1721"/>
      <c r="DI137" s="1638"/>
      <c r="DJ137" s="1638"/>
      <c r="DK137" s="1642"/>
      <c r="DL137" s="1638"/>
      <c r="DM137" s="1638"/>
    </row>
    <row r="138" spans="2:117">
      <c r="B138" s="1584">
        <f t="shared" si="99"/>
        <v>4</v>
      </c>
      <c r="C138" s="1600" t="str">
        <f t="shared" si="116"/>
        <v>Initiatives for Efficient Operation</v>
      </c>
      <c r="D138" s="1601">
        <f>IF(I$122=0,0,G138/I$122)</f>
        <v>0.2</v>
      </c>
      <c r="E138" s="1602">
        <f>IF(J$122=0,0,H138/J$122)</f>
        <v>0</v>
      </c>
      <c r="G138" s="1602">
        <f t="shared" si="96"/>
        <v>0.2</v>
      </c>
      <c r="H138" s="1602">
        <f t="shared" si="97"/>
        <v>0</v>
      </c>
      <c r="I138" s="1602">
        <f>G139+G144</f>
        <v>1</v>
      </c>
      <c r="J138" s="1602">
        <f>H139+H144</f>
        <v>0</v>
      </c>
      <c r="K138" s="1602">
        <f>IF(L138&gt;0,1,IF(Score!Z138=0,0,1))</f>
        <v>1</v>
      </c>
      <c r="L138" s="1602">
        <f>IF(Score!AB138=0,0,1)</f>
        <v>0</v>
      </c>
      <c r="M138" s="1602">
        <f t="shared" ref="M138:M146" si="117">SUMPRODUCT($S$7:$AB$7,S138:AB138)</f>
        <v>0.2</v>
      </c>
      <c r="N138" s="1602">
        <f t="shared" si="101"/>
        <v>0</v>
      </c>
      <c r="P138" s="1769">
        <f t="shared" ref="P138:P196" si="118">IF($P$3=1,AX138,IF($P$3=2,BO138,IF($P$3=3,CG138,IF($P$3=4,CX138,AG138))))</f>
        <v>4</v>
      </c>
      <c r="Q138" s="1604" t="str">
        <f t="shared" ref="Q138:Q196" si="119">IF($P$3=1,AY138,IF($P$3=2,BP138,IF($P$3=3,CH138,IF($P$3=4,CY138,AH138))))</f>
        <v>LR1</v>
      </c>
      <c r="R138" s="1600" t="str">
        <f t="shared" ref="R138:R196" si="120">IF($P$3=1,AZ138,IF($P$3=2,BQ138,IF($P$3=3,CI138,IF($P$3=4,CZ138,AI138))))</f>
        <v>Initiatives for Efficient Operation</v>
      </c>
      <c r="S138" s="1711">
        <f t="shared" si="102"/>
        <v>0.2</v>
      </c>
      <c r="T138" s="1711">
        <f t="shared" si="103"/>
        <v>0.2</v>
      </c>
      <c r="U138" s="1711">
        <f t="shared" si="104"/>
        <v>0.2</v>
      </c>
      <c r="V138" s="1711">
        <f t="shared" si="105"/>
        <v>0.2</v>
      </c>
      <c r="W138" s="1711">
        <f t="shared" si="106"/>
        <v>0.2</v>
      </c>
      <c r="X138" s="1711">
        <f t="shared" si="107"/>
        <v>0.2</v>
      </c>
      <c r="Y138" s="1711">
        <f t="shared" si="108"/>
        <v>0.2</v>
      </c>
      <c r="Z138" s="1606">
        <f t="shared" si="109"/>
        <v>0.2</v>
      </c>
      <c r="AA138" s="1711">
        <f t="shared" si="110"/>
        <v>0.2</v>
      </c>
      <c r="AB138" s="1711">
        <f t="shared" si="111"/>
        <v>0.2</v>
      </c>
      <c r="AC138" s="1607">
        <f t="shared" si="112"/>
        <v>0</v>
      </c>
      <c r="AD138" s="1605">
        <f t="shared" si="113"/>
        <v>0</v>
      </c>
      <c r="AE138" s="1605">
        <f t="shared" si="114"/>
        <v>0</v>
      </c>
      <c r="AG138" s="1769">
        <v>4</v>
      </c>
      <c r="AH138" s="1608" t="s">
        <v>405</v>
      </c>
      <c r="AI138" s="1600" t="s">
        <v>1873</v>
      </c>
      <c r="AJ138" s="1714">
        <v>0.2</v>
      </c>
      <c r="AK138" s="1714">
        <v>0.2</v>
      </c>
      <c r="AL138" s="1714">
        <v>0.2</v>
      </c>
      <c r="AM138" s="1714">
        <v>0.2</v>
      </c>
      <c r="AN138" s="1714">
        <v>0.2</v>
      </c>
      <c r="AO138" s="1714">
        <v>0.2</v>
      </c>
      <c r="AP138" s="1714">
        <v>0.2</v>
      </c>
      <c r="AQ138" s="1714">
        <v>0.2</v>
      </c>
      <c r="AR138" s="1714">
        <v>0.25</v>
      </c>
      <c r="AS138" s="1714">
        <v>0.2</v>
      </c>
      <c r="AT138" s="1612"/>
      <c r="AU138" s="1611"/>
      <c r="AV138" s="1611"/>
      <c r="AX138" s="1769">
        <v>4</v>
      </c>
      <c r="AY138" s="1608" t="s">
        <v>405</v>
      </c>
      <c r="AZ138" s="1600" t="s">
        <v>1873</v>
      </c>
      <c r="BA138" s="1714">
        <v>0.2</v>
      </c>
      <c r="BB138" s="1714">
        <v>0.2</v>
      </c>
      <c r="BC138" s="1714">
        <v>0.2</v>
      </c>
      <c r="BD138" s="1714">
        <v>0.2</v>
      </c>
      <c r="BE138" s="1714">
        <v>0.2</v>
      </c>
      <c r="BF138" s="1714">
        <v>0.2</v>
      </c>
      <c r="BG138" s="1714">
        <v>0.2</v>
      </c>
      <c r="BH138" s="1714">
        <v>0.2</v>
      </c>
      <c r="BI138" s="1714">
        <v>0.2</v>
      </c>
      <c r="BJ138" s="1714">
        <v>0.2</v>
      </c>
      <c r="BK138" s="1612"/>
      <c r="BL138" s="1611"/>
      <c r="BM138" s="1611"/>
      <c r="BO138" s="1769">
        <v>4</v>
      </c>
      <c r="BP138" s="1608" t="s">
        <v>405</v>
      </c>
      <c r="BQ138" s="1819" t="s">
        <v>2504</v>
      </c>
      <c r="BR138" s="1714">
        <v>0.2</v>
      </c>
      <c r="BS138" s="1714">
        <v>0.2</v>
      </c>
      <c r="BT138" s="1714">
        <v>0.2</v>
      </c>
      <c r="BU138" s="1714">
        <v>0.2</v>
      </c>
      <c r="BV138" s="1714">
        <v>0.2</v>
      </c>
      <c r="BW138" s="1714">
        <v>0.2</v>
      </c>
      <c r="BX138" s="1714">
        <v>0.2</v>
      </c>
      <c r="BY138" s="1714">
        <v>0.2</v>
      </c>
      <c r="BZ138" s="1768">
        <v>0.2</v>
      </c>
      <c r="CA138" s="1714">
        <v>0.2</v>
      </c>
      <c r="CB138" s="1612"/>
      <c r="CC138" s="1611"/>
      <c r="CD138" s="1611"/>
      <c r="CE138" s="1615"/>
      <c r="CF138" s="1105">
        <f>ROWS($CF$5:CF137)</f>
        <v>133</v>
      </c>
      <c r="CG138" s="1769">
        <v>4</v>
      </c>
      <c r="CH138" s="1608" t="s">
        <v>405</v>
      </c>
      <c r="CI138" s="1600" t="s">
        <v>1873</v>
      </c>
      <c r="CJ138" s="1770">
        <f t="shared" si="88"/>
        <v>0.2</v>
      </c>
      <c r="CK138" s="1770">
        <f t="shared" si="76"/>
        <v>0.2</v>
      </c>
      <c r="CL138" s="1770">
        <f t="shared" si="77"/>
        <v>0.2</v>
      </c>
      <c r="CM138" s="1770">
        <f t="shared" si="78"/>
        <v>0.2</v>
      </c>
      <c r="CN138" s="1770">
        <f t="shared" si="79"/>
        <v>0.2</v>
      </c>
      <c r="CO138" s="1770">
        <f t="shared" si="80"/>
        <v>0.2</v>
      </c>
      <c r="CP138" s="1770">
        <f t="shared" si="81"/>
        <v>0.2</v>
      </c>
      <c r="CQ138" s="1770">
        <f t="shared" si="82"/>
        <v>0.2</v>
      </c>
      <c r="CR138" s="1770">
        <f t="shared" si="83"/>
        <v>0.2</v>
      </c>
      <c r="CS138" s="1770">
        <f t="shared" si="84"/>
        <v>0.2</v>
      </c>
      <c r="CT138" s="1618">
        <f t="shared" si="85"/>
        <v>0</v>
      </c>
      <c r="CU138" s="1616">
        <f t="shared" si="86"/>
        <v>0</v>
      </c>
      <c r="CV138" s="1616">
        <f t="shared" si="87"/>
        <v>0</v>
      </c>
      <c r="CX138" s="1769">
        <v>4</v>
      </c>
      <c r="CY138" s="1608" t="s">
        <v>405</v>
      </c>
      <c r="CZ138" s="1600" t="s">
        <v>1873</v>
      </c>
      <c r="DA138" s="1717">
        <f t="shared" si="89"/>
        <v>0.2</v>
      </c>
      <c r="DB138" s="1717"/>
      <c r="DC138" s="1717"/>
      <c r="DD138" s="1717"/>
      <c r="DE138" s="1717"/>
      <c r="DF138" s="1717"/>
      <c r="DG138" s="1717"/>
      <c r="DH138" s="1717"/>
      <c r="DI138" s="1717"/>
      <c r="DJ138" s="1717"/>
      <c r="DK138" s="1621"/>
      <c r="DL138" s="1619"/>
      <c r="DM138" s="1619"/>
    </row>
    <row r="139" spans="2:117">
      <c r="B139" s="1584">
        <f t="shared" si="99"/>
        <v>4.0999999999999996</v>
      </c>
      <c r="C139" s="1622" t="str">
        <f t="shared" si="116"/>
        <v>Other than apartments</v>
      </c>
      <c r="D139" s="1623">
        <f>IF(I$138=0,0,G139/I$138)</f>
        <v>1</v>
      </c>
      <c r="E139" s="1623">
        <f>IF(J$138=0,0,H139/J$138)</f>
        <v>0</v>
      </c>
      <c r="G139" s="1624">
        <f>K139*M139</f>
        <v>1</v>
      </c>
      <c r="H139" s="1624">
        <f t="shared" si="97"/>
        <v>0</v>
      </c>
      <c r="I139" s="1624">
        <f>SUM(G140:G143)</f>
        <v>1</v>
      </c>
      <c r="J139" s="1624">
        <f>SUM(H140:H143)</f>
        <v>0</v>
      </c>
      <c r="K139" s="1624">
        <f>IF(Score!Z139=0,0,1)</f>
        <v>1</v>
      </c>
      <c r="L139" s="1624">
        <f>IF(Score!AB139=0,0,1)</f>
        <v>0</v>
      </c>
      <c r="M139" s="1624">
        <f t="shared" si="117"/>
        <v>1</v>
      </c>
      <c r="N139" s="1624">
        <f t="shared" ref="N139:N146" si="121">(AC$7*AC139)+(AD$7*AD139)+(AE$7*AE139)</f>
        <v>0</v>
      </c>
      <c r="P139" s="1625">
        <f t="shared" si="118"/>
        <v>4.0999999999999996</v>
      </c>
      <c r="Q139" s="1625" t="str">
        <f t="shared" si="119"/>
        <v>LR1 4</v>
      </c>
      <c r="R139" s="1622" t="str">
        <f t="shared" si="120"/>
        <v>Other than apartments</v>
      </c>
      <c r="S139" s="1626">
        <f t="shared" si="102"/>
        <v>1</v>
      </c>
      <c r="T139" s="1626">
        <f t="shared" si="103"/>
        <v>1</v>
      </c>
      <c r="U139" s="1626">
        <f t="shared" si="104"/>
        <v>1</v>
      </c>
      <c r="V139" s="1626">
        <f t="shared" si="105"/>
        <v>1</v>
      </c>
      <c r="W139" s="1626">
        <f t="shared" si="106"/>
        <v>1</v>
      </c>
      <c r="X139" s="1626">
        <f t="shared" si="107"/>
        <v>1</v>
      </c>
      <c r="Y139" s="1626">
        <f t="shared" si="108"/>
        <v>0</v>
      </c>
      <c r="Z139" s="1645">
        <f t="shared" si="109"/>
        <v>1</v>
      </c>
      <c r="AA139" s="1626">
        <f t="shared" si="110"/>
        <v>1</v>
      </c>
      <c r="AB139" s="1626">
        <f t="shared" si="111"/>
        <v>1</v>
      </c>
      <c r="AC139" s="1627">
        <f t="shared" si="112"/>
        <v>0</v>
      </c>
      <c r="AD139" s="1743">
        <f t="shared" si="113"/>
        <v>0</v>
      </c>
      <c r="AE139" s="1743">
        <f t="shared" si="114"/>
        <v>0</v>
      </c>
      <c r="AG139" s="1625">
        <v>4.0999999999999996</v>
      </c>
      <c r="AH139" s="1628" t="s">
        <v>41</v>
      </c>
      <c r="AI139" s="1622" t="s">
        <v>1874</v>
      </c>
      <c r="AJ139" s="1631">
        <v>1</v>
      </c>
      <c r="AK139" s="1631">
        <v>1</v>
      </c>
      <c r="AL139" s="1631">
        <v>1</v>
      </c>
      <c r="AM139" s="1631">
        <v>1</v>
      </c>
      <c r="AN139" s="1631">
        <v>1</v>
      </c>
      <c r="AO139" s="1631">
        <v>1</v>
      </c>
      <c r="AP139" s="1631"/>
      <c r="AQ139" s="1631">
        <v>1</v>
      </c>
      <c r="AR139" s="1631">
        <v>1</v>
      </c>
      <c r="AS139" s="1631">
        <v>1</v>
      </c>
      <c r="AT139" s="1632"/>
      <c r="AU139" s="1747"/>
      <c r="AV139" s="1747"/>
      <c r="AX139" s="1625">
        <v>4.0999999999999996</v>
      </c>
      <c r="AY139" s="1628" t="s">
        <v>41</v>
      </c>
      <c r="AZ139" s="1622" t="s">
        <v>1874</v>
      </c>
      <c r="BA139" s="1631">
        <v>1</v>
      </c>
      <c r="BB139" s="1631">
        <v>1</v>
      </c>
      <c r="BC139" s="1631">
        <v>1</v>
      </c>
      <c r="BD139" s="1631">
        <v>1</v>
      </c>
      <c r="BE139" s="1631">
        <v>1</v>
      </c>
      <c r="BF139" s="1631">
        <v>1</v>
      </c>
      <c r="BG139" s="1631"/>
      <c r="BH139" s="1631">
        <v>1</v>
      </c>
      <c r="BI139" s="1631">
        <v>1</v>
      </c>
      <c r="BJ139" s="1631">
        <v>1</v>
      </c>
      <c r="BK139" s="1632"/>
      <c r="BL139" s="1747"/>
      <c r="BM139" s="1747"/>
      <c r="BO139" s="1604">
        <v>4.0999999999999996</v>
      </c>
      <c r="BP139" s="1628" t="s">
        <v>41</v>
      </c>
      <c r="BQ139" s="1622" t="s">
        <v>1632</v>
      </c>
      <c r="BR139" s="1631">
        <v>1</v>
      </c>
      <c r="BS139" s="1631">
        <v>1</v>
      </c>
      <c r="BT139" s="1631">
        <v>1</v>
      </c>
      <c r="BU139" s="1631">
        <v>1</v>
      </c>
      <c r="BV139" s="1631">
        <v>1</v>
      </c>
      <c r="BW139" s="1631">
        <v>1</v>
      </c>
      <c r="BX139" s="1631"/>
      <c r="BY139" s="1631">
        <v>1</v>
      </c>
      <c r="BZ139" s="1631">
        <v>1</v>
      </c>
      <c r="CA139" s="1631">
        <v>1</v>
      </c>
      <c r="CB139" s="1632"/>
      <c r="CC139" s="1747"/>
      <c r="CD139" s="1747"/>
      <c r="CE139" s="1749"/>
      <c r="CF139" s="1105">
        <f>ROWS($CF$5:CF138)</f>
        <v>134</v>
      </c>
      <c r="CG139" s="1625">
        <v>4.0999999999999996</v>
      </c>
      <c r="CH139" s="1628" t="s">
        <v>41</v>
      </c>
      <c r="CI139" s="1622" t="s">
        <v>1874</v>
      </c>
      <c r="CJ139" s="1636">
        <f t="shared" si="88"/>
        <v>1</v>
      </c>
      <c r="CK139" s="1636">
        <f t="shared" si="76"/>
        <v>1</v>
      </c>
      <c r="CL139" s="1636">
        <f t="shared" si="77"/>
        <v>1</v>
      </c>
      <c r="CM139" s="1636">
        <f t="shared" si="78"/>
        <v>1</v>
      </c>
      <c r="CN139" s="1636">
        <f t="shared" si="79"/>
        <v>1</v>
      </c>
      <c r="CO139" s="1636">
        <f t="shared" si="80"/>
        <v>1</v>
      </c>
      <c r="CP139" s="1636">
        <f t="shared" si="81"/>
        <v>0</v>
      </c>
      <c r="CQ139" s="1636">
        <f t="shared" si="82"/>
        <v>1</v>
      </c>
      <c r="CR139" s="1636">
        <f t="shared" si="83"/>
        <v>1</v>
      </c>
      <c r="CS139" s="1636">
        <f t="shared" si="84"/>
        <v>1</v>
      </c>
      <c r="CT139" s="1640">
        <f t="shared" si="85"/>
        <v>0</v>
      </c>
      <c r="CU139" s="1750">
        <f t="shared" si="86"/>
        <v>0</v>
      </c>
      <c r="CV139" s="1750">
        <f t="shared" si="87"/>
        <v>0</v>
      </c>
      <c r="CX139" s="1625">
        <v>4.0999999999999996</v>
      </c>
      <c r="CY139" s="1628" t="s">
        <v>41</v>
      </c>
      <c r="CZ139" s="1622" t="s">
        <v>1874</v>
      </c>
      <c r="DA139" s="1638">
        <f t="shared" si="89"/>
        <v>1</v>
      </c>
      <c r="DB139" s="1638"/>
      <c r="DC139" s="1638"/>
      <c r="DD139" s="1638"/>
      <c r="DE139" s="1638"/>
      <c r="DF139" s="1638"/>
      <c r="DG139" s="1638"/>
      <c r="DH139" s="1638"/>
      <c r="DI139" s="1638"/>
      <c r="DJ139" s="1638"/>
      <c r="DK139" s="1642"/>
      <c r="DL139" s="1753"/>
      <c r="DM139" s="1753"/>
    </row>
    <row r="140" spans="2:117">
      <c r="B140" s="1584" t="str">
        <f>P140</f>
        <v>4.1.1</v>
      </c>
      <c r="C140" s="1622" t="str">
        <f t="shared" si="116"/>
        <v>Monitoring</v>
      </c>
      <c r="D140" s="1623">
        <f>IF(I$139=0,0,G140/I$139)</f>
        <v>0.4</v>
      </c>
      <c r="E140" s="1623">
        <f>IF(J$139=0,0,H140/J$139)</f>
        <v>0</v>
      </c>
      <c r="G140" s="1624">
        <f t="shared" si="96"/>
        <v>0.4</v>
      </c>
      <c r="H140" s="1624">
        <f t="shared" si="97"/>
        <v>0</v>
      </c>
      <c r="I140" s="1624"/>
      <c r="J140" s="1624"/>
      <c r="K140" s="1624">
        <f>IF(Score!W140=0,0,1)</f>
        <v>1</v>
      </c>
      <c r="L140" s="1624">
        <f>IF(Score!X140=0,0,1)</f>
        <v>0</v>
      </c>
      <c r="M140" s="1624">
        <f t="shared" si="117"/>
        <v>0.4</v>
      </c>
      <c r="N140" s="1624">
        <f t="shared" si="121"/>
        <v>0</v>
      </c>
      <c r="P140" s="1625" t="str">
        <f t="shared" si="118"/>
        <v>4.1.1</v>
      </c>
      <c r="Q140" s="1625" t="str">
        <f t="shared" si="119"/>
        <v>LR1 4.1</v>
      </c>
      <c r="R140" s="1622" t="str">
        <f t="shared" si="120"/>
        <v>Monitoring</v>
      </c>
      <c r="S140" s="1626">
        <f t="shared" si="102"/>
        <v>0.4</v>
      </c>
      <c r="T140" s="1626">
        <f t="shared" si="103"/>
        <v>0.4</v>
      </c>
      <c r="U140" s="1626">
        <f t="shared" si="104"/>
        <v>0.4</v>
      </c>
      <c r="V140" s="1626">
        <f t="shared" si="105"/>
        <v>0.4</v>
      </c>
      <c r="W140" s="1626">
        <f t="shared" si="106"/>
        <v>0.4</v>
      </c>
      <c r="X140" s="1626">
        <f t="shared" si="107"/>
        <v>0.4</v>
      </c>
      <c r="Y140" s="1626">
        <f t="shared" si="108"/>
        <v>0</v>
      </c>
      <c r="Z140" s="1645">
        <f t="shared" si="109"/>
        <v>0.4</v>
      </c>
      <c r="AA140" s="1626">
        <f t="shared" si="110"/>
        <v>0.4</v>
      </c>
      <c r="AB140" s="1626">
        <f t="shared" si="111"/>
        <v>0.4</v>
      </c>
      <c r="AC140" s="1627">
        <f t="shared" si="112"/>
        <v>0</v>
      </c>
      <c r="AD140" s="1743">
        <f t="shared" si="113"/>
        <v>0</v>
      </c>
      <c r="AE140" s="1743">
        <f t="shared" si="114"/>
        <v>0</v>
      </c>
      <c r="AG140" s="1625" t="s">
        <v>365</v>
      </c>
      <c r="AH140" s="1628" t="s">
        <v>369</v>
      </c>
      <c r="AI140" s="1622" t="s">
        <v>1875</v>
      </c>
      <c r="AJ140" s="1631">
        <v>0.5</v>
      </c>
      <c r="AK140" s="1631">
        <v>0.5</v>
      </c>
      <c r="AL140" s="1631">
        <v>0.5</v>
      </c>
      <c r="AM140" s="1631">
        <v>0.5</v>
      </c>
      <c r="AN140" s="1631">
        <v>0.5</v>
      </c>
      <c r="AO140" s="1631">
        <v>0.5</v>
      </c>
      <c r="AP140" s="1631"/>
      <c r="AQ140" s="1631">
        <v>0.5</v>
      </c>
      <c r="AR140" s="1631">
        <v>0.5</v>
      </c>
      <c r="AS140" s="1631">
        <v>0.5</v>
      </c>
      <c r="AT140" s="1632"/>
      <c r="AU140" s="1747"/>
      <c r="AV140" s="1747"/>
      <c r="AX140" s="1625" t="s">
        <v>365</v>
      </c>
      <c r="AY140" s="1628" t="s">
        <v>369</v>
      </c>
      <c r="AZ140" s="1622" t="s">
        <v>1875</v>
      </c>
      <c r="BA140" s="1631">
        <v>0.5</v>
      </c>
      <c r="BB140" s="1631">
        <v>0.5</v>
      </c>
      <c r="BC140" s="1631">
        <v>0.5</v>
      </c>
      <c r="BD140" s="1631">
        <v>0.5</v>
      </c>
      <c r="BE140" s="1631">
        <v>0.5</v>
      </c>
      <c r="BF140" s="1631">
        <v>0.5</v>
      </c>
      <c r="BG140" s="1631"/>
      <c r="BH140" s="1631">
        <v>0.5</v>
      </c>
      <c r="BI140" s="1631">
        <v>0.5</v>
      </c>
      <c r="BJ140" s="1631">
        <v>0.5</v>
      </c>
      <c r="BK140" s="1632"/>
      <c r="BL140" s="1747"/>
      <c r="BM140" s="1747"/>
      <c r="BO140" s="1625" t="s">
        <v>365</v>
      </c>
      <c r="BP140" s="1628" t="s">
        <v>369</v>
      </c>
      <c r="BQ140" s="1622" t="s">
        <v>1633</v>
      </c>
      <c r="BR140" s="1783">
        <v>0.4</v>
      </c>
      <c r="BS140" s="1783">
        <v>0.4</v>
      </c>
      <c r="BT140" s="1783">
        <v>0.4</v>
      </c>
      <c r="BU140" s="1783">
        <v>0.4</v>
      </c>
      <c r="BV140" s="1783">
        <v>0.4</v>
      </c>
      <c r="BW140" s="1783">
        <v>0.4</v>
      </c>
      <c r="BX140" s="1783"/>
      <c r="BY140" s="1783">
        <v>0.4</v>
      </c>
      <c r="BZ140" s="1783">
        <v>0.4</v>
      </c>
      <c r="CA140" s="1783">
        <v>0.4</v>
      </c>
      <c r="CB140" s="1632"/>
      <c r="CC140" s="1747"/>
      <c r="CD140" s="1747"/>
      <c r="CE140" s="1749"/>
      <c r="CG140" s="1625" t="s">
        <v>365</v>
      </c>
      <c r="CH140" s="1628" t="s">
        <v>369</v>
      </c>
      <c r="CI140" s="1622" t="s">
        <v>1875</v>
      </c>
      <c r="CJ140" s="1636">
        <f t="shared" si="88"/>
        <v>0.4</v>
      </c>
      <c r="CK140" s="1636">
        <f t="shared" si="76"/>
        <v>0.4</v>
      </c>
      <c r="CL140" s="1636">
        <f t="shared" si="77"/>
        <v>0.4</v>
      </c>
      <c r="CM140" s="1636">
        <f t="shared" si="78"/>
        <v>0.4</v>
      </c>
      <c r="CN140" s="1636">
        <f t="shared" si="79"/>
        <v>0.4</v>
      </c>
      <c r="CO140" s="1636">
        <f t="shared" si="80"/>
        <v>0.4</v>
      </c>
      <c r="CP140" s="1636">
        <f t="shared" si="81"/>
        <v>0</v>
      </c>
      <c r="CQ140" s="1636">
        <f t="shared" si="82"/>
        <v>0.4</v>
      </c>
      <c r="CR140" s="1636">
        <f t="shared" si="83"/>
        <v>0.4</v>
      </c>
      <c r="CS140" s="1636">
        <f t="shared" si="84"/>
        <v>0.4</v>
      </c>
      <c r="CT140" s="1640">
        <f t="shared" si="85"/>
        <v>0</v>
      </c>
      <c r="CU140" s="1750">
        <f t="shared" si="86"/>
        <v>0</v>
      </c>
      <c r="CV140" s="1750">
        <f t="shared" si="87"/>
        <v>0</v>
      </c>
      <c r="CX140" s="1625" t="s">
        <v>365</v>
      </c>
      <c r="CY140" s="1628" t="s">
        <v>369</v>
      </c>
      <c r="CZ140" s="1622" t="s">
        <v>1875</v>
      </c>
      <c r="DA140" s="1638">
        <f t="shared" ref="DA140:DA146" si="122">BR140</f>
        <v>0.4</v>
      </c>
      <c r="DB140" s="1638"/>
      <c r="DC140" s="1638"/>
      <c r="DD140" s="1638"/>
      <c r="DE140" s="1638"/>
      <c r="DF140" s="1638"/>
      <c r="DG140" s="1638"/>
      <c r="DH140" s="1638"/>
      <c r="DI140" s="1638"/>
      <c r="DJ140" s="1638"/>
      <c r="DK140" s="1642"/>
      <c r="DL140" s="1753"/>
      <c r="DM140" s="1753"/>
    </row>
    <row r="141" spans="2:117">
      <c r="B141" s="1584" t="str">
        <f>P141</f>
        <v>4.1.2</v>
      </c>
      <c r="C141" s="1622" t="str">
        <f t="shared" si="116"/>
        <v>Operation &amp; Management System</v>
      </c>
      <c r="D141" s="1603">
        <f>IF(I$139&gt;0,G141/I$139,0)</f>
        <v>0.4</v>
      </c>
      <c r="E141" s="1603">
        <f>IF(J$139&gt;0,H141/J$139,0)</f>
        <v>0</v>
      </c>
      <c r="G141" s="1624">
        <f t="shared" si="96"/>
        <v>0.4</v>
      </c>
      <c r="H141" s="1624">
        <f t="shared" si="97"/>
        <v>0</v>
      </c>
      <c r="I141" s="1624"/>
      <c r="J141" s="1624"/>
      <c r="K141" s="1624">
        <f>IF(Score!W141=0,0,1)</f>
        <v>1</v>
      </c>
      <c r="L141" s="1624">
        <f>IF(Score!X141=0,0,1)</f>
        <v>0</v>
      </c>
      <c r="M141" s="1624">
        <f t="shared" si="117"/>
        <v>0.4</v>
      </c>
      <c r="N141" s="1624">
        <f t="shared" si="121"/>
        <v>0</v>
      </c>
      <c r="P141" s="1625" t="str">
        <f t="shared" si="118"/>
        <v>4.1.2</v>
      </c>
      <c r="Q141" s="1625" t="str">
        <f t="shared" si="119"/>
        <v>LR1 4.1</v>
      </c>
      <c r="R141" s="1622" t="str">
        <f t="shared" si="120"/>
        <v>Operation &amp; Management System</v>
      </c>
      <c r="S141" s="1626">
        <f t="shared" si="102"/>
        <v>0.4</v>
      </c>
      <c r="T141" s="1626">
        <f t="shared" si="103"/>
        <v>0.4</v>
      </c>
      <c r="U141" s="1626">
        <f t="shared" si="104"/>
        <v>0.4</v>
      </c>
      <c r="V141" s="1626">
        <f t="shared" si="105"/>
        <v>0.4</v>
      </c>
      <c r="W141" s="1626">
        <f t="shared" si="106"/>
        <v>0.4</v>
      </c>
      <c r="X141" s="1626">
        <f t="shared" si="107"/>
        <v>0.4</v>
      </c>
      <c r="Y141" s="1626">
        <f t="shared" si="108"/>
        <v>0</v>
      </c>
      <c r="Z141" s="1645">
        <f t="shared" si="109"/>
        <v>0.4</v>
      </c>
      <c r="AA141" s="1626">
        <f t="shared" si="110"/>
        <v>0.4</v>
      </c>
      <c r="AB141" s="1626">
        <f t="shared" si="111"/>
        <v>0.4</v>
      </c>
      <c r="AC141" s="1627">
        <f t="shared" si="112"/>
        <v>0</v>
      </c>
      <c r="AD141" s="1743">
        <f t="shared" si="113"/>
        <v>0</v>
      </c>
      <c r="AE141" s="1743">
        <f t="shared" si="114"/>
        <v>0</v>
      </c>
      <c r="AG141" s="1625" t="s">
        <v>366</v>
      </c>
      <c r="AH141" s="1628" t="s">
        <v>370</v>
      </c>
      <c r="AI141" s="1622" t="s">
        <v>1876</v>
      </c>
      <c r="AJ141" s="1631">
        <v>0.5</v>
      </c>
      <c r="AK141" s="1631">
        <v>0.5</v>
      </c>
      <c r="AL141" s="1631">
        <v>0.5</v>
      </c>
      <c r="AM141" s="1631">
        <v>0.5</v>
      </c>
      <c r="AN141" s="1631">
        <v>0.5</v>
      </c>
      <c r="AO141" s="1631">
        <v>0.5</v>
      </c>
      <c r="AP141" s="1631"/>
      <c r="AQ141" s="1631">
        <v>0.5</v>
      </c>
      <c r="AR141" s="1631">
        <v>0.5</v>
      </c>
      <c r="AS141" s="1631">
        <v>0.5</v>
      </c>
      <c r="AT141" s="1632"/>
      <c r="AU141" s="1747"/>
      <c r="AV141" s="1747"/>
      <c r="AX141" s="1625" t="s">
        <v>366</v>
      </c>
      <c r="AY141" s="1628" t="s">
        <v>370</v>
      </c>
      <c r="AZ141" s="1622" t="s">
        <v>1876</v>
      </c>
      <c r="BA141" s="1631">
        <v>0.5</v>
      </c>
      <c r="BB141" s="1631">
        <v>0.5</v>
      </c>
      <c r="BC141" s="1631">
        <v>0.5</v>
      </c>
      <c r="BD141" s="1631">
        <v>0.5</v>
      </c>
      <c r="BE141" s="1631">
        <v>0.5</v>
      </c>
      <c r="BF141" s="1631">
        <v>0.5</v>
      </c>
      <c r="BG141" s="1631"/>
      <c r="BH141" s="1631">
        <v>0.5</v>
      </c>
      <c r="BI141" s="1631">
        <v>0.5</v>
      </c>
      <c r="BJ141" s="1631">
        <v>0.5</v>
      </c>
      <c r="BK141" s="1632"/>
      <c r="BL141" s="1747"/>
      <c r="BM141" s="1747"/>
      <c r="BO141" s="1625" t="s">
        <v>366</v>
      </c>
      <c r="BP141" s="1628" t="s">
        <v>370</v>
      </c>
      <c r="BQ141" s="1622" t="s">
        <v>1634</v>
      </c>
      <c r="BR141" s="1783">
        <v>0.4</v>
      </c>
      <c r="BS141" s="1783">
        <v>0.4</v>
      </c>
      <c r="BT141" s="1783">
        <v>0.4</v>
      </c>
      <c r="BU141" s="1783">
        <v>0.4</v>
      </c>
      <c r="BV141" s="1783">
        <v>0.4</v>
      </c>
      <c r="BW141" s="1783">
        <v>0.4</v>
      </c>
      <c r="BX141" s="1783"/>
      <c r="BY141" s="1783">
        <v>0.4</v>
      </c>
      <c r="BZ141" s="1783">
        <v>0.4</v>
      </c>
      <c r="CA141" s="1783">
        <v>0.4</v>
      </c>
      <c r="CB141" s="1632"/>
      <c r="CC141" s="1747"/>
      <c r="CD141" s="1747"/>
      <c r="CE141" s="1749"/>
      <c r="CG141" s="1625" t="s">
        <v>366</v>
      </c>
      <c r="CH141" s="1628" t="s">
        <v>369</v>
      </c>
      <c r="CI141" s="1622" t="s">
        <v>1876</v>
      </c>
      <c r="CJ141" s="1636">
        <f t="shared" si="88"/>
        <v>0.4</v>
      </c>
      <c r="CK141" s="1636">
        <f t="shared" si="76"/>
        <v>0.4</v>
      </c>
      <c r="CL141" s="1636">
        <f t="shared" si="77"/>
        <v>0.4</v>
      </c>
      <c r="CM141" s="1636">
        <f t="shared" si="78"/>
        <v>0.4</v>
      </c>
      <c r="CN141" s="1636">
        <f t="shared" si="79"/>
        <v>0.4</v>
      </c>
      <c r="CO141" s="1636">
        <f t="shared" si="80"/>
        <v>0.4</v>
      </c>
      <c r="CP141" s="1636">
        <f t="shared" si="81"/>
        <v>0</v>
      </c>
      <c r="CQ141" s="1636">
        <f t="shared" si="82"/>
        <v>0.4</v>
      </c>
      <c r="CR141" s="1636">
        <f t="shared" si="83"/>
        <v>0.4</v>
      </c>
      <c r="CS141" s="1636">
        <f t="shared" si="84"/>
        <v>0.4</v>
      </c>
      <c r="CT141" s="1640">
        <f t="shared" si="85"/>
        <v>0</v>
      </c>
      <c r="CU141" s="1750">
        <f t="shared" si="86"/>
        <v>0</v>
      </c>
      <c r="CV141" s="1750">
        <f t="shared" si="87"/>
        <v>0</v>
      </c>
      <c r="CX141" s="1625" t="s">
        <v>366</v>
      </c>
      <c r="CY141" s="1628" t="s">
        <v>369</v>
      </c>
      <c r="CZ141" s="1622" t="s">
        <v>1876</v>
      </c>
      <c r="DA141" s="1638">
        <f t="shared" si="122"/>
        <v>0.4</v>
      </c>
      <c r="DB141" s="1638"/>
      <c r="DC141" s="1638"/>
      <c r="DD141" s="1638"/>
      <c r="DE141" s="1638"/>
      <c r="DF141" s="1638"/>
      <c r="DG141" s="1638"/>
      <c r="DH141" s="1638"/>
      <c r="DI141" s="1638"/>
      <c r="DJ141" s="1638"/>
      <c r="DK141" s="1642"/>
      <c r="DL141" s="1753"/>
      <c r="DM141" s="1753"/>
    </row>
    <row r="142" spans="2:117">
      <c r="B142" s="1584" t="str">
        <f t="shared" ref="B142:B143" si="123">P142</f>
        <v>4.1.3</v>
      </c>
      <c r="C142" s="1622" t="str">
        <f t="shared" ref="C142:C143" si="124">R142</f>
        <v>Expanding adoption of non-fossil energy</v>
      </c>
      <c r="D142" s="1603">
        <f t="shared" ref="D142:D143" si="125">IF(I$139&gt;0,G142/I$139,0)</f>
        <v>0.1</v>
      </c>
      <c r="E142" s="1603">
        <f t="shared" ref="E142:E143" si="126">IF(J$139&gt;0,H142/J$139,0)</f>
        <v>0</v>
      </c>
      <c r="G142" s="1624">
        <f t="shared" ref="G142:G143" si="127">K142*M142</f>
        <v>0.1</v>
      </c>
      <c r="H142" s="1624">
        <f t="shared" ref="H142:H143" si="128">L142*N142</f>
        <v>0</v>
      </c>
      <c r="I142" s="1624"/>
      <c r="J142" s="1624"/>
      <c r="K142" s="1624">
        <f>IF(Score!W142=0,0,1)</f>
        <v>1</v>
      </c>
      <c r="L142" s="1624">
        <f>IF(Score!X142=0,0,1)</f>
        <v>0</v>
      </c>
      <c r="M142" s="1624">
        <f t="shared" ref="M142" si="129">SUMPRODUCT($S$7:$AB$7,S142:AB142)</f>
        <v>0.1</v>
      </c>
      <c r="N142" s="1624">
        <f t="shared" ref="N142:N143" si="130">(AC$7*AC142)+(AD$7*AD142)+(AE$7*AE142)</f>
        <v>0</v>
      </c>
      <c r="P142" s="1625" t="str">
        <f t="shared" ref="P142:P143" si="131">IF($P$3=1,AX142,IF($P$3=2,BO142,IF($P$3=3,CG142,IF($P$3=4,CX142,AG142))))</f>
        <v>4.1.3</v>
      </c>
      <c r="Q142" s="1625" t="str">
        <f t="shared" ref="Q142:Q143" si="132">IF($P$3=1,AY142,IF($P$3=2,BP142,IF($P$3=3,CH142,IF($P$3=4,CY142,AH142))))</f>
        <v>LR1 4.1</v>
      </c>
      <c r="R142" s="1622" t="str">
        <f t="shared" ref="R142:R143" si="133">IF($P$3=1,AZ142,IF($P$3=2,BQ142,IF($P$3=3,CI142,IF($P$3=4,CZ142,AI142))))</f>
        <v>Expanding adoption of non-fossil energy</v>
      </c>
      <c r="S142" s="1626">
        <f t="shared" ref="S142:S143" si="134">IF($P$3=1,BA142,IF($P$3=2,BR142,IF($P$3=3,CJ142,IF($P$3=4,DA142,AJ142))))</f>
        <v>0.1</v>
      </c>
      <c r="T142" s="1626">
        <f t="shared" ref="T142:T143" si="135">IF($P$3=1,BB142,IF($P$3=2,BS142,IF($P$3=3,CK142,IF($P$3=4,DB142,AK142))))</f>
        <v>0.1</v>
      </c>
      <c r="U142" s="1626">
        <f t="shared" ref="U142:U143" si="136">IF($P$3=1,BC142,IF($P$3=2,BT142,IF($P$3=3,CL142,IF($P$3=4,DC142,AL142))))</f>
        <v>0.1</v>
      </c>
      <c r="V142" s="1626">
        <f t="shared" ref="V142:V143" si="137">IF($P$3=1,BD142,IF($P$3=2,BU142,IF($P$3=3,CM142,IF($P$3=4,DD142,AM142))))</f>
        <v>0.1</v>
      </c>
      <c r="W142" s="1626">
        <f t="shared" ref="W142:W143" si="138">IF($P$3=1,BE142,IF($P$3=2,BV142,IF($P$3=3,CN142,IF($P$3=4,DE142,AN142))))</f>
        <v>0.1</v>
      </c>
      <c r="X142" s="1626">
        <f t="shared" ref="X142:X143" si="139">IF($P$3=1,BF142,IF($P$3=2,BW142,IF($P$3=3,CO142,IF($P$3=4,DF142,AO142))))</f>
        <v>0.1</v>
      </c>
      <c r="Y142" s="1626">
        <f t="shared" ref="Y142:Y143" si="140">IF($P$3=1,BG142,IF($P$3=2,BX142,IF($P$3=3,CP142,IF($P$3=4,DG142,AP142))))</f>
        <v>0</v>
      </c>
      <c r="Z142" s="1645">
        <f t="shared" ref="Z142:Z143" si="141">IF($P$3=1,BH142,IF($P$3=2,BY142,IF($P$3=3,CQ142,IF($P$3=4,DH142,AQ142))))</f>
        <v>0.1</v>
      </c>
      <c r="AA142" s="1626">
        <f t="shared" ref="AA142:AA143" si="142">IF($P$3=1,BI142,IF($P$3=2,BZ142,IF($P$3=3,CR142,IF($P$3=4,DI142,AR142))))</f>
        <v>0.1</v>
      </c>
      <c r="AB142" s="1626">
        <f t="shared" ref="AB142:AB143" si="143">IF($P$3=1,BJ142,IF($P$3=2,CA142,IF($P$3=3,CS142,IF($P$3=4,DJ142,AS142))))</f>
        <v>0.1</v>
      </c>
      <c r="AC142" s="1627">
        <f t="shared" ref="AC142:AC143" si="144">IF($P$3=1,BK142,IF($P$3=2,CB142,IF($P$3=3,CT142,IF($P$3=4,DK142,AT142))))</f>
        <v>0</v>
      </c>
      <c r="AD142" s="1743">
        <f t="shared" ref="AD142:AD143" si="145">IF($P$3=1,BL142,IF($P$3=2,CC142,IF($P$3=3,CU142,IF($P$3=4,DL142,AU142))))</f>
        <v>0</v>
      </c>
      <c r="AE142" s="1743">
        <f t="shared" ref="AE142:AE143" si="146">IF($P$3=1,BM142,IF($P$3=2,CD142,IF($P$3=3,CV142,IF($P$3=4,DM142,AV142))))</f>
        <v>0</v>
      </c>
      <c r="AG142" s="1625"/>
      <c r="AH142" s="1628"/>
      <c r="AI142" s="1622"/>
      <c r="AJ142" s="1631"/>
      <c r="AK142" s="1631"/>
      <c r="AL142" s="1631"/>
      <c r="AM142" s="1631"/>
      <c r="AN142" s="1631"/>
      <c r="AO142" s="1631"/>
      <c r="AP142" s="1631"/>
      <c r="AQ142" s="1649"/>
      <c r="AR142" s="1631"/>
      <c r="AS142" s="1631"/>
      <c r="AT142" s="1632"/>
      <c r="AU142" s="1747"/>
      <c r="AV142" s="1747"/>
      <c r="AX142" s="1625"/>
      <c r="AY142" s="1628"/>
      <c r="AZ142" s="1622"/>
      <c r="BA142" s="1631"/>
      <c r="BB142" s="1631"/>
      <c r="BC142" s="1631"/>
      <c r="BD142" s="1631"/>
      <c r="BE142" s="1631"/>
      <c r="BF142" s="1631"/>
      <c r="BG142" s="1631"/>
      <c r="BH142" s="1649"/>
      <c r="BI142" s="1631"/>
      <c r="BJ142" s="1631"/>
      <c r="BK142" s="1632"/>
      <c r="BL142" s="1747"/>
      <c r="BM142" s="1747"/>
      <c r="BO142" s="1625" t="s">
        <v>1375</v>
      </c>
      <c r="BP142" s="1784" t="s">
        <v>369</v>
      </c>
      <c r="BQ142" s="1785" t="s">
        <v>2834</v>
      </c>
      <c r="BR142" s="1783">
        <v>0.1</v>
      </c>
      <c r="BS142" s="1783">
        <v>0.1</v>
      </c>
      <c r="BT142" s="1783">
        <v>0.1</v>
      </c>
      <c r="BU142" s="1783">
        <v>0.1</v>
      </c>
      <c r="BV142" s="1783">
        <v>0.1</v>
      </c>
      <c r="BW142" s="1783">
        <v>0.1</v>
      </c>
      <c r="BX142" s="1783"/>
      <c r="BY142" s="1783">
        <v>0.1</v>
      </c>
      <c r="BZ142" s="1783">
        <v>0.1</v>
      </c>
      <c r="CA142" s="1783">
        <v>0.1</v>
      </c>
      <c r="CB142" s="1632"/>
      <c r="CC142" s="1747"/>
      <c r="CD142" s="1747"/>
      <c r="CE142" s="1749"/>
      <c r="CG142" s="1625"/>
      <c r="CH142" s="1628"/>
      <c r="CI142" s="1622"/>
      <c r="CJ142" s="1636">
        <f t="shared" si="88"/>
        <v>0.1</v>
      </c>
      <c r="CK142" s="1636"/>
      <c r="CL142" s="1636"/>
      <c r="CM142" s="1636"/>
      <c r="CN142" s="1636"/>
      <c r="CO142" s="1636"/>
      <c r="CP142" s="1636"/>
      <c r="CQ142" s="1720"/>
      <c r="CR142" s="1636"/>
      <c r="CS142" s="1636"/>
      <c r="CT142" s="1640"/>
      <c r="CU142" s="1750"/>
      <c r="CV142" s="1750"/>
      <c r="CX142" s="1625"/>
      <c r="CY142" s="1628"/>
      <c r="CZ142" s="1622"/>
      <c r="DA142" s="1638">
        <f t="shared" si="122"/>
        <v>0.1</v>
      </c>
      <c r="DB142" s="1638"/>
      <c r="DC142" s="1638"/>
      <c r="DD142" s="1638"/>
      <c r="DE142" s="1638"/>
      <c r="DF142" s="1638"/>
      <c r="DG142" s="1638"/>
      <c r="DH142" s="1721"/>
      <c r="DI142" s="1638"/>
      <c r="DJ142" s="1638"/>
      <c r="DK142" s="1642"/>
      <c r="DL142" s="1753"/>
      <c r="DM142" s="1753"/>
    </row>
    <row r="143" spans="2:117">
      <c r="B143" s="1584" t="str">
        <f t="shared" si="123"/>
        <v>4.1.4</v>
      </c>
      <c r="C143" s="1622" t="str">
        <f t="shared" si="124"/>
        <v>Promoting Commissioning</v>
      </c>
      <c r="D143" s="1603">
        <f t="shared" si="125"/>
        <v>0.1</v>
      </c>
      <c r="E143" s="1603">
        <f t="shared" si="126"/>
        <v>0</v>
      </c>
      <c r="G143" s="1624">
        <f t="shared" si="127"/>
        <v>0.1</v>
      </c>
      <c r="H143" s="1624">
        <f t="shared" si="128"/>
        <v>0</v>
      </c>
      <c r="I143" s="1624"/>
      <c r="J143" s="1624"/>
      <c r="K143" s="1624">
        <f>IF(Score!W143=0,0,1)</f>
        <v>1</v>
      </c>
      <c r="L143" s="1624">
        <f>IF(Score!X143=0,0,1)</f>
        <v>0</v>
      </c>
      <c r="M143" s="1624">
        <f>SUMPRODUCT($S$7:$AB$7,S143:AB143)</f>
        <v>0.1</v>
      </c>
      <c r="N143" s="1624">
        <f t="shared" si="130"/>
        <v>0</v>
      </c>
      <c r="P143" s="1625" t="str">
        <f t="shared" si="131"/>
        <v>4.1.4</v>
      </c>
      <c r="Q143" s="1625" t="str">
        <f t="shared" si="132"/>
        <v>LR1 4.1</v>
      </c>
      <c r="R143" s="1622" t="str">
        <f t="shared" si="133"/>
        <v>Promoting Commissioning</v>
      </c>
      <c r="S143" s="1626">
        <f t="shared" si="134"/>
        <v>0.1</v>
      </c>
      <c r="T143" s="1626">
        <f t="shared" si="135"/>
        <v>0.1</v>
      </c>
      <c r="U143" s="1626">
        <f t="shared" si="136"/>
        <v>0.1</v>
      </c>
      <c r="V143" s="1626">
        <f t="shared" si="137"/>
        <v>0.1</v>
      </c>
      <c r="W143" s="1626">
        <f t="shared" si="138"/>
        <v>0.1</v>
      </c>
      <c r="X143" s="1626">
        <f t="shared" si="139"/>
        <v>0.1</v>
      </c>
      <c r="Y143" s="1626">
        <f t="shared" si="140"/>
        <v>0</v>
      </c>
      <c r="Z143" s="1645">
        <f t="shared" si="141"/>
        <v>0.1</v>
      </c>
      <c r="AA143" s="1626">
        <f t="shared" si="142"/>
        <v>0.1</v>
      </c>
      <c r="AB143" s="1626">
        <f t="shared" si="143"/>
        <v>0.1</v>
      </c>
      <c r="AC143" s="1627">
        <f t="shared" si="144"/>
        <v>0</v>
      </c>
      <c r="AD143" s="1743">
        <f t="shared" si="145"/>
        <v>0</v>
      </c>
      <c r="AE143" s="1743">
        <f t="shared" si="146"/>
        <v>0</v>
      </c>
      <c r="AG143" s="1625"/>
      <c r="AH143" s="1628"/>
      <c r="AI143" s="1622"/>
      <c r="AJ143" s="1631"/>
      <c r="AK143" s="1631"/>
      <c r="AL143" s="1631"/>
      <c r="AM143" s="1631"/>
      <c r="AN143" s="1631"/>
      <c r="AO143" s="1631"/>
      <c r="AP143" s="1631"/>
      <c r="AQ143" s="1649"/>
      <c r="AR143" s="1631"/>
      <c r="AS143" s="1631"/>
      <c r="AT143" s="1632"/>
      <c r="AU143" s="1747"/>
      <c r="AV143" s="1747"/>
      <c r="AX143" s="1625"/>
      <c r="AY143" s="1628"/>
      <c r="AZ143" s="1622"/>
      <c r="BA143" s="1631"/>
      <c r="BB143" s="1631"/>
      <c r="BC143" s="1631"/>
      <c r="BD143" s="1631"/>
      <c r="BE143" s="1631"/>
      <c r="BF143" s="1631"/>
      <c r="BG143" s="1631"/>
      <c r="BH143" s="1649"/>
      <c r="BI143" s="1631"/>
      <c r="BJ143" s="1631"/>
      <c r="BK143" s="1632"/>
      <c r="BL143" s="1747"/>
      <c r="BM143" s="1747"/>
      <c r="BO143" s="1625" t="s">
        <v>1376</v>
      </c>
      <c r="BP143" s="1784" t="s">
        <v>369</v>
      </c>
      <c r="BQ143" s="1785" t="s">
        <v>2835</v>
      </c>
      <c r="BR143" s="1783">
        <v>0.1</v>
      </c>
      <c r="BS143" s="1783">
        <v>0.1</v>
      </c>
      <c r="BT143" s="1783">
        <v>0.1</v>
      </c>
      <c r="BU143" s="1783">
        <v>0.1</v>
      </c>
      <c r="BV143" s="1783">
        <v>0.1</v>
      </c>
      <c r="BW143" s="1783">
        <v>0.1</v>
      </c>
      <c r="BX143" s="1783"/>
      <c r="BY143" s="1783">
        <v>0.1</v>
      </c>
      <c r="BZ143" s="1783">
        <v>0.1</v>
      </c>
      <c r="CA143" s="1783">
        <v>0.1</v>
      </c>
      <c r="CB143" s="1632"/>
      <c r="CC143" s="1747"/>
      <c r="CD143" s="1747"/>
      <c r="CE143" s="1749"/>
      <c r="CG143" s="1625"/>
      <c r="CH143" s="1628"/>
      <c r="CI143" s="1622"/>
      <c r="CJ143" s="1636">
        <f t="shared" si="88"/>
        <v>0.1</v>
      </c>
      <c r="CK143" s="1636"/>
      <c r="CL143" s="1636"/>
      <c r="CM143" s="1636"/>
      <c r="CN143" s="1636"/>
      <c r="CO143" s="1636"/>
      <c r="CP143" s="1636"/>
      <c r="CQ143" s="1720"/>
      <c r="CR143" s="1636"/>
      <c r="CS143" s="1636"/>
      <c r="CT143" s="1640"/>
      <c r="CU143" s="1750"/>
      <c r="CV143" s="1750"/>
      <c r="CX143" s="1625"/>
      <c r="CY143" s="1628"/>
      <c r="CZ143" s="1622"/>
      <c r="DA143" s="1638">
        <f t="shared" si="122"/>
        <v>0.1</v>
      </c>
      <c r="DB143" s="1638"/>
      <c r="DC143" s="1638"/>
      <c r="DD143" s="1638"/>
      <c r="DE143" s="1638"/>
      <c r="DF143" s="1638"/>
      <c r="DG143" s="1638"/>
      <c r="DH143" s="1721"/>
      <c r="DI143" s="1638"/>
      <c r="DJ143" s="1638"/>
      <c r="DK143" s="1642"/>
      <c r="DL143" s="1753"/>
      <c r="DM143" s="1753"/>
    </row>
    <row r="144" spans="2:117">
      <c r="B144" s="1584">
        <f>P144</f>
        <v>4.2</v>
      </c>
      <c r="C144" s="1622" t="str">
        <f t="shared" si="116"/>
        <v>Apartments</v>
      </c>
      <c r="D144" s="1623">
        <f>IF(I$138=0,0,G144/I$138)</f>
        <v>0</v>
      </c>
      <c r="E144" s="1623">
        <f>IF(J$138=0,0,H144/J$138)</f>
        <v>0</v>
      </c>
      <c r="G144" s="1624">
        <f t="shared" ref="G144:H146" si="147">K144*M144</f>
        <v>0</v>
      </c>
      <c r="H144" s="1624">
        <f t="shared" si="147"/>
        <v>0</v>
      </c>
      <c r="I144" s="1624">
        <f>SUM(G145:G146)</f>
        <v>0</v>
      </c>
      <c r="J144" s="1624">
        <f>SUM(H145:H146)</f>
        <v>0</v>
      </c>
      <c r="K144" s="1624">
        <f>IF(Score!Z144=0,0,1)</f>
        <v>0</v>
      </c>
      <c r="L144" s="1624">
        <f>IF(Score!AB144=0,0,1)</f>
        <v>0</v>
      </c>
      <c r="M144" s="1624">
        <f>SUMPRODUCT($S$7:$AB$7,S144:AB144)</f>
        <v>0</v>
      </c>
      <c r="N144" s="1624">
        <f t="shared" si="121"/>
        <v>0</v>
      </c>
      <c r="P144" s="1625">
        <f t="shared" si="118"/>
        <v>4.2</v>
      </c>
      <c r="Q144" s="1625" t="str">
        <f t="shared" si="119"/>
        <v>LR1 4</v>
      </c>
      <c r="R144" s="1622" t="str">
        <f t="shared" si="120"/>
        <v>Apartments</v>
      </c>
      <c r="S144" s="1626">
        <f t="shared" si="102"/>
        <v>0</v>
      </c>
      <c r="T144" s="1626">
        <f t="shared" si="103"/>
        <v>0</v>
      </c>
      <c r="U144" s="1626">
        <f t="shared" si="104"/>
        <v>0</v>
      </c>
      <c r="V144" s="1626">
        <f t="shared" si="105"/>
        <v>0</v>
      </c>
      <c r="W144" s="1626">
        <f t="shared" si="106"/>
        <v>0</v>
      </c>
      <c r="X144" s="1626">
        <f t="shared" si="107"/>
        <v>0</v>
      </c>
      <c r="Y144" s="1626">
        <f t="shared" si="108"/>
        <v>1</v>
      </c>
      <c r="Z144" s="1645">
        <f t="shared" si="109"/>
        <v>0</v>
      </c>
      <c r="AA144" s="1626">
        <f t="shared" si="110"/>
        <v>0</v>
      </c>
      <c r="AB144" s="1626">
        <f t="shared" si="111"/>
        <v>0</v>
      </c>
      <c r="AC144" s="1627">
        <f t="shared" si="112"/>
        <v>0</v>
      </c>
      <c r="AD144" s="1743">
        <f t="shared" si="113"/>
        <v>0</v>
      </c>
      <c r="AE144" s="1743">
        <f t="shared" si="114"/>
        <v>0</v>
      </c>
      <c r="AG144" s="1625">
        <v>4.2</v>
      </c>
      <c r="AH144" s="1628" t="s">
        <v>41</v>
      </c>
      <c r="AI144" s="1622" t="s">
        <v>1877</v>
      </c>
      <c r="AJ144" s="1631"/>
      <c r="AK144" s="1631"/>
      <c r="AL144" s="1631"/>
      <c r="AM144" s="1631"/>
      <c r="AN144" s="1631"/>
      <c r="AO144" s="1631"/>
      <c r="AP144" s="1631">
        <v>1</v>
      </c>
      <c r="AQ144" s="1649"/>
      <c r="AR144" s="1631"/>
      <c r="AS144" s="1631"/>
      <c r="AT144" s="1632"/>
      <c r="AU144" s="1747"/>
      <c r="AV144" s="1747"/>
      <c r="AX144" s="1625">
        <v>4.2</v>
      </c>
      <c r="AY144" s="1628" t="s">
        <v>41</v>
      </c>
      <c r="AZ144" s="1622" t="s">
        <v>1877</v>
      </c>
      <c r="BA144" s="1631"/>
      <c r="BB144" s="1631"/>
      <c r="BC144" s="1631"/>
      <c r="BD144" s="1631"/>
      <c r="BE144" s="1631"/>
      <c r="BF144" s="1631"/>
      <c r="BG144" s="1631">
        <v>1</v>
      </c>
      <c r="BH144" s="1649"/>
      <c r="BI144" s="1631"/>
      <c r="BJ144" s="1631"/>
      <c r="BK144" s="1632"/>
      <c r="BL144" s="1747"/>
      <c r="BM144" s="1747"/>
      <c r="BO144" s="1604">
        <v>4.2</v>
      </c>
      <c r="BP144" s="1628" t="s">
        <v>41</v>
      </c>
      <c r="BQ144" s="1622" t="s">
        <v>1635</v>
      </c>
      <c r="BR144" s="1631"/>
      <c r="BS144" s="1631"/>
      <c r="BT144" s="1631"/>
      <c r="BU144" s="1631"/>
      <c r="BV144" s="1631"/>
      <c r="BW144" s="1631"/>
      <c r="BX144" s="1631">
        <v>1</v>
      </c>
      <c r="BY144" s="1649"/>
      <c r="BZ144" s="1631"/>
      <c r="CA144" s="1631"/>
      <c r="CB144" s="1632"/>
      <c r="CC144" s="1747"/>
      <c r="CD144" s="1747"/>
      <c r="CE144" s="1749"/>
      <c r="CG144" s="1625">
        <v>4.2</v>
      </c>
      <c r="CH144" s="1628" t="s">
        <v>41</v>
      </c>
      <c r="CI144" s="1622" t="s">
        <v>1877</v>
      </c>
      <c r="CJ144" s="1636">
        <f t="shared" si="88"/>
        <v>0</v>
      </c>
      <c r="CK144" s="1636">
        <f t="shared" ref="CK144:CK196" si="148">BS144</f>
        <v>0</v>
      </c>
      <c r="CL144" s="1636">
        <f t="shared" ref="CL144:CL196" si="149">BT144</f>
        <v>0</v>
      </c>
      <c r="CM144" s="1636">
        <f t="shared" ref="CM144:CM196" si="150">BU144</f>
        <v>0</v>
      </c>
      <c r="CN144" s="1636">
        <f t="shared" ref="CN144:CN196" si="151">BV144</f>
        <v>0</v>
      </c>
      <c r="CO144" s="1636">
        <f t="shared" ref="CO144:CO196" si="152">BW144</f>
        <v>0</v>
      </c>
      <c r="CP144" s="1636">
        <f t="shared" ref="CP144:CP196" si="153">BX144</f>
        <v>1</v>
      </c>
      <c r="CQ144" s="1720">
        <f t="shared" ref="CQ144:CQ196" si="154">BY144</f>
        <v>0</v>
      </c>
      <c r="CR144" s="1636">
        <f t="shared" ref="CR144:CR196" si="155">BZ144</f>
        <v>0</v>
      </c>
      <c r="CS144" s="1636">
        <f t="shared" ref="CS144:CS196" si="156">CA144</f>
        <v>0</v>
      </c>
      <c r="CT144" s="1640">
        <f t="shared" ref="CT144:CT196" si="157">CB144</f>
        <v>0</v>
      </c>
      <c r="CU144" s="1750">
        <f t="shared" ref="CU144:CU196" si="158">CC144</f>
        <v>0</v>
      </c>
      <c r="CV144" s="1750">
        <f t="shared" ref="CV144:CV196" si="159">CD144</f>
        <v>0</v>
      </c>
      <c r="CX144" s="1625">
        <v>4.2</v>
      </c>
      <c r="CY144" s="1628" t="s">
        <v>41</v>
      </c>
      <c r="CZ144" s="1622" t="s">
        <v>1877</v>
      </c>
      <c r="DA144" s="1638">
        <f t="shared" si="122"/>
        <v>0</v>
      </c>
      <c r="DB144" s="1638"/>
      <c r="DC144" s="1638"/>
      <c r="DD144" s="1638"/>
      <c r="DE144" s="1638"/>
      <c r="DF144" s="1638"/>
      <c r="DG144" s="1638"/>
      <c r="DH144" s="1721"/>
      <c r="DI144" s="1638"/>
      <c r="DJ144" s="1638"/>
      <c r="DK144" s="1642"/>
      <c r="DL144" s="1753"/>
      <c r="DM144" s="1753"/>
    </row>
    <row r="145" spans="2:117">
      <c r="B145" s="1584" t="str">
        <f>P145</f>
        <v>4.2.1</v>
      </c>
      <c r="C145" s="1622" t="str">
        <f t="shared" si="116"/>
        <v>Monitoring</v>
      </c>
      <c r="D145" s="1603">
        <f>IF(I$144&gt;0,G145/I$144,0)</f>
        <v>0</v>
      </c>
      <c r="E145" s="1603">
        <f>IF(J$144&gt;0,H145/J$144,0)</f>
        <v>0</v>
      </c>
      <c r="G145" s="1624">
        <f t="shared" si="147"/>
        <v>0</v>
      </c>
      <c r="H145" s="1624">
        <f t="shared" si="147"/>
        <v>0</v>
      </c>
      <c r="I145" s="1624"/>
      <c r="J145" s="1624"/>
      <c r="K145" s="1624">
        <f>IF(Score!W145=0,0,1)</f>
        <v>1</v>
      </c>
      <c r="L145" s="1624">
        <f>IF(Score!X145=0,0,1)</f>
        <v>0</v>
      </c>
      <c r="M145" s="1624">
        <f t="shared" si="117"/>
        <v>0</v>
      </c>
      <c r="N145" s="1624">
        <f t="shared" si="121"/>
        <v>0</v>
      </c>
      <c r="P145" s="1625" t="str">
        <f t="shared" si="118"/>
        <v>4.2.1</v>
      </c>
      <c r="Q145" s="1625" t="str">
        <f t="shared" si="119"/>
        <v>LR1 4.2</v>
      </c>
      <c r="R145" s="1622" t="str">
        <f t="shared" si="120"/>
        <v>Monitoring</v>
      </c>
      <c r="S145" s="1626">
        <f t="shared" si="102"/>
        <v>0</v>
      </c>
      <c r="T145" s="1626">
        <f t="shared" si="103"/>
        <v>0</v>
      </c>
      <c r="U145" s="1626">
        <f t="shared" si="104"/>
        <v>0</v>
      </c>
      <c r="V145" s="1626">
        <f t="shared" si="105"/>
        <v>0</v>
      </c>
      <c r="W145" s="1626">
        <f t="shared" si="106"/>
        <v>0</v>
      </c>
      <c r="X145" s="1626">
        <f t="shared" si="107"/>
        <v>0</v>
      </c>
      <c r="Y145" s="1626">
        <f t="shared" si="108"/>
        <v>0.5</v>
      </c>
      <c r="Z145" s="1645">
        <f t="shared" si="109"/>
        <v>0</v>
      </c>
      <c r="AA145" s="1626">
        <f t="shared" si="110"/>
        <v>0</v>
      </c>
      <c r="AB145" s="1626">
        <f t="shared" si="111"/>
        <v>0</v>
      </c>
      <c r="AC145" s="1627">
        <f t="shared" si="112"/>
        <v>0</v>
      </c>
      <c r="AD145" s="1743">
        <f t="shared" si="113"/>
        <v>0</v>
      </c>
      <c r="AE145" s="1743">
        <f t="shared" si="114"/>
        <v>0</v>
      </c>
      <c r="AG145" s="1625" t="s">
        <v>367</v>
      </c>
      <c r="AH145" s="1628" t="s">
        <v>371</v>
      </c>
      <c r="AI145" s="1622" t="s">
        <v>1878</v>
      </c>
      <c r="AJ145" s="1631"/>
      <c r="AK145" s="1631"/>
      <c r="AL145" s="1631"/>
      <c r="AM145" s="1631"/>
      <c r="AN145" s="1631"/>
      <c r="AO145" s="1631"/>
      <c r="AP145" s="1631">
        <v>0.5</v>
      </c>
      <c r="AQ145" s="1649"/>
      <c r="AR145" s="1631"/>
      <c r="AS145" s="1631"/>
      <c r="AT145" s="1632"/>
      <c r="AU145" s="1747"/>
      <c r="AV145" s="1747"/>
      <c r="AX145" s="1625" t="s">
        <v>367</v>
      </c>
      <c r="AY145" s="1628" t="s">
        <v>371</v>
      </c>
      <c r="AZ145" s="1622" t="s">
        <v>1879</v>
      </c>
      <c r="BA145" s="1631"/>
      <c r="BB145" s="1631"/>
      <c r="BC145" s="1631"/>
      <c r="BD145" s="1631"/>
      <c r="BE145" s="1631"/>
      <c r="BF145" s="1631"/>
      <c r="BG145" s="1631">
        <v>0.5</v>
      </c>
      <c r="BH145" s="1649"/>
      <c r="BI145" s="1631"/>
      <c r="BJ145" s="1631"/>
      <c r="BK145" s="1632"/>
      <c r="BL145" s="1747"/>
      <c r="BM145" s="1747"/>
      <c r="BO145" s="1625" t="s">
        <v>367</v>
      </c>
      <c r="BP145" s="1628" t="s">
        <v>371</v>
      </c>
      <c r="BQ145" s="1622" t="s">
        <v>1633</v>
      </c>
      <c r="BR145" s="1631"/>
      <c r="BS145" s="1631"/>
      <c r="BT145" s="1631"/>
      <c r="BU145" s="1631"/>
      <c r="BV145" s="1631"/>
      <c r="BW145" s="1631"/>
      <c r="BX145" s="1631">
        <v>0.5</v>
      </c>
      <c r="BY145" s="1649"/>
      <c r="BZ145" s="1631"/>
      <c r="CA145" s="1631"/>
      <c r="CB145" s="1632"/>
      <c r="CC145" s="1747"/>
      <c r="CD145" s="1747"/>
      <c r="CE145" s="1749"/>
      <c r="CG145" s="1625" t="s">
        <v>367</v>
      </c>
      <c r="CH145" s="1628" t="s">
        <v>371</v>
      </c>
      <c r="CI145" s="1622" t="s">
        <v>1879</v>
      </c>
      <c r="CJ145" s="1636">
        <f t="shared" ref="CJ145:CJ196" si="160">BR145</f>
        <v>0</v>
      </c>
      <c r="CK145" s="1636">
        <f t="shared" si="148"/>
        <v>0</v>
      </c>
      <c r="CL145" s="1636">
        <f t="shared" si="149"/>
        <v>0</v>
      </c>
      <c r="CM145" s="1636">
        <f t="shared" si="150"/>
        <v>0</v>
      </c>
      <c r="CN145" s="1636">
        <f t="shared" si="151"/>
        <v>0</v>
      </c>
      <c r="CO145" s="1636">
        <f t="shared" si="152"/>
        <v>0</v>
      </c>
      <c r="CP145" s="1636">
        <f t="shared" si="153"/>
        <v>0.5</v>
      </c>
      <c r="CQ145" s="1720">
        <f t="shared" si="154"/>
        <v>0</v>
      </c>
      <c r="CR145" s="1636">
        <f t="shared" si="155"/>
        <v>0</v>
      </c>
      <c r="CS145" s="1636">
        <f t="shared" si="156"/>
        <v>0</v>
      </c>
      <c r="CT145" s="1640">
        <f t="shared" si="157"/>
        <v>0</v>
      </c>
      <c r="CU145" s="1750">
        <f t="shared" si="158"/>
        <v>0</v>
      </c>
      <c r="CV145" s="1750">
        <f t="shared" si="159"/>
        <v>0</v>
      </c>
      <c r="CX145" s="1625" t="s">
        <v>367</v>
      </c>
      <c r="CY145" s="1628" t="s">
        <v>371</v>
      </c>
      <c r="CZ145" s="1622" t="s">
        <v>1879</v>
      </c>
      <c r="DA145" s="1638">
        <f t="shared" si="122"/>
        <v>0</v>
      </c>
      <c r="DB145" s="1638"/>
      <c r="DC145" s="1638"/>
      <c r="DD145" s="1638"/>
      <c r="DE145" s="1638"/>
      <c r="DF145" s="1638"/>
      <c r="DG145" s="1638"/>
      <c r="DH145" s="1721"/>
      <c r="DI145" s="1638"/>
      <c r="DJ145" s="1638"/>
      <c r="DK145" s="1642"/>
      <c r="DL145" s="1753"/>
      <c r="DM145" s="1753"/>
    </row>
    <row r="146" spans="2:117">
      <c r="B146" s="1584" t="str">
        <f>P146</f>
        <v>4.2.2</v>
      </c>
      <c r="C146" s="1622" t="str">
        <f t="shared" si="116"/>
        <v>Operation &amp; Management System</v>
      </c>
      <c r="D146" s="1603">
        <f>IF(I$144&gt;0,G146/I$144,0)</f>
        <v>0</v>
      </c>
      <c r="E146" s="1603">
        <f>IF(J$144&gt;0,H146/J$144,0)</f>
        <v>0</v>
      </c>
      <c r="G146" s="1624">
        <f t="shared" si="147"/>
        <v>0</v>
      </c>
      <c r="H146" s="1624">
        <f t="shared" si="147"/>
        <v>0</v>
      </c>
      <c r="I146" s="1624"/>
      <c r="J146" s="1624"/>
      <c r="K146" s="1624">
        <f>IF(Score!W146=0,0,1)</f>
        <v>1</v>
      </c>
      <c r="L146" s="1624">
        <f>IF(Score!X146=0,0,1)</f>
        <v>0</v>
      </c>
      <c r="M146" s="1624">
        <f t="shared" si="117"/>
        <v>0</v>
      </c>
      <c r="N146" s="1624">
        <f t="shared" si="121"/>
        <v>0</v>
      </c>
      <c r="P146" s="1625" t="str">
        <f t="shared" si="118"/>
        <v>4.2.2</v>
      </c>
      <c r="Q146" s="1625" t="str">
        <f t="shared" si="119"/>
        <v>LR1 4.2</v>
      </c>
      <c r="R146" s="1622" t="str">
        <f t="shared" si="120"/>
        <v>Operation &amp; Management System</v>
      </c>
      <c r="S146" s="1626">
        <f t="shared" si="102"/>
        <v>0</v>
      </c>
      <c r="T146" s="1626">
        <f t="shared" si="103"/>
        <v>0</v>
      </c>
      <c r="U146" s="1626">
        <f t="shared" si="104"/>
        <v>0</v>
      </c>
      <c r="V146" s="1626">
        <f t="shared" si="105"/>
        <v>0</v>
      </c>
      <c r="W146" s="1626">
        <f t="shared" si="106"/>
        <v>0</v>
      </c>
      <c r="X146" s="1626">
        <f t="shared" si="107"/>
        <v>0</v>
      </c>
      <c r="Y146" s="1626">
        <f t="shared" si="108"/>
        <v>0.5</v>
      </c>
      <c r="Z146" s="1645">
        <f t="shared" si="109"/>
        <v>0</v>
      </c>
      <c r="AA146" s="1626">
        <f t="shared" si="110"/>
        <v>0</v>
      </c>
      <c r="AB146" s="1626">
        <f t="shared" si="111"/>
        <v>0</v>
      </c>
      <c r="AC146" s="1627">
        <f t="shared" si="112"/>
        <v>0</v>
      </c>
      <c r="AD146" s="1743">
        <f t="shared" si="113"/>
        <v>0</v>
      </c>
      <c r="AE146" s="1743">
        <f t="shared" si="114"/>
        <v>0</v>
      </c>
      <c r="AG146" s="1625" t="s">
        <v>368</v>
      </c>
      <c r="AH146" s="1628" t="s">
        <v>371</v>
      </c>
      <c r="AI146" s="1622" t="s">
        <v>1880</v>
      </c>
      <c r="AJ146" s="1631"/>
      <c r="AK146" s="1631"/>
      <c r="AL146" s="1631"/>
      <c r="AM146" s="1631"/>
      <c r="AN146" s="1631"/>
      <c r="AO146" s="1631"/>
      <c r="AP146" s="1631">
        <v>0.5</v>
      </c>
      <c r="AQ146" s="1649"/>
      <c r="AR146" s="1631"/>
      <c r="AS146" s="1631"/>
      <c r="AT146" s="1632"/>
      <c r="AU146" s="1747"/>
      <c r="AV146" s="1747"/>
      <c r="AX146" s="1625" t="s">
        <v>368</v>
      </c>
      <c r="AY146" s="1628" t="s">
        <v>371</v>
      </c>
      <c r="AZ146" s="1622" t="s">
        <v>1881</v>
      </c>
      <c r="BA146" s="1631"/>
      <c r="BB146" s="1631"/>
      <c r="BC146" s="1631"/>
      <c r="BD146" s="1631"/>
      <c r="BE146" s="1631"/>
      <c r="BF146" s="1631"/>
      <c r="BG146" s="1631">
        <v>0.5</v>
      </c>
      <c r="BH146" s="1649"/>
      <c r="BI146" s="1631"/>
      <c r="BJ146" s="1631"/>
      <c r="BK146" s="1632"/>
      <c r="BL146" s="1747"/>
      <c r="BM146" s="1747"/>
      <c r="BO146" s="1625" t="s">
        <v>368</v>
      </c>
      <c r="BP146" s="1628" t="s">
        <v>371</v>
      </c>
      <c r="BQ146" s="1622" t="s">
        <v>1634</v>
      </c>
      <c r="BR146" s="1631"/>
      <c r="BS146" s="1631"/>
      <c r="BT146" s="1631"/>
      <c r="BU146" s="1631"/>
      <c r="BV146" s="1631"/>
      <c r="BW146" s="1631"/>
      <c r="BX146" s="1631">
        <v>0.5</v>
      </c>
      <c r="BY146" s="1649"/>
      <c r="BZ146" s="1631"/>
      <c r="CA146" s="1631"/>
      <c r="CB146" s="1632"/>
      <c r="CC146" s="1747"/>
      <c r="CD146" s="1747"/>
      <c r="CE146" s="1749"/>
      <c r="CG146" s="1625" t="s">
        <v>368</v>
      </c>
      <c r="CH146" s="1628" t="s">
        <v>371</v>
      </c>
      <c r="CI146" s="1622" t="s">
        <v>1881</v>
      </c>
      <c r="CJ146" s="1636">
        <f t="shared" si="160"/>
        <v>0</v>
      </c>
      <c r="CK146" s="1636">
        <f t="shared" si="148"/>
        <v>0</v>
      </c>
      <c r="CL146" s="1636">
        <f t="shared" si="149"/>
        <v>0</v>
      </c>
      <c r="CM146" s="1636">
        <f t="shared" si="150"/>
        <v>0</v>
      </c>
      <c r="CN146" s="1636">
        <f t="shared" si="151"/>
        <v>0</v>
      </c>
      <c r="CO146" s="1636">
        <f t="shared" si="152"/>
        <v>0</v>
      </c>
      <c r="CP146" s="1636">
        <f t="shared" si="153"/>
        <v>0.5</v>
      </c>
      <c r="CQ146" s="1720">
        <f t="shared" si="154"/>
        <v>0</v>
      </c>
      <c r="CR146" s="1636">
        <f t="shared" si="155"/>
        <v>0</v>
      </c>
      <c r="CS146" s="1636">
        <f t="shared" si="156"/>
        <v>0</v>
      </c>
      <c r="CT146" s="1640">
        <f t="shared" si="157"/>
        <v>0</v>
      </c>
      <c r="CU146" s="1750">
        <f t="shared" si="158"/>
        <v>0</v>
      </c>
      <c r="CV146" s="1750">
        <f t="shared" si="159"/>
        <v>0</v>
      </c>
      <c r="CX146" s="1625" t="s">
        <v>368</v>
      </c>
      <c r="CY146" s="1628" t="s">
        <v>371</v>
      </c>
      <c r="CZ146" s="1622" t="s">
        <v>1881</v>
      </c>
      <c r="DA146" s="1638">
        <f t="shared" si="122"/>
        <v>0</v>
      </c>
      <c r="DB146" s="1638"/>
      <c r="DC146" s="1638"/>
      <c r="DD146" s="1638"/>
      <c r="DE146" s="1638"/>
      <c r="DF146" s="1638"/>
      <c r="DG146" s="1638"/>
      <c r="DH146" s="1721"/>
      <c r="DI146" s="1638"/>
      <c r="DJ146" s="1638"/>
      <c r="DK146" s="1642"/>
      <c r="DL146" s="1753"/>
      <c r="DM146" s="1753"/>
    </row>
    <row r="147" spans="2:117">
      <c r="B147" s="1584" t="str">
        <f t="shared" si="99"/>
        <v>LR2</v>
      </c>
      <c r="C147" s="1585" t="str">
        <f t="shared" si="116"/>
        <v>Resources &amp; Materials</v>
      </c>
      <c r="D147" s="1767" t="e">
        <f>IF(I$121=0,0,G147/I$121)</f>
        <v>#VALUE!</v>
      </c>
      <c r="E147" s="1587">
        <f>IF(J$121=0,0,H147/J$121)</f>
        <v>0</v>
      </c>
      <c r="G147" s="1587">
        <f t="shared" si="96"/>
        <v>0.3</v>
      </c>
      <c r="H147" s="1587">
        <f t="shared" si="97"/>
        <v>0</v>
      </c>
      <c r="I147" s="1587">
        <f>G148+G153+G168</f>
        <v>1</v>
      </c>
      <c r="J147" s="1587">
        <f>H148+H153+H168</f>
        <v>0</v>
      </c>
      <c r="K147" s="1587">
        <f>IF(Score!U147=0,0,1)</f>
        <v>1</v>
      </c>
      <c r="L147" s="1587"/>
      <c r="M147" s="1587">
        <f t="shared" si="98"/>
        <v>0.3</v>
      </c>
      <c r="N147" s="1587">
        <f t="shared" si="101"/>
        <v>0</v>
      </c>
      <c r="P147" s="1786" t="str">
        <f t="shared" si="118"/>
        <v>LR2</v>
      </c>
      <c r="Q147" s="1786" t="str">
        <f t="shared" si="119"/>
        <v>LR</v>
      </c>
      <c r="R147" s="1585" t="str">
        <f t="shared" si="120"/>
        <v>Resources &amp; Materials</v>
      </c>
      <c r="S147" s="1588">
        <f t="shared" si="102"/>
        <v>0.3</v>
      </c>
      <c r="T147" s="1588">
        <f t="shared" si="103"/>
        <v>0.3</v>
      </c>
      <c r="U147" s="1588">
        <f t="shared" si="104"/>
        <v>0.3</v>
      </c>
      <c r="V147" s="1588">
        <f t="shared" si="105"/>
        <v>0.3</v>
      </c>
      <c r="W147" s="1588">
        <f t="shared" si="106"/>
        <v>0.3</v>
      </c>
      <c r="X147" s="1588">
        <f t="shared" si="107"/>
        <v>0.3</v>
      </c>
      <c r="Y147" s="1588">
        <f t="shared" si="108"/>
        <v>0.3</v>
      </c>
      <c r="Z147" s="1787">
        <f t="shared" si="109"/>
        <v>0.3</v>
      </c>
      <c r="AA147" s="1588">
        <f t="shared" si="110"/>
        <v>0.3</v>
      </c>
      <c r="AB147" s="1588">
        <f t="shared" si="111"/>
        <v>0.3</v>
      </c>
      <c r="AC147" s="1788">
        <f t="shared" si="112"/>
        <v>0</v>
      </c>
      <c r="AD147" s="1789">
        <f t="shared" si="113"/>
        <v>0</v>
      </c>
      <c r="AE147" s="1789">
        <f t="shared" si="114"/>
        <v>0</v>
      </c>
      <c r="AG147" s="1786" t="s">
        <v>435</v>
      </c>
      <c r="AH147" s="1790" t="s">
        <v>341</v>
      </c>
      <c r="AI147" s="1585" t="s">
        <v>1882</v>
      </c>
      <c r="AJ147" s="1592">
        <v>0.3</v>
      </c>
      <c r="AK147" s="1592">
        <v>0.3</v>
      </c>
      <c r="AL147" s="1592">
        <v>0.3</v>
      </c>
      <c r="AM147" s="1592">
        <v>0.3</v>
      </c>
      <c r="AN147" s="1592">
        <v>0.3</v>
      </c>
      <c r="AO147" s="1592">
        <v>0.3</v>
      </c>
      <c r="AP147" s="1592">
        <v>0.3</v>
      </c>
      <c r="AQ147" s="1791">
        <v>0.3</v>
      </c>
      <c r="AR147" s="1592">
        <v>0.3</v>
      </c>
      <c r="AS147" s="1592">
        <v>0.3</v>
      </c>
      <c r="AT147" s="1792"/>
      <c r="AU147" s="1793"/>
      <c r="AV147" s="1793"/>
      <c r="AX147" s="1786" t="s">
        <v>435</v>
      </c>
      <c r="AY147" s="1790" t="s">
        <v>341</v>
      </c>
      <c r="AZ147" s="1585" t="s">
        <v>1882</v>
      </c>
      <c r="BA147" s="1592">
        <v>0.3</v>
      </c>
      <c r="BB147" s="1592">
        <v>0.3</v>
      </c>
      <c r="BC147" s="1592">
        <v>0.3</v>
      </c>
      <c r="BD147" s="1592">
        <v>0.3</v>
      </c>
      <c r="BE147" s="1592">
        <v>0.3</v>
      </c>
      <c r="BF147" s="1592">
        <v>0.3</v>
      </c>
      <c r="BG147" s="1592">
        <v>0.3</v>
      </c>
      <c r="BH147" s="1791">
        <v>0.3</v>
      </c>
      <c r="BI147" s="1592">
        <v>0.3</v>
      </c>
      <c r="BJ147" s="1592">
        <v>0.3</v>
      </c>
      <c r="BK147" s="1792"/>
      <c r="BL147" s="1793"/>
      <c r="BM147" s="1793"/>
      <c r="BO147" s="1786" t="s">
        <v>435</v>
      </c>
      <c r="BP147" s="1790" t="s">
        <v>341</v>
      </c>
      <c r="BQ147" s="1585" t="s">
        <v>1669</v>
      </c>
      <c r="BR147" s="1592">
        <v>0.3</v>
      </c>
      <c r="BS147" s="1592">
        <v>0.3</v>
      </c>
      <c r="BT147" s="1592">
        <v>0.3</v>
      </c>
      <c r="BU147" s="1592">
        <v>0.3</v>
      </c>
      <c r="BV147" s="1592">
        <v>0.3</v>
      </c>
      <c r="BW147" s="1592">
        <v>0.3</v>
      </c>
      <c r="BX147" s="1592">
        <v>0.3</v>
      </c>
      <c r="BY147" s="1791">
        <v>0.3</v>
      </c>
      <c r="BZ147" s="1592">
        <v>0.3</v>
      </c>
      <c r="CA147" s="1592">
        <v>0.3</v>
      </c>
      <c r="CB147" s="1792"/>
      <c r="CC147" s="1793"/>
      <c r="CD147" s="1793"/>
      <c r="CE147" s="1794"/>
      <c r="CG147" s="1786" t="s">
        <v>435</v>
      </c>
      <c r="CH147" s="1790" t="s">
        <v>335</v>
      </c>
      <c r="CI147" s="1585" t="s">
        <v>1882</v>
      </c>
      <c r="CJ147" s="1595">
        <v>0.5</v>
      </c>
      <c r="CK147" s="1595">
        <v>0.5</v>
      </c>
      <c r="CL147" s="1595">
        <v>0.5</v>
      </c>
      <c r="CM147" s="1595">
        <v>0.5</v>
      </c>
      <c r="CN147" s="1595">
        <v>0.5</v>
      </c>
      <c r="CO147" s="1595">
        <v>0.5</v>
      </c>
      <c r="CP147" s="1595">
        <v>0.5</v>
      </c>
      <c r="CQ147" s="1595">
        <v>0.5</v>
      </c>
      <c r="CR147" s="1595">
        <v>0.5</v>
      </c>
      <c r="CS147" s="1595">
        <v>0.5</v>
      </c>
      <c r="CT147" s="1795">
        <f t="shared" si="157"/>
        <v>0</v>
      </c>
      <c r="CU147" s="1796">
        <f t="shared" si="158"/>
        <v>0</v>
      </c>
      <c r="CV147" s="1796">
        <f t="shared" si="159"/>
        <v>0</v>
      </c>
      <c r="CX147" s="1786" t="s">
        <v>435</v>
      </c>
      <c r="CY147" s="1790" t="s">
        <v>335</v>
      </c>
      <c r="CZ147" s="1585" t="s">
        <v>1882</v>
      </c>
      <c r="DA147" s="1598">
        <v>0.35</v>
      </c>
      <c r="DB147" s="1595"/>
      <c r="DC147" s="1595"/>
      <c r="DD147" s="1595"/>
      <c r="DE147" s="1595"/>
      <c r="DF147" s="1595"/>
      <c r="DG147" s="1595"/>
      <c r="DH147" s="1595"/>
      <c r="DI147" s="1595"/>
      <c r="DJ147" s="1595"/>
      <c r="DK147" s="1795"/>
      <c r="DL147" s="1796"/>
      <c r="DM147" s="1796"/>
    </row>
    <row r="148" spans="2:117">
      <c r="B148" s="1584">
        <f t="shared" si="99"/>
        <v>1</v>
      </c>
      <c r="C148" s="1600" t="str">
        <f t="shared" si="116"/>
        <v xml:space="preserve">Water Resources </v>
      </c>
      <c r="D148" s="1601">
        <f>IF(I$147=0,0,G148/I$147)</f>
        <v>0.2</v>
      </c>
      <c r="E148" s="1602">
        <f>IF(J$147=0,0,H148/J$147)</f>
        <v>0</v>
      </c>
      <c r="G148" s="1602">
        <f t="shared" ref="G148:G188" si="161">K148*M148</f>
        <v>0.2</v>
      </c>
      <c r="H148" s="1602">
        <f t="shared" ref="H148:H188" si="162">L148*N148</f>
        <v>0</v>
      </c>
      <c r="I148" s="1602">
        <f>G149+G150</f>
        <v>1</v>
      </c>
      <c r="J148" s="1602">
        <f>H149+H150</f>
        <v>0</v>
      </c>
      <c r="K148" s="1602">
        <f>IF(L148&gt;0,1,IF(Score!Z148=0,0,1))</f>
        <v>1</v>
      </c>
      <c r="L148" s="1602">
        <f>IF(Score!AB148=0,0,1)</f>
        <v>0</v>
      </c>
      <c r="M148" s="1602">
        <f t="shared" ref="M148:M188" si="163">SUMPRODUCT($S$7:$AB$7,S148:AB148)</f>
        <v>0.2</v>
      </c>
      <c r="N148" s="1602">
        <f t="shared" si="101"/>
        <v>0</v>
      </c>
      <c r="P148" s="1769">
        <f t="shared" si="118"/>
        <v>1</v>
      </c>
      <c r="Q148" s="1604" t="str">
        <f t="shared" si="119"/>
        <v>LR2</v>
      </c>
      <c r="R148" s="1600" t="str">
        <f t="shared" si="120"/>
        <v xml:space="preserve">Water Resources </v>
      </c>
      <c r="S148" s="1605">
        <f t="shared" si="102"/>
        <v>0.2</v>
      </c>
      <c r="T148" s="1605">
        <f t="shared" si="103"/>
        <v>0.2</v>
      </c>
      <c r="U148" s="1605">
        <f t="shared" si="104"/>
        <v>0.2</v>
      </c>
      <c r="V148" s="1605">
        <f t="shared" si="105"/>
        <v>0.2</v>
      </c>
      <c r="W148" s="1605">
        <f t="shared" si="106"/>
        <v>0.2</v>
      </c>
      <c r="X148" s="1605">
        <f t="shared" si="107"/>
        <v>0.2</v>
      </c>
      <c r="Y148" s="1605">
        <f t="shared" si="108"/>
        <v>0.2</v>
      </c>
      <c r="Z148" s="1728">
        <f t="shared" si="109"/>
        <v>0.2</v>
      </c>
      <c r="AA148" s="1605">
        <f t="shared" si="110"/>
        <v>0.2</v>
      </c>
      <c r="AB148" s="1605">
        <f t="shared" si="111"/>
        <v>0.2</v>
      </c>
      <c r="AC148" s="1797">
        <f t="shared" si="112"/>
        <v>0</v>
      </c>
      <c r="AD148" s="1798">
        <f t="shared" si="113"/>
        <v>0</v>
      </c>
      <c r="AE148" s="1798">
        <f t="shared" si="114"/>
        <v>0</v>
      </c>
      <c r="AG148" s="1769">
        <v>1</v>
      </c>
      <c r="AH148" s="1608" t="s">
        <v>361</v>
      </c>
      <c r="AI148" s="1600" t="s">
        <v>1883</v>
      </c>
      <c r="AJ148" s="1611">
        <v>0.2</v>
      </c>
      <c r="AK148" s="1611">
        <v>0.2</v>
      </c>
      <c r="AL148" s="1611">
        <v>0.2</v>
      </c>
      <c r="AM148" s="1611">
        <v>0.2</v>
      </c>
      <c r="AN148" s="1611">
        <v>0.2</v>
      </c>
      <c r="AO148" s="1611">
        <v>0.2</v>
      </c>
      <c r="AP148" s="1611">
        <v>0.2</v>
      </c>
      <c r="AQ148" s="1730">
        <v>0.2</v>
      </c>
      <c r="AR148" s="1611">
        <v>0.2</v>
      </c>
      <c r="AS148" s="1611">
        <v>0.2</v>
      </c>
      <c r="AT148" s="1799"/>
      <c r="AU148" s="1800"/>
      <c r="AV148" s="1800"/>
      <c r="AX148" s="1769">
        <v>1</v>
      </c>
      <c r="AY148" s="1608" t="s">
        <v>361</v>
      </c>
      <c r="AZ148" s="1600" t="s">
        <v>1883</v>
      </c>
      <c r="BA148" s="1611">
        <v>0.2</v>
      </c>
      <c r="BB148" s="1611">
        <v>0.2</v>
      </c>
      <c r="BC148" s="1611">
        <v>0.2</v>
      </c>
      <c r="BD148" s="1611">
        <v>0.2</v>
      </c>
      <c r="BE148" s="1611">
        <v>0.2</v>
      </c>
      <c r="BF148" s="1611">
        <v>0.2</v>
      </c>
      <c r="BG148" s="1611">
        <v>0.2</v>
      </c>
      <c r="BH148" s="1730">
        <v>0.2</v>
      </c>
      <c r="BI148" s="1611">
        <v>0.2</v>
      </c>
      <c r="BJ148" s="1611">
        <v>0.2</v>
      </c>
      <c r="BK148" s="1799"/>
      <c r="BL148" s="1800"/>
      <c r="BM148" s="1800"/>
      <c r="BO148" s="1769">
        <v>1</v>
      </c>
      <c r="BP148" s="1608" t="s">
        <v>361</v>
      </c>
      <c r="BQ148" s="1600" t="s">
        <v>1638</v>
      </c>
      <c r="BR148" s="1611">
        <v>0.2</v>
      </c>
      <c r="BS148" s="1611">
        <v>0.2</v>
      </c>
      <c r="BT148" s="1611">
        <v>0.2</v>
      </c>
      <c r="BU148" s="1611">
        <v>0.2</v>
      </c>
      <c r="BV148" s="1611">
        <v>0.2</v>
      </c>
      <c r="BW148" s="1611">
        <v>0.2</v>
      </c>
      <c r="BX148" s="1611">
        <v>0.2</v>
      </c>
      <c r="BY148" s="1730">
        <v>0.2</v>
      </c>
      <c r="BZ148" s="1611">
        <v>0.2</v>
      </c>
      <c r="CA148" s="1611">
        <v>0.2</v>
      </c>
      <c r="CB148" s="1799"/>
      <c r="CC148" s="1800"/>
      <c r="CD148" s="1800"/>
      <c r="CE148" s="1794"/>
      <c r="CG148" s="1769">
        <v>1</v>
      </c>
      <c r="CH148" s="1608" t="s">
        <v>361</v>
      </c>
      <c r="CI148" s="1600" t="s">
        <v>1883</v>
      </c>
      <c r="CJ148" s="1619">
        <v>0.1</v>
      </c>
      <c r="CK148" s="1619">
        <v>0.1</v>
      </c>
      <c r="CL148" s="1619">
        <v>0.1</v>
      </c>
      <c r="CM148" s="1619">
        <v>0.1</v>
      </c>
      <c r="CN148" s="1619">
        <v>0.1</v>
      </c>
      <c r="CO148" s="1619">
        <v>0.1</v>
      </c>
      <c r="CP148" s="1619">
        <v>0.1</v>
      </c>
      <c r="CQ148" s="1619">
        <v>0.1</v>
      </c>
      <c r="CR148" s="1619">
        <v>0.1</v>
      </c>
      <c r="CS148" s="1619">
        <v>0.1</v>
      </c>
      <c r="CT148" s="1801">
        <f t="shared" si="157"/>
        <v>0</v>
      </c>
      <c r="CU148" s="1802">
        <f t="shared" si="158"/>
        <v>0</v>
      </c>
      <c r="CV148" s="1802">
        <f t="shared" si="159"/>
        <v>0</v>
      </c>
      <c r="CX148" s="1769">
        <v>1</v>
      </c>
      <c r="CY148" s="1608" t="s">
        <v>361</v>
      </c>
      <c r="CZ148" s="1600" t="s">
        <v>1883</v>
      </c>
      <c r="DA148" s="1731">
        <v>0.3</v>
      </c>
      <c r="DB148" s="1619"/>
      <c r="DC148" s="1619"/>
      <c r="DD148" s="1619"/>
      <c r="DE148" s="1619"/>
      <c r="DF148" s="1619"/>
      <c r="DG148" s="1619"/>
      <c r="DH148" s="1619"/>
      <c r="DI148" s="1619"/>
      <c r="DJ148" s="1619"/>
      <c r="DK148" s="1803"/>
      <c r="DL148" s="1804"/>
      <c r="DM148" s="1804"/>
    </row>
    <row r="149" spans="2:117">
      <c r="B149" s="1584">
        <f t="shared" si="99"/>
        <v>1.1000000000000001</v>
      </c>
      <c r="C149" s="1622" t="str">
        <f t="shared" si="116"/>
        <v>Water Saving</v>
      </c>
      <c r="D149" s="1623">
        <f>IF(I$148=0,0,G149/I$148)</f>
        <v>0.4</v>
      </c>
      <c r="E149" s="1624">
        <f>IF(J$148=0,0,H149/J$148)</f>
        <v>0</v>
      </c>
      <c r="G149" s="1624">
        <f t="shared" si="161"/>
        <v>0.4</v>
      </c>
      <c r="H149" s="1624">
        <f t="shared" si="162"/>
        <v>0</v>
      </c>
      <c r="I149" s="1624"/>
      <c r="J149" s="1624"/>
      <c r="K149" s="1624">
        <f>IF(Score!W149=0,0,1)</f>
        <v>1</v>
      </c>
      <c r="L149" s="1624">
        <f>IF(Score!X149=0,0,1)</f>
        <v>0</v>
      </c>
      <c r="M149" s="1624">
        <f t="shared" si="163"/>
        <v>0.4</v>
      </c>
      <c r="N149" s="1624">
        <f t="shared" si="101"/>
        <v>0</v>
      </c>
      <c r="P149" s="1625">
        <f t="shared" si="118"/>
        <v>1.1000000000000001</v>
      </c>
      <c r="Q149" s="1625" t="str">
        <f t="shared" si="119"/>
        <v>LR2 1</v>
      </c>
      <c r="R149" s="1622" t="str">
        <f t="shared" si="120"/>
        <v>Water Saving</v>
      </c>
      <c r="S149" s="1626">
        <f t="shared" si="102"/>
        <v>0.4</v>
      </c>
      <c r="T149" s="1626">
        <f t="shared" si="103"/>
        <v>0.4</v>
      </c>
      <c r="U149" s="1626">
        <f t="shared" si="104"/>
        <v>0.4</v>
      </c>
      <c r="V149" s="1626">
        <f t="shared" si="105"/>
        <v>0.4</v>
      </c>
      <c r="W149" s="1626">
        <f t="shared" si="106"/>
        <v>0.4</v>
      </c>
      <c r="X149" s="1626">
        <f t="shared" si="107"/>
        <v>0.4</v>
      </c>
      <c r="Y149" s="1626">
        <f t="shared" si="108"/>
        <v>0.4</v>
      </c>
      <c r="Z149" s="1645">
        <f t="shared" si="109"/>
        <v>0.4</v>
      </c>
      <c r="AA149" s="1626">
        <f t="shared" si="110"/>
        <v>0.4</v>
      </c>
      <c r="AB149" s="1626">
        <f t="shared" si="111"/>
        <v>0.4</v>
      </c>
      <c r="AC149" s="1805">
        <f t="shared" si="112"/>
        <v>0</v>
      </c>
      <c r="AD149" s="1662">
        <f t="shared" si="113"/>
        <v>0</v>
      </c>
      <c r="AE149" s="1662">
        <f t="shared" si="114"/>
        <v>0</v>
      </c>
      <c r="AG149" s="1625">
        <v>1.1000000000000001</v>
      </c>
      <c r="AH149" s="1628" t="s">
        <v>42</v>
      </c>
      <c r="AI149" s="1622" t="s">
        <v>1884</v>
      </c>
      <c r="AJ149" s="1631">
        <v>0.4</v>
      </c>
      <c r="AK149" s="1631">
        <v>0.4</v>
      </c>
      <c r="AL149" s="1631">
        <v>0.4</v>
      </c>
      <c r="AM149" s="1631">
        <v>0.4</v>
      </c>
      <c r="AN149" s="1631">
        <v>0.4</v>
      </c>
      <c r="AO149" s="1631">
        <v>0.4</v>
      </c>
      <c r="AP149" s="1631">
        <v>0.4</v>
      </c>
      <c r="AQ149" s="1649">
        <v>0.4</v>
      </c>
      <c r="AR149" s="1631">
        <v>0.4</v>
      </c>
      <c r="AS149" s="1631">
        <v>0.4</v>
      </c>
      <c r="AT149" s="1806"/>
      <c r="AU149" s="1664"/>
      <c r="AV149" s="1664"/>
      <c r="AX149" s="1625">
        <v>1.1000000000000001</v>
      </c>
      <c r="AY149" s="1628" t="s">
        <v>42</v>
      </c>
      <c r="AZ149" s="1622" t="s">
        <v>1884</v>
      </c>
      <c r="BA149" s="1631">
        <v>0.4</v>
      </c>
      <c r="BB149" s="1631">
        <v>0.4</v>
      </c>
      <c r="BC149" s="1631">
        <v>0.4</v>
      </c>
      <c r="BD149" s="1631">
        <v>0.4</v>
      </c>
      <c r="BE149" s="1631">
        <v>0.4</v>
      </c>
      <c r="BF149" s="1631">
        <v>0.4</v>
      </c>
      <c r="BG149" s="1631">
        <v>0.4</v>
      </c>
      <c r="BH149" s="1649">
        <v>0.4</v>
      </c>
      <c r="BI149" s="1631">
        <v>0.4</v>
      </c>
      <c r="BJ149" s="1631">
        <v>0.4</v>
      </c>
      <c r="BK149" s="1806"/>
      <c r="BL149" s="1664"/>
      <c r="BM149" s="1664"/>
      <c r="BO149" s="1625">
        <v>1.1000000000000001</v>
      </c>
      <c r="BP149" s="1628" t="s">
        <v>42</v>
      </c>
      <c r="BQ149" s="1622" t="s">
        <v>1639</v>
      </c>
      <c r="BR149" s="1631">
        <v>0.4</v>
      </c>
      <c r="BS149" s="1631">
        <v>0.4</v>
      </c>
      <c r="BT149" s="1631">
        <v>0.4</v>
      </c>
      <c r="BU149" s="1631">
        <v>0.4</v>
      </c>
      <c r="BV149" s="1631">
        <v>0.4</v>
      </c>
      <c r="BW149" s="1631">
        <v>0.4</v>
      </c>
      <c r="BX149" s="1631">
        <v>0.4</v>
      </c>
      <c r="BY149" s="1649">
        <v>0.4</v>
      </c>
      <c r="BZ149" s="1631">
        <v>0.4</v>
      </c>
      <c r="CA149" s="1631">
        <v>0.4</v>
      </c>
      <c r="CB149" s="1806"/>
      <c r="CC149" s="1664"/>
      <c r="CD149" s="1664"/>
      <c r="CE149" s="1557"/>
      <c r="CG149" s="1625">
        <v>1.1000000000000001</v>
      </c>
      <c r="CH149" s="1628" t="s">
        <v>42</v>
      </c>
      <c r="CI149" s="1622" t="s">
        <v>1884</v>
      </c>
      <c r="CJ149" s="1636">
        <f t="shared" si="160"/>
        <v>0.4</v>
      </c>
      <c r="CK149" s="1636">
        <f t="shared" ref="CK149:CS152" si="164">BS149</f>
        <v>0.4</v>
      </c>
      <c r="CL149" s="1636">
        <f t="shared" si="164"/>
        <v>0.4</v>
      </c>
      <c r="CM149" s="1636">
        <f t="shared" si="164"/>
        <v>0.4</v>
      </c>
      <c r="CN149" s="1636">
        <f t="shared" si="164"/>
        <v>0.4</v>
      </c>
      <c r="CO149" s="1636">
        <f t="shared" si="164"/>
        <v>0.4</v>
      </c>
      <c r="CP149" s="1636">
        <f t="shared" si="164"/>
        <v>0.4</v>
      </c>
      <c r="CQ149" s="1636">
        <f t="shared" si="164"/>
        <v>0.4</v>
      </c>
      <c r="CR149" s="1636">
        <f t="shared" si="164"/>
        <v>0.4</v>
      </c>
      <c r="CS149" s="1636">
        <f t="shared" si="164"/>
        <v>0.4</v>
      </c>
      <c r="CT149" s="1807">
        <f t="shared" si="157"/>
        <v>0</v>
      </c>
      <c r="CU149" s="1665">
        <f t="shared" si="158"/>
        <v>0</v>
      </c>
      <c r="CV149" s="1665">
        <f t="shared" si="159"/>
        <v>0</v>
      </c>
      <c r="CX149" s="1625">
        <v>1.1000000000000001</v>
      </c>
      <c r="CY149" s="1628" t="s">
        <v>42</v>
      </c>
      <c r="CZ149" s="1622" t="s">
        <v>1884</v>
      </c>
      <c r="DA149" s="1638">
        <f>BR149</f>
        <v>0.4</v>
      </c>
      <c r="DB149" s="1638"/>
      <c r="DC149" s="1638"/>
      <c r="DD149" s="1638"/>
      <c r="DE149" s="1638"/>
      <c r="DF149" s="1638"/>
      <c r="DG149" s="1638"/>
      <c r="DH149" s="1638"/>
      <c r="DI149" s="1638"/>
      <c r="DJ149" s="1638"/>
      <c r="DK149" s="1808"/>
      <c r="DL149" s="1666"/>
      <c r="DM149" s="1666"/>
    </row>
    <row r="150" spans="2:117">
      <c r="B150" s="1584">
        <f t="shared" ref="B150:B190" si="165">P150</f>
        <v>1.2</v>
      </c>
      <c r="C150" s="1622" t="str">
        <f t="shared" si="116"/>
        <v>Rain Water &amp; Waste Water Use</v>
      </c>
      <c r="D150" s="1623">
        <f>IF(I$148=0,0,G150/I$148)</f>
        <v>0.6</v>
      </c>
      <c r="E150" s="1624">
        <f>IF(J$148=0,0,H150/J$148)</f>
        <v>0</v>
      </c>
      <c r="G150" s="1624">
        <f>K150*M150</f>
        <v>0.6</v>
      </c>
      <c r="H150" s="1624">
        <f t="shared" si="162"/>
        <v>0</v>
      </c>
      <c r="I150" s="1624">
        <f>SUM(G151:G152)</f>
        <v>1</v>
      </c>
      <c r="J150" s="1624">
        <f>SUM(H151:H152)</f>
        <v>0</v>
      </c>
      <c r="K150" s="1624">
        <f>IF(Score!Z150=0,0,1)</f>
        <v>1</v>
      </c>
      <c r="L150" s="1624">
        <f>IF(Score!AB150=0,0,1)</f>
        <v>0</v>
      </c>
      <c r="M150" s="1624">
        <f>SUMPRODUCT($S$7:$AB$7,S150:AB150)</f>
        <v>0.6</v>
      </c>
      <c r="N150" s="1624">
        <f t="shared" si="101"/>
        <v>0</v>
      </c>
      <c r="P150" s="1781">
        <f t="shared" si="118"/>
        <v>1.2</v>
      </c>
      <c r="Q150" s="1625" t="str">
        <f t="shared" si="119"/>
        <v>LR2 1</v>
      </c>
      <c r="R150" s="1622" t="str">
        <f t="shared" si="120"/>
        <v>Rain Water &amp; Waste Water Use</v>
      </c>
      <c r="S150" s="1626">
        <f t="shared" si="102"/>
        <v>0.6</v>
      </c>
      <c r="T150" s="1626">
        <f t="shared" si="103"/>
        <v>0.6</v>
      </c>
      <c r="U150" s="1626">
        <f t="shared" si="104"/>
        <v>0.6</v>
      </c>
      <c r="V150" s="1626">
        <f t="shared" si="105"/>
        <v>0.6</v>
      </c>
      <c r="W150" s="1626">
        <f t="shared" si="106"/>
        <v>0.6</v>
      </c>
      <c r="X150" s="1626">
        <f t="shared" si="107"/>
        <v>0.6</v>
      </c>
      <c r="Y150" s="1626">
        <f t="shared" si="108"/>
        <v>0.6</v>
      </c>
      <c r="Z150" s="1645">
        <f t="shared" si="109"/>
        <v>0.6</v>
      </c>
      <c r="AA150" s="1626">
        <f t="shared" si="110"/>
        <v>0.6</v>
      </c>
      <c r="AB150" s="1626">
        <f t="shared" si="111"/>
        <v>0.6</v>
      </c>
      <c r="AC150" s="1805">
        <f t="shared" si="112"/>
        <v>0</v>
      </c>
      <c r="AD150" s="1662">
        <f t="shared" si="113"/>
        <v>0</v>
      </c>
      <c r="AE150" s="1662">
        <f t="shared" si="114"/>
        <v>0</v>
      </c>
      <c r="AG150" s="1781">
        <v>1.2</v>
      </c>
      <c r="AH150" s="1628" t="s">
        <v>42</v>
      </c>
      <c r="AI150" s="1622" t="s">
        <v>1885</v>
      </c>
      <c r="AJ150" s="1631">
        <v>0.6</v>
      </c>
      <c r="AK150" s="1631">
        <v>0.6</v>
      </c>
      <c r="AL150" s="1631">
        <v>0.6</v>
      </c>
      <c r="AM150" s="1631">
        <v>0.6</v>
      </c>
      <c r="AN150" s="1631">
        <v>0.6</v>
      </c>
      <c r="AO150" s="1631">
        <v>0.6</v>
      </c>
      <c r="AP150" s="1631">
        <v>0.6</v>
      </c>
      <c r="AQ150" s="1649">
        <v>0.6</v>
      </c>
      <c r="AR150" s="1631">
        <v>0.6</v>
      </c>
      <c r="AS150" s="1631">
        <v>0.6</v>
      </c>
      <c r="AT150" s="1806"/>
      <c r="AU150" s="1664"/>
      <c r="AV150" s="1664"/>
      <c r="AX150" s="1781">
        <v>1.2</v>
      </c>
      <c r="AY150" s="1628" t="s">
        <v>42</v>
      </c>
      <c r="AZ150" s="1622" t="s">
        <v>1885</v>
      </c>
      <c r="BA150" s="1631">
        <v>0.6</v>
      </c>
      <c r="BB150" s="1631">
        <v>0.6</v>
      </c>
      <c r="BC150" s="1631">
        <v>0.6</v>
      </c>
      <c r="BD150" s="1631">
        <v>0.6</v>
      </c>
      <c r="BE150" s="1631">
        <v>0.6</v>
      </c>
      <c r="BF150" s="1631">
        <v>0.6</v>
      </c>
      <c r="BG150" s="1631">
        <v>0.6</v>
      </c>
      <c r="BH150" s="1649">
        <v>0.6</v>
      </c>
      <c r="BI150" s="1631">
        <v>0.6</v>
      </c>
      <c r="BJ150" s="1631">
        <v>0.6</v>
      </c>
      <c r="BK150" s="1806"/>
      <c r="BL150" s="1664"/>
      <c r="BM150" s="1664"/>
      <c r="BO150" s="1781">
        <v>1.2</v>
      </c>
      <c r="BP150" s="1628" t="s">
        <v>42</v>
      </c>
      <c r="BQ150" s="1818" t="s">
        <v>4051</v>
      </c>
      <c r="BR150" s="1631">
        <v>0.6</v>
      </c>
      <c r="BS150" s="1631">
        <v>0.6</v>
      </c>
      <c r="BT150" s="1631">
        <v>0.6</v>
      </c>
      <c r="BU150" s="1631">
        <v>0.6</v>
      </c>
      <c r="BV150" s="1631">
        <v>0.6</v>
      </c>
      <c r="BW150" s="1631">
        <v>0.6</v>
      </c>
      <c r="BX150" s="1631">
        <v>0.6</v>
      </c>
      <c r="BY150" s="1649">
        <v>0.6</v>
      </c>
      <c r="BZ150" s="1631">
        <v>0.6</v>
      </c>
      <c r="CA150" s="1631">
        <v>0.6</v>
      </c>
      <c r="CB150" s="1806"/>
      <c r="CC150" s="1664"/>
      <c r="CD150" s="1664"/>
      <c r="CE150" s="1557"/>
      <c r="CG150" s="1781">
        <v>1.2</v>
      </c>
      <c r="CH150" s="1628" t="s">
        <v>42</v>
      </c>
      <c r="CI150" s="1622" t="s">
        <v>1885</v>
      </c>
      <c r="CJ150" s="1636">
        <f t="shared" si="160"/>
        <v>0.6</v>
      </c>
      <c r="CK150" s="1636">
        <f t="shared" si="164"/>
        <v>0.6</v>
      </c>
      <c r="CL150" s="1636">
        <f t="shared" si="164"/>
        <v>0.6</v>
      </c>
      <c r="CM150" s="1636">
        <f t="shared" si="164"/>
        <v>0.6</v>
      </c>
      <c r="CN150" s="1636">
        <f t="shared" si="164"/>
        <v>0.6</v>
      </c>
      <c r="CO150" s="1636">
        <f t="shared" si="164"/>
        <v>0.6</v>
      </c>
      <c r="CP150" s="1636">
        <f t="shared" si="164"/>
        <v>0.6</v>
      </c>
      <c r="CQ150" s="1636">
        <f t="shared" si="164"/>
        <v>0.6</v>
      </c>
      <c r="CR150" s="1636">
        <f t="shared" si="164"/>
        <v>0.6</v>
      </c>
      <c r="CS150" s="1636">
        <f t="shared" si="164"/>
        <v>0.6</v>
      </c>
      <c r="CT150" s="1807">
        <f t="shared" si="157"/>
        <v>0</v>
      </c>
      <c r="CU150" s="1665">
        <f t="shared" si="158"/>
        <v>0</v>
      </c>
      <c r="CV150" s="1665">
        <f t="shared" si="159"/>
        <v>0</v>
      </c>
      <c r="CX150" s="1781">
        <v>1.2</v>
      </c>
      <c r="CY150" s="1628" t="s">
        <v>42</v>
      </c>
      <c r="CZ150" s="1622" t="s">
        <v>1885</v>
      </c>
      <c r="DA150" s="1638">
        <f>BR150</f>
        <v>0.6</v>
      </c>
      <c r="DB150" s="1638"/>
      <c r="DC150" s="1638"/>
      <c r="DD150" s="1638"/>
      <c r="DE150" s="1638"/>
      <c r="DF150" s="1638"/>
      <c r="DG150" s="1638"/>
      <c r="DH150" s="1638"/>
      <c r="DI150" s="1638"/>
      <c r="DJ150" s="1638"/>
      <c r="DK150" s="1808"/>
      <c r="DL150" s="1666"/>
      <c r="DM150" s="1666"/>
    </row>
    <row r="151" spans="2:117">
      <c r="B151" s="1584" t="str">
        <f t="shared" si="165"/>
        <v>1.2.1</v>
      </c>
      <c r="C151" s="1622" t="str">
        <f t="shared" si="116"/>
        <v>Rainwater Use System</v>
      </c>
      <c r="D151" s="1603">
        <f>IF(I$150&gt;0,G151/I$150,0)</f>
        <v>0.7</v>
      </c>
      <c r="E151" s="1624">
        <f>IF(J$150&gt;0,H151/J$150,0)</f>
        <v>0</v>
      </c>
      <c r="G151" s="1624">
        <f t="shared" si="161"/>
        <v>0.7</v>
      </c>
      <c r="H151" s="1624">
        <f t="shared" si="162"/>
        <v>0</v>
      </c>
      <c r="I151" s="1624"/>
      <c r="J151" s="1624"/>
      <c r="K151" s="1624">
        <f>IF(Score!W151=0,0,1)</f>
        <v>1</v>
      </c>
      <c r="L151" s="1624">
        <f>IF(Score!X151=0,0,1)</f>
        <v>0</v>
      </c>
      <c r="M151" s="1624">
        <f>SUMPRODUCT($S$7:$AB$7,S151:AB151)</f>
        <v>0.7</v>
      </c>
      <c r="N151" s="1624">
        <f t="shared" si="101"/>
        <v>0</v>
      </c>
      <c r="P151" s="1625" t="str">
        <f t="shared" si="118"/>
        <v>1.2.1</v>
      </c>
      <c r="Q151" s="1625" t="str">
        <f t="shared" si="119"/>
        <v>LR2 1.2</v>
      </c>
      <c r="R151" s="1622" t="str">
        <f t="shared" si="120"/>
        <v>Rainwater Use System</v>
      </c>
      <c r="S151" s="1626">
        <f t="shared" si="102"/>
        <v>0.7</v>
      </c>
      <c r="T151" s="1626">
        <f t="shared" si="103"/>
        <v>0.7</v>
      </c>
      <c r="U151" s="1626">
        <f t="shared" si="104"/>
        <v>0.7</v>
      </c>
      <c r="V151" s="1626">
        <f t="shared" si="105"/>
        <v>0.7</v>
      </c>
      <c r="W151" s="1626">
        <f t="shared" si="106"/>
        <v>0.7</v>
      </c>
      <c r="X151" s="1626">
        <f t="shared" si="107"/>
        <v>0.7</v>
      </c>
      <c r="Y151" s="1626">
        <f t="shared" si="108"/>
        <v>0.7</v>
      </c>
      <c r="Z151" s="1645">
        <f t="shared" si="109"/>
        <v>0.7</v>
      </c>
      <c r="AA151" s="1626">
        <f t="shared" si="110"/>
        <v>0.7</v>
      </c>
      <c r="AB151" s="1626">
        <f t="shared" si="111"/>
        <v>0.7</v>
      </c>
      <c r="AC151" s="1805">
        <f t="shared" si="112"/>
        <v>0</v>
      </c>
      <c r="AD151" s="1662">
        <f t="shared" si="113"/>
        <v>0</v>
      </c>
      <c r="AE151" s="1662">
        <f t="shared" si="114"/>
        <v>0</v>
      </c>
      <c r="AG151" s="1625" t="s">
        <v>682</v>
      </c>
      <c r="AH151" s="1628" t="s">
        <v>44</v>
      </c>
      <c r="AI151" s="1622" t="s">
        <v>1886</v>
      </c>
      <c r="AJ151" s="1631">
        <v>0.7</v>
      </c>
      <c r="AK151" s="1631">
        <v>0.7</v>
      </c>
      <c r="AL151" s="1631">
        <v>0.7</v>
      </c>
      <c r="AM151" s="1631">
        <v>0.7</v>
      </c>
      <c r="AN151" s="1631">
        <v>0.7</v>
      </c>
      <c r="AO151" s="1631">
        <v>0.7</v>
      </c>
      <c r="AP151" s="1631">
        <v>0.7</v>
      </c>
      <c r="AQ151" s="1649">
        <v>0.7</v>
      </c>
      <c r="AR151" s="1631">
        <v>0.7</v>
      </c>
      <c r="AS151" s="1631">
        <v>0.7</v>
      </c>
      <c r="AT151" s="1806"/>
      <c r="AU151" s="1664"/>
      <c r="AV151" s="1664"/>
      <c r="AX151" s="1625" t="s">
        <v>682</v>
      </c>
      <c r="AY151" s="1628" t="s">
        <v>44</v>
      </c>
      <c r="AZ151" s="1622" t="s">
        <v>1886</v>
      </c>
      <c r="BA151" s="1631">
        <v>0.7</v>
      </c>
      <c r="BB151" s="1631">
        <v>0.7</v>
      </c>
      <c r="BC151" s="1631">
        <v>0.7</v>
      </c>
      <c r="BD151" s="1631">
        <v>0.7</v>
      </c>
      <c r="BE151" s="1631">
        <v>0.7</v>
      </c>
      <c r="BF151" s="1631">
        <v>0.7</v>
      </c>
      <c r="BG151" s="1631">
        <v>0.7</v>
      </c>
      <c r="BH151" s="1649">
        <v>0.7</v>
      </c>
      <c r="BI151" s="1631">
        <v>0.7</v>
      </c>
      <c r="BJ151" s="1631">
        <v>0.7</v>
      </c>
      <c r="BK151" s="1806"/>
      <c r="BL151" s="1664"/>
      <c r="BM151" s="1664"/>
      <c r="BO151" s="1625" t="s">
        <v>682</v>
      </c>
      <c r="BP151" s="1628" t="s">
        <v>44</v>
      </c>
      <c r="BQ151" s="1622" t="s">
        <v>1640</v>
      </c>
      <c r="BR151" s="1631">
        <v>0.7</v>
      </c>
      <c r="BS151" s="1631">
        <v>0.7</v>
      </c>
      <c r="BT151" s="1631">
        <v>0.7</v>
      </c>
      <c r="BU151" s="1631">
        <v>0.7</v>
      </c>
      <c r="BV151" s="1631">
        <v>0.7</v>
      </c>
      <c r="BW151" s="1631">
        <v>0.7</v>
      </c>
      <c r="BX151" s="1631">
        <v>0.7</v>
      </c>
      <c r="BY151" s="1649">
        <v>0.7</v>
      </c>
      <c r="BZ151" s="1631">
        <v>0.7</v>
      </c>
      <c r="CA151" s="1631">
        <v>0.7</v>
      </c>
      <c r="CB151" s="1806"/>
      <c r="CC151" s="1664"/>
      <c r="CD151" s="1664"/>
      <c r="CE151" s="1557"/>
      <c r="CG151" s="1625" t="s">
        <v>54</v>
      </c>
      <c r="CH151" s="1628" t="s">
        <v>44</v>
      </c>
      <c r="CI151" s="1622" t="s">
        <v>1886</v>
      </c>
      <c r="CJ151" s="1636">
        <f t="shared" si="160"/>
        <v>0.7</v>
      </c>
      <c r="CK151" s="1636">
        <f t="shared" si="164"/>
        <v>0.7</v>
      </c>
      <c r="CL151" s="1636">
        <f t="shared" si="164"/>
        <v>0.7</v>
      </c>
      <c r="CM151" s="1636">
        <f t="shared" si="164"/>
        <v>0.7</v>
      </c>
      <c r="CN151" s="1636">
        <f t="shared" si="164"/>
        <v>0.7</v>
      </c>
      <c r="CO151" s="1636">
        <f t="shared" si="164"/>
        <v>0.7</v>
      </c>
      <c r="CP151" s="1636">
        <f t="shared" si="164"/>
        <v>0.7</v>
      </c>
      <c r="CQ151" s="1636">
        <f t="shared" si="164"/>
        <v>0.7</v>
      </c>
      <c r="CR151" s="1636">
        <f t="shared" si="164"/>
        <v>0.7</v>
      </c>
      <c r="CS151" s="1636">
        <f t="shared" si="164"/>
        <v>0.7</v>
      </c>
      <c r="CT151" s="1807">
        <f t="shared" si="157"/>
        <v>0</v>
      </c>
      <c r="CU151" s="1665">
        <f t="shared" si="158"/>
        <v>0</v>
      </c>
      <c r="CV151" s="1665">
        <f t="shared" si="159"/>
        <v>0</v>
      </c>
      <c r="CX151" s="1625" t="s">
        <v>54</v>
      </c>
      <c r="CY151" s="1628" t="s">
        <v>44</v>
      </c>
      <c r="CZ151" s="1622" t="s">
        <v>1886</v>
      </c>
      <c r="DA151" s="1638">
        <f>BR151</f>
        <v>0.7</v>
      </c>
      <c r="DB151" s="1638"/>
      <c r="DC151" s="1638"/>
      <c r="DD151" s="1638"/>
      <c r="DE151" s="1638"/>
      <c r="DF151" s="1638"/>
      <c r="DG151" s="1638"/>
      <c r="DH151" s="1638"/>
      <c r="DI151" s="1638"/>
      <c r="DJ151" s="1638"/>
      <c r="DK151" s="1808"/>
      <c r="DL151" s="1666"/>
      <c r="DM151" s="1666"/>
    </row>
    <row r="152" spans="2:117">
      <c r="B152" s="1584" t="str">
        <f t="shared" si="165"/>
        <v>1.2.2</v>
      </c>
      <c r="C152" s="1622" t="str">
        <f t="shared" si="116"/>
        <v>Waste Water Reuse System</v>
      </c>
      <c r="D152" s="1603">
        <f>IF(I$150&gt;0,G152/I$150,0)</f>
        <v>0.3</v>
      </c>
      <c r="E152" s="1624">
        <f>IF(J$150&gt;0,H152/J$150,0)</f>
        <v>0</v>
      </c>
      <c r="G152" s="1624">
        <f t="shared" si="161"/>
        <v>0.3</v>
      </c>
      <c r="H152" s="1624">
        <f t="shared" si="162"/>
        <v>0</v>
      </c>
      <c r="I152" s="1624"/>
      <c r="J152" s="1624"/>
      <c r="K152" s="1624">
        <f>IF(Score!W152=0,0,1)</f>
        <v>1</v>
      </c>
      <c r="L152" s="1624">
        <f>IF(Score!X152=0,0,1)</f>
        <v>0</v>
      </c>
      <c r="M152" s="1624">
        <f>SUMPRODUCT($S$7:$AB$7,S152:AB152)</f>
        <v>0.3</v>
      </c>
      <c r="N152" s="1624">
        <f t="shared" si="101"/>
        <v>0</v>
      </c>
      <c r="P152" s="1625" t="str">
        <f t="shared" si="118"/>
        <v>1.2.2</v>
      </c>
      <c r="Q152" s="1625" t="str">
        <f t="shared" si="119"/>
        <v>LR2 1.2</v>
      </c>
      <c r="R152" s="1622" t="str">
        <f t="shared" si="120"/>
        <v>Waste Water Reuse System</v>
      </c>
      <c r="S152" s="1626">
        <f t="shared" si="102"/>
        <v>0.3</v>
      </c>
      <c r="T152" s="1626">
        <f t="shared" si="103"/>
        <v>0.3</v>
      </c>
      <c r="U152" s="1626">
        <f t="shared" si="104"/>
        <v>0.3</v>
      </c>
      <c r="V152" s="1626">
        <f t="shared" si="105"/>
        <v>0.3</v>
      </c>
      <c r="W152" s="1626">
        <f t="shared" si="106"/>
        <v>0.3</v>
      </c>
      <c r="X152" s="1626">
        <f t="shared" si="107"/>
        <v>0.3</v>
      </c>
      <c r="Y152" s="1626">
        <f t="shared" si="108"/>
        <v>0.3</v>
      </c>
      <c r="Z152" s="1645">
        <f t="shared" si="109"/>
        <v>0.3</v>
      </c>
      <c r="AA152" s="1626">
        <f t="shared" si="110"/>
        <v>0.3</v>
      </c>
      <c r="AB152" s="1626">
        <f t="shared" si="111"/>
        <v>0.3</v>
      </c>
      <c r="AC152" s="1805">
        <f t="shared" si="112"/>
        <v>0</v>
      </c>
      <c r="AD152" s="1662">
        <f t="shared" si="113"/>
        <v>0</v>
      </c>
      <c r="AE152" s="1662">
        <f t="shared" si="114"/>
        <v>0</v>
      </c>
      <c r="AG152" s="1625" t="s">
        <v>684</v>
      </c>
      <c r="AH152" s="1628" t="s">
        <v>44</v>
      </c>
      <c r="AI152" s="1622" t="s">
        <v>1887</v>
      </c>
      <c r="AJ152" s="1631">
        <v>0.3</v>
      </c>
      <c r="AK152" s="1631">
        <v>0.3</v>
      </c>
      <c r="AL152" s="1631">
        <v>0.3</v>
      </c>
      <c r="AM152" s="1631">
        <v>0.3</v>
      </c>
      <c r="AN152" s="1631">
        <v>0.3</v>
      </c>
      <c r="AO152" s="1631">
        <v>0.3</v>
      </c>
      <c r="AP152" s="1631">
        <v>0.3</v>
      </c>
      <c r="AQ152" s="1649">
        <v>0.3</v>
      </c>
      <c r="AR152" s="1631">
        <v>0.3</v>
      </c>
      <c r="AS152" s="1631">
        <v>0.3</v>
      </c>
      <c r="AT152" s="1806"/>
      <c r="AU152" s="1664"/>
      <c r="AV152" s="1664"/>
      <c r="AX152" s="1625" t="s">
        <v>684</v>
      </c>
      <c r="AY152" s="1628" t="s">
        <v>44</v>
      </c>
      <c r="AZ152" s="1622" t="s">
        <v>1887</v>
      </c>
      <c r="BA152" s="1631">
        <v>0.3</v>
      </c>
      <c r="BB152" s="1631">
        <v>0.3</v>
      </c>
      <c r="BC152" s="1631">
        <v>0.3</v>
      </c>
      <c r="BD152" s="1631">
        <v>0.3</v>
      </c>
      <c r="BE152" s="1631">
        <v>0.3</v>
      </c>
      <c r="BF152" s="1631">
        <v>0.3</v>
      </c>
      <c r="BG152" s="1631">
        <v>0.3</v>
      </c>
      <c r="BH152" s="1649">
        <v>0.3</v>
      </c>
      <c r="BI152" s="1631">
        <v>0.3</v>
      </c>
      <c r="BJ152" s="1631">
        <v>0.3</v>
      </c>
      <c r="BK152" s="1806"/>
      <c r="BL152" s="1664"/>
      <c r="BM152" s="1664"/>
      <c r="BO152" s="1625" t="s">
        <v>684</v>
      </c>
      <c r="BP152" s="1628" t="s">
        <v>44</v>
      </c>
      <c r="BQ152" s="1818" t="s">
        <v>3809</v>
      </c>
      <c r="BR152" s="1631">
        <v>0.3</v>
      </c>
      <c r="BS152" s="1631">
        <v>0.3</v>
      </c>
      <c r="BT152" s="1631">
        <v>0.3</v>
      </c>
      <c r="BU152" s="1631">
        <v>0.3</v>
      </c>
      <c r="BV152" s="1631">
        <v>0.3</v>
      </c>
      <c r="BW152" s="1631">
        <v>0.3</v>
      </c>
      <c r="BX152" s="1631">
        <v>0.3</v>
      </c>
      <c r="BY152" s="1649">
        <v>0.3</v>
      </c>
      <c r="BZ152" s="1631">
        <v>0.3</v>
      </c>
      <c r="CA152" s="1631">
        <v>0.3</v>
      </c>
      <c r="CB152" s="1806"/>
      <c r="CC152" s="1664"/>
      <c r="CD152" s="1664"/>
      <c r="CE152" s="1557"/>
      <c r="CG152" s="1625" t="s">
        <v>55</v>
      </c>
      <c r="CH152" s="1628" t="s">
        <v>44</v>
      </c>
      <c r="CI152" s="1622" t="s">
        <v>1887</v>
      </c>
      <c r="CJ152" s="1636">
        <f t="shared" si="160"/>
        <v>0.3</v>
      </c>
      <c r="CK152" s="1636">
        <f t="shared" si="164"/>
        <v>0.3</v>
      </c>
      <c r="CL152" s="1636">
        <f t="shared" si="164"/>
        <v>0.3</v>
      </c>
      <c r="CM152" s="1636">
        <f t="shared" si="164"/>
        <v>0.3</v>
      </c>
      <c r="CN152" s="1636">
        <f t="shared" si="164"/>
        <v>0.3</v>
      </c>
      <c r="CO152" s="1636">
        <f t="shared" si="164"/>
        <v>0.3</v>
      </c>
      <c r="CP152" s="1636">
        <f t="shared" si="164"/>
        <v>0.3</v>
      </c>
      <c r="CQ152" s="1636">
        <f t="shared" si="164"/>
        <v>0.3</v>
      </c>
      <c r="CR152" s="1636">
        <f t="shared" si="164"/>
        <v>0.3</v>
      </c>
      <c r="CS152" s="1636">
        <f t="shared" si="164"/>
        <v>0.3</v>
      </c>
      <c r="CT152" s="1807">
        <f t="shared" si="157"/>
        <v>0</v>
      </c>
      <c r="CU152" s="1665">
        <f t="shared" si="158"/>
        <v>0</v>
      </c>
      <c r="CV152" s="1665">
        <f t="shared" si="159"/>
        <v>0</v>
      </c>
      <c r="CX152" s="1625" t="s">
        <v>55</v>
      </c>
      <c r="CY152" s="1628" t="s">
        <v>44</v>
      </c>
      <c r="CZ152" s="1622" t="s">
        <v>1887</v>
      </c>
      <c r="DA152" s="1638">
        <f>BR152</f>
        <v>0.3</v>
      </c>
      <c r="DB152" s="1638"/>
      <c r="DC152" s="1638"/>
      <c r="DD152" s="1638"/>
      <c r="DE152" s="1638"/>
      <c r="DF152" s="1638"/>
      <c r="DG152" s="1638"/>
      <c r="DH152" s="1638"/>
      <c r="DI152" s="1638"/>
      <c r="DJ152" s="1638"/>
      <c r="DK152" s="1808"/>
      <c r="DL152" s="1666"/>
      <c r="DM152" s="1666"/>
    </row>
    <row r="153" spans="2:117">
      <c r="B153" s="1584">
        <f t="shared" si="165"/>
        <v>2</v>
      </c>
      <c r="C153" s="1600" t="str">
        <f t="shared" si="116"/>
        <v>Reducing Use of Non-renewable Resources</v>
      </c>
      <c r="D153" s="1601">
        <f>IF(I$147=0,0,G153/I$147)</f>
        <v>0.6</v>
      </c>
      <c r="E153" s="1602">
        <f>IF(J$147=0,0,H153/J$147)</f>
        <v>0</v>
      </c>
      <c r="G153" s="1602">
        <f t="shared" si="161"/>
        <v>0.6</v>
      </c>
      <c r="H153" s="1602">
        <f t="shared" si="162"/>
        <v>0</v>
      </c>
      <c r="I153" s="1602">
        <f>G154+G155+G156+G157+G158+G159+G160+G167</f>
        <v>1</v>
      </c>
      <c r="J153" s="1602">
        <f>H154+H155+H156+H157+H158+H159+H160+H167</f>
        <v>0</v>
      </c>
      <c r="K153" s="1602">
        <f>IF(L153&gt;0,1,IF(Score!Z153=0,0,1))</f>
        <v>1</v>
      </c>
      <c r="L153" s="1602">
        <f>IF(Score!AB153=0,0,1)</f>
        <v>0</v>
      </c>
      <c r="M153" s="1602">
        <f t="shared" si="163"/>
        <v>0.6</v>
      </c>
      <c r="N153" s="1602">
        <f t="shared" si="101"/>
        <v>0</v>
      </c>
      <c r="P153" s="1604">
        <f t="shared" si="118"/>
        <v>2</v>
      </c>
      <c r="Q153" s="1604" t="str">
        <f t="shared" si="119"/>
        <v>LR2</v>
      </c>
      <c r="R153" s="1600" t="str">
        <f t="shared" si="120"/>
        <v>Reducing Use of Non-renewable Resources</v>
      </c>
      <c r="S153" s="1605">
        <f t="shared" si="102"/>
        <v>0.6</v>
      </c>
      <c r="T153" s="1605">
        <f t="shared" si="103"/>
        <v>0.6</v>
      </c>
      <c r="U153" s="1605">
        <f t="shared" si="104"/>
        <v>0.6</v>
      </c>
      <c r="V153" s="1605">
        <f t="shared" si="105"/>
        <v>0.6</v>
      </c>
      <c r="W153" s="1605">
        <f t="shared" si="106"/>
        <v>0.6</v>
      </c>
      <c r="X153" s="1605">
        <f t="shared" si="107"/>
        <v>0.6</v>
      </c>
      <c r="Y153" s="1605">
        <f t="shared" si="108"/>
        <v>0.6</v>
      </c>
      <c r="Z153" s="1728">
        <f t="shared" si="109"/>
        <v>0.6</v>
      </c>
      <c r="AA153" s="1605">
        <f t="shared" si="110"/>
        <v>0.6</v>
      </c>
      <c r="AB153" s="1605">
        <f t="shared" si="111"/>
        <v>0.6</v>
      </c>
      <c r="AC153" s="1797">
        <f t="shared" si="112"/>
        <v>0</v>
      </c>
      <c r="AD153" s="1798">
        <f t="shared" si="113"/>
        <v>0</v>
      </c>
      <c r="AE153" s="1798">
        <f t="shared" si="114"/>
        <v>0</v>
      </c>
      <c r="AG153" s="1604">
        <v>2</v>
      </c>
      <c r="AH153" s="1608" t="s">
        <v>361</v>
      </c>
      <c r="AI153" s="1600" t="s">
        <v>1888</v>
      </c>
      <c r="AJ153" s="1611">
        <v>0.6</v>
      </c>
      <c r="AK153" s="1611">
        <v>0.6</v>
      </c>
      <c r="AL153" s="1611">
        <v>0.6</v>
      </c>
      <c r="AM153" s="1611">
        <v>0.6</v>
      </c>
      <c r="AN153" s="1611">
        <v>0.6</v>
      </c>
      <c r="AO153" s="1611">
        <v>0.6</v>
      </c>
      <c r="AP153" s="1611">
        <v>0.6</v>
      </c>
      <c r="AQ153" s="1611">
        <v>0.6</v>
      </c>
      <c r="AR153" s="1611">
        <v>0.6</v>
      </c>
      <c r="AS153" s="1611">
        <v>0.6</v>
      </c>
      <c r="AT153" s="1799"/>
      <c r="AU153" s="1800"/>
      <c r="AV153" s="1800"/>
      <c r="AX153" s="1604">
        <v>2</v>
      </c>
      <c r="AY153" s="1608" t="s">
        <v>361</v>
      </c>
      <c r="AZ153" s="1600" t="s">
        <v>1888</v>
      </c>
      <c r="BA153" s="1611">
        <v>0.6</v>
      </c>
      <c r="BB153" s="1611">
        <v>0.6</v>
      </c>
      <c r="BC153" s="1611">
        <v>0.6</v>
      </c>
      <c r="BD153" s="1611">
        <v>0.6</v>
      </c>
      <c r="BE153" s="1611">
        <v>0.6</v>
      </c>
      <c r="BF153" s="1611">
        <v>0.6</v>
      </c>
      <c r="BG153" s="1611">
        <v>0.6</v>
      </c>
      <c r="BH153" s="1611">
        <v>0.6</v>
      </c>
      <c r="BI153" s="1611">
        <v>0.6</v>
      </c>
      <c r="BJ153" s="1611">
        <v>0.6</v>
      </c>
      <c r="BK153" s="1799"/>
      <c r="BL153" s="1800"/>
      <c r="BM153" s="1800"/>
      <c r="BO153" s="1604">
        <v>2</v>
      </c>
      <c r="BP153" s="1608" t="s">
        <v>361</v>
      </c>
      <c r="BQ153" s="1819" t="s">
        <v>3351</v>
      </c>
      <c r="BR153" s="1611">
        <v>0.6</v>
      </c>
      <c r="BS153" s="1611">
        <v>0.6</v>
      </c>
      <c r="BT153" s="1611">
        <v>0.6</v>
      </c>
      <c r="BU153" s="1611">
        <v>0.6</v>
      </c>
      <c r="BV153" s="1611">
        <v>0.6</v>
      </c>
      <c r="BW153" s="1611">
        <v>0.6</v>
      </c>
      <c r="BX153" s="1611">
        <v>0.6</v>
      </c>
      <c r="BY153" s="1611">
        <v>0.6</v>
      </c>
      <c r="BZ153" s="1611">
        <v>0.6</v>
      </c>
      <c r="CA153" s="1611">
        <v>0.6</v>
      </c>
      <c r="CB153" s="1799"/>
      <c r="CC153" s="1800"/>
      <c r="CD153" s="1800"/>
      <c r="CE153" s="1794"/>
      <c r="CG153" s="1604">
        <v>2</v>
      </c>
      <c r="CH153" s="1608" t="s">
        <v>361</v>
      </c>
      <c r="CI153" s="1600" t="s">
        <v>1888</v>
      </c>
      <c r="CJ153" s="1619">
        <v>0.85</v>
      </c>
      <c r="CK153" s="1619">
        <v>0.85</v>
      </c>
      <c r="CL153" s="1619">
        <v>0.85</v>
      </c>
      <c r="CM153" s="1619">
        <v>0.85</v>
      </c>
      <c r="CN153" s="1619">
        <v>0.85</v>
      </c>
      <c r="CO153" s="1619">
        <v>0.85</v>
      </c>
      <c r="CP153" s="1619">
        <v>0.85</v>
      </c>
      <c r="CQ153" s="1619">
        <v>0.85</v>
      </c>
      <c r="CR153" s="1619">
        <v>0.85</v>
      </c>
      <c r="CS153" s="1619">
        <v>0.85</v>
      </c>
      <c r="CT153" s="1801">
        <f t="shared" si="157"/>
        <v>0</v>
      </c>
      <c r="CU153" s="1802">
        <f t="shared" si="158"/>
        <v>0</v>
      </c>
      <c r="CV153" s="1802">
        <f t="shared" si="159"/>
        <v>0</v>
      </c>
      <c r="CX153" s="1604">
        <v>2</v>
      </c>
      <c r="CY153" s="1608" t="s">
        <v>361</v>
      </c>
      <c r="CZ153" s="1600" t="s">
        <v>1888</v>
      </c>
      <c r="DA153" s="1731">
        <v>0.5</v>
      </c>
      <c r="DB153" s="1619"/>
      <c r="DC153" s="1619"/>
      <c r="DD153" s="1619"/>
      <c r="DE153" s="1619"/>
      <c r="DF153" s="1619"/>
      <c r="DG153" s="1619"/>
      <c r="DH153" s="1619"/>
      <c r="DI153" s="1619"/>
      <c r="DJ153" s="1619"/>
      <c r="DK153" s="1803"/>
      <c r="DL153" s="1804"/>
      <c r="DM153" s="1804"/>
    </row>
    <row r="154" spans="2:117">
      <c r="B154" s="1584" t="str">
        <f t="shared" si="165"/>
        <v>2.1</v>
      </c>
      <c r="C154" s="1622" t="str">
        <f t="shared" si="116"/>
        <v>Reducing Use of Materials</v>
      </c>
      <c r="D154" s="1623">
        <f>IF(I$153=0,0,G154/I$153)</f>
        <v>0.1</v>
      </c>
      <c r="E154" s="1624">
        <f t="shared" ref="D154:E158" si="166">IF(J$153=0,0,H154/J$153)</f>
        <v>0</v>
      </c>
      <c r="G154" s="1624">
        <f t="shared" si="161"/>
        <v>0.1</v>
      </c>
      <c r="H154" s="1624">
        <f>L154*N154</f>
        <v>0</v>
      </c>
      <c r="I154" s="1624"/>
      <c r="J154" s="1624"/>
      <c r="K154" s="1624">
        <f>IF(Score!W154=0,0,1)</f>
        <v>1</v>
      </c>
      <c r="L154" s="1624">
        <f>IF(Score!X154=0,0,1)</f>
        <v>0</v>
      </c>
      <c r="M154" s="1624">
        <f t="shared" si="163"/>
        <v>0.1</v>
      </c>
      <c r="N154" s="1624">
        <f t="shared" si="101"/>
        <v>0</v>
      </c>
      <c r="P154" s="1625" t="str">
        <f t="shared" si="118"/>
        <v>2.1</v>
      </c>
      <c r="Q154" s="1625" t="str">
        <f t="shared" si="119"/>
        <v>LR2 2</v>
      </c>
      <c r="R154" s="1622" t="str">
        <f t="shared" si="120"/>
        <v>Reducing Use of Materials</v>
      </c>
      <c r="S154" s="1626">
        <f t="shared" si="102"/>
        <v>0.1</v>
      </c>
      <c r="T154" s="1626">
        <f t="shared" si="103"/>
        <v>0.1</v>
      </c>
      <c r="U154" s="1626">
        <f t="shared" si="104"/>
        <v>0.1</v>
      </c>
      <c r="V154" s="1626">
        <f t="shared" si="105"/>
        <v>0.1</v>
      </c>
      <c r="W154" s="1626">
        <f t="shared" si="106"/>
        <v>0.1</v>
      </c>
      <c r="X154" s="1626">
        <f t="shared" si="107"/>
        <v>0.1</v>
      </c>
      <c r="Y154" s="1626">
        <f t="shared" si="108"/>
        <v>0.1</v>
      </c>
      <c r="Z154" s="1645">
        <f t="shared" si="109"/>
        <v>0.1</v>
      </c>
      <c r="AA154" s="1626">
        <f t="shared" si="110"/>
        <v>0.1</v>
      </c>
      <c r="AB154" s="1626">
        <f t="shared" si="111"/>
        <v>0.1</v>
      </c>
      <c r="AC154" s="1805">
        <f t="shared" si="112"/>
        <v>0</v>
      </c>
      <c r="AD154" s="1662">
        <f t="shared" si="113"/>
        <v>0</v>
      </c>
      <c r="AE154" s="1662">
        <f t="shared" si="114"/>
        <v>0</v>
      </c>
      <c r="AG154" s="1625" t="s">
        <v>685</v>
      </c>
      <c r="AH154" s="1608" t="s">
        <v>46</v>
      </c>
      <c r="AI154" s="1622" t="s">
        <v>1889</v>
      </c>
      <c r="AJ154" s="1747">
        <v>0.1</v>
      </c>
      <c r="AK154" s="1747">
        <v>0.1</v>
      </c>
      <c r="AL154" s="1747">
        <v>0.1</v>
      </c>
      <c r="AM154" s="1747">
        <v>0.1</v>
      </c>
      <c r="AN154" s="1747">
        <v>0.1</v>
      </c>
      <c r="AO154" s="1747">
        <v>0.1</v>
      </c>
      <c r="AP154" s="1747">
        <v>0.1</v>
      </c>
      <c r="AQ154" s="1747">
        <v>0.1</v>
      </c>
      <c r="AR154" s="1747">
        <v>0.1</v>
      </c>
      <c r="AS154" s="1747">
        <v>0.1</v>
      </c>
      <c r="AT154" s="1809"/>
      <c r="AU154" s="1800"/>
      <c r="AV154" s="1800"/>
      <c r="AX154" s="1625" t="s">
        <v>686</v>
      </c>
      <c r="AY154" s="1608" t="s">
        <v>46</v>
      </c>
      <c r="AZ154" s="1622" t="s">
        <v>1889</v>
      </c>
      <c r="BA154" s="1747">
        <v>0.1</v>
      </c>
      <c r="BB154" s="1747">
        <v>0.1</v>
      </c>
      <c r="BC154" s="1747">
        <v>0.1</v>
      </c>
      <c r="BD154" s="1747">
        <v>0.1</v>
      </c>
      <c r="BE154" s="1747">
        <v>0.1</v>
      </c>
      <c r="BF154" s="1747">
        <v>0.1</v>
      </c>
      <c r="BG154" s="1747">
        <v>0.1</v>
      </c>
      <c r="BH154" s="1747">
        <v>0.1</v>
      </c>
      <c r="BI154" s="1747">
        <v>0.1</v>
      </c>
      <c r="BJ154" s="1747">
        <v>0.1</v>
      </c>
      <c r="BK154" s="1809"/>
      <c r="BL154" s="1800"/>
      <c r="BM154" s="1800"/>
      <c r="BO154" s="1625" t="s">
        <v>686</v>
      </c>
      <c r="BP154" s="1628" t="s">
        <v>46</v>
      </c>
      <c r="BQ154" s="1818" t="s">
        <v>3354</v>
      </c>
      <c r="BR154" s="1747">
        <v>0.1</v>
      </c>
      <c r="BS154" s="1747">
        <v>0.1</v>
      </c>
      <c r="BT154" s="1747">
        <v>0.1</v>
      </c>
      <c r="BU154" s="1747">
        <v>0.1</v>
      </c>
      <c r="BV154" s="1747">
        <v>0.1</v>
      </c>
      <c r="BW154" s="1747">
        <v>0.1</v>
      </c>
      <c r="BX154" s="1747">
        <v>0.1</v>
      </c>
      <c r="BY154" s="1747">
        <v>0.1</v>
      </c>
      <c r="BZ154" s="1747">
        <v>0.1</v>
      </c>
      <c r="CA154" s="1747">
        <v>0.1</v>
      </c>
      <c r="CB154" s="1799"/>
      <c r="CC154" s="1800"/>
      <c r="CD154" s="1800"/>
      <c r="CE154" s="1794"/>
      <c r="CG154" s="1625" t="s">
        <v>336</v>
      </c>
      <c r="CH154" s="1608" t="s">
        <v>46</v>
      </c>
      <c r="CI154" s="1622" t="s">
        <v>1889</v>
      </c>
      <c r="CJ154" s="1753">
        <v>0</v>
      </c>
      <c r="CK154" s="1753">
        <v>0</v>
      </c>
      <c r="CL154" s="1753">
        <v>0</v>
      </c>
      <c r="CM154" s="1753">
        <v>0</v>
      </c>
      <c r="CN154" s="1753">
        <v>0</v>
      </c>
      <c r="CO154" s="1753">
        <v>0</v>
      </c>
      <c r="CP154" s="1753">
        <v>0</v>
      </c>
      <c r="CQ154" s="1753">
        <v>0</v>
      </c>
      <c r="CR154" s="1753">
        <v>0</v>
      </c>
      <c r="CS154" s="1753">
        <v>0</v>
      </c>
      <c r="CT154" s="1801">
        <f t="shared" si="157"/>
        <v>0</v>
      </c>
      <c r="CU154" s="1802">
        <f t="shared" si="158"/>
        <v>0</v>
      </c>
      <c r="CV154" s="1802">
        <f t="shared" si="159"/>
        <v>0</v>
      </c>
      <c r="CX154" s="1625" t="s">
        <v>336</v>
      </c>
      <c r="CY154" s="1608" t="s">
        <v>46</v>
      </c>
      <c r="CZ154" s="1622" t="s">
        <v>1889</v>
      </c>
      <c r="DA154" s="1752">
        <v>0</v>
      </c>
      <c r="DB154" s="1753"/>
      <c r="DC154" s="1753"/>
      <c r="DD154" s="1753"/>
      <c r="DE154" s="1753"/>
      <c r="DF154" s="1753"/>
      <c r="DG154" s="1753"/>
      <c r="DH154" s="1753"/>
      <c r="DI154" s="1753"/>
      <c r="DJ154" s="1753"/>
      <c r="DK154" s="1803"/>
      <c r="DL154" s="1804"/>
      <c r="DM154" s="1804"/>
    </row>
    <row r="155" spans="2:117">
      <c r="B155" s="1584" t="str">
        <f t="shared" si="165"/>
        <v>2.2</v>
      </c>
      <c r="C155" s="1622" t="str">
        <f t="shared" si="116"/>
        <v>Continuing Use of Existing Structural Frame, etc.</v>
      </c>
      <c r="D155" s="1623">
        <f t="shared" si="166"/>
        <v>0.2</v>
      </c>
      <c r="E155" s="1624">
        <f t="shared" si="166"/>
        <v>0</v>
      </c>
      <c r="G155" s="1624">
        <f t="shared" si="161"/>
        <v>0.2</v>
      </c>
      <c r="H155" s="1624">
        <f t="shared" si="162"/>
        <v>0</v>
      </c>
      <c r="I155" s="1624"/>
      <c r="J155" s="1624"/>
      <c r="K155" s="1624">
        <f>IF(Score!W155=0,0,1)</f>
        <v>1</v>
      </c>
      <c r="L155" s="1624">
        <f>IF(Score!X155=0,0,1)</f>
        <v>0</v>
      </c>
      <c r="M155" s="1624">
        <f t="shared" si="163"/>
        <v>0.2</v>
      </c>
      <c r="N155" s="1624">
        <f t="shared" si="101"/>
        <v>0</v>
      </c>
      <c r="P155" s="1625" t="str">
        <f t="shared" si="118"/>
        <v>2.2</v>
      </c>
      <c r="Q155" s="1625" t="str">
        <f t="shared" si="119"/>
        <v>LR2 2</v>
      </c>
      <c r="R155" s="1622" t="str">
        <f t="shared" si="120"/>
        <v>Continuing Use of Existing Structural Frame, etc.</v>
      </c>
      <c r="S155" s="1626">
        <f t="shared" si="102"/>
        <v>0.2</v>
      </c>
      <c r="T155" s="1626">
        <f t="shared" si="103"/>
        <v>0.2</v>
      </c>
      <c r="U155" s="1626">
        <f t="shared" si="104"/>
        <v>0.2</v>
      </c>
      <c r="V155" s="1626">
        <f t="shared" si="105"/>
        <v>0.2</v>
      </c>
      <c r="W155" s="1626">
        <f t="shared" si="106"/>
        <v>0.2</v>
      </c>
      <c r="X155" s="1626">
        <f t="shared" si="107"/>
        <v>0.2</v>
      </c>
      <c r="Y155" s="1626">
        <f t="shared" si="108"/>
        <v>0.2</v>
      </c>
      <c r="Z155" s="1645">
        <f t="shared" si="109"/>
        <v>0.2</v>
      </c>
      <c r="AA155" s="1626">
        <f t="shared" si="110"/>
        <v>0.2</v>
      </c>
      <c r="AB155" s="1626">
        <f t="shared" si="111"/>
        <v>0.2</v>
      </c>
      <c r="AC155" s="1805">
        <f t="shared" si="112"/>
        <v>0</v>
      </c>
      <c r="AD155" s="1662">
        <f t="shared" si="113"/>
        <v>0</v>
      </c>
      <c r="AE155" s="1662">
        <f t="shared" si="114"/>
        <v>0</v>
      </c>
      <c r="AG155" s="1625" t="s">
        <v>687</v>
      </c>
      <c r="AH155" s="1628" t="s">
        <v>46</v>
      </c>
      <c r="AI155" s="1622" t="s">
        <v>1890</v>
      </c>
      <c r="AJ155" s="1631">
        <v>0.2</v>
      </c>
      <c r="AK155" s="1631">
        <v>0.2</v>
      </c>
      <c r="AL155" s="1631">
        <v>0.2</v>
      </c>
      <c r="AM155" s="1631">
        <v>0.2</v>
      </c>
      <c r="AN155" s="1631">
        <v>0.2</v>
      </c>
      <c r="AO155" s="1631">
        <v>0.2</v>
      </c>
      <c r="AP155" s="1631">
        <v>0.2</v>
      </c>
      <c r="AQ155" s="1631">
        <v>0.2</v>
      </c>
      <c r="AR155" s="1631">
        <v>0.2</v>
      </c>
      <c r="AS155" s="1631">
        <v>0.2</v>
      </c>
      <c r="AT155" s="1806"/>
      <c r="AU155" s="1664"/>
      <c r="AV155" s="1664"/>
      <c r="AX155" s="1625" t="s">
        <v>688</v>
      </c>
      <c r="AY155" s="1628" t="s">
        <v>46</v>
      </c>
      <c r="AZ155" s="1622" t="s">
        <v>1890</v>
      </c>
      <c r="BA155" s="1631">
        <v>0.2</v>
      </c>
      <c r="BB155" s="1631">
        <v>0.2</v>
      </c>
      <c r="BC155" s="1631">
        <v>0.2</v>
      </c>
      <c r="BD155" s="1631">
        <v>0.2</v>
      </c>
      <c r="BE155" s="1631">
        <v>0.2</v>
      </c>
      <c r="BF155" s="1631">
        <v>0.2</v>
      </c>
      <c r="BG155" s="1631">
        <v>0.2</v>
      </c>
      <c r="BH155" s="1631">
        <v>0.2</v>
      </c>
      <c r="BI155" s="1631">
        <v>0.2</v>
      </c>
      <c r="BJ155" s="1631">
        <v>0.2</v>
      </c>
      <c r="BK155" s="1806"/>
      <c r="BL155" s="1664"/>
      <c r="BM155" s="1664"/>
      <c r="BO155" s="1625" t="s">
        <v>688</v>
      </c>
      <c r="BP155" s="1628" t="s">
        <v>46</v>
      </c>
      <c r="BQ155" s="1818" t="s">
        <v>3357</v>
      </c>
      <c r="BR155" s="1631">
        <v>0.2</v>
      </c>
      <c r="BS155" s="1631">
        <v>0.2</v>
      </c>
      <c r="BT155" s="1631">
        <v>0.2</v>
      </c>
      <c r="BU155" s="1631">
        <v>0.2</v>
      </c>
      <c r="BV155" s="1631">
        <v>0.2</v>
      </c>
      <c r="BW155" s="1631">
        <v>0.2</v>
      </c>
      <c r="BX155" s="1631">
        <v>0.2</v>
      </c>
      <c r="BY155" s="1631">
        <v>0.2</v>
      </c>
      <c r="BZ155" s="1631">
        <v>0.2</v>
      </c>
      <c r="CA155" s="1631">
        <v>0.2</v>
      </c>
      <c r="CB155" s="1806"/>
      <c r="CC155" s="1664"/>
      <c r="CD155" s="1664"/>
      <c r="CE155" s="1557"/>
      <c r="CG155" s="1625" t="s">
        <v>337</v>
      </c>
      <c r="CH155" s="1628" t="s">
        <v>46</v>
      </c>
      <c r="CI155" s="1622" t="s">
        <v>1890</v>
      </c>
      <c r="CJ155" s="1638">
        <v>0</v>
      </c>
      <c r="CK155" s="1638">
        <v>0</v>
      </c>
      <c r="CL155" s="1638">
        <v>0</v>
      </c>
      <c r="CM155" s="1638">
        <v>0</v>
      </c>
      <c r="CN155" s="1638">
        <v>0</v>
      </c>
      <c r="CO155" s="1638">
        <v>0</v>
      </c>
      <c r="CP155" s="1638">
        <v>0</v>
      </c>
      <c r="CQ155" s="1638">
        <v>0</v>
      </c>
      <c r="CR155" s="1638">
        <v>0</v>
      </c>
      <c r="CS155" s="1638">
        <v>0</v>
      </c>
      <c r="CT155" s="1807">
        <f t="shared" si="157"/>
        <v>0</v>
      </c>
      <c r="CU155" s="1665">
        <f t="shared" si="158"/>
        <v>0</v>
      </c>
      <c r="CV155" s="1665">
        <f t="shared" si="159"/>
        <v>0</v>
      </c>
      <c r="CX155" s="1625" t="s">
        <v>337</v>
      </c>
      <c r="CY155" s="1628" t="s">
        <v>46</v>
      </c>
      <c r="CZ155" s="1622" t="s">
        <v>1890</v>
      </c>
      <c r="DA155" s="1752">
        <v>0</v>
      </c>
      <c r="DB155" s="1638"/>
      <c r="DC155" s="1638"/>
      <c r="DD155" s="1638"/>
      <c r="DE155" s="1638"/>
      <c r="DF155" s="1638"/>
      <c r="DG155" s="1638"/>
      <c r="DH155" s="1638"/>
      <c r="DI155" s="1638"/>
      <c r="DJ155" s="1638"/>
      <c r="DK155" s="1808"/>
      <c r="DL155" s="1666"/>
      <c r="DM155" s="1666"/>
    </row>
    <row r="156" spans="2:117">
      <c r="B156" s="1584" t="str">
        <f t="shared" si="165"/>
        <v>2.3</v>
      </c>
      <c r="C156" s="1622" t="str">
        <f t="shared" si="116"/>
        <v>Use of Recycled Materials as Structural Materials</v>
      </c>
      <c r="D156" s="1623">
        <f t="shared" si="166"/>
        <v>0.2</v>
      </c>
      <c r="E156" s="1624">
        <f t="shared" si="166"/>
        <v>0</v>
      </c>
      <c r="G156" s="1624">
        <f t="shared" si="161"/>
        <v>0.2</v>
      </c>
      <c r="H156" s="1624">
        <f t="shared" si="162"/>
        <v>0</v>
      </c>
      <c r="I156" s="1624"/>
      <c r="J156" s="1624"/>
      <c r="K156" s="1624">
        <f>IF(Score!W156=0,0,1)</f>
        <v>1</v>
      </c>
      <c r="L156" s="1624">
        <f>IF(Score!X156=0,0,1)</f>
        <v>0</v>
      </c>
      <c r="M156" s="1624">
        <f t="shared" si="163"/>
        <v>0.2</v>
      </c>
      <c r="N156" s="1624">
        <f t="shared" si="101"/>
        <v>0</v>
      </c>
      <c r="P156" s="1625" t="str">
        <f t="shared" si="118"/>
        <v>2.3</v>
      </c>
      <c r="Q156" s="1625" t="str">
        <f t="shared" si="119"/>
        <v>LR2 2</v>
      </c>
      <c r="R156" s="1622" t="str">
        <f t="shared" si="120"/>
        <v>Use of Recycled Materials as Structural Materials</v>
      </c>
      <c r="S156" s="1626">
        <f t="shared" si="102"/>
        <v>0.2</v>
      </c>
      <c r="T156" s="1626">
        <f t="shared" si="103"/>
        <v>0.2</v>
      </c>
      <c r="U156" s="1626">
        <f t="shared" si="104"/>
        <v>0.2</v>
      </c>
      <c r="V156" s="1626">
        <f t="shared" si="105"/>
        <v>0.2</v>
      </c>
      <c r="W156" s="1626">
        <f t="shared" si="106"/>
        <v>0.2</v>
      </c>
      <c r="X156" s="1626">
        <f t="shared" si="107"/>
        <v>0.2</v>
      </c>
      <c r="Y156" s="1626">
        <f t="shared" si="108"/>
        <v>0.2</v>
      </c>
      <c r="Z156" s="1645">
        <f t="shared" si="109"/>
        <v>0.2</v>
      </c>
      <c r="AA156" s="1626">
        <f t="shared" si="110"/>
        <v>0.2</v>
      </c>
      <c r="AB156" s="1626">
        <f t="shared" si="111"/>
        <v>0.2</v>
      </c>
      <c r="AC156" s="1805">
        <f t="shared" si="112"/>
        <v>0</v>
      </c>
      <c r="AD156" s="1662">
        <f t="shared" si="113"/>
        <v>0</v>
      </c>
      <c r="AE156" s="1662">
        <f t="shared" si="114"/>
        <v>0</v>
      </c>
      <c r="AG156" s="1625" t="s">
        <v>689</v>
      </c>
      <c r="AH156" s="1628" t="s">
        <v>46</v>
      </c>
      <c r="AI156" s="1622" t="s">
        <v>1891</v>
      </c>
      <c r="AJ156" s="1631">
        <v>0.2</v>
      </c>
      <c r="AK156" s="1631">
        <v>0.2</v>
      </c>
      <c r="AL156" s="1631">
        <v>0.2</v>
      </c>
      <c r="AM156" s="1631">
        <v>0.2</v>
      </c>
      <c r="AN156" s="1631">
        <v>0.2</v>
      </c>
      <c r="AO156" s="1631">
        <v>0.2</v>
      </c>
      <c r="AP156" s="1631">
        <v>0.2</v>
      </c>
      <c r="AQ156" s="1631">
        <v>0.2</v>
      </c>
      <c r="AR156" s="1631">
        <v>0.2</v>
      </c>
      <c r="AS156" s="1631">
        <v>0.2</v>
      </c>
      <c r="AT156" s="1806"/>
      <c r="AU156" s="1664"/>
      <c r="AV156" s="1664"/>
      <c r="AX156" s="1625" t="s">
        <v>690</v>
      </c>
      <c r="AY156" s="1628" t="s">
        <v>46</v>
      </c>
      <c r="AZ156" s="1622" t="s">
        <v>1891</v>
      </c>
      <c r="BA156" s="1631">
        <v>0.2</v>
      </c>
      <c r="BB156" s="1631">
        <v>0.2</v>
      </c>
      <c r="BC156" s="1631">
        <v>0.2</v>
      </c>
      <c r="BD156" s="1631">
        <v>0.2</v>
      </c>
      <c r="BE156" s="1631">
        <v>0.2</v>
      </c>
      <c r="BF156" s="1631">
        <v>0.2</v>
      </c>
      <c r="BG156" s="1631">
        <v>0.2</v>
      </c>
      <c r="BH156" s="1631">
        <v>0.2</v>
      </c>
      <c r="BI156" s="1631">
        <v>0.2</v>
      </c>
      <c r="BJ156" s="1631">
        <v>0.2</v>
      </c>
      <c r="BK156" s="1806"/>
      <c r="BL156" s="1664"/>
      <c r="BM156" s="1664"/>
      <c r="BO156" s="1625" t="s">
        <v>690</v>
      </c>
      <c r="BP156" s="1628" t="s">
        <v>46</v>
      </c>
      <c r="BQ156" s="1818" t="s">
        <v>3359</v>
      </c>
      <c r="BR156" s="1631">
        <v>0.2</v>
      </c>
      <c r="BS156" s="1631">
        <v>0.2</v>
      </c>
      <c r="BT156" s="1631">
        <v>0.2</v>
      </c>
      <c r="BU156" s="1631">
        <v>0.2</v>
      </c>
      <c r="BV156" s="1631">
        <v>0.2</v>
      </c>
      <c r="BW156" s="1631">
        <v>0.2</v>
      </c>
      <c r="BX156" s="1631">
        <v>0.2</v>
      </c>
      <c r="BY156" s="1631">
        <v>0.2</v>
      </c>
      <c r="BZ156" s="1631">
        <v>0.2</v>
      </c>
      <c r="CA156" s="1631">
        <v>0.2</v>
      </c>
      <c r="CB156" s="1806"/>
      <c r="CC156" s="1664"/>
      <c r="CD156" s="1664"/>
      <c r="CE156" s="1557"/>
      <c r="CG156" s="1625" t="s">
        <v>382</v>
      </c>
      <c r="CH156" s="1628" t="s">
        <v>46</v>
      </c>
      <c r="CI156" s="1622" t="s">
        <v>1891</v>
      </c>
      <c r="CJ156" s="1638">
        <v>7.0000000000000007E-2</v>
      </c>
      <c r="CK156" s="1638">
        <v>7.0000000000000007E-2</v>
      </c>
      <c r="CL156" s="1638">
        <v>7.0000000000000007E-2</v>
      </c>
      <c r="CM156" s="1638">
        <v>7.0000000000000007E-2</v>
      </c>
      <c r="CN156" s="1638">
        <v>7.0000000000000007E-2</v>
      </c>
      <c r="CO156" s="1638">
        <v>7.0000000000000007E-2</v>
      </c>
      <c r="CP156" s="1638">
        <v>7.0000000000000007E-2</v>
      </c>
      <c r="CQ156" s="1638">
        <v>7.0000000000000007E-2</v>
      </c>
      <c r="CR156" s="1638">
        <v>7.0000000000000007E-2</v>
      </c>
      <c r="CS156" s="1638">
        <v>7.0000000000000007E-2</v>
      </c>
      <c r="CT156" s="1807">
        <f t="shared" si="157"/>
        <v>0</v>
      </c>
      <c r="CU156" s="1665">
        <f t="shared" si="158"/>
        <v>0</v>
      </c>
      <c r="CV156" s="1665">
        <f t="shared" si="159"/>
        <v>0</v>
      </c>
      <c r="CX156" s="1625" t="s">
        <v>382</v>
      </c>
      <c r="CY156" s="1628" t="s">
        <v>46</v>
      </c>
      <c r="CZ156" s="1622" t="s">
        <v>1891</v>
      </c>
      <c r="DA156" s="1752">
        <v>0</v>
      </c>
      <c r="DB156" s="1638"/>
      <c r="DC156" s="1638"/>
      <c r="DD156" s="1638"/>
      <c r="DE156" s="1638"/>
      <c r="DF156" s="1638"/>
      <c r="DG156" s="1638"/>
      <c r="DH156" s="1638"/>
      <c r="DI156" s="1638"/>
      <c r="DJ156" s="1638"/>
      <c r="DK156" s="1808"/>
      <c r="DL156" s="1666"/>
      <c r="DM156" s="1666"/>
    </row>
    <row r="157" spans="2:117">
      <c r="B157" s="1584" t="str">
        <f t="shared" si="165"/>
        <v>2.4</v>
      </c>
      <c r="C157" s="1622" t="str">
        <f t="shared" si="116"/>
        <v>Use of Recycled Materials as Non-structural Materials</v>
      </c>
      <c r="D157" s="1623">
        <f t="shared" si="166"/>
        <v>0.2</v>
      </c>
      <c r="E157" s="1624">
        <f t="shared" si="166"/>
        <v>0</v>
      </c>
      <c r="G157" s="1624">
        <f t="shared" si="161"/>
        <v>0.2</v>
      </c>
      <c r="H157" s="1624">
        <f t="shared" si="162"/>
        <v>0</v>
      </c>
      <c r="I157" s="1624"/>
      <c r="J157" s="1624"/>
      <c r="K157" s="1624">
        <f>IF(Score!W157=0,0,1)</f>
        <v>1</v>
      </c>
      <c r="L157" s="1624">
        <f>IF(Score!X157=0,0,1)</f>
        <v>0</v>
      </c>
      <c r="M157" s="1624">
        <f t="shared" si="163"/>
        <v>0.2</v>
      </c>
      <c r="N157" s="1624">
        <f t="shared" si="101"/>
        <v>0</v>
      </c>
      <c r="P157" s="1625" t="str">
        <f t="shared" si="118"/>
        <v>2.4</v>
      </c>
      <c r="Q157" s="1625" t="str">
        <f t="shared" si="119"/>
        <v>LR2 2</v>
      </c>
      <c r="R157" s="1622" t="str">
        <f t="shared" si="120"/>
        <v>Use of Recycled Materials as Non-structural Materials</v>
      </c>
      <c r="S157" s="1626">
        <f t="shared" si="102"/>
        <v>0.2</v>
      </c>
      <c r="T157" s="1626">
        <f t="shared" si="103"/>
        <v>0.2</v>
      </c>
      <c r="U157" s="1626">
        <f t="shared" si="104"/>
        <v>0.2</v>
      </c>
      <c r="V157" s="1626">
        <f t="shared" si="105"/>
        <v>0.2</v>
      </c>
      <c r="W157" s="1626">
        <f t="shared" si="106"/>
        <v>0.2</v>
      </c>
      <c r="X157" s="1626">
        <f t="shared" si="107"/>
        <v>0.2</v>
      </c>
      <c r="Y157" s="1626">
        <f t="shared" si="108"/>
        <v>0.2</v>
      </c>
      <c r="Z157" s="1645">
        <f t="shared" si="109"/>
        <v>0.2</v>
      </c>
      <c r="AA157" s="1626">
        <f t="shared" si="110"/>
        <v>0.2</v>
      </c>
      <c r="AB157" s="1626">
        <f t="shared" si="111"/>
        <v>0.2</v>
      </c>
      <c r="AC157" s="1805">
        <f t="shared" si="112"/>
        <v>0</v>
      </c>
      <c r="AD157" s="1662">
        <f t="shared" si="113"/>
        <v>0</v>
      </c>
      <c r="AE157" s="1662">
        <f t="shared" si="114"/>
        <v>0</v>
      </c>
      <c r="AG157" s="1625" t="s">
        <v>691</v>
      </c>
      <c r="AH157" s="1628" t="s">
        <v>46</v>
      </c>
      <c r="AI157" s="1622" t="s">
        <v>1892</v>
      </c>
      <c r="AJ157" s="1631">
        <v>0.2</v>
      </c>
      <c r="AK157" s="1631">
        <v>0.2</v>
      </c>
      <c r="AL157" s="1631">
        <v>0.2</v>
      </c>
      <c r="AM157" s="1631">
        <v>0.2</v>
      </c>
      <c r="AN157" s="1631">
        <v>0.2</v>
      </c>
      <c r="AO157" s="1631">
        <v>0.2</v>
      </c>
      <c r="AP157" s="1631">
        <v>0.2</v>
      </c>
      <c r="AQ157" s="1631">
        <v>0.2</v>
      </c>
      <c r="AR157" s="1631">
        <v>0.2</v>
      </c>
      <c r="AS157" s="1631">
        <v>0.2</v>
      </c>
      <c r="AT157" s="1806"/>
      <c r="AU157" s="1664"/>
      <c r="AV157" s="1664"/>
      <c r="AX157" s="1625" t="s">
        <v>692</v>
      </c>
      <c r="AY157" s="1628" t="s">
        <v>46</v>
      </c>
      <c r="AZ157" s="1622" t="s">
        <v>1892</v>
      </c>
      <c r="BA157" s="1631">
        <v>0.2</v>
      </c>
      <c r="BB157" s="1631">
        <v>0.2</v>
      </c>
      <c r="BC157" s="1631">
        <v>0.2</v>
      </c>
      <c r="BD157" s="1631">
        <v>0.2</v>
      </c>
      <c r="BE157" s="1631">
        <v>0.2</v>
      </c>
      <c r="BF157" s="1631">
        <v>0.2</v>
      </c>
      <c r="BG157" s="1631">
        <v>0.2</v>
      </c>
      <c r="BH157" s="1631">
        <v>0.2</v>
      </c>
      <c r="BI157" s="1631">
        <v>0.2</v>
      </c>
      <c r="BJ157" s="1631">
        <v>0.2</v>
      </c>
      <c r="BK157" s="1806"/>
      <c r="BL157" s="1664"/>
      <c r="BM157" s="1664"/>
      <c r="BO157" s="1625" t="s">
        <v>692</v>
      </c>
      <c r="BP157" s="1628" t="s">
        <v>46</v>
      </c>
      <c r="BQ157" s="1622" t="s">
        <v>1641</v>
      </c>
      <c r="BR157" s="1631">
        <v>0.2</v>
      </c>
      <c r="BS157" s="1631">
        <v>0.2</v>
      </c>
      <c r="BT157" s="1631">
        <v>0.2</v>
      </c>
      <c r="BU157" s="1631">
        <v>0.2</v>
      </c>
      <c r="BV157" s="1631">
        <v>0.2</v>
      </c>
      <c r="BW157" s="1631">
        <v>0.2</v>
      </c>
      <c r="BX157" s="1631">
        <v>0.2</v>
      </c>
      <c r="BY157" s="1631">
        <v>0.2</v>
      </c>
      <c r="BZ157" s="1631">
        <v>0.2</v>
      </c>
      <c r="CA157" s="1631">
        <v>0.2</v>
      </c>
      <c r="CB157" s="1806"/>
      <c r="CC157" s="1664"/>
      <c r="CD157" s="1664"/>
      <c r="CE157" s="1557"/>
      <c r="CG157" s="1625" t="s">
        <v>691</v>
      </c>
      <c r="CH157" s="1628" t="s">
        <v>46</v>
      </c>
      <c r="CI157" s="1622" t="s">
        <v>1892</v>
      </c>
      <c r="CJ157" s="1638">
        <v>0.04</v>
      </c>
      <c r="CK157" s="1638">
        <v>0.04</v>
      </c>
      <c r="CL157" s="1638">
        <v>0.04</v>
      </c>
      <c r="CM157" s="1638">
        <v>0.04</v>
      </c>
      <c r="CN157" s="1638">
        <v>0.04</v>
      </c>
      <c r="CO157" s="1638">
        <v>0.04</v>
      </c>
      <c r="CP157" s="1638">
        <v>0.04</v>
      </c>
      <c r="CQ157" s="1638">
        <v>0.04</v>
      </c>
      <c r="CR157" s="1638">
        <v>0.04</v>
      </c>
      <c r="CS157" s="1638">
        <v>0.04</v>
      </c>
      <c r="CT157" s="1807">
        <f t="shared" si="157"/>
        <v>0</v>
      </c>
      <c r="CU157" s="1665">
        <f t="shared" si="158"/>
        <v>0</v>
      </c>
      <c r="CV157" s="1665">
        <f t="shared" si="159"/>
        <v>0</v>
      </c>
      <c r="CX157" s="1625" t="s">
        <v>691</v>
      </c>
      <c r="CY157" s="1628" t="s">
        <v>46</v>
      </c>
      <c r="CZ157" s="1622" t="s">
        <v>1892</v>
      </c>
      <c r="DA157" s="1638">
        <f>BR157</f>
        <v>0.2</v>
      </c>
      <c r="DB157" s="1638"/>
      <c r="DC157" s="1638"/>
      <c r="DD157" s="1638"/>
      <c r="DE157" s="1638"/>
      <c r="DF157" s="1638"/>
      <c r="DG157" s="1638"/>
      <c r="DH157" s="1638"/>
      <c r="DI157" s="1638"/>
      <c r="DJ157" s="1638"/>
      <c r="DK157" s="1808"/>
      <c r="DL157" s="1666"/>
      <c r="DM157" s="1666"/>
    </row>
    <row r="158" spans="2:117">
      <c r="B158" s="1584" t="str">
        <f t="shared" si="165"/>
        <v>2.5</v>
      </c>
      <c r="C158" s="1622" t="str">
        <f t="shared" si="116"/>
        <v>Timber from Sustainable Forestry</v>
      </c>
      <c r="D158" s="1623">
        <f t="shared" si="166"/>
        <v>0.1</v>
      </c>
      <c r="E158" s="1624">
        <f t="shared" si="166"/>
        <v>0</v>
      </c>
      <c r="G158" s="1624">
        <f t="shared" si="161"/>
        <v>0.1</v>
      </c>
      <c r="H158" s="1624">
        <f t="shared" si="162"/>
        <v>0</v>
      </c>
      <c r="I158" s="1624"/>
      <c r="J158" s="1624"/>
      <c r="K158" s="1624">
        <f>IF(Score!W158=0,0,1)</f>
        <v>1</v>
      </c>
      <c r="L158" s="1624">
        <f>IF(Score!X158=0,0,1)</f>
        <v>0</v>
      </c>
      <c r="M158" s="1624">
        <f t="shared" si="163"/>
        <v>0.1</v>
      </c>
      <c r="N158" s="1624">
        <f t="shared" si="101"/>
        <v>0</v>
      </c>
      <c r="P158" s="1625" t="str">
        <f t="shared" si="118"/>
        <v>2.5</v>
      </c>
      <c r="Q158" s="1625" t="str">
        <f t="shared" si="119"/>
        <v>LR2 2</v>
      </c>
      <c r="R158" s="1622" t="str">
        <f t="shared" si="120"/>
        <v>Timber from Sustainable Forestry</v>
      </c>
      <c r="S158" s="1626">
        <f t="shared" si="102"/>
        <v>0.1</v>
      </c>
      <c r="T158" s="1626">
        <f t="shared" si="103"/>
        <v>0.1</v>
      </c>
      <c r="U158" s="1626">
        <f t="shared" si="104"/>
        <v>0.1</v>
      </c>
      <c r="V158" s="1626">
        <f t="shared" si="105"/>
        <v>0.1</v>
      </c>
      <c r="W158" s="1626">
        <f t="shared" si="106"/>
        <v>0.1</v>
      </c>
      <c r="X158" s="1626">
        <f t="shared" si="107"/>
        <v>0.1</v>
      </c>
      <c r="Y158" s="1626">
        <f t="shared" si="108"/>
        <v>0.1</v>
      </c>
      <c r="Z158" s="1645">
        <f t="shared" si="109"/>
        <v>0.1</v>
      </c>
      <c r="AA158" s="1626">
        <f t="shared" si="110"/>
        <v>0.1</v>
      </c>
      <c r="AB158" s="1626">
        <f t="shared" si="111"/>
        <v>0.1</v>
      </c>
      <c r="AC158" s="1805">
        <f t="shared" si="112"/>
        <v>0</v>
      </c>
      <c r="AD158" s="1662">
        <f t="shared" si="113"/>
        <v>0</v>
      </c>
      <c r="AE158" s="1662">
        <f t="shared" si="114"/>
        <v>0</v>
      </c>
      <c r="AG158" s="1625" t="s">
        <v>693</v>
      </c>
      <c r="AH158" s="1628" t="s">
        <v>46</v>
      </c>
      <c r="AI158" s="1622" t="s">
        <v>1893</v>
      </c>
      <c r="AJ158" s="1631">
        <v>0.1</v>
      </c>
      <c r="AK158" s="1631">
        <v>0.1</v>
      </c>
      <c r="AL158" s="1631">
        <v>0.1</v>
      </c>
      <c r="AM158" s="1631">
        <v>0.1</v>
      </c>
      <c r="AN158" s="1631">
        <v>0.1</v>
      </c>
      <c r="AO158" s="1631">
        <v>0.1</v>
      </c>
      <c r="AP158" s="1631">
        <v>0.1</v>
      </c>
      <c r="AQ158" s="1631">
        <v>0.1</v>
      </c>
      <c r="AR158" s="1631">
        <v>0.1</v>
      </c>
      <c r="AS158" s="1631">
        <v>0.1</v>
      </c>
      <c r="AT158" s="1806"/>
      <c r="AU158" s="1664"/>
      <c r="AV158" s="1664"/>
      <c r="AX158" s="1625" t="s">
        <v>693</v>
      </c>
      <c r="AY158" s="1628" t="s">
        <v>46</v>
      </c>
      <c r="AZ158" s="1622" t="s">
        <v>1893</v>
      </c>
      <c r="BA158" s="1631">
        <v>0.1</v>
      </c>
      <c r="BB158" s="1631">
        <v>0.1</v>
      </c>
      <c r="BC158" s="1631">
        <v>0.1</v>
      </c>
      <c r="BD158" s="1631">
        <v>0.1</v>
      </c>
      <c r="BE158" s="1631">
        <v>0.1</v>
      </c>
      <c r="BF158" s="1631">
        <v>0.1</v>
      </c>
      <c r="BG158" s="1631">
        <v>0.1</v>
      </c>
      <c r="BH158" s="1631">
        <v>0.1</v>
      </c>
      <c r="BI158" s="1631">
        <v>0.1</v>
      </c>
      <c r="BJ158" s="1631">
        <v>0.1</v>
      </c>
      <c r="BK158" s="1806"/>
      <c r="BL158" s="1664"/>
      <c r="BM158" s="1664"/>
      <c r="BO158" s="1625" t="s">
        <v>693</v>
      </c>
      <c r="BP158" s="1628" t="s">
        <v>46</v>
      </c>
      <c r="BQ158" s="1622" t="s">
        <v>1642</v>
      </c>
      <c r="BR158" s="1631">
        <v>0.1</v>
      </c>
      <c r="BS158" s="1631">
        <v>0.1</v>
      </c>
      <c r="BT158" s="1631">
        <v>0.1</v>
      </c>
      <c r="BU158" s="1631">
        <v>0.1</v>
      </c>
      <c r="BV158" s="1631">
        <v>0.1</v>
      </c>
      <c r="BW158" s="1631">
        <v>0.1</v>
      </c>
      <c r="BX158" s="1631">
        <v>0.1</v>
      </c>
      <c r="BY158" s="1631">
        <v>0.1</v>
      </c>
      <c r="BZ158" s="1631">
        <v>0.1</v>
      </c>
      <c r="CA158" s="1631">
        <v>0.1</v>
      </c>
      <c r="CB158" s="1806"/>
      <c r="CC158" s="1664"/>
      <c r="CD158" s="1664"/>
      <c r="CE158" s="1557"/>
      <c r="CG158" s="1625" t="s">
        <v>693</v>
      </c>
      <c r="CH158" s="1628" t="s">
        <v>46</v>
      </c>
      <c r="CI158" s="1622" t="s">
        <v>1893</v>
      </c>
      <c r="CJ158" s="1638">
        <v>0.04</v>
      </c>
      <c r="CK158" s="1638">
        <v>0.04</v>
      </c>
      <c r="CL158" s="1638">
        <v>0.04</v>
      </c>
      <c r="CM158" s="1638">
        <v>0.04</v>
      </c>
      <c r="CN158" s="1638">
        <v>0.04</v>
      </c>
      <c r="CO158" s="1638">
        <v>0.04</v>
      </c>
      <c r="CP158" s="1638">
        <v>0.04</v>
      </c>
      <c r="CQ158" s="1638">
        <v>0.04</v>
      </c>
      <c r="CR158" s="1638">
        <v>0.04</v>
      </c>
      <c r="CS158" s="1638">
        <v>0.04</v>
      </c>
      <c r="CT158" s="1807">
        <f t="shared" si="157"/>
        <v>0</v>
      </c>
      <c r="CU158" s="1665">
        <f t="shared" si="158"/>
        <v>0</v>
      </c>
      <c r="CV158" s="1665">
        <f t="shared" si="159"/>
        <v>0</v>
      </c>
      <c r="CX158" s="1625" t="s">
        <v>693</v>
      </c>
      <c r="CY158" s="1628" t="s">
        <v>46</v>
      </c>
      <c r="CZ158" s="1622" t="s">
        <v>1893</v>
      </c>
      <c r="DA158" s="1637">
        <v>0.4</v>
      </c>
      <c r="DB158" s="1638"/>
      <c r="DC158" s="1638"/>
      <c r="DD158" s="1638"/>
      <c r="DE158" s="1638"/>
      <c r="DF158" s="1638"/>
      <c r="DG158" s="1638"/>
      <c r="DH158" s="1638"/>
      <c r="DI158" s="1638"/>
      <c r="DJ158" s="1638"/>
      <c r="DK158" s="1808"/>
      <c r="DL158" s="1666"/>
      <c r="DM158" s="1666"/>
    </row>
    <row r="159" spans="2:117">
      <c r="B159" s="1584" t="str">
        <f t="shared" si="165"/>
        <v>2.6</v>
      </c>
      <c r="C159" s="1622" t="str">
        <f t="shared" si="116"/>
        <v>Reusability of Components and Materials</v>
      </c>
      <c r="D159" s="1623">
        <f>IF(I$153=0,0,G159/I$153)</f>
        <v>0.2</v>
      </c>
      <c r="E159" s="1624">
        <f>IF(J$153=0,0,H159/J$153)</f>
        <v>0</v>
      </c>
      <c r="G159" s="1624">
        <f t="shared" si="161"/>
        <v>0.2</v>
      </c>
      <c r="H159" s="1624">
        <f t="shared" si="162"/>
        <v>0</v>
      </c>
      <c r="I159" s="1624"/>
      <c r="J159" s="1624"/>
      <c r="K159" s="1624">
        <f>IF(Score!W159=0,0,1)</f>
        <v>1</v>
      </c>
      <c r="L159" s="1624">
        <f>IF(Score!X159=0,0,1)</f>
        <v>0</v>
      </c>
      <c r="M159" s="1624">
        <f t="shared" si="163"/>
        <v>0.2</v>
      </c>
      <c r="N159" s="1624">
        <f t="shared" ref="N159:N196" si="167">(AC$7*AC159)+(AD$7*AD159)+(AE$7*AE159)</f>
        <v>0</v>
      </c>
      <c r="P159" s="1625" t="str">
        <f t="shared" si="118"/>
        <v>2.6</v>
      </c>
      <c r="Q159" s="1625" t="str">
        <f t="shared" si="119"/>
        <v>LR2 2</v>
      </c>
      <c r="R159" s="1622" t="str">
        <f t="shared" si="120"/>
        <v>Reusability of Components and Materials</v>
      </c>
      <c r="S159" s="1626">
        <f t="shared" si="102"/>
        <v>0.2</v>
      </c>
      <c r="T159" s="1626">
        <f t="shared" si="103"/>
        <v>0.2</v>
      </c>
      <c r="U159" s="1626">
        <f t="shared" si="104"/>
        <v>0.2</v>
      </c>
      <c r="V159" s="1626">
        <f t="shared" si="105"/>
        <v>0.2</v>
      </c>
      <c r="W159" s="1626">
        <f t="shared" si="106"/>
        <v>0.2</v>
      </c>
      <c r="X159" s="1626">
        <f t="shared" si="107"/>
        <v>0.2</v>
      </c>
      <c r="Y159" s="1626">
        <f t="shared" si="108"/>
        <v>0.2</v>
      </c>
      <c r="Z159" s="1645">
        <f t="shared" si="109"/>
        <v>0.2</v>
      </c>
      <c r="AA159" s="1626">
        <f t="shared" si="110"/>
        <v>0.2</v>
      </c>
      <c r="AB159" s="1626">
        <f t="shared" si="111"/>
        <v>0.2</v>
      </c>
      <c r="AC159" s="1805">
        <f t="shared" si="112"/>
        <v>0</v>
      </c>
      <c r="AD159" s="1662">
        <f t="shared" si="113"/>
        <v>0</v>
      </c>
      <c r="AE159" s="1662">
        <f t="shared" si="114"/>
        <v>0</v>
      </c>
      <c r="AG159" s="1625" t="s">
        <v>695</v>
      </c>
      <c r="AH159" s="1628" t="s">
        <v>46</v>
      </c>
      <c r="AI159" s="1622" t="s">
        <v>1894</v>
      </c>
      <c r="AJ159" s="1631">
        <v>0.2</v>
      </c>
      <c r="AK159" s="1631">
        <v>0.2</v>
      </c>
      <c r="AL159" s="1631">
        <v>0.2</v>
      </c>
      <c r="AM159" s="1631">
        <v>0.2</v>
      </c>
      <c r="AN159" s="1631">
        <v>0.2</v>
      </c>
      <c r="AO159" s="1631">
        <v>0.2</v>
      </c>
      <c r="AP159" s="1631">
        <v>0.2</v>
      </c>
      <c r="AQ159" s="1631">
        <v>0.2</v>
      </c>
      <c r="AR159" s="1631">
        <v>0.2</v>
      </c>
      <c r="AS159" s="1631">
        <v>0.2</v>
      </c>
      <c r="AT159" s="1806"/>
      <c r="AU159" s="1664"/>
      <c r="AV159" s="1664"/>
      <c r="AX159" s="1625" t="s">
        <v>343</v>
      </c>
      <c r="AY159" s="1628" t="s">
        <v>46</v>
      </c>
      <c r="AZ159" s="1622" t="s">
        <v>1894</v>
      </c>
      <c r="BA159" s="1631">
        <v>0.2</v>
      </c>
      <c r="BB159" s="1631">
        <v>0.2</v>
      </c>
      <c r="BC159" s="1631">
        <v>0.2</v>
      </c>
      <c r="BD159" s="1631">
        <v>0.2</v>
      </c>
      <c r="BE159" s="1631">
        <v>0.2</v>
      </c>
      <c r="BF159" s="1631">
        <v>0.2</v>
      </c>
      <c r="BG159" s="1631">
        <v>0.2</v>
      </c>
      <c r="BH159" s="1631">
        <v>0.2</v>
      </c>
      <c r="BI159" s="1631">
        <v>0.2</v>
      </c>
      <c r="BJ159" s="1631">
        <v>0.2</v>
      </c>
      <c r="BK159" s="1806"/>
      <c r="BL159" s="1664"/>
      <c r="BM159" s="1664"/>
      <c r="BO159" s="1625" t="s">
        <v>343</v>
      </c>
      <c r="BP159" s="1628" t="s">
        <v>46</v>
      </c>
      <c r="BQ159" s="1622" t="s">
        <v>3360</v>
      </c>
      <c r="BR159" s="1631">
        <v>0.2</v>
      </c>
      <c r="BS159" s="1631">
        <v>0.2</v>
      </c>
      <c r="BT159" s="1631">
        <v>0.2</v>
      </c>
      <c r="BU159" s="1631">
        <v>0.2</v>
      </c>
      <c r="BV159" s="1631">
        <v>0.2</v>
      </c>
      <c r="BW159" s="1631">
        <v>0.2</v>
      </c>
      <c r="BX159" s="1631">
        <v>0.2</v>
      </c>
      <c r="BY159" s="1631">
        <v>0.2</v>
      </c>
      <c r="BZ159" s="1631">
        <v>0.2</v>
      </c>
      <c r="CA159" s="1631">
        <v>0.2</v>
      </c>
      <c r="CB159" s="1806"/>
      <c r="CC159" s="1664"/>
      <c r="CD159" s="1664"/>
      <c r="CE159" s="1557"/>
      <c r="CG159" s="1625" t="s">
        <v>343</v>
      </c>
      <c r="CH159" s="1628" t="s">
        <v>46</v>
      </c>
      <c r="CI159" s="1622"/>
      <c r="CJ159" s="1638">
        <v>0</v>
      </c>
      <c r="CK159" s="1638">
        <v>0</v>
      </c>
      <c r="CL159" s="1638">
        <v>0</v>
      </c>
      <c r="CM159" s="1638">
        <v>0</v>
      </c>
      <c r="CN159" s="1638">
        <v>0</v>
      </c>
      <c r="CO159" s="1638">
        <v>0</v>
      </c>
      <c r="CP159" s="1638">
        <v>0</v>
      </c>
      <c r="CQ159" s="1638">
        <v>0</v>
      </c>
      <c r="CR159" s="1638">
        <v>0</v>
      </c>
      <c r="CS159" s="1638">
        <v>0</v>
      </c>
      <c r="CT159" s="1807">
        <f t="shared" si="157"/>
        <v>0</v>
      </c>
      <c r="CU159" s="1665">
        <f t="shared" si="158"/>
        <v>0</v>
      </c>
      <c r="CV159" s="1665">
        <f t="shared" si="159"/>
        <v>0</v>
      </c>
      <c r="CX159" s="1625" t="s">
        <v>343</v>
      </c>
      <c r="CY159" s="1628" t="s">
        <v>46</v>
      </c>
      <c r="CZ159" s="1622" t="s">
        <v>1894</v>
      </c>
      <c r="DA159" s="1637">
        <v>0.4</v>
      </c>
      <c r="DB159" s="1638"/>
      <c r="DC159" s="1638"/>
      <c r="DD159" s="1638"/>
      <c r="DE159" s="1638"/>
      <c r="DF159" s="1638"/>
      <c r="DG159" s="1638"/>
      <c r="DH159" s="1638"/>
      <c r="DI159" s="1638"/>
      <c r="DJ159" s="1638"/>
      <c r="DK159" s="1808"/>
      <c r="DL159" s="1666"/>
      <c r="DM159" s="1666"/>
    </row>
    <row r="160" spans="2:117" hidden="1">
      <c r="B160" s="1584" t="str">
        <f t="shared" si="165"/>
        <v>2.6</v>
      </c>
      <c r="C160" s="1622">
        <f t="shared" si="116"/>
        <v>0</v>
      </c>
      <c r="D160" s="1623">
        <f>IF(I$153=0,0,G160/I$153)</f>
        <v>0</v>
      </c>
      <c r="E160" s="1623">
        <f>IF(J$153=0,0,H160/J$153)</f>
        <v>0</v>
      </c>
      <c r="G160" s="1624">
        <f>K160*M160</f>
        <v>0</v>
      </c>
      <c r="H160" s="1624">
        <f>L160*N160</f>
        <v>0</v>
      </c>
      <c r="I160" s="1624">
        <f>SUM(G161:G166)</f>
        <v>0</v>
      </c>
      <c r="J160" s="1624">
        <f>SUM(H161:H166)</f>
        <v>0</v>
      </c>
      <c r="K160" s="1624">
        <f>IF(Score!W160=0,0,1)</f>
        <v>0</v>
      </c>
      <c r="L160" s="1624">
        <f>IF(Score!X160=0,0,1)</f>
        <v>0</v>
      </c>
      <c r="M160" s="1624">
        <f>SUMPRODUCT($S$7:$AB$7,S160:AB160)</f>
        <v>0</v>
      </c>
      <c r="N160" s="1624">
        <f>(AC$7*AC160)+(AD$7*AD160)+(AE$7*AE160)</f>
        <v>0</v>
      </c>
      <c r="P160" s="1625" t="str">
        <f t="shared" si="118"/>
        <v>2.6</v>
      </c>
      <c r="Q160" s="1625" t="str">
        <f t="shared" si="119"/>
        <v>LR2 2</v>
      </c>
      <c r="R160" s="1622">
        <f t="shared" si="120"/>
        <v>0</v>
      </c>
      <c r="S160" s="1626">
        <f t="shared" si="102"/>
        <v>0</v>
      </c>
      <c r="T160" s="1626">
        <f t="shared" si="103"/>
        <v>0</v>
      </c>
      <c r="U160" s="1626">
        <f t="shared" si="104"/>
        <v>0</v>
      </c>
      <c r="V160" s="1626">
        <f t="shared" si="105"/>
        <v>0</v>
      </c>
      <c r="W160" s="1626">
        <f t="shared" si="106"/>
        <v>0</v>
      </c>
      <c r="X160" s="1626">
        <f t="shared" si="107"/>
        <v>0</v>
      </c>
      <c r="Y160" s="1626">
        <f t="shared" si="108"/>
        <v>0</v>
      </c>
      <c r="Z160" s="1645">
        <f t="shared" si="109"/>
        <v>0</v>
      </c>
      <c r="AA160" s="1626">
        <f t="shared" si="110"/>
        <v>0</v>
      </c>
      <c r="AB160" s="1626">
        <f t="shared" si="111"/>
        <v>0</v>
      </c>
      <c r="AC160" s="1805">
        <f t="shared" si="112"/>
        <v>0</v>
      </c>
      <c r="AD160" s="1662">
        <f t="shared" si="113"/>
        <v>0</v>
      </c>
      <c r="AE160" s="1662">
        <f t="shared" si="114"/>
        <v>0</v>
      </c>
      <c r="AG160" s="1625"/>
      <c r="AH160" s="1628"/>
      <c r="AI160" s="1622"/>
      <c r="AJ160" s="1631"/>
      <c r="AK160" s="1631"/>
      <c r="AL160" s="1631"/>
      <c r="AM160" s="1631"/>
      <c r="AN160" s="1631"/>
      <c r="AO160" s="1631"/>
      <c r="AP160" s="1631"/>
      <c r="AQ160" s="1631"/>
      <c r="AR160" s="1631"/>
      <c r="AS160" s="1631"/>
      <c r="AT160" s="1806"/>
      <c r="AU160" s="1664"/>
      <c r="AV160" s="1664"/>
      <c r="AX160" s="1625"/>
      <c r="AY160" s="1628"/>
      <c r="AZ160" s="1622"/>
      <c r="BA160" s="1631"/>
      <c r="BB160" s="1631"/>
      <c r="BC160" s="1631"/>
      <c r="BD160" s="1631"/>
      <c r="BE160" s="1631"/>
      <c r="BF160" s="1631"/>
      <c r="BG160" s="1631"/>
      <c r="BH160" s="1631"/>
      <c r="BI160" s="1631"/>
      <c r="BJ160" s="1631"/>
      <c r="BK160" s="1806"/>
      <c r="BL160" s="1664"/>
      <c r="BM160" s="1664"/>
      <c r="BO160" s="1625" t="s">
        <v>343</v>
      </c>
      <c r="BP160" s="1628" t="s">
        <v>46</v>
      </c>
      <c r="BQ160" s="1622"/>
      <c r="BR160" s="1631"/>
      <c r="BS160" s="1631"/>
      <c r="BT160" s="1631"/>
      <c r="BU160" s="1631"/>
      <c r="BV160" s="1631"/>
      <c r="BW160" s="1631"/>
      <c r="BX160" s="1631"/>
      <c r="BY160" s="1631"/>
      <c r="BZ160" s="1631"/>
      <c r="CA160" s="1631"/>
      <c r="CB160" s="1806"/>
      <c r="CC160" s="1664"/>
      <c r="CD160" s="1664"/>
      <c r="CE160" s="1557"/>
      <c r="CG160" s="1625" t="s">
        <v>343</v>
      </c>
      <c r="CH160" s="1628" t="s">
        <v>46</v>
      </c>
      <c r="CI160" s="1622" t="s">
        <v>1895</v>
      </c>
      <c r="CJ160" s="1638">
        <v>0.65</v>
      </c>
      <c r="CK160" s="1638">
        <v>0.65</v>
      </c>
      <c r="CL160" s="1638">
        <v>0.65</v>
      </c>
      <c r="CM160" s="1638">
        <v>0.65</v>
      </c>
      <c r="CN160" s="1638">
        <v>0.65</v>
      </c>
      <c r="CO160" s="1638">
        <v>0.65</v>
      </c>
      <c r="CP160" s="1638">
        <v>0.65</v>
      </c>
      <c r="CQ160" s="1638">
        <v>0.65</v>
      </c>
      <c r="CR160" s="1638">
        <v>0.65</v>
      </c>
      <c r="CS160" s="1638">
        <v>0.65</v>
      </c>
      <c r="CT160" s="1807">
        <f t="shared" si="157"/>
        <v>0</v>
      </c>
      <c r="CU160" s="1665">
        <f t="shared" si="158"/>
        <v>0</v>
      </c>
      <c r="CV160" s="1665">
        <f t="shared" si="159"/>
        <v>0</v>
      </c>
      <c r="CX160" s="1625" t="s">
        <v>343</v>
      </c>
      <c r="CY160" s="1628" t="s">
        <v>46</v>
      </c>
      <c r="CZ160" s="1622"/>
      <c r="DA160" s="1638">
        <f t="shared" ref="DA160:DA168" si="168">BR160</f>
        <v>0</v>
      </c>
      <c r="DB160" s="1638"/>
      <c r="DC160" s="1638"/>
      <c r="DD160" s="1638"/>
      <c r="DE160" s="1638"/>
      <c r="DF160" s="1638"/>
      <c r="DG160" s="1638"/>
      <c r="DH160" s="1638"/>
      <c r="DI160" s="1638"/>
      <c r="DJ160" s="1638"/>
      <c r="DK160" s="1808"/>
      <c r="DL160" s="1666"/>
      <c r="DM160" s="1666"/>
    </row>
    <row r="161" spans="2:117" hidden="1">
      <c r="B161" s="1584" t="s">
        <v>723</v>
      </c>
      <c r="C161" s="1622">
        <f t="shared" si="116"/>
        <v>0</v>
      </c>
      <c r="D161" s="1603">
        <f>IF(I$160&gt;0,G161/I$160,0)</f>
        <v>0</v>
      </c>
      <c r="E161" s="1603">
        <f>IF(J$160&gt;0,H161/J$160,0)</f>
        <v>0</v>
      </c>
      <c r="G161" s="1624">
        <f t="shared" ref="G161:G167" si="169">K161*M161</f>
        <v>0</v>
      </c>
      <c r="H161" s="1624">
        <f t="shared" ref="H161:H166" si="170">L161*N161</f>
        <v>0</v>
      </c>
      <c r="I161" s="1624"/>
      <c r="J161" s="1624"/>
      <c r="K161" s="1624">
        <f>IF(Score!W161=0,0,1)</f>
        <v>1</v>
      </c>
      <c r="L161" s="1624">
        <f>IF(Score!X161=0,0,1)</f>
        <v>0</v>
      </c>
      <c r="M161" s="1624">
        <f t="shared" ref="M161:M167" si="171">SUMPRODUCT($S$7:$AB$7,S161:AB161)</f>
        <v>0</v>
      </c>
      <c r="N161" s="1624">
        <f t="shared" ref="N161:N167" si="172">(AC$7*AC161)+(AD$7*AD161)+(AE$7*AE161)</f>
        <v>0</v>
      </c>
      <c r="P161" s="1625" t="str">
        <f t="shared" si="118"/>
        <v>2.6.1</v>
      </c>
      <c r="Q161" s="1625" t="str">
        <f t="shared" si="119"/>
        <v>LR2 2.2</v>
      </c>
      <c r="R161" s="1622">
        <f t="shared" si="120"/>
        <v>0</v>
      </c>
      <c r="S161" s="1626">
        <f t="shared" si="102"/>
        <v>0</v>
      </c>
      <c r="T161" s="1626">
        <f t="shared" si="103"/>
        <v>0</v>
      </c>
      <c r="U161" s="1626">
        <f t="shared" si="104"/>
        <v>0</v>
      </c>
      <c r="V161" s="1626">
        <f t="shared" si="105"/>
        <v>0</v>
      </c>
      <c r="W161" s="1626">
        <f t="shared" si="106"/>
        <v>0</v>
      </c>
      <c r="X161" s="1626">
        <f t="shared" si="107"/>
        <v>0</v>
      </c>
      <c r="Y161" s="1626">
        <f t="shared" si="108"/>
        <v>0</v>
      </c>
      <c r="Z161" s="1645">
        <f t="shared" si="109"/>
        <v>0</v>
      </c>
      <c r="AA161" s="1626">
        <f t="shared" si="110"/>
        <v>0</v>
      </c>
      <c r="AB161" s="1626">
        <f t="shared" si="111"/>
        <v>0</v>
      </c>
      <c r="AC161" s="1805">
        <f t="shared" si="112"/>
        <v>0</v>
      </c>
      <c r="AD161" s="1662">
        <f t="shared" si="113"/>
        <v>0</v>
      </c>
      <c r="AE161" s="1662">
        <f t="shared" si="114"/>
        <v>0</v>
      </c>
      <c r="AG161" s="1625"/>
      <c r="AH161" s="1628"/>
      <c r="AI161" s="1622"/>
      <c r="AJ161" s="1631"/>
      <c r="AK161" s="1631"/>
      <c r="AL161" s="1631"/>
      <c r="AM161" s="1631"/>
      <c r="AN161" s="1631"/>
      <c r="AO161" s="1631"/>
      <c r="AP161" s="1631"/>
      <c r="AQ161" s="1631"/>
      <c r="AR161" s="1631"/>
      <c r="AS161" s="1631"/>
      <c r="AT161" s="1806"/>
      <c r="AU161" s="1664"/>
      <c r="AV161" s="1664"/>
      <c r="AX161" s="1625"/>
      <c r="AY161" s="1628"/>
      <c r="AZ161" s="1622"/>
      <c r="BA161" s="1631"/>
      <c r="BB161" s="1631"/>
      <c r="BC161" s="1631"/>
      <c r="BD161" s="1631"/>
      <c r="BE161" s="1631"/>
      <c r="BF161" s="1631"/>
      <c r="BG161" s="1631"/>
      <c r="BH161" s="1631"/>
      <c r="BI161" s="1631"/>
      <c r="BJ161" s="1631"/>
      <c r="BK161" s="1806"/>
      <c r="BL161" s="1664"/>
      <c r="BM161" s="1664"/>
      <c r="BO161" s="1625" t="s">
        <v>733</v>
      </c>
      <c r="BP161" s="1628" t="s">
        <v>734</v>
      </c>
      <c r="BQ161" s="1622"/>
      <c r="BR161" s="1631"/>
      <c r="BS161" s="1631"/>
      <c r="BT161" s="1631"/>
      <c r="BU161" s="1631"/>
      <c r="BV161" s="1631"/>
      <c r="BW161" s="1631"/>
      <c r="BX161" s="1631"/>
      <c r="BY161" s="1631"/>
      <c r="BZ161" s="1631"/>
      <c r="CA161" s="1631"/>
      <c r="CB161" s="1806"/>
      <c r="CC161" s="1664"/>
      <c r="CD161" s="1664"/>
      <c r="CE161" s="1557"/>
      <c r="CG161" s="1625" t="s">
        <v>733</v>
      </c>
      <c r="CH161" s="1628" t="s">
        <v>734</v>
      </c>
      <c r="CI161" s="1622" t="s">
        <v>1896</v>
      </c>
      <c r="CJ161" s="1638">
        <v>0.25</v>
      </c>
      <c r="CK161" s="1638">
        <v>0.25</v>
      </c>
      <c r="CL161" s="1638">
        <v>0.25</v>
      </c>
      <c r="CM161" s="1638">
        <v>0.25</v>
      </c>
      <c r="CN161" s="1638">
        <v>0.25</v>
      </c>
      <c r="CO161" s="1638">
        <v>0.25</v>
      </c>
      <c r="CP161" s="1638">
        <v>0.25</v>
      </c>
      <c r="CQ161" s="1638">
        <v>0.25</v>
      </c>
      <c r="CR161" s="1638">
        <v>0.25</v>
      </c>
      <c r="CS161" s="1638">
        <v>0.25</v>
      </c>
      <c r="CT161" s="1807">
        <f t="shared" si="157"/>
        <v>0</v>
      </c>
      <c r="CU161" s="1665">
        <f t="shared" si="158"/>
        <v>0</v>
      </c>
      <c r="CV161" s="1665">
        <f t="shared" si="159"/>
        <v>0</v>
      </c>
      <c r="CX161" s="1625" t="s">
        <v>733</v>
      </c>
      <c r="CY161" s="1628" t="s">
        <v>734</v>
      </c>
      <c r="CZ161" s="1622"/>
      <c r="DA161" s="1638">
        <f t="shared" si="168"/>
        <v>0</v>
      </c>
      <c r="DB161" s="1638"/>
      <c r="DC161" s="1638"/>
      <c r="DD161" s="1638"/>
      <c r="DE161" s="1638"/>
      <c r="DF161" s="1638"/>
      <c r="DG161" s="1638"/>
      <c r="DH161" s="1638"/>
      <c r="DI161" s="1638"/>
      <c r="DJ161" s="1638"/>
      <c r="DK161" s="1808"/>
      <c r="DL161" s="1666"/>
      <c r="DM161" s="1666"/>
    </row>
    <row r="162" spans="2:117" hidden="1">
      <c r="B162" s="1584" t="s">
        <v>724</v>
      </c>
      <c r="C162" s="1622">
        <f t="shared" si="116"/>
        <v>0</v>
      </c>
      <c r="D162" s="1603">
        <f t="shared" ref="D162:E165" si="173">IF(I$160&gt;0,G162/I$160,0)</f>
        <v>0</v>
      </c>
      <c r="E162" s="1603">
        <f>IF(J$160&gt;0,H162/J$160,0)</f>
        <v>0</v>
      </c>
      <c r="G162" s="1624">
        <f t="shared" si="169"/>
        <v>0</v>
      </c>
      <c r="H162" s="1624">
        <f t="shared" si="170"/>
        <v>0</v>
      </c>
      <c r="I162" s="1624"/>
      <c r="J162" s="1624"/>
      <c r="K162" s="1624">
        <f>IF(Score!W162=0,0,1)</f>
        <v>1</v>
      </c>
      <c r="L162" s="1624">
        <f>IF(Score!X162=0,0,1)</f>
        <v>0</v>
      </c>
      <c r="M162" s="1624">
        <f t="shared" si="171"/>
        <v>0</v>
      </c>
      <c r="N162" s="1624">
        <f t="shared" si="172"/>
        <v>0</v>
      </c>
      <c r="P162" s="1625" t="str">
        <f t="shared" si="118"/>
        <v>2.6.2</v>
      </c>
      <c r="Q162" s="1625" t="str">
        <f t="shared" si="119"/>
        <v>LR2 2.2</v>
      </c>
      <c r="R162" s="1622">
        <f t="shared" si="120"/>
        <v>0</v>
      </c>
      <c r="S162" s="1626">
        <f t="shared" si="102"/>
        <v>0</v>
      </c>
      <c r="T162" s="1626">
        <f t="shared" si="103"/>
        <v>0</v>
      </c>
      <c r="U162" s="1626">
        <f t="shared" si="104"/>
        <v>0</v>
      </c>
      <c r="V162" s="1626">
        <f t="shared" si="105"/>
        <v>0</v>
      </c>
      <c r="W162" s="1626">
        <f t="shared" si="106"/>
        <v>0</v>
      </c>
      <c r="X162" s="1626">
        <f t="shared" si="107"/>
        <v>0</v>
      </c>
      <c r="Y162" s="1626">
        <f t="shared" si="108"/>
        <v>0</v>
      </c>
      <c r="Z162" s="1645">
        <f t="shared" si="109"/>
        <v>0</v>
      </c>
      <c r="AA162" s="1626">
        <f t="shared" si="110"/>
        <v>0</v>
      </c>
      <c r="AB162" s="1626">
        <f t="shared" si="111"/>
        <v>0</v>
      </c>
      <c r="AC162" s="1805">
        <f t="shared" si="112"/>
        <v>0</v>
      </c>
      <c r="AD162" s="1662">
        <f t="shared" si="113"/>
        <v>0</v>
      </c>
      <c r="AE162" s="1662">
        <f t="shared" si="114"/>
        <v>0</v>
      </c>
      <c r="AG162" s="1625"/>
      <c r="AH162" s="1628"/>
      <c r="AI162" s="1622"/>
      <c r="AJ162" s="1631"/>
      <c r="AK162" s="1631"/>
      <c r="AL162" s="1631"/>
      <c r="AM162" s="1631"/>
      <c r="AN162" s="1631"/>
      <c r="AO162" s="1631"/>
      <c r="AP162" s="1631"/>
      <c r="AQ162" s="1631"/>
      <c r="AR162" s="1631"/>
      <c r="AS162" s="1631"/>
      <c r="AT162" s="1806"/>
      <c r="AU162" s="1664"/>
      <c r="AV162" s="1664"/>
      <c r="AX162" s="1625"/>
      <c r="AY162" s="1628"/>
      <c r="AZ162" s="1622"/>
      <c r="BA162" s="1631"/>
      <c r="BB162" s="1631"/>
      <c r="BC162" s="1631"/>
      <c r="BD162" s="1631"/>
      <c r="BE162" s="1631"/>
      <c r="BF162" s="1631"/>
      <c r="BG162" s="1631"/>
      <c r="BH162" s="1631"/>
      <c r="BI162" s="1631"/>
      <c r="BJ162" s="1631"/>
      <c r="BK162" s="1806"/>
      <c r="BL162" s="1664"/>
      <c r="BM162" s="1664"/>
      <c r="BO162" s="1625" t="s">
        <v>724</v>
      </c>
      <c r="BP162" s="1628" t="s">
        <v>734</v>
      </c>
      <c r="BQ162" s="1622"/>
      <c r="BR162" s="1631"/>
      <c r="BS162" s="1631"/>
      <c r="BT162" s="1631"/>
      <c r="BU162" s="1631"/>
      <c r="BV162" s="1631"/>
      <c r="BW162" s="1631"/>
      <c r="BX162" s="1631"/>
      <c r="BY162" s="1631"/>
      <c r="BZ162" s="1631"/>
      <c r="CA162" s="1631"/>
      <c r="CB162" s="1806"/>
      <c r="CC162" s="1664"/>
      <c r="CD162" s="1664"/>
      <c r="CE162" s="1557"/>
      <c r="CG162" s="1625" t="s">
        <v>724</v>
      </c>
      <c r="CH162" s="1628" t="s">
        <v>734</v>
      </c>
      <c r="CI162" s="1622" t="s">
        <v>1897</v>
      </c>
      <c r="CJ162" s="1638">
        <v>0.15</v>
      </c>
      <c r="CK162" s="1638">
        <v>0.15</v>
      </c>
      <c r="CL162" s="1638">
        <v>0.15</v>
      </c>
      <c r="CM162" s="1638">
        <v>0.15</v>
      </c>
      <c r="CN162" s="1638">
        <v>0.15</v>
      </c>
      <c r="CO162" s="1638">
        <v>0.15</v>
      </c>
      <c r="CP162" s="1638">
        <v>0.15</v>
      </c>
      <c r="CQ162" s="1638">
        <v>0.15</v>
      </c>
      <c r="CR162" s="1638">
        <v>0.15</v>
      </c>
      <c r="CS162" s="1638">
        <v>0.15</v>
      </c>
      <c r="CT162" s="1807">
        <f t="shared" si="157"/>
        <v>0</v>
      </c>
      <c r="CU162" s="1665">
        <f t="shared" si="158"/>
        <v>0</v>
      </c>
      <c r="CV162" s="1665">
        <f t="shared" si="159"/>
        <v>0</v>
      </c>
      <c r="CX162" s="1625" t="s">
        <v>724</v>
      </c>
      <c r="CY162" s="1628" t="s">
        <v>734</v>
      </c>
      <c r="CZ162" s="1622"/>
      <c r="DA162" s="1638">
        <f t="shared" si="168"/>
        <v>0</v>
      </c>
      <c r="DB162" s="1638"/>
      <c r="DC162" s="1638"/>
      <c r="DD162" s="1638"/>
      <c r="DE162" s="1638"/>
      <c r="DF162" s="1638"/>
      <c r="DG162" s="1638"/>
      <c r="DH162" s="1638"/>
      <c r="DI162" s="1638"/>
      <c r="DJ162" s="1638"/>
      <c r="DK162" s="1808"/>
      <c r="DL162" s="1666"/>
      <c r="DM162" s="1666"/>
    </row>
    <row r="163" spans="2:117" hidden="1">
      <c r="B163" s="1584" t="s">
        <v>725</v>
      </c>
      <c r="C163" s="1622">
        <f t="shared" si="116"/>
        <v>0</v>
      </c>
      <c r="D163" s="1603">
        <f t="shared" si="173"/>
        <v>0</v>
      </c>
      <c r="E163" s="1603">
        <f t="shared" si="173"/>
        <v>0</v>
      </c>
      <c r="G163" s="1624">
        <f t="shared" si="169"/>
        <v>0</v>
      </c>
      <c r="H163" s="1624">
        <f t="shared" si="170"/>
        <v>0</v>
      </c>
      <c r="I163" s="1624"/>
      <c r="J163" s="1624"/>
      <c r="K163" s="1624">
        <f>IF(Score!W163=0,0,1)</f>
        <v>1</v>
      </c>
      <c r="L163" s="1624">
        <f>IF(Score!X163=0,0,1)</f>
        <v>0</v>
      </c>
      <c r="M163" s="1624">
        <f t="shared" si="171"/>
        <v>0</v>
      </c>
      <c r="N163" s="1624">
        <f t="shared" si="172"/>
        <v>0</v>
      </c>
      <c r="P163" s="1625" t="str">
        <f t="shared" si="118"/>
        <v>2.6.3</v>
      </c>
      <c r="Q163" s="1625" t="str">
        <f t="shared" si="119"/>
        <v>LR2 2.2</v>
      </c>
      <c r="R163" s="1622">
        <f t="shared" si="120"/>
        <v>0</v>
      </c>
      <c r="S163" s="1626">
        <f t="shared" si="102"/>
        <v>0</v>
      </c>
      <c r="T163" s="1626">
        <f t="shared" si="103"/>
        <v>0</v>
      </c>
      <c r="U163" s="1626">
        <f t="shared" si="104"/>
        <v>0</v>
      </c>
      <c r="V163" s="1626">
        <f t="shared" si="105"/>
        <v>0</v>
      </c>
      <c r="W163" s="1626">
        <f t="shared" si="106"/>
        <v>0</v>
      </c>
      <c r="X163" s="1626">
        <f t="shared" si="107"/>
        <v>0</v>
      </c>
      <c r="Y163" s="1626">
        <f t="shared" si="108"/>
        <v>0</v>
      </c>
      <c r="Z163" s="1645">
        <f t="shared" si="109"/>
        <v>0</v>
      </c>
      <c r="AA163" s="1626">
        <f t="shared" si="110"/>
        <v>0</v>
      </c>
      <c r="AB163" s="1626">
        <f t="shared" si="111"/>
        <v>0</v>
      </c>
      <c r="AC163" s="1805">
        <f t="shared" si="112"/>
        <v>0</v>
      </c>
      <c r="AD163" s="1662">
        <f t="shared" si="113"/>
        <v>0</v>
      </c>
      <c r="AE163" s="1662">
        <f t="shared" si="114"/>
        <v>0</v>
      </c>
      <c r="AG163" s="1625"/>
      <c r="AH163" s="1628"/>
      <c r="AI163" s="1622"/>
      <c r="AJ163" s="1631"/>
      <c r="AK163" s="1631"/>
      <c r="AL163" s="1631"/>
      <c r="AM163" s="1631"/>
      <c r="AN163" s="1631"/>
      <c r="AO163" s="1631"/>
      <c r="AP163" s="1631"/>
      <c r="AQ163" s="1631"/>
      <c r="AR163" s="1631"/>
      <c r="AS163" s="1631"/>
      <c r="AT163" s="1806"/>
      <c r="AU163" s="1664"/>
      <c r="AV163" s="1664"/>
      <c r="AX163" s="1625"/>
      <c r="AY163" s="1628"/>
      <c r="AZ163" s="1622"/>
      <c r="BA163" s="1631"/>
      <c r="BB163" s="1631"/>
      <c r="BC163" s="1631"/>
      <c r="BD163" s="1631"/>
      <c r="BE163" s="1631"/>
      <c r="BF163" s="1631"/>
      <c r="BG163" s="1631"/>
      <c r="BH163" s="1631"/>
      <c r="BI163" s="1631"/>
      <c r="BJ163" s="1631"/>
      <c r="BK163" s="1806"/>
      <c r="BL163" s="1664"/>
      <c r="BM163" s="1664"/>
      <c r="BO163" s="1625" t="s">
        <v>725</v>
      </c>
      <c r="BP163" s="1628" t="s">
        <v>734</v>
      </c>
      <c r="BQ163" s="1622"/>
      <c r="BR163" s="1631"/>
      <c r="BS163" s="1631"/>
      <c r="BT163" s="1631"/>
      <c r="BU163" s="1631"/>
      <c r="BV163" s="1631"/>
      <c r="BW163" s="1631"/>
      <c r="BX163" s="1631"/>
      <c r="BY163" s="1631"/>
      <c r="BZ163" s="1631"/>
      <c r="CA163" s="1631"/>
      <c r="CB163" s="1806"/>
      <c r="CC163" s="1664"/>
      <c r="CD163" s="1664"/>
      <c r="CE163" s="1557"/>
      <c r="CG163" s="1625" t="s">
        <v>725</v>
      </c>
      <c r="CH163" s="1628" t="s">
        <v>734</v>
      </c>
      <c r="CI163" s="1622" t="s">
        <v>1898</v>
      </c>
      <c r="CJ163" s="1638">
        <v>0.15</v>
      </c>
      <c r="CK163" s="1638">
        <v>0.15</v>
      </c>
      <c r="CL163" s="1638">
        <v>0.15</v>
      </c>
      <c r="CM163" s="1638">
        <v>0.15</v>
      </c>
      <c r="CN163" s="1638">
        <v>0.15</v>
      </c>
      <c r="CO163" s="1638">
        <v>0.15</v>
      </c>
      <c r="CP163" s="1638">
        <v>0.15</v>
      </c>
      <c r="CQ163" s="1638">
        <v>0.15</v>
      </c>
      <c r="CR163" s="1638">
        <v>0.15</v>
      </c>
      <c r="CS163" s="1638">
        <v>0.15</v>
      </c>
      <c r="CT163" s="1807">
        <f t="shared" si="157"/>
        <v>0</v>
      </c>
      <c r="CU163" s="1665">
        <f t="shared" si="158"/>
        <v>0</v>
      </c>
      <c r="CV163" s="1665">
        <f t="shared" si="159"/>
        <v>0</v>
      </c>
      <c r="CX163" s="1625" t="s">
        <v>725</v>
      </c>
      <c r="CY163" s="1628" t="s">
        <v>734</v>
      </c>
      <c r="CZ163" s="1622"/>
      <c r="DA163" s="1638">
        <f t="shared" si="168"/>
        <v>0</v>
      </c>
      <c r="DB163" s="1638"/>
      <c r="DC163" s="1638"/>
      <c r="DD163" s="1638"/>
      <c r="DE163" s="1638"/>
      <c r="DF163" s="1638"/>
      <c r="DG163" s="1638"/>
      <c r="DH163" s="1638"/>
      <c r="DI163" s="1638"/>
      <c r="DJ163" s="1638"/>
      <c r="DK163" s="1808"/>
      <c r="DL163" s="1666"/>
      <c r="DM163" s="1666"/>
    </row>
    <row r="164" spans="2:117" hidden="1">
      <c r="B164" s="1584" t="s">
        <v>726</v>
      </c>
      <c r="C164" s="1622">
        <f t="shared" si="116"/>
        <v>0</v>
      </c>
      <c r="D164" s="1603">
        <f t="shared" si="173"/>
        <v>0</v>
      </c>
      <c r="E164" s="1603">
        <f t="shared" si="173"/>
        <v>0</v>
      </c>
      <c r="G164" s="1624">
        <f t="shared" si="169"/>
        <v>0</v>
      </c>
      <c r="H164" s="1624">
        <f t="shared" si="170"/>
        <v>0</v>
      </c>
      <c r="I164" s="1624"/>
      <c r="J164" s="1624"/>
      <c r="K164" s="1624">
        <f>IF(Score!W164=0,0,1)</f>
        <v>1</v>
      </c>
      <c r="L164" s="1624">
        <f>IF(Score!X164=0,0,1)</f>
        <v>0</v>
      </c>
      <c r="M164" s="1624">
        <f t="shared" si="171"/>
        <v>0</v>
      </c>
      <c r="N164" s="1624">
        <f t="shared" si="172"/>
        <v>0</v>
      </c>
      <c r="P164" s="1625" t="str">
        <f t="shared" si="118"/>
        <v>2.6.4</v>
      </c>
      <c r="Q164" s="1625" t="str">
        <f t="shared" si="119"/>
        <v>LR2 2.2</v>
      </c>
      <c r="R164" s="1622">
        <f t="shared" si="120"/>
        <v>0</v>
      </c>
      <c r="S164" s="1626">
        <f t="shared" si="102"/>
        <v>0</v>
      </c>
      <c r="T164" s="1626">
        <f t="shared" si="103"/>
        <v>0</v>
      </c>
      <c r="U164" s="1626">
        <f t="shared" si="104"/>
        <v>0</v>
      </c>
      <c r="V164" s="1626">
        <f t="shared" si="105"/>
        <v>0</v>
      </c>
      <c r="W164" s="1626">
        <f t="shared" si="106"/>
        <v>0</v>
      </c>
      <c r="X164" s="1626">
        <f t="shared" si="107"/>
        <v>0</v>
      </c>
      <c r="Y164" s="1626">
        <f t="shared" si="108"/>
        <v>0</v>
      </c>
      <c r="Z164" s="1645">
        <f t="shared" si="109"/>
        <v>0</v>
      </c>
      <c r="AA164" s="1626">
        <f t="shared" si="110"/>
        <v>0</v>
      </c>
      <c r="AB164" s="1626">
        <f t="shared" si="111"/>
        <v>0</v>
      </c>
      <c r="AC164" s="1805">
        <f t="shared" si="112"/>
        <v>0</v>
      </c>
      <c r="AD164" s="1662">
        <f t="shared" si="113"/>
        <v>0</v>
      </c>
      <c r="AE164" s="1662">
        <f t="shared" si="114"/>
        <v>0</v>
      </c>
      <c r="AG164" s="1625"/>
      <c r="AH164" s="1628"/>
      <c r="AI164" s="1622"/>
      <c r="AJ164" s="1631"/>
      <c r="AK164" s="1631"/>
      <c r="AL164" s="1631"/>
      <c r="AM164" s="1631"/>
      <c r="AN164" s="1631"/>
      <c r="AO164" s="1631"/>
      <c r="AP164" s="1631"/>
      <c r="AQ164" s="1631"/>
      <c r="AR164" s="1631"/>
      <c r="AS164" s="1631"/>
      <c r="AT164" s="1806"/>
      <c r="AU164" s="1664"/>
      <c r="AV164" s="1664"/>
      <c r="AX164" s="1625"/>
      <c r="AY164" s="1628"/>
      <c r="AZ164" s="1622"/>
      <c r="BA164" s="1631"/>
      <c r="BB164" s="1631"/>
      <c r="BC164" s="1631"/>
      <c r="BD164" s="1631"/>
      <c r="BE164" s="1631"/>
      <c r="BF164" s="1631"/>
      <c r="BG164" s="1631"/>
      <c r="BH164" s="1631"/>
      <c r="BI164" s="1631"/>
      <c r="BJ164" s="1631"/>
      <c r="BK164" s="1806"/>
      <c r="BL164" s="1664"/>
      <c r="BM164" s="1664"/>
      <c r="BO164" s="1625" t="s">
        <v>726</v>
      </c>
      <c r="BP164" s="1628" t="s">
        <v>734</v>
      </c>
      <c r="BQ164" s="1622"/>
      <c r="BR164" s="1631"/>
      <c r="BS164" s="1631"/>
      <c r="BT164" s="1631"/>
      <c r="BU164" s="1631"/>
      <c r="BV164" s="1631"/>
      <c r="BW164" s="1631"/>
      <c r="BX164" s="1631"/>
      <c r="BY164" s="1631"/>
      <c r="BZ164" s="1631"/>
      <c r="CA164" s="1631"/>
      <c r="CB164" s="1806"/>
      <c r="CC164" s="1664"/>
      <c r="CD164" s="1664"/>
      <c r="CE164" s="1557"/>
      <c r="CG164" s="1625" t="s">
        <v>726</v>
      </c>
      <c r="CH164" s="1628" t="s">
        <v>734</v>
      </c>
      <c r="CI164" s="1622" t="s">
        <v>1899</v>
      </c>
      <c r="CJ164" s="1638">
        <v>0.15</v>
      </c>
      <c r="CK164" s="1638">
        <v>0.15</v>
      </c>
      <c r="CL164" s="1638">
        <v>0.15</v>
      </c>
      <c r="CM164" s="1638">
        <v>0.15</v>
      </c>
      <c r="CN164" s="1638">
        <v>0.15</v>
      </c>
      <c r="CO164" s="1638">
        <v>0.15</v>
      </c>
      <c r="CP164" s="1638">
        <v>0.15</v>
      </c>
      <c r="CQ164" s="1638">
        <v>0.15</v>
      </c>
      <c r="CR164" s="1638">
        <v>0.15</v>
      </c>
      <c r="CS164" s="1638">
        <v>0.15</v>
      </c>
      <c r="CT164" s="1807">
        <f t="shared" si="157"/>
        <v>0</v>
      </c>
      <c r="CU164" s="1665">
        <f t="shared" si="158"/>
        <v>0</v>
      </c>
      <c r="CV164" s="1665">
        <f t="shared" si="159"/>
        <v>0</v>
      </c>
      <c r="CX164" s="1625" t="s">
        <v>726</v>
      </c>
      <c r="CY164" s="1628" t="s">
        <v>734</v>
      </c>
      <c r="CZ164" s="1622"/>
      <c r="DA164" s="1638">
        <f t="shared" si="168"/>
        <v>0</v>
      </c>
      <c r="DB164" s="1638"/>
      <c r="DC164" s="1638"/>
      <c r="DD164" s="1638"/>
      <c r="DE164" s="1638"/>
      <c r="DF164" s="1638"/>
      <c r="DG164" s="1638"/>
      <c r="DH164" s="1638"/>
      <c r="DI164" s="1638"/>
      <c r="DJ164" s="1638"/>
      <c r="DK164" s="1808"/>
      <c r="DL164" s="1666"/>
      <c r="DM164" s="1666"/>
    </row>
    <row r="165" spans="2:117" hidden="1">
      <c r="B165" s="1584" t="s">
        <v>727</v>
      </c>
      <c r="C165" s="1622">
        <f t="shared" si="116"/>
        <v>0</v>
      </c>
      <c r="D165" s="1603">
        <f t="shared" si="173"/>
        <v>0</v>
      </c>
      <c r="E165" s="1603">
        <f t="shared" si="173"/>
        <v>0</v>
      </c>
      <c r="G165" s="1624">
        <f t="shared" si="169"/>
        <v>0</v>
      </c>
      <c r="H165" s="1624">
        <f t="shared" si="170"/>
        <v>0</v>
      </c>
      <c r="I165" s="1624"/>
      <c r="J165" s="1624"/>
      <c r="K165" s="1624">
        <f>IF(Score!W165=0,0,1)</f>
        <v>1</v>
      </c>
      <c r="L165" s="1624">
        <f>IF(Score!X165=0,0,1)</f>
        <v>0</v>
      </c>
      <c r="M165" s="1624">
        <f t="shared" si="171"/>
        <v>0</v>
      </c>
      <c r="N165" s="1624">
        <f t="shared" si="172"/>
        <v>0</v>
      </c>
      <c r="P165" s="1625" t="str">
        <f t="shared" si="118"/>
        <v>2.6.5</v>
      </c>
      <c r="Q165" s="1625" t="str">
        <f t="shared" si="119"/>
        <v>LR2 2.2</v>
      </c>
      <c r="R165" s="1622">
        <f t="shared" si="120"/>
        <v>0</v>
      </c>
      <c r="S165" s="1626">
        <f t="shared" si="102"/>
        <v>0</v>
      </c>
      <c r="T165" s="1626">
        <f t="shared" si="103"/>
        <v>0</v>
      </c>
      <c r="U165" s="1626">
        <f t="shared" si="104"/>
        <v>0</v>
      </c>
      <c r="V165" s="1626">
        <f t="shared" si="105"/>
        <v>0</v>
      </c>
      <c r="W165" s="1626">
        <f t="shared" si="106"/>
        <v>0</v>
      </c>
      <c r="X165" s="1626">
        <f t="shared" si="107"/>
        <v>0</v>
      </c>
      <c r="Y165" s="1626">
        <f t="shared" si="108"/>
        <v>0</v>
      </c>
      <c r="Z165" s="1645">
        <f t="shared" si="109"/>
        <v>0</v>
      </c>
      <c r="AA165" s="1626">
        <f t="shared" si="110"/>
        <v>0</v>
      </c>
      <c r="AB165" s="1626">
        <f t="shared" si="111"/>
        <v>0</v>
      </c>
      <c r="AC165" s="1805">
        <f t="shared" si="112"/>
        <v>0</v>
      </c>
      <c r="AD165" s="1662">
        <f t="shared" si="113"/>
        <v>0</v>
      </c>
      <c r="AE165" s="1662">
        <f t="shared" si="114"/>
        <v>0</v>
      </c>
      <c r="AG165" s="1625"/>
      <c r="AH165" s="1628"/>
      <c r="AI165" s="1622"/>
      <c r="AJ165" s="1631"/>
      <c r="AK165" s="1631"/>
      <c r="AL165" s="1631"/>
      <c r="AM165" s="1631"/>
      <c r="AN165" s="1631"/>
      <c r="AO165" s="1631"/>
      <c r="AP165" s="1631"/>
      <c r="AQ165" s="1631"/>
      <c r="AR165" s="1631"/>
      <c r="AS165" s="1631"/>
      <c r="AT165" s="1806"/>
      <c r="AU165" s="1664"/>
      <c r="AV165" s="1664"/>
      <c r="AX165" s="1625"/>
      <c r="AY165" s="1628"/>
      <c r="AZ165" s="1622"/>
      <c r="BA165" s="1631"/>
      <c r="BB165" s="1631"/>
      <c r="BC165" s="1631"/>
      <c r="BD165" s="1631"/>
      <c r="BE165" s="1631"/>
      <c r="BF165" s="1631"/>
      <c r="BG165" s="1631"/>
      <c r="BH165" s="1631"/>
      <c r="BI165" s="1631"/>
      <c r="BJ165" s="1631"/>
      <c r="BK165" s="1806"/>
      <c r="BL165" s="1664"/>
      <c r="BM165" s="1664"/>
      <c r="BO165" s="1625" t="s">
        <v>727</v>
      </c>
      <c r="BP165" s="1628" t="s">
        <v>734</v>
      </c>
      <c r="BQ165" s="1622"/>
      <c r="BR165" s="1631"/>
      <c r="BS165" s="1631"/>
      <c r="BT165" s="1631"/>
      <c r="BU165" s="1631"/>
      <c r="BV165" s="1631"/>
      <c r="BW165" s="1631"/>
      <c r="BX165" s="1631"/>
      <c r="BY165" s="1631"/>
      <c r="BZ165" s="1631"/>
      <c r="CA165" s="1631"/>
      <c r="CB165" s="1806"/>
      <c r="CC165" s="1664"/>
      <c r="CD165" s="1664"/>
      <c r="CE165" s="1557"/>
      <c r="CG165" s="1625" t="s">
        <v>727</v>
      </c>
      <c r="CH165" s="1628" t="s">
        <v>734</v>
      </c>
      <c r="CI165" s="1622" t="s">
        <v>1900</v>
      </c>
      <c r="CJ165" s="1638">
        <v>0.15</v>
      </c>
      <c r="CK165" s="1638">
        <v>0.15</v>
      </c>
      <c r="CL165" s="1638">
        <v>0.15</v>
      </c>
      <c r="CM165" s="1638">
        <v>0.15</v>
      </c>
      <c r="CN165" s="1638">
        <v>0.15</v>
      </c>
      <c r="CO165" s="1638">
        <v>0.15</v>
      </c>
      <c r="CP165" s="1638">
        <v>0.15</v>
      </c>
      <c r="CQ165" s="1638">
        <v>0.15</v>
      </c>
      <c r="CR165" s="1638">
        <v>0.15</v>
      </c>
      <c r="CS165" s="1638">
        <v>0.15</v>
      </c>
      <c r="CT165" s="1807">
        <f t="shared" si="157"/>
        <v>0</v>
      </c>
      <c r="CU165" s="1665">
        <f t="shared" si="158"/>
        <v>0</v>
      </c>
      <c r="CV165" s="1665">
        <f t="shared" si="159"/>
        <v>0</v>
      </c>
      <c r="CX165" s="1625" t="s">
        <v>727</v>
      </c>
      <c r="CY165" s="1628" t="s">
        <v>734</v>
      </c>
      <c r="CZ165" s="1622"/>
      <c r="DA165" s="1638">
        <f t="shared" si="168"/>
        <v>0</v>
      </c>
      <c r="DB165" s="1638"/>
      <c r="DC165" s="1638"/>
      <c r="DD165" s="1638"/>
      <c r="DE165" s="1638"/>
      <c r="DF165" s="1638"/>
      <c r="DG165" s="1638"/>
      <c r="DH165" s="1638"/>
      <c r="DI165" s="1638"/>
      <c r="DJ165" s="1638"/>
      <c r="DK165" s="1808"/>
      <c r="DL165" s="1666"/>
      <c r="DM165" s="1666"/>
    </row>
    <row r="166" spans="2:117" hidden="1">
      <c r="B166" s="1584" t="s">
        <v>728</v>
      </c>
      <c r="C166" s="1622">
        <f t="shared" si="116"/>
        <v>0</v>
      </c>
      <c r="D166" s="1603">
        <f>IF(I$160&gt;0,G166/I$160,0)</f>
        <v>0</v>
      </c>
      <c r="E166" s="1603">
        <f>IF(J$160&gt;0,H166/J$160,0)</f>
        <v>0</v>
      </c>
      <c r="G166" s="1624">
        <f t="shared" si="169"/>
        <v>0</v>
      </c>
      <c r="H166" s="1624">
        <f t="shared" si="170"/>
        <v>0</v>
      </c>
      <c r="I166" s="1624"/>
      <c r="J166" s="1624"/>
      <c r="K166" s="1624">
        <f>IF(Score!W166=0,0,1)</f>
        <v>1</v>
      </c>
      <c r="L166" s="1624">
        <f>IF(Score!X166=0,0,1)</f>
        <v>0</v>
      </c>
      <c r="M166" s="1624">
        <f t="shared" si="171"/>
        <v>0</v>
      </c>
      <c r="N166" s="1624">
        <f t="shared" si="172"/>
        <v>0</v>
      </c>
      <c r="P166" s="1625" t="str">
        <f t="shared" si="118"/>
        <v>2.6.6</v>
      </c>
      <c r="Q166" s="1625" t="str">
        <f t="shared" si="119"/>
        <v>LR2 2.2</v>
      </c>
      <c r="R166" s="1622">
        <f t="shared" si="120"/>
        <v>0</v>
      </c>
      <c r="S166" s="1626">
        <f t="shared" si="102"/>
        <v>0</v>
      </c>
      <c r="T166" s="1626">
        <f t="shared" si="103"/>
        <v>0</v>
      </c>
      <c r="U166" s="1626">
        <f t="shared" si="104"/>
        <v>0</v>
      </c>
      <c r="V166" s="1626">
        <f t="shared" si="105"/>
        <v>0</v>
      </c>
      <c r="W166" s="1626">
        <f t="shared" si="106"/>
        <v>0</v>
      </c>
      <c r="X166" s="1626">
        <f t="shared" si="107"/>
        <v>0</v>
      </c>
      <c r="Y166" s="1626">
        <f t="shared" si="108"/>
        <v>0</v>
      </c>
      <c r="Z166" s="1645">
        <f t="shared" si="109"/>
        <v>0</v>
      </c>
      <c r="AA166" s="1626">
        <f t="shared" si="110"/>
        <v>0</v>
      </c>
      <c r="AB166" s="1626">
        <f t="shared" si="111"/>
        <v>0</v>
      </c>
      <c r="AC166" s="1805">
        <f t="shared" si="112"/>
        <v>0</v>
      </c>
      <c r="AD166" s="1662">
        <f t="shared" si="113"/>
        <v>0</v>
      </c>
      <c r="AE166" s="1662">
        <f t="shared" si="114"/>
        <v>0</v>
      </c>
      <c r="AG166" s="1625"/>
      <c r="AH166" s="1628"/>
      <c r="AI166" s="1622"/>
      <c r="AJ166" s="1631"/>
      <c r="AK166" s="1631"/>
      <c r="AL166" s="1631"/>
      <c r="AM166" s="1631"/>
      <c r="AN166" s="1631"/>
      <c r="AO166" s="1631"/>
      <c r="AP166" s="1631"/>
      <c r="AQ166" s="1631"/>
      <c r="AR166" s="1631"/>
      <c r="AS166" s="1631"/>
      <c r="AT166" s="1806"/>
      <c r="AU166" s="1664"/>
      <c r="AV166" s="1664"/>
      <c r="AX166" s="1625"/>
      <c r="AY166" s="1628"/>
      <c r="AZ166" s="1622"/>
      <c r="BA166" s="1631"/>
      <c r="BB166" s="1631"/>
      <c r="BC166" s="1631"/>
      <c r="BD166" s="1631"/>
      <c r="BE166" s="1631"/>
      <c r="BF166" s="1631"/>
      <c r="BG166" s="1631"/>
      <c r="BH166" s="1631"/>
      <c r="BI166" s="1631"/>
      <c r="BJ166" s="1631"/>
      <c r="BK166" s="1806"/>
      <c r="BL166" s="1664"/>
      <c r="BM166" s="1664"/>
      <c r="BO166" s="1625" t="s">
        <v>728</v>
      </c>
      <c r="BP166" s="1628" t="s">
        <v>734</v>
      </c>
      <c r="BQ166" s="1622"/>
      <c r="BR166" s="1631"/>
      <c r="BS166" s="1631"/>
      <c r="BT166" s="1631"/>
      <c r="BU166" s="1631"/>
      <c r="BV166" s="1631"/>
      <c r="BW166" s="1631"/>
      <c r="BX166" s="1631"/>
      <c r="BY166" s="1631"/>
      <c r="BZ166" s="1631"/>
      <c r="CA166" s="1631"/>
      <c r="CB166" s="1806"/>
      <c r="CC166" s="1664"/>
      <c r="CD166" s="1664"/>
      <c r="CE166" s="1557"/>
      <c r="CG166" s="1625" t="s">
        <v>728</v>
      </c>
      <c r="CH166" s="1628" t="s">
        <v>734</v>
      </c>
      <c r="CI166" s="1622" t="s">
        <v>1901</v>
      </c>
      <c r="CJ166" s="1638">
        <v>0.15</v>
      </c>
      <c r="CK166" s="1638">
        <v>0.15</v>
      </c>
      <c r="CL166" s="1638">
        <v>0.15</v>
      </c>
      <c r="CM166" s="1638">
        <v>0.15</v>
      </c>
      <c r="CN166" s="1638">
        <v>0.15</v>
      </c>
      <c r="CO166" s="1638">
        <v>0.15</v>
      </c>
      <c r="CP166" s="1638">
        <v>0.15</v>
      </c>
      <c r="CQ166" s="1638">
        <v>0.15</v>
      </c>
      <c r="CR166" s="1638">
        <v>0.15</v>
      </c>
      <c r="CS166" s="1638">
        <v>0.15</v>
      </c>
      <c r="CT166" s="1807">
        <f t="shared" si="157"/>
        <v>0</v>
      </c>
      <c r="CU166" s="1665">
        <f t="shared" si="158"/>
        <v>0</v>
      </c>
      <c r="CV166" s="1665">
        <f t="shared" si="159"/>
        <v>0</v>
      </c>
      <c r="CX166" s="1625" t="s">
        <v>728</v>
      </c>
      <c r="CY166" s="1628" t="s">
        <v>734</v>
      </c>
      <c r="CZ166" s="1622"/>
      <c r="DA166" s="1638">
        <f t="shared" si="168"/>
        <v>0</v>
      </c>
      <c r="DB166" s="1638"/>
      <c r="DC166" s="1638"/>
      <c r="DD166" s="1638"/>
      <c r="DE166" s="1638"/>
      <c r="DF166" s="1638"/>
      <c r="DG166" s="1638"/>
      <c r="DH166" s="1638"/>
      <c r="DI166" s="1638"/>
      <c r="DJ166" s="1638"/>
      <c r="DK166" s="1808"/>
      <c r="DL166" s="1666"/>
      <c r="DM166" s="1666"/>
    </row>
    <row r="167" spans="2:117" hidden="1">
      <c r="B167" s="1584">
        <v>2.7</v>
      </c>
      <c r="C167" s="1622">
        <f t="shared" si="116"/>
        <v>0</v>
      </c>
      <c r="D167" s="1623">
        <f>IF(I$153=0,0,G167/I$153)</f>
        <v>0</v>
      </c>
      <c r="E167" s="1624">
        <f>IF(J$153=0,0,H167/J$153)</f>
        <v>0</v>
      </c>
      <c r="G167" s="1624">
        <f t="shared" si="169"/>
        <v>0</v>
      </c>
      <c r="H167" s="1624">
        <f>L167*N167</f>
        <v>0</v>
      </c>
      <c r="I167" s="1624"/>
      <c r="J167" s="1624"/>
      <c r="K167" s="1624">
        <f>IF(Score!W167=0,0,1)</f>
        <v>1</v>
      </c>
      <c r="L167" s="1624">
        <f>IF(Score!X167=0,0,1)</f>
        <v>0</v>
      </c>
      <c r="M167" s="1624">
        <f t="shared" si="171"/>
        <v>0</v>
      </c>
      <c r="N167" s="1624">
        <f t="shared" si="172"/>
        <v>0</v>
      </c>
      <c r="P167" s="1625">
        <f t="shared" si="118"/>
        <v>2.7</v>
      </c>
      <c r="Q167" s="1625" t="str">
        <f t="shared" si="119"/>
        <v>LR2 2</v>
      </c>
      <c r="R167" s="1622">
        <f t="shared" si="120"/>
        <v>0</v>
      </c>
      <c r="S167" s="1626">
        <f t="shared" si="102"/>
        <v>0</v>
      </c>
      <c r="T167" s="1626">
        <f t="shared" si="103"/>
        <v>0</v>
      </c>
      <c r="U167" s="1626">
        <f t="shared" si="104"/>
        <v>0</v>
      </c>
      <c r="V167" s="1626">
        <f t="shared" si="105"/>
        <v>0</v>
      </c>
      <c r="W167" s="1626">
        <f t="shared" si="106"/>
        <v>0</v>
      </c>
      <c r="X167" s="1626">
        <f t="shared" si="107"/>
        <v>0</v>
      </c>
      <c r="Y167" s="1626">
        <f t="shared" si="108"/>
        <v>0</v>
      </c>
      <c r="Z167" s="1645">
        <f t="shared" si="109"/>
        <v>0</v>
      </c>
      <c r="AA167" s="1626">
        <f t="shared" si="110"/>
        <v>0</v>
      </c>
      <c r="AB167" s="1626">
        <f t="shared" si="111"/>
        <v>0</v>
      </c>
      <c r="AC167" s="1805">
        <f t="shared" si="112"/>
        <v>0</v>
      </c>
      <c r="AD167" s="1662">
        <f t="shared" si="113"/>
        <v>0</v>
      </c>
      <c r="AE167" s="1662">
        <f t="shared" si="114"/>
        <v>0</v>
      </c>
      <c r="AG167" s="1625"/>
      <c r="AH167" s="1628"/>
      <c r="AI167" s="1622"/>
      <c r="AJ167" s="1631"/>
      <c r="AK167" s="1631"/>
      <c r="AL167" s="1631"/>
      <c r="AM167" s="1631"/>
      <c r="AN167" s="1631"/>
      <c r="AO167" s="1631"/>
      <c r="AP167" s="1631"/>
      <c r="AQ167" s="1631"/>
      <c r="AR167" s="1631"/>
      <c r="AS167" s="1631"/>
      <c r="AT167" s="1806"/>
      <c r="AU167" s="1664"/>
      <c r="AV167" s="1664"/>
      <c r="AX167" s="1625"/>
      <c r="AY167" s="1628"/>
      <c r="AZ167" s="1622"/>
      <c r="BA167" s="1631"/>
      <c r="BB167" s="1631"/>
      <c r="BC167" s="1631"/>
      <c r="BD167" s="1631"/>
      <c r="BE167" s="1631"/>
      <c r="BF167" s="1631"/>
      <c r="BG167" s="1631"/>
      <c r="BH167" s="1631"/>
      <c r="BI167" s="1631"/>
      <c r="BJ167" s="1631"/>
      <c r="BK167" s="1806"/>
      <c r="BL167" s="1664"/>
      <c r="BM167" s="1664"/>
      <c r="BO167" s="1625">
        <v>2.7</v>
      </c>
      <c r="BP167" s="1628" t="s">
        <v>747</v>
      </c>
      <c r="BQ167" s="1622"/>
      <c r="BR167" s="1631"/>
      <c r="BS167" s="1631"/>
      <c r="BT167" s="1631"/>
      <c r="BU167" s="1631"/>
      <c r="BV167" s="1631"/>
      <c r="BW167" s="1631"/>
      <c r="BX167" s="1631"/>
      <c r="BY167" s="1631"/>
      <c r="BZ167" s="1631"/>
      <c r="CA167" s="1631"/>
      <c r="CB167" s="1806"/>
      <c r="CC167" s="1664"/>
      <c r="CD167" s="1664"/>
      <c r="CE167" s="1557"/>
      <c r="CG167" s="1625">
        <v>2.7</v>
      </c>
      <c r="CH167" s="1628" t="s">
        <v>747</v>
      </c>
      <c r="CI167" s="1622" t="s">
        <v>1902</v>
      </c>
      <c r="CJ167" s="1638">
        <v>0.2</v>
      </c>
      <c r="CK167" s="1638">
        <v>0.2</v>
      </c>
      <c r="CL167" s="1638">
        <v>0.2</v>
      </c>
      <c r="CM167" s="1638">
        <v>0.2</v>
      </c>
      <c r="CN167" s="1638">
        <v>0.2</v>
      </c>
      <c r="CO167" s="1638">
        <v>0.2</v>
      </c>
      <c r="CP167" s="1638">
        <v>0.2</v>
      </c>
      <c r="CQ167" s="1638">
        <v>0.2</v>
      </c>
      <c r="CR167" s="1638">
        <v>0.2</v>
      </c>
      <c r="CS167" s="1638">
        <v>0.2</v>
      </c>
      <c r="CT167" s="1807">
        <f t="shared" si="157"/>
        <v>0</v>
      </c>
      <c r="CU167" s="1665">
        <f t="shared" si="158"/>
        <v>0</v>
      </c>
      <c r="CV167" s="1665">
        <f t="shared" si="159"/>
        <v>0</v>
      </c>
      <c r="CX167" s="1625">
        <v>2.7</v>
      </c>
      <c r="CY167" s="1628" t="s">
        <v>747</v>
      </c>
      <c r="CZ167" s="1622"/>
      <c r="DA167" s="1638">
        <f t="shared" si="168"/>
        <v>0</v>
      </c>
      <c r="DB167" s="1638"/>
      <c r="DC167" s="1638"/>
      <c r="DD167" s="1638"/>
      <c r="DE167" s="1638"/>
      <c r="DF167" s="1638"/>
      <c r="DG167" s="1638"/>
      <c r="DH167" s="1638"/>
      <c r="DI167" s="1638"/>
      <c r="DJ167" s="1638"/>
      <c r="DK167" s="1808"/>
      <c r="DL167" s="1666"/>
      <c r="DM167" s="1666"/>
    </row>
    <row r="168" spans="2:117">
      <c r="B168" s="1584">
        <f t="shared" si="165"/>
        <v>3</v>
      </c>
      <c r="C168" s="1600" t="str">
        <f t="shared" si="116"/>
        <v>Avoiding the Use of Materials with Pollutant Content</v>
      </c>
      <c r="D168" s="1601">
        <f>IF(I$147=0,0,G168/I$147)</f>
        <v>0.2</v>
      </c>
      <c r="E168" s="1602">
        <f>IF(J$147=0,0,H168/J$147)</f>
        <v>0</v>
      </c>
      <c r="G168" s="1602">
        <f t="shared" si="161"/>
        <v>0.2</v>
      </c>
      <c r="H168" s="1602">
        <f t="shared" si="162"/>
        <v>0</v>
      </c>
      <c r="I168" s="1602">
        <f>G169+G170</f>
        <v>1</v>
      </c>
      <c r="J168" s="1602">
        <f>H169+H170</f>
        <v>0</v>
      </c>
      <c r="K168" s="1602">
        <f>IF(L168&gt;0,1,IF(Score!Z168=0,0,1))</f>
        <v>1</v>
      </c>
      <c r="L168" s="1602">
        <f>IF(Score!AB168=0,0,1)</f>
        <v>0</v>
      </c>
      <c r="M168" s="1602">
        <f t="shared" si="163"/>
        <v>0.2</v>
      </c>
      <c r="N168" s="1602">
        <f t="shared" si="167"/>
        <v>0</v>
      </c>
      <c r="P168" s="1604">
        <f t="shared" si="118"/>
        <v>3</v>
      </c>
      <c r="Q168" s="1604" t="str">
        <f t="shared" si="119"/>
        <v>LR2</v>
      </c>
      <c r="R168" s="1600" t="str">
        <f t="shared" si="120"/>
        <v>Avoiding the Use of Materials with Pollutant Content</v>
      </c>
      <c r="S168" s="1605">
        <f t="shared" si="102"/>
        <v>0.2</v>
      </c>
      <c r="T168" s="1605">
        <f t="shared" si="103"/>
        <v>0.2</v>
      </c>
      <c r="U168" s="1605">
        <f t="shared" si="104"/>
        <v>0.2</v>
      </c>
      <c r="V168" s="1605">
        <f t="shared" si="105"/>
        <v>0.2</v>
      </c>
      <c r="W168" s="1605">
        <f t="shared" si="106"/>
        <v>0.2</v>
      </c>
      <c r="X168" s="1605">
        <f t="shared" si="107"/>
        <v>0.2</v>
      </c>
      <c r="Y168" s="1605">
        <f t="shared" si="108"/>
        <v>0.2</v>
      </c>
      <c r="Z168" s="1728">
        <f t="shared" si="109"/>
        <v>0.2</v>
      </c>
      <c r="AA168" s="1605">
        <f t="shared" si="110"/>
        <v>0.2</v>
      </c>
      <c r="AB168" s="1605">
        <f t="shared" si="111"/>
        <v>0.2</v>
      </c>
      <c r="AC168" s="1797">
        <f t="shared" si="112"/>
        <v>0</v>
      </c>
      <c r="AD168" s="1798">
        <f t="shared" si="113"/>
        <v>0</v>
      </c>
      <c r="AE168" s="1798">
        <f t="shared" si="114"/>
        <v>0</v>
      </c>
      <c r="AG168" s="1604">
        <v>3</v>
      </c>
      <c r="AH168" s="1608" t="s">
        <v>361</v>
      </c>
      <c r="AI168" s="1600" t="s">
        <v>1903</v>
      </c>
      <c r="AJ168" s="1611">
        <v>0.2</v>
      </c>
      <c r="AK168" s="1611">
        <v>0.2</v>
      </c>
      <c r="AL168" s="1611">
        <v>0.2</v>
      </c>
      <c r="AM168" s="1611">
        <v>0.2</v>
      </c>
      <c r="AN168" s="1611">
        <v>0.2</v>
      </c>
      <c r="AO168" s="1611">
        <v>0.2</v>
      </c>
      <c r="AP168" s="1611">
        <v>0.2</v>
      </c>
      <c r="AQ168" s="1611">
        <v>0.2</v>
      </c>
      <c r="AR168" s="1611">
        <v>0.2</v>
      </c>
      <c r="AS168" s="1611">
        <v>0.2</v>
      </c>
      <c r="AT168" s="1799">
        <v>0</v>
      </c>
      <c r="AU168" s="1800">
        <v>0</v>
      </c>
      <c r="AV168" s="1800">
        <v>0</v>
      </c>
      <c r="AX168" s="1604">
        <v>3</v>
      </c>
      <c r="AY168" s="1608" t="s">
        <v>361</v>
      </c>
      <c r="AZ168" s="1600" t="s">
        <v>1903</v>
      </c>
      <c r="BA168" s="1611">
        <v>0.2</v>
      </c>
      <c r="BB168" s="1611">
        <v>0.2</v>
      </c>
      <c r="BC168" s="1611">
        <v>0.2</v>
      </c>
      <c r="BD168" s="1611">
        <v>0.2</v>
      </c>
      <c r="BE168" s="1611">
        <v>0.2</v>
      </c>
      <c r="BF168" s="1611">
        <v>0.2</v>
      </c>
      <c r="BG168" s="1611">
        <v>0.2</v>
      </c>
      <c r="BH168" s="1611">
        <v>0.2</v>
      </c>
      <c r="BI168" s="1611">
        <v>0.2</v>
      </c>
      <c r="BJ168" s="1611">
        <v>0.2</v>
      </c>
      <c r="BK168" s="1799"/>
      <c r="BL168" s="1800"/>
      <c r="BM168" s="1800"/>
      <c r="BO168" s="1604">
        <v>3</v>
      </c>
      <c r="BP168" s="1608" t="s">
        <v>361</v>
      </c>
      <c r="BQ168" s="1600" t="s">
        <v>1644</v>
      </c>
      <c r="BR168" s="1611">
        <v>0.2</v>
      </c>
      <c r="BS168" s="1611">
        <v>0.2</v>
      </c>
      <c r="BT168" s="1611">
        <v>0.2</v>
      </c>
      <c r="BU168" s="1611">
        <v>0.2</v>
      </c>
      <c r="BV168" s="1611">
        <v>0.2</v>
      </c>
      <c r="BW168" s="1611">
        <v>0.2</v>
      </c>
      <c r="BX168" s="1611">
        <v>0.2</v>
      </c>
      <c r="BY168" s="1611">
        <v>0.2</v>
      </c>
      <c r="BZ168" s="1611">
        <v>0.2</v>
      </c>
      <c r="CA168" s="1611">
        <v>0.2</v>
      </c>
      <c r="CB168" s="1799"/>
      <c r="CC168" s="1800"/>
      <c r="CD168" s="1800"/>
      <c r="CE168" s="1794"/>
      <c r="CG168" s="1604">
        <v>3</v>
      </c>
      <c r="CH168" s="1608" t="s">
        <v>361</v>
      </c>
      <c r="CI168" s="1600" t="s">
        <v>1903</v>
      </c>
      <c r="CJ168" s="1619">
        <v>0.05</v>
      </c>
      <c r="CK168" s="1619">
        <v>0.05</v>
      </c>
      <c r="CL168" s="1619">
        <v>0.05</v>
      </c>
      <c r="CM168" s="1619">
        <v>0.05</v>
      </c>
      <c r="CN168" s="1619">
        <v>0.05</v>
      </c>
      <c r="CO168" s="1619">
        <v>0.05</v>
      </c>
      <c r="CP168" s="1619">
        <v>0.05</v>
      </c>
      <c r="CQ168" s="1619">
        <v>0.05</v>
      </c>
      <c r="CR168" s="1619">
        <v>0.05</v>
      </c>
      <c r="CS168" s="1619">
        <v>0.05</v>
      </c>
      <c r="CT168" s="1801">
        <f t="shared" si="157"/>
        <v>0</v>
      </c>
      <c r="CU168" s="1802">
        <f t="shared" si="158"/>
        <v>0</v>
      </c>
      <c r="CV168" s="1802">
        <f t="shared" si="159"/>
        <v>0</v>
      </c>
      <c r="CX168" s="1604">
        <v>3</v>
      </c>
      <c r="CY168" s="1608" t="s">
        <v>361</v>
      </c>
      <c r="CZ168" s="1600" t="s">
        <v>1903</v>
      </c>
      <c r="DA168" s="1731">
        <f t="shared" si="168"/>
        <v>0.2</v>
      </c>
      <c r="DB168" s="1619"/>
      <c r="DC168" s="1619"/>
      <c r="DD168" s="1619"/>
      <c r="DE168" s="1619"/>
      <c r="DF168" s="1619"/>
      <c r="DG168" s="1619"/>
      <c r="DH168" s="1619"/>
      <c r="DI168" s="1619"/>
      <c r="DJ168" s="1619"/>
      <c r="DK168" s="1803"/>
      <c r="DL168" s="1804"/>
      <c r="DM168" s="1804"/>
    </row>
    <row r="169" spans="2:117">
      <c r="B169" s="1584" t="str">
        <f t="shared" si="165"/>
        <v>3.1</v>
      </c>
      <c r="C169" s="1622" t="str">
        <f t="shared" si="116"/>
        <v>Use of Materials without Harmful Substances</v>
      </c>
      <c r="D169" s="1623">
        <f>IF(I$168=0,0,G169/I$168)</f>
        <v>0.3</v>
      </c>
      <c r="E169" s="1624">
        <f>IF(J$168=0,0,H169/J$168)</f>
        <v>0</v>
      </c>
      <c r="G169" s="1624">
        <f t="shared" si="161"/>
        <v>0.3</v>
      </c>
      <c r="H169" s="1624">
        <f t="shared" si="162"/>
        <v>0</v>
      </c>
      <c r="I169" s="1624"/>
      <c r="J169" s="1624"/>
      <c r="K169" s="1624">
        <f>IF(Score!W169=0,0,1)</f>
        <v>1</v>
      </c>
      <c r="L169" s="1624">
        <f>IF(Score!X169=0,0,1)</f>
        <v>0</v>
      </c>
      <c r="M169" s="1624">
        <f t="shared" si="163"/>
        <v>0.3</v>
      </c>
      <c r="N169" s="1624">
        <f t="shared" si="167"/>
        <v>0</v>
      </c>
      <c r="P169" s="1625" t="str">
        <f t="shared" si="118"/>
        <v>3.1</v>
      </c>
      <c r="Q169" s="1625" t="str">
        <f t="shared" si="119"/>
        <v>LR2 3</v>
      </c>
      <c r="R169" s="1622" t="str">
        <f t="shared" si="120"/>
        <v>Use of Materials without Harmful Substances</v>
      </c>
      <c r="S169" s="1626">
        <f t="shared" si="102"/>
        <v>0.3</v>
      </c>
      <c r="T169" s="1626">
        <f t="shared" si="103"/>
        <v>0.3</v>
      </c>
      <c r="U169" s="1626">
        <f t="shared" si="104"/>
        <v>0.3</v>
      </c>
      <c r="V169" s="1626">
        <f t="shared" si="105"/>
        <v>0.3</v>
      </c>
      <c r="W169" s="1626">
        <f t="shared" si="106"/>
        <v>0.3</v>
      </c>
      <c r="X169" s="1626">
        <f t="shared" si="107"/>
        <v>0.3</v>
      </c>
      <c r="Y169" s="1626">
        <f t="shared" si="108"/>
        <v>0.3</v>
      </c>
      <c r="Z169" s="1645">
        <f t="shared" si="109"/>
        <v>0.3</v>
      </c>
      <c r="AA169" s="1626">
        <f t="shared" si="110"/>
        <v>0.3</v>
      </c>
      <c r="AB169" s="1626">
        <f t="shared" si="111"/>
        <v>0.3</v>
      </c>
      <c r="AC169" s="1805">
        <f t="shared" si="112"/>
        <v>0</v>
      </c>
      <c r="AD169" s="1662">
        <f t="shared" si="113"/>
        <v>0</v>
      </c>
      <c r="AE169" s="1662">
        <f t="shared" si="114"/>
        <v>0</v>
      </c>
      <c r="AG169" s="1625" t="s">
        <v>344</v>
      </c>
      <c r="AH169" s="1628" t="s">
        <v>47</v>
      </c>
      <c r="AI169" s="1622" t="s">
        <v>1904</v>
      </c>
      <c r="AJ169" s="1631">
        <v>0.3</v>
      </c>
      <c r="AK169" s="1631">
        <v>0.3</v>
      </c>
      <c r="AL169" s="1631">
        <v>0.3</v>
      </c>
      <c r="AM169" s="1631">
        <v>0.3</v>
      </c>
      <c r="AN169" s="1631">
        <v>0.3</v>
      </c>
      <c r="AO169" s="1631">
        <v>0.3</v>
      </c>
      <c r="AP169" s="1631">
        <v>0.3</v>
      </c>
      <c r="AQ169" s="1631">
        <v>0.3</v>
      </c>
      <c r="AR169" s="1631">
        <v>0.3</v>
      </c>
      <c r="AS169" s="1631">
        <v>0.3</v>
      </c>
      <c r="AT169" s="1806">
        <v>0</v>
      </c>
      <c r="AU169" s="1664">
        <v>0</v>
      </c>
      <c r="AV169" s="1664">
        <v>0</v>
      </c>
      <c r="AX169" s="1625" t="s">
        <v>345</v>
      </c>
      <c r="AY169" s="1628" t="s">
        <v>47</v>
      </c>
      <c r="AZ169" s="1622" t="s">
        <v>1904</v>
      </c>
      <c r="BA169" s="1631">
        <v>0.3</v>
      </c>
      <c r="BB169" s="1631">
        <v>0.3</v>
      </c>
      <c r="BC169" s="1631">
        <v>0.3</v>
      </c>
      <c r="BD169" s="1631">
        <v>0.3</v>
      </c>
      <c r="BE169" s="1631">
        <v>0.3</v>
      </c>
      <c r="BF169" s="1631">
        <v>0.3</v>
      </c>
      <c r="BG169" s="1631">
        <v>0.3</v>
      </c>
      <c r="BH169" s="1631">
        <v>0.3</v>
      </c>
      <c r="BI169" s="1631">
        <v>0.3</v>
      </c>
      <c r="BJ169" s="1631">
        <v>0.3</v>
      </c>
      <c r="BK169" s="1806"/>
      <c r="BL169" s="1664"/>
      <c r="BM169" s="1664"/>
      <c r="BO169" s="1625" t="s">
        <v>345</v>
      </c>
      <c r="BP169" s="1628" t="s">
        <v>47</v>
      </c>
      <c r="BQ169" s="1622" t="s">
        <v>1645</v>
      </c>
      <c r="BR169" s="1631">
        <v>0.3</v>
      </c>
      <c r="BS169" s="1631">
        <v>0.3</v>
      </c>
      <c r="BT169" s="1631">
        <v>0.3</v>
      </c>
      <c r="BU169" s="1631">
        <v>0.3</v>
      </c>
      <c r="BV169" s="1631">
        <v>0.3</v>
      </c>
      <c r="BW169" s="1631">
        <v>0.3</v>
      </c>
      <c r="BX169" s="1631">
        <v>0.3</v>
      </c>
      <c r="BY169" s="1631">
        <v>0.3</v>
      </c>
      <c r="BZ169" s="1631">
        <v>0.3</v>
      </c>
      <c r="CA169" s="1631">
        <v>0.3</v>
      </c>
      <c r="CB169" s="1806"/>
      <c r="CC169" s="1664"/>
      <c r="CD169" s="1664"/>
      <c r="CE169" s="1557"/>
      <c r="CG169" s="1625" t="s">
        <v>330</v>
      </c>
      <c r="CH169" s="1628" t="s">
        <v>47</v>
      </c>
      <c r="CI169" s="1622" t="s">
        <v>1904</v>
      </c>
      <c r="CJ169" s="1636">
        <f t="shared" si="160"/>
        <v>0.3</v>
      </c>
      <c r="CK169" s="1636">
        <f t="shared" si="148"/>
        <v>0.3</v>
      </c>
      <c r="CL169" s="1636">
        <f t="shared" si="149"/>
        <v>0.3</v>
      </c>
      <c r="CM169" s="1636">
        <f t="shared" si="150"/>
        <v>0.3</v>
      </c>
      <c r="CN169" s="1636">
        <f t="shared" si="151"/>
        <v>0.3</v>
      </c>
      <c r="CO169" s="1636">
        <f t="shared" si="152"/>
        <v>0.3</v>
      </c>
      <c r="CP169" s="1636">
        <f t="shared" si="153"/>
        <v>0.3</v>
      </c>
      <c r="CQ169" s="1636">
        <f t="shared" si="154"/>
        <v>0.3</v>
      </c>
      <c r="CR169" s="1636">
        <f t="shared" si="155"/>
        <v>0.3</v>
      </c>
      <c r="CS169" s="1636">
        <f t="shared" si="156"/>
        <v>0.3</v>
      </c>
      <c r="CT169" s="1807">
        <f t="shared" si="157"/>
        <v>0</v>
      </c>
      <c r="CU169" s="1665">
        <f t="shared" si="158"/>
        <v>0</v>
      </c>
      <c r="CV169" s="1665">
        <f t="shared" si="159"/>
        <v>0</v>
      </c>
      <c r="CX169" s="1625" t="s">
        <v>330</v>
      </c>
      <c r="CY169" s="1628" t="s">
        <v>47</v>
      </c>
      <c r="CZ169" s="1622" t="s">
        <v>1904</v>
      </c>
      <c r="DA169" s="1637">
        <v>0.6</v>
      </c>
      <c r="DB169" s="1638"/>
      <c r="DC169" s="1638"/>
      <c r="DD169" s="1638"/>
      <c r="DE169" s="1638"/>
      <c r="DF169" s="1638"/>
      <c r="DG169" s="1638"/>
      <c r="DH169" s="1638"/>
      <c r="DI169" s="1638"/>
      <c r="DJ169" s="1638"/>
      <c r="DK169" s="1808"/>
      <c r="DL169" s="1666"/>
      <c r="DM169" s="1666"/>
    </row>
    <row r="170" spans="2:117">
      <c r="B170" s="1584" t="str">
        <f t="shared" si="165"/>
        <v>3.2</v>
      </c>
      <c r="C170" s="1622" t="str">
        <f t="shared" si="116"/>
        <v>Avoidance of CFCs and Halons</v>
      </c>
      <c r="D170" s="1623">
        <f>IF(I$168=0,0,G170/I$168)</f>
        <v>0.7</v>
      </c>
      <c r="E170" s="1624">
        <f>IF(J$168=0,0,H170/J$168)</f>
        <v>0</v>
      </c>
      <c r="G170" s="1624">
        <f t="shared" si="161"/>
        <v>0.7</v>
      </c>
      <c r="H170" s="1624">
        <f t="shared" si="162"/>
        <v>0</v>
      </c>
      <c r="I170" s="1624">
        <f>SUM(G171:G173)</f>
        <v>1</v>
      </c>
      <c r="J170" s="1624">
        <f>SUM(H171:H173)</f>
        <v>0</v>
      </c>
      <c r="K170" s="1624">
        <f>IF(Score!Z170=0,0,1)</f>
        <v>1</v>
      </c>
      <c r="L170" s="1624">
        <f>IF(Score!AB170=0,0,1)</f>
        <v>0</v>
      </c>
      <c r="M170" s="1624">
        <f t="shared" si="163"/>
        <v>0.7</v>
      </c>
      <c r="N170" s="1624">
        <f t="shared" si="167"/>
        <v>0</v>
      </c>
      <c r="P170" s="1625" t="str">
        <f t="shared" si="118"/>
        <v>3.2</v>
      </c>
      <c r="Q170" s="1625" t="str">
        <f t="shared" si="119"/>
        <v>LR2 3</v>
      </c>
      <c r="R170" s="1622" t="str">
        <f t="shared" si="120"/>
        <v>Avoidance of CFCs and Halons</v>
      </c>
      <c r="S170" s="1626">
        <f t="shared" si="102"/>
        <v>0.7</v>
      </c>
      <c r="T170" s="1626">
        <f t="shared" si="103"/>
        <v>0.7</v>
      </c>
      <c r="U170" s="1626">
        <f t="shared" si="104"/>
        <v>0.7</v>
      </c>
      <c r="V170" s="1626">
        <f t="shared" si="105"/>
        <v>0.7</v>
      </c>
      <c r="W170" s="1626">
        <f t="shared" si="106"/>
        <v>0.7</v>
      </c>
      <c r="X170" s="1626">
        <f t="shared" si="107"/>
        <v>0.7</v>
      </c>
      <c r="Y170" s="1626">
        <f t="shared" si="108"/>
        <v>0.7</v>
      </c>
      <c r="Z170" s="1645">
        <f t="shared" si="109"/>
        <v>0.7</v>
      </c>
      <c r="AA170" s="1626">
        <f t="shared" si="110"/>
        <v>0.7</v>
      </c>
      <c r="AB170" s="1626">
        <f t="shared" si="111"/>
        <v>0.7</v>
      </c>
      <c r="AC170" s="1805">
        <f t="shared" si="112"/>
        <v>0</v>
      </c>
      <c r="AD170" s="1662">
        <f t="shared" si="113"/>
        <v>0</v>
      </c>
      <c r="AE170" s="1662">
        <f t="shared" si="114"/>
        <v>0</v>
      </c>
      <c r="AG170" s="1625" t="s">
        <v>346</v>
      </c>
      <c r="AH170" s="1628" t="s">
        <v>47</v>
      </c>
      <c r="AI170" s="1622" t="s">
        <v>1905</v>
      </c>
      <c r="AJ170" s="1631">
        <v>0.7</v>
      </c>
      <c r="AK170" s="1631">
        <v>0.7</v>
      </c>
      <c r="AL170" s="1631">
        <v>0.7</v>
      </c>
      <c r="AM170" s="1631">
        <v>0.7</v>
      </c>
      <c r="AN170" s="1631">
        <v>0.7</v>
      </c>
      <c r="AO170" s="1631">
        <v>0.7</v>
      </c>
      <c r="AP170" s="1631">
        <v>0.7</v>
      </c>
      <c r="AQ170" s="1631">
        <v>0.7</v>
      </c>
      <c r="AR170" s="1631">
        <v>0.7</v>
      </c>
      <c r="AS170" s="1631">
        <v>0.7</v>
      </c>
      <c r="AT170" s="1806">
        <v>0</v>
      </c>
      <c r="AU170" s="1664">
        <v>0</v>
      </c>
      <c r="AV170" s="1664">
        <v>0</v>
      </c>
      <c r="AX170" s="1625" t="s">
        <v>346</v>
      </c>
      <c r="AY170" s="1628" t="s">
        <v>47</v>
      </c>
      <c r="AZ170" s="1622" t="s">
        <v>1905</v>
      </c>
      <c r="BA170" s="1631">
        <v>0.7</v>
      </c>
      <c r="BB170" s="1631">
        <v>0.7</v>
      </c>
      <c r="BC170" s="1631">
        <v>0.7</v>
      </c>
      <c r="BD170" s="1631">
        <v>0.7</v>
      </c>
      <c r="BE170" s="1631">
        <v>0.7</v>
      </c>
      <c r="BF170" s="1631">
        <v>0.7</v>
      </c>
      <c r="BG170" s="1631">
        <v>0.7</v>
      </c>
      <c r="BH170" s="1631">
        <v>0.7</v>
      </c>
      <c r="BI170" s="1631">
        <v>0.7</v>
      </c>
      <c r="BJ170" s="1631">
        <v>0.7</v>
      </c>
      <c r="BK170" s="1806"/>
      <c r="BL170" s="1664"/>
      <c r="BM170" s="1664"/>
      <c r="BO170" s="1625" t="s">
        <v>346</v>
      </c>
      <c r="BP170" s="1628" t="s">
        <v>47</v>
      </c>
      <c r="BQ170" s="1818" t="s">
        <v>3361</v>
      </c>
      <c r="BR170" s="1631">
        <v>0.7</v>
      </c>
      <c r="BS170" s="1631">
        <v>0.7</v>
      </c>
      <c r="BT170" s="1631">
        <v>0.7</v>
      </c>
      <c r="BU170" s="1631">
        <v>0.7</v>
      </c>
      <c r="BV170" s="1631">
        <v>0.7</v>
      </c>
      <c r="BW170" s="1631">
        <v>0.7</v>
      </c>
      <c r="BX170" s="1631">
        <v>0.7</v>
      </c>
      <c r="BY170" s="1631">
        <v>0.7</v>
      </c>
      <c r="BZ170" s="1631">
        <v>0.7</v>
      </c>
      <c r="CA170" s="1631">
        <v>0.7</v>
      </c>
      <c r="CB170" s="1806"/>
      <c r="CC170" s="1664"/>
      <c r="CD170" s="1664"/>
      <c r="CE170" s="1557"/>
      <c r="CG170" s="1625" t="s">
        <v>331</v>
      </c>
      <c r="CH170" s="1628" t="s">
        <v>47</v>
      </c>
      <c r="CI170" s="1622" t="s">
        <v>1905</v>
      </c>
      <c r="CJ170" s="1636">
        <f t="shared" si="160"/>
        <v>0.7</v>
      </c>
      <c r="CK170" s="1636">
        <f t="shared" si="148"/>
        <v>0.7</v>
      </c>
      <c r="CL170" s="1636">
        <f t="shared" si="149"/>
        <v>0.7</v>
      </c>
      <c r="CM170" s="1636">
        <f t="shared" si="150"/>
        <v>0.7</v>
      </c>
      <c r="CN170" s="1636">
        <f t="shared" si="151"/>
        <v>0.7</v>
      </c>
      <c r="CO170" s="1636">
        <f t="shared" si="152"/>
        <v>0.7</v>
      </c>
      <c r="CP170" s="1636">
        <f t="shared" si="153"/>
        <v>0.7</v>
      </c>
      <c r="CQ170" s="1636">
        <f t="shared" si="154"/>
        <v>0.7</v>
      </c>
      <c r="CR170" s="1636">
        <f t="shared" si="155"/>
        <v>0.7</v>
      </c>
      <c r="CS170" s="1636">
        <f t="shared" si="156"/>
        <v>0.7</v>
      </c>
      <c r="CT170" s="1807">
        <f t="shared" si="157"/>
        <v>0</v>
      </c>
      <c r="CU170" s="1665">
        <f t="shared" si="158"/>
        <v>0</v>
      </c>
      <c r="CV170" s="1665">
        <f t="shared" si="159"/>
        <v>0</v>
      </c>
      <c r="CX170" s="1625" t="s">
        <v>331</v>
      </c>
      <c r="CY170" s="1628" t="s">
        <v>47</v>
      </c>
      <c r="CZ170" s="1622" t="s">
        <v>1905</v>
      </c>
      <c r="DA170" s="1637">
        <v>0.4</v>
      </c>
      <c r="DB170" s="1638"/>
      <c r="DC170" s="1638"/>
      <c r="DD170" s="1638"/>
      <c r="DE170" s="1638"/>
      <c r="DF170" s="1638"/>
      <c r="DG170" s="1638"/>
      <c r="DH170" s="1638"/>
      <c r="DI170" s="1638"/>
      <c r="DJ170" s="1638"/>
      <c r="DK170" s="1808"/>
      <c r="DL170" s="1666"/>
      <c r="DM170" s="1666"/>
    </row>
    <row r="171" spans="2:117">
      <c r="B171" s="1584" t="str">
        <f t="shared" si="165"/>
        <v>3.2.1</v>
      </c>
      <c r="C171" s="1622" t="str">
        <f t="shared" si="116"/>
        <v>Fire Retardant</v>
      </c>
      <c r="D171" s="1603">
        <f>IF(I$170&gt;0,G171/I$170,0)</f>
        <v>0.33333333333333331</v>
      </c>
      <c r="E171" s="1624">
        <f t="shared" ref="D171:E173" si="174">IF(J$170&gt;0,H171/J$170,0)</f>
        <v>0</v>
      </c>
      <c r="G171" s="1624">
        <f t="shared" si="161"/>
        <v>0.33333333333333331</v>
      </c>
      <c r="H171" s="1624">
        <f t="shared" si="162"/>
        <v>0</v>
      </c>
      <c r="I171" s="1624"/>
      <c r="J171" s="1624"/>
      <c r="K171" s="1624">
        <f>IF(Score!W171=0,0,1)</f>
        <v>1</v>
      </c>
      <c r="L171" s="1624">
        <f>IF(Score!X171=0,0,1)</f>
        <v>0</v>
      </c>
      <c r="M171" s="1624">
        <f t="shared" si="163"/>
        <v>0.33333333333333331</v>
      </c>
      <c r="N171" s="1624">
        <f t="shared" si="167"/>
        <v>0</v>
      </c>
      <c r="P171" s="1625" t="str">
        <f t="shared" si="118"/>
        <v>3.2.1</v>
      </c>
      <c r="Q171" s="1625" t="str">
        <f t="shared" si="119"/>
        <v>LR2 3.2</v>
      </c>
      <c r="R171" s="1622" t="str">
        <f t="shared" si="120"/>
        <v>Fire Retardant</v>
      </c>
      <c r="S171" s="1626">
        <f t="shared" si="102"/>
        <v>0.33333333333333331</v>
      </c>
      <c r="T171" s="1626">
        <f t="shared" si="103"/>
        <v>0.33333333333333331</v>
      </c>
      <c r="U171" s="1626">
        <f t="shared" si="104"/>
        <v>0.33333333333333331</v>
      </c>
      <c r="V171" s="1626">
        <f t="shared" si="105"/>
        <v>0.33333333333333331</v>
      </c>
      <c r="W171" s="1626">
        <f t="shared" si="106"/>
        <v>0.33333333333333331</v>
      </c>
      <c r="X171" s="1626">
        <f t="shared" si="107"/>
        <v>0.33333333333333331</v>
      </c>
      <c r="Y171" s="1626">
        <f t="shared" si="108"/>
        <v>0.33333333333333331</v>
      </c>
      <c r="Z171" s="1645">
        <f t="shared" si="109"/>
        <v>0.33333333333333331</v>
      </c>
      <c r="AA171" s="1626">
        <f t="shared" si="110"/>
        <v>0.33333333333333331</v>
      </c>
      <c r="AB171" s="1626">
        <f t="shared" si="111"/>
        <v>0.33333333333333331</v>
      </c>
      <c r="AC171" s="1805">
        <f t="shared" si="112"/>
        <v>0</v>
      </c>
      <c r="AD171" s="1662">
        <f t="shared" si="113"/>
        <v>0</v>
      </c>
      <c r="AE171" s="1662">
        <f t="shared" si="114"/>
        <v>0</v>
      </c>
      <c r="AG171" s="1625" t="s">
        <v>347</v>
      </c>
      <c r="AH171" s="1628" t="s">
        <v>564</v>
      </c>
      <c r="AI171" s="1622" t="s">
        <v>1906</v>
      </c>
      <c r="AJ171" s="1631">
        <v>0.33333333333333331</v>
      </c>
      <c r="AK171" s="1631">
        <v>0.33333333333333331</v>
      </c>
      <c r="AL171" s="1631">
        <v>0.33333333333333331</v>
      </c>
      <c r="AM171" s="1631">
        <v>0.33333333333333331</v>
      </c>
      <c r="AN171" s="1631">
        <v>0.33333333333333331</v>
      </c>
      <c r="AO171" s="1631">
        <v>0.33333333333333331</v>
      </c>
      <c r="AP171" s="1631">
        <v>0.33333333333333331</v>
      </c>
      <c r="AQ171" s="1631">
        <v>0.33333333333333331</v>
      </c>
      <c r="AR171" s="1631">
        <v>0.33333333333333331</v>
      </c>
      <c r="AS171" s="1631">
        <v>0.33333333333333331</v>
      </c>
      <c r="AT171" s="1806">
        <v>0</v>
      </c>
      <c r="AU171" s="1664">
        <v>0</v>
      </c>
      <c r="AV171" s="1664">
        <v>0</v>
      </c>
      <c r="AX171" s="1625" t="s">
        <v>347</v>
      </c>
      <c r="AY171" s="1628" t="s">
        <v>564</v>
      </c>
      <c r="AZ171" s="1622" t="s">
        <v>1906</v>
      </c>
      <c r="BA171" s="1631">
        <v>0.33333333333333331</v>
      </c>
      <c r="BB171" s="1631">
        <v>0.33333333333333331</v>
      </c>
      <c r="BC171" s="1631">
        <v>0.33333333333333331</v>
      </c>
      <c r="BD171" s="1631">
        <v>0.33333333333333331</v>
      </c>
      <c r="BE171" s="1631">
        <v>0.33333333333333331</v>
      </c>
      <c r="BF171" s="1631">
        <v>0.33333333333333331</v>
      </c>
      <c r="BG171" s="1631">
        <v>0.33333333333333331</v>
      </c>
      <c r="BH171" s="1631">
        <v>0.33333333333333331</v>
      </c>
      <c r="BI171" s="1631">
        <v>0.33333333333333331</v>
      </c>
      <c r="BJ171" s="1631">
        <v>0.33333333333333331</v>
      </c>
      <c r="BK171" s="1806"/>
      <c r="BL171" s="1664"/>
      <c r="BM171" s="1664"/>
      <c r="BO171" s="1625" t="s">
        <v>347</v>
      </c>
      <c r="BP171" s="1628" t="s">
        <v>564</v>
      </c>
      <c r="BQ171" s="1622" t="s">
        <v>1646</v>
      </c>
      <c r="BR171" s="1631">
        <v>0.33333333333333331</v>
      </c>
      <c r="BS171" s="1631">
        <v>0.33333333333333331</v>
      </c>
      <c r="BT171" s="1631">
        <v>0.33333333333333331</v>
      </c>
      <c r="BU171" s="1631">
        <v>0.33333333333333331</v>
      </c>
      <c r="BV171" s="1631">
        <v>0.33333333333333331</v>
      </c>
      <c r="BW171" s="1631">
        <v>0.33333333333333331</v>
      </c>
      <c r="BX171" s="1631">
        <v>0.33333333333333331</v>
      </c>
      <c r="BY171" s="1631">
        <v>0.33333333333333331</v>
      </c>
      <c r="BZ171" s="1631">
        <v>0.33333333333333331</v>
      </c>
      <c r="CA171" s="1631">
        <v>0.33333333333333331</v>
      </c>
      <c r="CB171" s="1806"/>
      <c r="CC171" s="1664"/>
      <c r="CD171" s="1664"/>
      <c r="CE171" s="1557"/>
      <c r="CG171" s="1625" t="s">
        <v>241</v>
      </c>
      <c r="CH171" s="1628" t="s">
        <v>564</v>
      </c>
      <c r="CI171" s="1622" t="s">
        <v>1906</v>
      </c>
      <c r="CJ171" s="1636">
        <f t="shared" si="160"/>
        <v>0.33333333333333331</v>
      </c>
      <c r="CK171" s="1636">
        <f t="shared" si="148"/>
        <v>0.33333333333333331</v>
      </c>
      <c r="CL171" s="1636">
        <f t="shared" si="149"/>
        <v>0.33333333333333331</v>
      </c>
      <c r="CM171" s="1636">
        <f t="shared" si="150"/>
        <v>0.33333333333333331</v>
      </c>
      <c r="CN171" s="1636">
        <f t="shared" si="151"/>
        <v>0.33333333333333331</v>
      </c>
      <c r="CO171" s="1636">
        <f t="shared" si="152"/>
        <v>0.33333333333333331</v>
      </c>
      <c r="CP171" s="1636">
        <f t="shared" si="153"/>
        <v>0.33333333333333331</v>
      </c>
      <c r="CQ171" s="1636">
        <f t="shared" si="154"/>
        <v>0.33333333333333331</v>
      </c>
      <c r="CR171" s="1636">
        <f t="shared" si="155"/>
        <v>0.33333333333333331</v>
      </c>
      <c r="CS171" s="1636">
        <f t="shared" si="156"/>
        <v>0.33333333333333331</v>
      </c>
      <c r="CT171" s="1807">
        <f t="shared" si="157"/>
        <v>0</v>
      </c>
      <c r="CU171" s="1665">
        <f t="shared" si="158"/>
        <v>0</v>
      </c>
      <c r="CV171" s="1665">
        <f t="shared" si="159"/>
        <v>0</v>
      </c>
      <c r="CX171" s="1625" t="s">
        <v>241</v>
      </c>
      <c r="CY171" s="1628" t="s">
        <v>564</v>
      </c>
      <c r="CZ171" s="1622" t="s">
        <v>1906</v>
      </c>
      <c r="DA171" s="1637">
        <v>0</v>
      </c>
      <c r="DB171" s="1638"/>
      <c r="DC171" s="1638"/>
      <c r="DD171" s="1638"/>
      <c r="DE171" s="1638"/>
      <c r="DF171" s="1638"/>
      <c r="DG171" s="1638"/>
      <c r="DH171" s="1638"/>
      <c r="DI171" s="1638"/>
      <c r="DJ171" s="1638"/>
      <c r="DK171" s="1808"/>
      <c r="DL171" s="1666"/>
      <c r="DM171" s="1666"/>
    </row>
    <row r="172" spans="2:117">
      <c r="B172" s="1584" t="str">
        <f t="shared" si="165"/>
        <v>3.2.2</v>
      </c>
      <c r="C172" s="1622" t="str">
        <f t="shared" si="116"/>
        <v>Foaming Agents (Insulation Materials, etc.)</v>
      </c>
      <c r="D172" s="1603">
        <f t="shared" si="174"/>
        <v>0.33333333333333331</v>
      </c>
      <c r="E172" s="1624">
        <f t="shared" si="174"/>
        <v>0</v>
      </c>
      <c r="G172" s="1624">
        <f t="shared" si="161"/>
        <v>0.33333333333333331</v>
      </c>
      <c r="H172" s="1624">
        <f t="shared" si="162"/>
        <v>0</v>
      </c>
      <c r="I172" s="1624"/>
      <c r="J172" s="1624"/>
      <c r="K172" s="1624">
        <f>IF(Score!W172=0,0,1)</f>
        <v>1</v>
      </c>
      <c r="L172" s="1624">
        <f>IF(Score!X172=0,0,1)</f>
        <v>0</v>
      </c>
      <c r="M172" s="1624">
        <f t="shared" si="163"/>
        <v>0.33333333333333331</v>
      </c>
      <c r="N172" s="1624">
        <f t="shared" si="167"/>
        <v>0</v>
      </c>
      <c r="P172" s="1625" t="str">
        <f t="shared" si="118"/>
        <v>3.2.2</v>
      </c>
      <c r="Q172" s="1625" t="str">
        <f t="shared" si="119"/>
        <v>LR2 3.2</v>
      </c>
      <c r="R172" s="1622" t="str">
        <f t="shared" si="120"/>
        <v>Foaming Agents (Insulation Materials, etc.)</v>
      </c>
      <c r="S172" s="1626">
        <f t="shared" si="102"/>
        <v>0.33333333333333331</v>
      </c>
      <c r="T172" s="1626">
        <f t="shared" si="103"/>
        <v>0.33333333333333331</v>
      </c>
      <c r="U172" s="1626">
        <f t="shared" si="104"/>
        <v>0.33333333333333331</v>
      </c>
      <c r="V172" s="1626">
        <f t="shared" si="105"/>
        <v>0.33333333333333331</v>
      </c>
      <c r="W172" s="1626">
        <f t="shared" si="106"/>
        <v>0.33333333333333331</v>
      </c>
      <c r="X172" s="1626">
        <f t="shared" si="107"/>
        <v>0.33333333333333331</v>
      </c>
      <c r="Y172" s="1626">
        <f t="shared" si="108"/>
        <v>0.33333333333333331</v>
      </c>
      <c r="Z172" s="1645">
        <f t="shared" si="109"/>
        <v>0.33333333333333331</v>
      </c>
      <c r="AA172" s="1626">
        <f t="shared" si="110"/>
        <v>0.33333333333333331</v>
      </c>
      <c r="AB172" s="1626">
        <f t="shared" si="111"/>
        <v>0.33333333333333331</v>
      </c>
      <c r="AC172" s="1805">
        <f t="shared" si="112"/>
        <v>0</v>
      </c>
      <c r="AD172" s="1662">
        <f t="shared" si="113"/>
        <v>0</v>
      </c>
      <c r="AE172" s="1662">
        <f t="shared" si="114"/>
        <v>0</v>
      </c>
      <c r="AG172" s="1625" t="s">
        <v>349</v>
      </c>
      <c r="AH172" s="1628" t="s">
        <v>564</v>
      </c>
      <c r="AI172" s="1622" t="s">
        <v>1907</v>
      </c>
      <c r="AJ172" s="1631">
        <v>0.33333333333333331</v>
      </c>
      <c r="AK172" s="1631">
        <v>0.33333333333333331</v>
      </c>
      <c r="AL172" s="1631">
        <v>0.33333333333333331</v>
      </c>
      <c r="AM172" s="1631">
        <v>0.33333333333333331</v>
      </c>
      <c r="AN172" s="1631">
        <v>0.33333333333333331</v>
      </c>
      <c r="AO172" s="1631">
        <v>0.33333333333333331</v>
      </c>
      <c r="AP172" s="1631">
        <v>0.33333333333333331</v>
      </c>
      <c r="AQ172" s="1631">
        <v>0.33333333333333331</v>
      </c>
      <c r="AR172" s="1631">
        <v>0.33333333333333331</v>
      </c>
      <c r="AS172" s="1631">
        <v>0.33333333333333331</v>
      </c>
      <c r="AT172" s="1806">
        <v>0</v>
      </c>
      <c r="AU172" s="1664">
        <v>0</v>
      </c>
      <c r="AV172" s="1664">
        <v>0</v>
      </c>
      <c r="AX172" s="1625" t="s">
        <v>349</v>
      </c>
      <c r="AY172" s="1628" t="s">
        <v>564</v>
      </c>
      <c r="AZ172" s="1622" t="s">
        <v>1907</v>
      </c>
      <c r="BA172" s="1631">
        <v>0.33333333333333331</v>
      </c>
      <c r="BB172" s="1631">
        <v>0.33333333333333331</v>
      </c>
      <c r="BC172" s="1631">
        <v>0.33333333333333331</v>
      </c>
      <c r="BD172" s="1631">
        <v>0.33333333333333331</v>
      </c>
      <c r="BE172" s="1631">
        <v>0.33333333333333331</v>
      </c>
      <c r="BF172" s="1631">
        <v>0.33333333333333331</v>
      </c>
      <c r="BG172" s="1631">
        <v>0.33333333333333331</v>
      </c>
      <c r="BH172" s="1631">
        <v>0.33333333333333331</v>
      </c>
      <c r="BI172" s="1631">
        <v>0.33333333333333331</v>
      </c>
      <c r="BJ172" s="1631">
        <v>0.33333333333333331</v>
      </c>
      <c r="BK172" s="1806"/>
      <c r="BL172" s="1664"/>
      <c r="BM172" s="1664"/>
      <c r="BO172" s="1625" t="s">
        <v>349</v>
      </c>
      <c r="BP172" s="1628" t="s">
        <v>564</v>
      </c>
      <c r="BQ172" s="1818" t="s">
        <v>3362</v>
      </c>
      <c r="BR172" s="1631">
        <v>0.33333333333333331</v>
      </c>
      <c r="BS172" s="1631">
        <v>0.33333333333333331</v>
      </c>
      <c r="BT172" s="1631">
        <v>0.33333333333333331</v>
      </c>
      <c r="BU172" s="1631">
        <v>0.33333333333333331</v>
      </c>
      <c r="BV172" s="1631">
        <v>0.33333333333333331</v>
      </c>
      <c r="BW172" s="1631">
        <v>0.33333333333333331</v>
      </c>
      <c r="BX172" s="1631">
        <v>0.33333333333333331</v>
      </c>
      <c r="BY172" s="1631">
        <v>0.33333333333333331</v>
      </c>
      <c r="BZ172" s="1631">
        <v>0.33333333333333331</v>
      </c>
      <c r="CA172" s="1631">
        <v>0.33333333333333331</v>
      </c>
      <c r="CB172" s="1806"/>
      <c r="CC172" s="1664"/>
      <c r="CD172" s="1664"/>
      <c r="CE172" s="1557"/>
      <c r="CG172" s="1625" t="s">
        <v>242</v>
      </c>
      <c r="CH172" s="1628" t="s">
        <v>564</v>
      </c>
      <c r="CI172" s="1622" t="s">
        <v>1908</v>
      </c>
      <c r="CJ172" s="1636">
        <f t="shared" si="160"/>
        <v>0.33333333333333331</v>
      </c>
      <c r="CK172" s="1636">
        <f t="shared" si="148"/>
        <v>0.33333333333333331</v>
      </c>
      <c r="CL172" s="1636">
        <f t="shared" si="149"/>
        <v>0.33333333333333331</v>
      </c>
      <c r="CM172" s="1636">
        <f t="shared" si="150"/>
        <v>0.33333333333333331</v>
      </c>
      <c r="CN172" s="1636">
        <f t="shared" si="151"/>
        <v>0.33333333333333331</v>
      </c>
      <c r="CO172" s="1636">
        <f t="shared" si="152"/>
        <v>0.33333333333333331</v>
      </c>
      <c r="CP172" s="1636">
        <f t="shared" si="153"/>
        <v>0.33333333333333331</v>
      </c>
      <c r="CQ172" s="1636">
        <f t="shared" si="154"/>
        <v>0.33333333333333331</v>
      </c>
      <c r="CR172" s="1636">
        <f t="shared" si="155"/>
        <v>0.33333333333333331</v>
      </c>
      <c r="CS172" s="1636">
        <f t="shared" si="156"/>
        <v>0.33333333333333331</v>
      </c>
      <c r="CT172" s="1807">
        <f t="shared" si="157"/>
        <v>0</v>
      </c>
      <c r="CU172" s="1665">
        <f t="shared" si="158"/>
        <v>0</v>
      </c>
      <c r="CV172" s="1665">
        <f t="shared" si="159"/>
        <v>0</v>
      </c>
      <c r="CX172" s="1625" t="s">
        <v>242</v>
      </c>
      <c r="CY172" s="1628" t="s">
        <v>564</v>
      </c>
      <c r="CZ172" s="1622" t="s">
        <v>1908</v>
      </c>
      <c r="DA172" s="1637">
        <v>0</v>
      </c>
      <c r="DB172" s="1638"/>
      <c r="DC172" s="1638"/>
      <c r="DD172" s="1638"/>
      <c r="DE172" s="1638"/>
      <c r="DF172" s="1638"/>
      <c r="DG172" s="1638"/>
      <c r="DH172" s="1638"/>
      <c r="DI172" s="1638"/>
      <c r="DJ172" s="1638"/>
      <c r="DK172" s="1808"/>
      <c r="DL172" s="1666"/>
      <c r="DM172" s="1666"/>
    </row>
    <row r="173" spans="2:117">
      <c r="B173" s="1584" t="str">
        <f t="shared" si="165"/>
        <v>3.2.3</v>
      </c>
      <c r="C173" s="1622" t="str">
        <f t="shared" si="116"/>
        <v>Refrigerants</v>
      </c>
      <c r="D173" s="1603">
        <f>IF(I$170&gt;0,G173/I$170,0)</f>
        <v>0.33333333333333331</v>
      </c>
      <c r="E173" s="1624">
        <f t="shared" si="174"/>
        <v>0</v>
      </c>
      <c r="G173" s="1624">
        <f t="shared" si="161"/>
        <v>0.33333333333333331</v>
      </c>
      <c r="H173" s="1624">
        <f t="shared" si="162"/>
        <v>0</v>
      </c>
      <c r="I173" s="1624"/>
      <c r="J173" s="1624"/>
      <c r="K173" s="1624">
        <f>IF(Score!W173=0,0,1)</f>
        <v>1</v>
      </c>
      <c r="L173" s="1624">
        <f>IF(Score!X173=0,0,1)</f>
        <v>0</v>
      </c>
      <c r="M173" s="1624">
        <f t="shared" si="163"/>
        <v>0.33333333333333331</v>
      </c>
      <c r="N173" s="1624">
        <f t="shared" si="167"/>
        <v>0</v>
      </c>
      <c r="P173" s="1625" t="str">
        <f t="shared" si="118"/>
        <v>3.2.3</v>
      </c>
      <c r="Q173" s="1625" t="str">
        <f t="shared" si="119"/>
        <v>LR2 3.2</v>
      </c>
      <c r="R173" s="1622" t="str">
        <f t="shared" si="120"/>
        <v>Refrigerants</v>
      </c>
      <c r="S173" s="1626">
        <f t="shared" si="102"/>
        <v>0.33333333333333331</v>
      </c>
      <c r="T173" s="1626">
        <f t="shared" si="103"/>
        <v>0.33333333333333331</v>
      </c>
      <c r="U173" s="1626">
        <f t="shared" si="104"/>
        <v>0.33333333333333331</v>
      </c>
      <c r="V173" s="1626">
        <f t="shared" si="105"/>
        <v>0.33333333333333331</v>
      </c>
      <c r="W173" s="1626">
        <f t="shared" si="106"/>
        <v>0.33333333333333331</v>
      </c>
      <c r="X173" s="1626">
        <f t="shared" si="107"/>
        <v>0.33333333333333331</v>
      </c>
      <c r="Y173" s="1626">
        <f t="shared" si="108"/>
        <v>0.33333333333333331</v>
      </c>
      <c r="Z173" s="1645">
        <f t="shared" si="109"/>
        <v>0.33333333333333331</v>
      </c>
      <c r="AA173" s="1626">
        <f t="shared" si="110"/>
        <v>0.33333333333333331</v>
      </c>
      <c r="AB173" s="1626">
        <f t="shared" si="111"/>
        <v>0.33333333333333331</v>
      </c>
      <c r="AC173" s="1805">
        <f t="shared" si="112"/>
        <v>0</v>
      </c>
      <c r="AD173" s="1662">
        <f t="shared" si="113"/>
        <v>0</v>
      </c>
      <c r="AE173" s="1662">
        <f t="shared" si="114"/>
        <v>0</v>
      </c>
      <c r="AG173" s="1625" t="s">
        <v>375</v>
      </c>
      <c r="AH173" s="1628" t="s">
        <v>564</v>
      </c>
      <c r="AI173" s="1622" t="s">
        <v>1909</v>
      </c>
      <c r="AJ173" s="1631">
        <v>0.33333333333333331</v>
      </c>
      <c r="AK173" s="1631">
        <v>0.33333333333333331</v>
      </c>
      <c r="AL173" s="1631">
        <v>0.33333333333333331</v>
      </c>
      <c r="AM173" s="1631">
        <v>0.33333333333333331</v>
      </c>
      <c r="AN173" s="1631">
        <v>0.33333333333333331</v>
      </c>
      <c r="AO173" s="1631">
        <v>0.33333333333333331</v>
      </c>
      <c r="AP173" s="1631">
        <v>0.33333333333333331</v>
      </c>
      <c r="AQ173" s="1631">
        <v>0.33333333333333331</v>
      </c>
      <c r="AR173" s="1631">
        <v>0.33333333333333331</v>
      </c>
      <c r="AS173" s="1631">
        <v>0.33333333333333331</v>
      </c>
      <c r="AT173" s="1806">
        <v>0</v>
      </c>
      <c r="AU173" s="1664">
        <v>0</v>
      </c>
      <c r="AV173" s="1664">
        <v>0</v>
      </c>
      <c r="AX173" s="1625" t="s">
        <v>375</v>
      </c>
      <c r="AY173" s="1628" t="s">
        <v>564</v>
      </c>
      <c r="AZ173" s="1622" t="s">
        <v>1909</v>
      </c>
      <c r="BA173" s="1631">
        <v>0.33333333333333331</v>
      </c>
      <c r="BB173" s="1631">
        <v>0.33333333333333331</v>
      </c>
      <c r="BC173" s="1631">
        <v>0.33333333333333331</v>
      </c>
      <c r="BD173" s="1631">
        <v>0.33333333333333331</v>
      </c>
      <c r="BE173" s="1631">
        <v>0.33333333333333331</v>
      </c>
      <c r="BF173" s="1631">
        <v>0.33333333333333331</v>
      </c>
      <c r="BG173" s="1631">
        <v>0.33333333333333331</v>
      </c>
      <c r="BH173" s="1631">
        <v>0.33333333333333331</v>
      </c>
      <c r="BI173" s="1631">
        <v>0.33333333333333331</v>
      </c>
      <c r="BJ173" s="1631">
        <v>0.33333333333333331</v>
      </c>
      <c r="BK173" s="1806"/>
      <c r="BL173" s="1664"/>
      <c r="BM173" s="1664"/>
      <c r="BO173" s="1625" t="s">
        <v>375</v>
      </c>
      <c r="BP173" s="1628" t="s">
        <v>564</v>
      </c>
      <c r="BQ173" s="1622" t="s">
        <v>1647</v>
      </c>
      <c r="BR173" s="1631">
        <v>0.33333333333333331</v>
      </c>
      <c r="BS173" s="1631">
        <v>0.33333333333333331</v>
      </c>
      <c r="BT173" s="1631">
        <v>0.33333333333333331</v>
      </c>
      <c r="BU173" s="1631">
        <v>0.33333333333333331</v>
      </c>
      <c r="BV173" s="1631">
        <v>0.33333333333333331</v>
      </c>
      <c r="BW173" s="1631">
        <v>0.33333333333333331</v>
      </c>
      <c r="BX173" s="1631">
        <v>0.33333333333333331</v>
      </c>
      <c r="BY173" s="1631">
        <v>0.33333333333333331</v>
      </c>
      <c r="BZ173" s="1631">
        <v>0.33333333333333331</v>
      </c>
      <c r="CA173" s="1631">
        <v>0.33333333333333331</v>
      </c>
      <c r="CB173" s="1806"/>
      <c r="CC173" s="1664"/>
      <c r="CD173" s="1664"/>
      <c r="CE173" s="1557"/>
      <c r="CG173" s="1625" t="s">
        <v>243</v>
      </c>
      <c r="CH173" s="1628" t="s">
        <v>564</v>
      </c>
      <c r="CI173" s="1622" t="s">
        <v>1909</v>
      </c>
      <c r="CJ173" s="1636">
        <f t="shared" si="160"/>
        <v>0.33333333333333331</v>
      </c>
      <c r="CK173" s="1636">
        <f t="shared" si="148"/>
        <v>0.33333333333333331</v>
      </c>
      <c r="CL173" s="1636">
        <f t="shared" si="149"/>
        <v>0.33333333333333331</v>
      </c>
      <c r="CM173" s="1636">
        <f t="shared" si="150"/>
        <v>0.33333333333333331</v>
      </c>
      <c r="CN173" s="1636">
        <f t="shared" si="151"/>
        <v>0.33333333333333331</v>
      </c>
      <c r="CO173" s="1636">
        <f t="shared" si="152"/>
        <v>0.33333333333333331</v>
      </c>
      <c r="CP173" s="1636">
        <f t="shared" si="153"/>
        <v>0.33333333333333331</v>
      </c>
      <c r="CQ173" s="1636">
        <f t="shared" si="154"/>
        <v>0.33333333333333331</v>
      </c>
      <c r="CR173" s="1636">
        <f t="shared" si="155"/>
        <v>0.33333333333333331</v>
      </c>
      <c r="CS173" s="1636">
        <f t="shared" si="156"/>
        <v>0.33333333333333331</v>
      </c>
      <c r="CT173" s="1807">
        <f t="shared" si="157"/>
        <v>0</v>
      </c>
      <c r="CU173" s="1665">
        <f t="shared" si="158"/>
        <v>0</v>
      </c>
      <c r="CV173" s="1665">
        <f t="shared" si="159"/>
        <v>0</v>
      </c>
      <c r="CX173" s="1625" t="s">
        <v>243</v>
      </c>
      <c r="CY173" s="1628" t="s">
        <v>564</v>
      </c>
      <c r="CZ173" s="1622" t="s">
        <v>1909</v>
      </c>
      <c r="DA173" s="1637">
        <v>1</v>
      </c>
      <c r="DB173" s="1638"/>
      <c r="DC173" s="1638"/>
      <c r="DD173" s="1638"/>
      <c r="DE173" s="1638"/>
      <c r="DF173" s="1638"/>
      <c r="DG173" s="1638"/>
      <c r="DH173" s="1638"/>
      <c r="DI173" s="1638"/>
      <c r="DJ173" s="1638"/>
      <c r="DK173" s="1808"/>
      <c r="DL173" s="1666"/>
      <c r="DM173" s="1666"/>
    </row>
    <row r="174" spans="2:117">
      <c r="B174" s="1584" t="str">
        <f t="shared" si="165"/>
        <v>LR3</v>
      </c>
      <c r="C174" s="1585" t="str">
        <f t="shared" si="116"/>
        <v>Off-site Environment</v>
      </c>
      <c r="D174" s="1767" t="e">
        <f>IF(I$121=0,0,G174/I$121)</f>
        <v>#VALUE!</v>
      </c>
      <c r="E174" s="1587">
        <f>IF(J$121=0,0,H174/J$121)</f>
        <v>0</v>
      </c>
      <c r="G174" s="1587" t="e">
        <f t="shared" si="161"/>
        <v>#VALUE!</v>
      </c>
      <c r="H174" s="1587">
        <f t="shared" si="162"/>
        <v>0</v>
      </c>
      <c r="I174" s="1587" t="e">
        <f>G175+G176+G185</f>
        <v>#VALUE!</v>
      </c>
      <c r="J174" s="1587">
        <f>H175+H176+H185</f>
        <v>0</v>
      </c>
      <c r="K174" s="1587" t="e">
        <f>IF(Score!U174=0,0,1)</f>
        <v>#VALUE!</v>
      </c>
      <c r="L174" s="1587"/>
      <c r="M174" s="1587">
        <f t="shared" si="163"/>
        <v>0.3</v>
      </c>
      <c r="N174" s="1587">
        <f t="shared" si="167"/>
        <v>0</v>
      </c>
      <c r="P174" s="1786" t="str">
        <f t="shared" si="118"/>
        <v>LR3</v>
      </c>
      <c r="Q174" s="1786" t="str">
        <f t="shared" si="119"/>
        <v>LR</v>
      </c>
      <c r="R174" s="1585" t="str">
        <f t="shared" si="120"/>
        <v>Off-site Environment</v>
      </c>
      <c r="S174" s="1588">
        <f t="shared" si="102"/>
        <v>0.3</v>
      </c>
      <c r="T174" s="1588">
        <f t="shared" si="103"/>
        <v>0.3</v>
      </c>
      <c r="U174" s="1588">
        <f t="shared" si="104"/>
        <v>0.3</v>
      </c>
      <c r="V174" s="1588">
        <f t="shared" si="105"/>
        <v>0.3</v>
      </c>
      <c r="W174" s="1588">
        <f t="shared" si="106"/>
        <v>0.3</v>
      </c>
      <c r="X174" s="1588">
        <f t="shared" si="107"/>
        <v>0.3</v>
      </c>
      <c r="Y174" s="1588">
        <f t="shared" si="108"/>
        <v>0.3</v>
      </c>
      <c r="Z174" s="1588">
        <f t="shared" si="109"/>
        <v>0.3</v>
      </c>
      <c r="AA174" s="1588">
        <f t="shared" si="110"/>
        <v>0.3</v>
      </c>
      <c r="AB174" s="1588">
        <f t="shared" si="111"/>
        <v>0.3</v>
      </c>
      <c r="AC174" s="1788">
        <f t="shared" si="112"/>
        <v>0</v>
      </c>
      <c r="AD174" s="1789">
        <f t="shared" si="113"/>
        <v>0</v>
      </c>
      <c r="AE174" s="1789">
        <f t="shared" si="114"/>
        <v>0</v>
      </c>
      <c r="AG174" s="1786" t="s">
        <v>376</v>
      </c>
      <c r="AH174" s="1790" t="s">
        <v>377</v>
      </c>
      <c r="AI174" s="1585" t="s">
        <v>1910</v>
      </c>
      <c r="AJ174" s="1592">
        <v>0.3</v>
      </c>
      <c r="AK174" s="1592">
        <v>0.3</v>
      </c>
      <c r="AL174" s="1592">
        <v>0.3</v>
      </c>
      <c r="AM174" s="1592">
        <v>0.3</v>
      </c>
      <c r="AN174" s="1592">
        <v>0.3</v>
      </c>
      <c r="AO174" s="1592">
        <v>0.3</v>
      </c>
      <c r="AP174" s="1592">
        <v>0.3</v>
      </c>
      <c r="AQ174" s="1592">
        <v>0.3</v>
      </c>
      <c r="AR174" s="1592">
        <v>0.3</v>
      </c>
      <c r="AS174" s="1592">
        <v>0.3</v>
      </c>
      <c r="AT174" s="1792">
        <v>0</v>
      </c>
      <c r="AU174" s="1793">
        <v>0</v>
      </c>
      <c r="AV174" s="1793">
        <v>0</v>
      </c>
      <c r="AX174" s="1786" t="s">
        <v>376</v>
      </c>
      <c r="AY174" s="1790" t="s">
        <v>377</v>
      </c>
      <c r="AZ174" s="1585" t="s">
        <v>1910</v>
      </c>
      <c r="BA174" s="1592">
        <v>0.3</v>
      </c>
      <c r="BB174" s="1592">
        <v>0.3</v>
      </c>
      <c r="BC174" s="1592">
        <v>0.3</v>
      </c>
      <c r="BD174" s="1592">
        <v>0.3</v>
      </c>
      <c r="BE174" s="1592">
        <v>0.3</v>
      </c>
      <c r="BF174" s="1592">
        <v>0.3</v>
      </c>
      <c r="BG174" s="1592">
        <v>0.3</v>
      </c>
      <c r="BH174" s="1592">
        <v>0.3</v>
      </c>
      <c r="BI174" s="1592">
        <v>0.3</v>
      </c>
      <c r="BJ174" s="1592">
        <v>0.3</v>
      </c>
      <c r="BK174" s="1792"/>
      <c r="BL174" s="1793"/>
      <c r="BM174" s="1793"/>
      <c r="BO174" s="1786" t="s">
        <v>376</v>
      </c>
      <c r="BP174" s="1790" t="s">
        <v>377</v>
      </c>
      <c r="BQ174" s="1585" t="s">
        <v>1670</v>
      </c>
      <c r="BR174" s="1592">
        <v>0.3</v>
      </c>
      <c r="BS174" s="1592">
        <v>0.3</v>
      </c>
      <c r="BT174" s="1592">
        <v>0.3</v>
      </c>
      <c r="BU174" s="1592">
        <v>0.3</v>
      </c>
      <c r="BV174" s="1592">
        <v>0.3</v>
      </c>
      <c r="BW174" s="1592">
        <v>0.3</v>
      </c>
      <c r="BX174" s="1592">
        <v>0.3</v>
      </c>
      <c r="BY174" s="1592">
        <v>0.3</v>
      </c>
      <c r="BZ174" s="1592">
        <v>0.3</v>
      </c>
      <c r="CA174" s="1592">
        <v>0.3</v>
      </c>
      <c r="CB174" s="1792"/>
      <c r="CC174" s="1793"/>
      <c r="CD174" s="1793"/>
      <c r="CE174" s="1794"/>
      <c r="CG174" s="1786" t="s">
        <v>376</v>
      </c>
      <c r="CH174" s="1790" t="s">
        <v>335</v>
      </c>
      <c r="CI174" s="1585" t="s">
        <v>1910</v>
      </c>
      <c r="CJ174" s="1597">
        <f>BR174</f>
        <v>0.3</v>
      </c>
      <c r="CK174" s="1597">
        <f t="shared" si="148"/>
        <v>0.3</v>
      </c>
      <c r="CL174" s="1597">
        <f t="shared" si="149"/>
        <v>0.3</v>
      </c>
      <c r="CM174" s="1597">
        <f t="shared" si="150"/>
        <v>0.3</v>
      </c>
      <c r="CN174" s="1597">
        <f t="shared" si="151"/>
        <v>0.3</v>
      </c>
      <c r="CO174" s="1597">
        <f t="shared" si="152"/>
        <v>0.3</v>
      </c>
      <c r="CP174" s="1597">
        <f t="shared" si="153"/>
        <v>0.3</v>
      </c>
      <c r="CQ174" s="1597">
        <f t="shared" si="154"/>
        <v>0.3</v>
      </c>
      <c r="CR174" s="1597">
        <f t="shared" si="155"/>
        <v>0.3</v>
      </c>
      <c r="CS174" s="1597">
        <f t="shared" si="156"/>
        <v>0.3</v>
      </c>
      <c r="CT174" s="1810">
        <f t="shared" si="157"/>
        <v>0</v>
      </c>
      <c r="CU174" s="1811">
        <f t="shared" si="158"/>
        <v>0</v>
      </c>
      <c r="CV174" s="1811">
        <f t="shared" si="159"/>
        <v>0</v>
      </c>
      <c r="CX174" s="1786" t="s">
        <v>376</v>
      </c>
      <c r="CY174" s="1790" t="s">
        <v>335</v>
      </c>
      <c r="CZ174" s="1585" t="s">
        <v>1910</v>
      </c>
      <c r="DA174" s="1598">
        <v>0.1</v>
      </c>
      <c r="DB174" s="1595"/>
      <c r="DC174" s="1595"/>
      <c r="DD174" s="1595"/>
      <c r="DE174" s="1595"/>
      <c r="DF174" s="1595"/>
      <c r="DG174" s="1595"/>
      <c r="DH174" s="1595"/>
      <c r="DI174" s="1595"/>
      <c r="DJ174" s="1595"/>
      <c r="DK174" s="1795"/>
      <c r="DL174" s="1796"/>
      <c r="DM174" s="1796"/>
    </row>
    <row r="175" spans="2:117">
      <c r="B175" s="1590">
        <f t="shared" si="165"/>
        <v>1</v>
      </c>
      <c r="C175" s="1600" t="str">
        <f t="shared" si="116"/>
        <v>Consideration of Global Warming</v>
      </c>
      <c r="D175" s="1601" t="e">
        <f>IF(I$174=0,0,G175/I$174)</f>
        <v>#VALUE!</v>
      </c>
      <c r="E175" s="1601">
        <f>IF(J$174=0,0,H175/J$174)</f>
        <v>0</v>
      </c>
      <c r="G175" s="1602" t="e">
        <f t="shared" si="161"/>
        <v>#VALUE!</v>
      </c>
      <c r="H175" s="1602">
        <f t="shared" si="162"/>
        <v>0</v>
      </c>
      <c r="I175" s="1602"/>
      <c r="J175" s="1602"/>
      <c r="K175" s="1602" t="e">
        <f>IF(Score!W175=0,0,1)</f>
        <v>#VALUE!</v>
      </c>
      <c r="L175" s="1602">
        <f>IF(Score!X175=0,0,1)</f>
        <v>0</v>
      </c>
      <c r="M175" s="1602">
        <f t="shared" si="163"/>
        <v>0.33333333333333331</v>
      </c>
      <c r="N175" s="1602">
        <f t="shared" si="167"/>
        <v>0</v>
      </c>
      <c r="P175" s="1812">
        <f t="shared" si="118"/>
        <v>1</v>
      </c>
      <c r="Q175" s="1608" t="str">
        <f t="shared" si="119"/>
        <v>LR3</v>
      </c>
      <c r="R175" s="1600" t="str">
        <f t="shared" si="120"/>
        <v>Consideration of Global Warming</v>
      </c>
      <c r="S175" s="1605">
        <f t="shared" si="102"/>
        <v>0.33333333333333331</v>
      </c>
      <c r="T175" s="1605">
        <f t="shared" si="103"/>
        <v>0.33333333333333331</v>
      </c>
      <c r="U175" s="1605">
        <f t="shared" si="104"/>
        <v>0.33333333333333331</v>
      </c>
      <c r="V175" s="1605">
        <f t="shared" si="105"/>
        <v>0.33333333333333331</v>
      </c>
      <c r="W175" s="1605">
        <f t="shared" si="106"/>
        <v>0.33333333333333331</v>
      </c>
      <c r="X175" s="1605">
        <f t="shared" si="107"/>
        <v>0.33333333333333331</v>
      </c>
      <c r="Y175" s="1605">
        <f t="shared" si="108"/>
        <v>0.33333333333333331</v>
      </c>
      <c r="Z175" s="1605">
        <f t="shared" si="109"/>
        <v>0.33333333333333331</v>
      </c>
      <c r="AA175" s="1605">
        <f t="shared" si="110"/>
        <v>0.33333333333333331</v>
      </c>
      <c r="AB175" s="1605">
        <f t="shared" si="111"/>
        <v>0.33333333333333331</v>
      </c>
      <c r="AC175" s="1607">
        <f t="shared" si="112"/>
        <v>0</v>
      </c>
      <c r="AD175" s="1605">
        <f t="shared" si="113"/>
        <v>0</v>
      </c>
      <c r="AE175" s="1605">
        <f t="shared" si="114"/>
        <v>0</v>
      </c>
      <c r="AG175" s="1604">
        <v>1</v>
      </c>
      <c r="AH175" s="1608" t="s">
        <v>362</v>
      </c>
      <c r="AI175" s="1600" t="s">
        <v>1911</v>
      </c>
      <c r="AJ175" s="1611">
        <v>0.33333333333333331</v>
      </c>
      <c r="AK175" s="1611">
        <v>0.33333333333333331</v>
      </c>
      <c r="AL175" s="1611">
        <v>0.33333333333333331</v>
      </c>
      <c r="AM175" s="1611">
        <v>0.33333333333333331</v>
      </c>
      <c r="AN175" s="1611">
        <v>0.33333333333333331</v>
      </c>
      <c r="AO175" s="1611">
        <v>0.33333333333333331</v>
      </c>
      <c r="AP175" s="1611">
        <v>0.33333333333333331</v>
      </c>
      <c r="AQ175" s="1611">
        <v>0.33333333333333331</v>
      </c>
      <c r="AR175" s="1611">
        <v>0.33333333333333331</v>
      </c>
      <c r="AS175" s="1611">
        <v>0.33333333333333331</v>
      </c>
      <c r="AT175" s="1612">
        <v>0</v>
      </c>
      <c r="AU175" s="1611">
        <v>0</v>
      </c>
      <c r="AV175" s="1611">
        <v>0</v>
      </c>
      <c r="AX175" s="1604">
        <v>1</v>
      </c>
      <c r="AY175" s="1608" t="s">
        <v>362</v>
      </c>
      <c r="AZ175" s="1600" t="s">
        <v>1911</v>
      </c>
      <c r="BA175" s="1611">
        <f t="shared" ref="BA175:BJ176" si="175">1/3</f>
        <v>0.33333333333333331</v>
      </c>
      <c r="BB175" s="1611">
        <f t="shared" si="175"/>
        <v>0.33333333333333331</v>
      </c>
      <c r="BC175" s="1611">
        <f t="shared" si="175"/>
        <v>0.33333333333333331</v>
      </c>
      <c r="BD175" s="1611">
        <f t="shared" si="175"/>
        <v>0.33333333333333331</v>
      </c>
      <c r="BE175" s="1611">
        <f t="shared" si="175"/>
        <v>0.33333333333333331</v>
      </c>
      <c r="BF175" s="1611">
        <f t="shared" si="175"/>
        <v>0.33333333333333331</v>
      </c>
      <c r="BG175" s="1611">
        <f t="shared" si="175"/>
        <v>0.33333333333333331</v>
      </c>
      <c r="BH175" s="1611">
        <f t="shared" si="175"/>
        <v>0.33333333333333331</v>
      </c>
      <c r="BI175" s="1611">
        <f t="shared" si="175"/>
        <v>0.33333333333333331</v>
      </c>
      <c r="BJ175" s="1611">
        <f t="shared" si="175"/>
        <v>0.33333333333333331</v>
      </c>
      <c r="BK175" s="1612"/>
      <c r="BL175" s="1611"/>
      <c r="BM175" s="1611"/>
      <c r="BO175" s="1604">
        <v>1</v>
      </c>
      <c r="BP175" s="1608" t="s">
        <v>362</v>
      </c>
      <c r="BQ175" s="1600" t="s">
        <v>1649</v>
      </c>
      <c r="BR175" s="1611">
        <f t="shared" ref="BR175:CA176" si="176">1/3</f>
        <v>0.33333333333333331</v>
      </c>
      <c r="BS175" s="1611">
        <f t="shared" si="176"/>
        <v>0.33333333333333331</v>
      </c>
      <c r="BT175" s="1611">
        <f t="shared" si="176"/>
        <v>0.33333333333333331</v>
      </c>
      <c r="BU175" s="1611">
        <f t="shared" si="176"/>
        <v>0.33333333333333331</v>
      </c>
      <c r="BV175" s="1611">
        <f t="shared" si="176"/>
        <v>0.33333333333333331</v>
      </c>
      <c r="BW175" s="1611">
        <f t="shared" si="176"/>
        <v>0.33333333333333331</v>
      </c>
      <c r="BX175" s="1611">
        <f t="shared" si="176"/>
        <v>0.33333333333333331</v>
      </c>
      <c r="BY175" s="1611">
        <f t="shared" si="176"/>
        <v>0.33333333333333331</v>
      </c>
      <c r="BZ175" s="1611">
        <f t="shared" si="176"/>
        <v>0.33333333333333331</v>
      </c>
      <c r="CA175" s="1611">
        <f t="shared" si="176"/>
        <v>0.33333333333333331</v>
      </c>
      <c r="CB175" s="1612"/>
      <c r="CC175" s="1611"/>
      <c r="CD175" s="1611"/>
      <c r="CE175" s="1615"/>
      <c r="CG175" s="1604">
        <v>1</v>
      </c>
      <c r="CH175" s="1608" t="s">
        <v>362</v>
      </c>
      <c r="CI175" s="1600" t="s">
        <v>1911</v>
      </c>
      <c r="CJ175" s="1616">
        <f t="shared" si="160"/>
        <v>0.33333333333333331</v>
      </c>
      <c r="CK175" s="1616">
        <f t="shared" si="148"/>
        <v>0.33333333333333331</v>
      </c>
      <c r="CL175" s="1616">
        <f t="shared" si="149"/>
        <v>0.33333333333333331</v>
      </c>
      <c r="CM175" s="1616">
        <f t="shared" si="150"/>
        <v>0.33333333333333331</v>
      </c>
      <c r="CN175" s="1616">
        <f t="shared" si="151"/>
        <v>0.33333333333333331</v>
      </c>
      <c r="CO175" s="1616">
        <f t="shared" si="152"/>
        <v>0.33333333333333331</v>
      </c>
      <c r="CP175" s="1616">
        <f t="shared" si="153"/>
        <v>0.33333333333333331</v>
      </c>
      <c r="CQ175" s="1616">
        <f t="shared" si="154"/>
        <v>0.33333333333333331</v>
      </c>
      <c r="CR175" s="1616">
        <f t="shared" si="155"/>
        <v>0.33333333333333331</v>
      </c>
      <c r="CS175" s="1616">
        <f t="shared" si="156"/>
        <v>0.33333333333333331</v>
      </c>
      <c r="CT175" s="1618">
        <f t="shared" si="157"/>
        <v>0</v>
      </c>
      <c r="CU175" s="1616">
        <f t="shared" si="158"/>
        <v>0</v>
      </c>
      <c r="CV175" s="1616">
        <f t="shared" si="159"/>
        <v>0</v>
      </c>
      <c r="CX175" s="1604">
        <v>1</v>
      </c>
      <c r="CY175" s="1608" t="s">
        <v>362</v>
      </c>
      <c r="CZ175" s="1600" t="s">
        <v>1911</v>
      </c>
      <c r="DA175" s="1731">
        <v>0</v>
      </c>
      <c r="DB175" s="1619"/>
      <c r="DC175" s="1619"/>
      <c r="DD175" s="1619"/>
      <c r="DE175" s="1619"/>
      <c r="DF175" s="1619"/>
      <c r="DG175" s="1619"/>
      <c r="DH175" s="1619"/>
      <c r="DI175" s="1619"/>
      <c r="DJ175" s="1619"/>
      <c r="DK175" s="1621"/>
      <c r="DL175" s="1619"/>
      <c r="DM175" s="1619"/>
    </row>
    <row r="176" spans="2:117">
      <c r="B176" s="1584">
        <f t="shared" si="165"/>
        <v>2</v>
      </c>
      <c r="C176" s="1600" t="str">
        <f t="shared" si="116"/>
        <v>Consideration of Local Environment</v>
      </c>
      <c r="D176" s="1601" t="e">
        <f>IF(I$174=0,0,G176/I$174)</f>
        <v>#VALUE!</v>
      </c>
      <c r="E176" s="1601">
        <f>IF(J$174=0,0,H176/J$174)</f>
        <v>0</v>
      </c>
      <c r="G176" s="1602">
        <f t="shared" si="161"/>
        <v>0.33333333333333331</v>
      </c>
      <c r="H176" s="1602">
        <f t="shared" si="162"/>
        <v>0</v>
      </c>
      <c r="I176" s="1602">
        <f>G177+G178+G179+G184</f>
        <v>1</v>
      </c>
      <c r="J176" s="1602">
        <f>H177+H178+H179+H184</f>
        <v>0</v>
      </c>
      <c r="K176" s="1602">
        <f>IF(L176&gt;0,1,IF(Score!Z176=0,0,1))</f>
        <v>1</v>
      </c>
      <c r="L176" s="1602">
        <f>IF(Score!AB176=0,0,1)</f>
        <v>0</v>
      </c>
      <c r="M176" s="1602">
        <f t="shared" si="163"/>
        <v>0.33333333333333331</v>
      </c>
      <c r="N176" s="1602">
        <f t="shared" si="167"/>
        <v>0</v>
      </c>
      <c r="P176" s="1812">
        <f t="shared" si="118"/>
        <v>2</v>
      </c>
      <c r="Q176" s="1608" t="str">
        <f t="shared" si="119"/>
        <v>LR3</v>
      </c>
      <c r="R176" s="1600" t="str">
        <f t="shared" si="120"/>
        <v>Consideration of Local Environment</v>
      </c>
      <c r="S176" s="1605">
        <f t="shared" si="102"/>
        <v>0.33333333333333331</v>
      </c>
      <c r="T176" s="1605">
        <f t="shared" si="103"/>
        <v>0.33333333333333331</v>
      </c>
      <c r="U176" s="1605">
        <f t="shared" si="104"/>
        <v>0.33333333333333331</v>
      </c>
      <c r="V176" s="1605">
        <f t="shared" si="105"/>
        <v>0.33333333333333331</v>
      </c>
      <c r="W176" s="1605">
        <f t="shared" si="106"/>
        <v>0.33333333333333331</v>
      </c>
      <c r="X176" s="1605">
        <f t="shared" si="107"/>
        <v>0.33333333333333331</v>
      </c>
      <c r="Y176" s="1605">
        <f t="shared" si="108"/>
        <v>0.33333333333333331</v>
      </c>
      <c r="Z176" s="1605">
        <f t="shared" si="109"/>
        <v>0.33333333333333331</v>
      </c>
      <c r="AA176" s="1605">
        <f t="shared" si="110"/>
        <v>0.33333333333333331</v>
      </c>
      <c r="AB176" s="1605">
        <f t="shared" si="111"/>
        <v>0.33333333333333331</v>
      </c>
      <c r="AC176" s="1607">
        <f t="shared" si="112"/>
        <v>0</v>
      </c>
      <c r="AD176" s="1605">
        <f t="shared" si="113"/>
        <v>0</v>
      </c>
      <c r="AE176" s="1605">
        <f t="shared" si="114"/>
        <v>0</v>
      </c>
      <c r="AG176" s="1604">
        <v>2</v>
      </c>
      <c r="AH176" s="1608" t="s">
        <v>362</v>
      </c>
      <c r="AI176" s="1600" t="s">
        <v>1912</v>
      </c>
      <c r="AJ176" s="1611">
        <v>0.33333333333333331</v>
      </c>
      <c r="AK176" s="1611">
        <v>0.33333333333333331</v>
      </c>
      <c r="AL176" s="1611">
        <v>0.33333333333333331</v>
      </c>
      <c r="AM176" s="1611">
        <v>0.33333333333333331</v>
      </c>
      <c r="AN176" s="1611">
        <v>0.33333333333333331</v>
      </c>
      <c r="AO176" s="1611">
        <v>0.33333333333333331</v>
      </c>
      <c r="AP176" s="1611">
        <v>0.33333333333333331</v>
      </c>
      <c r="AQ176" s="1611">
        <v>0.33333333333333331</v>
      </c>
      <c r="AR176" s="1611">
        <v>0.33333333333333331</v>
      </c>
      <c r="AS176" s="1611">
        <v>0.33333333333333331</v>
      </c>
      <c r="AT176" s="1612">
        <v>0</v>
      </c>
      <c r="AU176" s="1611">
        <v>0</v>
      </c>
      <c r="AV176" s="1611">
        <v>0</v>
      </c>
      <c r="AX176" s="1604">
        <v>2</v>
      </c>
      <c r="AY176" s="1608" t="s">
        <v>362</v>
      </c>
      <c r="AZ176" s="1600" t="s">
        <v>1912</v>
      </c>
      <c r="BA176" s="1611">
        <f t="shared" si="175"/>
        <v>0.33333333333333331</v>
      </c>
      <c r="BB176" s="1611">
        <f t="shared" si="175"/>
        <v>0.33333333333333331</v>
      </c>
      <c r="BC176" s="1611">
        <f t="shared" si="175"/>
        <v>0.33333333333333331</v>
      </c>
      <c r="BD176" s="1611">
        <f t="shared" si="175"/>
        <v>0.33333333333333331</v>
      </c>
      <c r="BE176" s="1611">
        <f t="shared" si="175"/>
        <v>0.33333333333333331</v>
      </c>
      <c r="BF176" s="1611">
        <f t="shared" si="175"/>
        <v>0.33333333333333331</v>
      </c>
      <c r="BG176" s="1611">
        <f t="shared" si="175"/>
        <v>0.33333333333333331</v>
      </c>
      <c r="BH176" s="1611">
        <f t="shared" si="175"/>
        <v>0.33333333333333331</v>
      </c>
      <c r="BI176" s="1611">
        <f t="shared" si="175"/>
        <v>0.33333333333333331</v>
      </c>
      <c r="BJ176" s="1611">
        <f t="shared" si="175"/>
        <v>0.33333333333333331</v>
      </c>
      <c r="BK176" s="1612"/>
      <c r="BL176" s="1611"/>
      <c r="BM176" s="1611"/>
      <c r="BO176" s="1604">
        <v>2</v>
      </c>
      <c r="BP176" s="1608" t="s">
        <v>362</v>
      </c>
      <c r="BQ176" s="1600" t="s">
        <v>1650</v>
      </c>
      <c r="BR176" s="1611">
        <f t="shared" si="176"/>
        <v>0.33333333333333331</v>
      </c>
      <c r="BS176" s="1611">
        <f t="shared" si="176"/>
        <v>0.33333333333333331</v>
      </c>
      <c r="BT176" s="1611">
        <f t="shared" si="176"/>
        <v>0.33333333333333331</v>
      </c>
      <c r="BU176" s="1611">
        <f t="shared" si="176"/>
        <v>0.33333333333333331</v>
      </c>
      <c r="BV176" s="1611">
        <f t="shared" si="176"/>
        <v>0.33333333333333331</v>
      </c>
      <c r="BW176" s="1611">
        <f t="shared" si="176"/>
        <v>0.33333333333333331</v>
      </c>
      <c r="BX176" s="1611">
        <f t="shared" si="176"/>
        <v>0.33333333333333331</v>
      </c>
      <c r="BY176" s="1611">
        <f t="shared" si="176"/>
        <v>0.33333333333333331</v>
      </c>
      <c r="BZ176" s="1611">
        <f t="shared" si="176"/>
        <v>0.33333333333333331</v>
      </c>
      <c r="CA176" s="1611">
        <f t="shared" si="176"/>
        <v>0.33333333333333331</v>
      </c>
      <c r="CB176" s="1612"/>
      <c r="CC176" s="1611"/>
      <c r="CD176" s="1611"/>
      <c r="CE176" s="1615"/>
      <c r="CG176" s="1604">
        <v>2</v>
      </c>
      <c r="CH176" s="1608" t="s">
        <v>362</v>
      </c>
      <c r="CI176" s="1600" t="s">
        <v>1912</v>
      </c>
      <c r="CJ176" s="1616">
        <f t="shared" si="160"/>
        <v>0.33333333333333331</v>
      </c>
      <c r="CK176" s="1616">
        <f t="shared" si="148"/>
        <v>0.33333333333333331</v>
      </c>
      <c r="CL176" s="1616">
        <f t="shared" si="149"/>
        <v>0.33333333333333331</v>
      </c>
      <c r="CM176" s="1616">
        <f t="shared" si="150"/>
        <v>0.33333333333333331</v>
      </c>
      <c r="CN176" s="1616">
        <f t="shared" si="151"/>
        <v>0.33333333333333331</v>
      </c>
      <c r="CO176" s="1616">
        <f t="shared" si="152"/>
        <v>0.33333333333333331</v>
      </c>
      <c r="CP176" s="1616">
        <f t="shared" si="153"/>
        <v>0.33333333333333331</v>
      </c>
      <c r="CQ176" s="1616">
        <f t="shared" si="154"/>
        <v>0.33333333333333331</v>
      </c>
      <c r="CR176" s="1616">
        <f t="shared" si="155"/>
        <v>0.33333333333333331</v>
      </c>
      <c r="CS176" s="1616">
        <f t="shared" si="156"/>
        <v>0.33333333333333331</v>
      </c>
      <c r="CT176" s="1618">
        <f t="shared" si="157"/>
        <v>0</v>
      </c>
      <c r="CU176" s="1616">
        <f t="shared" si="158"/>
        <v>0</v>
      </c>
      <c r="CV176" s="1616">
        <f t="shared" si="159"/>
        <v>0</v>
      </c>
      <c r="CX176" s="1604">
        <v>2</v>
      </c>
      <c r="CY176" s="1608" t="s">
        <v>362</v>
      </c>
      <c r="CZ176" s="1600" t="s">
        <v>1912</v>
      </c>
      <c r="DA176" s="1731">
        <v>1</v>
      </c>
      <c r="DB176" s="1619"/>
      <c r="DC176" s="1619"/>
      <c r="DD176" s="1619"/>
      <c r="DE176" s="1619"/>
      <c r="DF176" s="1619"/>
      <c r="DG176" s="1619"/>
      <c r="DH176" s="1619"/>
      <c r="DI176" s="1619"/>
      <c r="DJ176" s="1619"/>
      <c r="DK176" s="1621"/>
      <c r="DL176" s="1619"/>
      <c r="DM176" s="1619"/>
    </row>
    <row r="177" spans="2:117">
      <c r="B177" s="1584" t="str">
        <f t="shared" si="165"/>
        <v>2.1</v>
      </c>
      <c r="C177" s="1622" t="str">
        <f t="shared" si="116"/>
        <v>Air Pollution</v>
      </c>
      <c r="D177" s="1623">
        <f>IF(I$176=0,0,G177/I$176)</f>
        <v>0.25</v>
      </c>
      <c r="E177" s="1623">
        <f t="shared" ref="D177:E179" si="177">IF(J$176=0,0,H177/J$176)</f>
        <v>0</v>
      </c>
      <c r="G177" s="1624">
        <f t="shared" si="161"/>
        <v>0.25</v>
      </c>
      <c r="H177" s="1624">
        <f t="shared" si="162"/>
        <v>0</v>
      </c>
      <c r="I177" s="1624"/>
      <c r="J177" s="1624"/>
      <c r="K177" s="1624">
        <f>IF(Score!W177=0,0,1)</f>
        <v>1</v>
      </c>
      <c r="L177" s="1624">
        <f>IF(Score!X177=0,0,1)</f>
        <v>0</v>
      </c>
      <c r="M177" s="1624">
        <f t="shared" si="163"/>
        <v>0.25</v>
      </c>
      <c r="N177" s="1624">
        <f t="shared" si="167"/>
        <v>0</v>
      </c>
      <c r="P177" s="1813" t="str">
        <f t="shared" si="118"/>
        <v>2.1</v>
      </c>
      <c r="Q177" s="1628" t="str">
        <f t="shared" si="119"/>
        <v>LR3 2</v>
      </c>
      <c r="R177" s="1622" t="str">
        <f t="shared" si="120"/>
        <v>Air Pollution</v>
      </c>
      <c r="S177" s="1626">
        <f t="shared" si="102"/>
        <v>0.25</v>
      </c>
      <c r="T177" s="1626">
        <f t="shared" si="103"/>
        <v>0.25</v>
      </c>
      <c r="U177" s="1626">
        <f t="shared" si="104"/>
        <v>0.25</v>
      </c>
      <c r="V177" s="1626">
        <f t="shared" si="105"/>
        <v>0.25</v>
      </c>
      <c r="W177" s="1626">
        <f t="shared" si="106"/>
        <v>0.25</v>
      </c>
      <c r="X177" s="1626">
        <f t="shared" si="107"/>
        <v>0.25</v>
      </c>
      <c r="Y177" s="1626">
        <f t="shared" si="108"/>
        <v>0.25</v>
      </c>
      <c r="Z177" s="1626">
        <f t="shared" si="109"/>
        <v>0.25</v>
      </c>
      <c r="AA177" s="1626">
        <f t="shared" si="110"/>
        <v>0.25</v>
      </c>
      <c r="AB177" s="1626">
        <f t="shared" si="111"/>
        <v>0.25</v>
      </c>
      <c r="AC177" s="1627">
        <f t="shared" si="112"/>
        <v>0</v>
      </c>
      <c r="AD177" s="1626">
        <f t="shared" si="113"/>
        <v>0</v>
      </c>
      <c r="AE177" s="1626">
        <f t="shared" si="114"/>
        <v>0</v>
      </c>
      <c r="AG177" s="1814" t="s">
        <v>379</v>
      </c>
      <c r="AH177" s="1628" t="s">
        <v>567</v>
      </c>
      <c r="AI177" s="1622" t="s">
        <v>1913</v>
      </c>
      <c r="AJ177" s="1631">
        <v>0.25</v>
      </c>
      <c r="AK177" s="1631">
        <v>0.25</v>
      </c>
      <c r="AL177" s="1631">
        <v>0.25</v>
      </c>
      <c r="AM177" s="1631">
        <v>0.25</v>
      </c>
      <c r="AN177" s="1631">
        <v>0.25</v>
      </c>
      <c r="AO177" s="1631">
        <v>0.25</v>
      </c>
      <c r="AP177" s="1631">
        <v>0.25</v>
      </c>
      <c r="AQ177" s="1631">
        <v>0.25</v>
      </c>
      <c r="AR177" s="1631">
        <v>0.25</v>
      </c>
      <c r="AS177" s="1631">
        <v>0.25</v>
      </c>
      <c r="AT177" s="1632"/>
      <c r="AU177" s="1631"/>
      <c r="AV177" s="1631"/>
      <c r="AX177" s="1814" t="s">
        <v>380</v>
      </c>
      <c r="AY177" s="1628" t="s">
        <v>567</v>
      </c>
      <c r="AZ177" s="1622" t="s">
        <v>1913</v>
      </c>
      <c r="BA177" s="1631">
        <v>0.25</v>
      </c>
      <c r="BB177" s="1631">
        <v>0.25</v>
      </c>
      <c r="BC177" s="1631">
        <v>0.25</v>
      </c>
      <c r="BD177" s="1631">
        <v>0.25</v>
      </c>
      <c r="BE177" s="1631">
        <v>0.25</v>
      </c>
      <c r="BF177" s="1631">
        <v>0.25</v>
      </c>
      <c r="BG177" s="1631">
        <v>0.25</v>
      </c>
      <c r="BH177" s="1631">
        <v>0.25</v>
      </c>
      <c r="BI177" s="1631">
        <v>0.25</v>
      </c>
      <c r="BJ177" s="1631">
        <v>0.25</v>
      </c>
      <c r="BK177" s="1632"/>
      <c r="BL177" s="1631"/>
      <c r="BM177" s="1631"/>
      <c r="BO177" s="1814" t="s">
        <v>380</v>
      </c>
      <c r="BP177" s="1628" t="s">
        <v>567</v>
      </c>
      <c r="BQ177" s="1622" t="s">
        <v>1651</v>
      </c>
      <c r="BR177" s="1631">
        <v>0.25</v>
      </c>
      <c r="BS177" s="1631">
        <v>0.25</v>
      </c>
      <c r="BT177" s="1631">
        <v>0.25</v>
      </c>
      <c r="BU177" s="1631">
        <v>0.25</v>
      </c>
      <c r="BV177" s="1631">
        <v>0.25</v>
      </c>
      <c r="BW177" s="1631">
        <v>0.25</v>
      </c>
      <c r="BX177" s="1631">
        <v>0.25</v>
      </c>
      <c r="BY177" s="1631">
        <v>0.25</v>
      </c>
      <c r="BZ177" s="1631">
        <v>0.25</v>
      </c>
      <c r="CA177" s="1631">
        <v>0.25</v>
      </c>
      <c r="CB177" s="1632"/>
      <c r="CC177" s="1631"/>
      <c r="CD177" s="1631"/>
      <c r="CE177" s="1635"/>
      <c r="CG177" s="1814" t="s">
        <v>336</v>
      </c>
      <c r="CH177" s="1628" t="s">
        <v>567</v>
      </c>
      <c r="CI177" s="1622" t="s">
        <v>1913</v>
      </c>
      <c r="CJ177" s="1636">
        <f t="shared" si="160"/>
        <v>0.25</v>
      </c>
      <c r="CK177" s="1636">
        <f t="shared" si="148"/>
        <v>0.25</v>
      </c>
      <c r="CL177" s="1636">
        <f t="shared" si="149"/>
        <v>0.25</v>
      </c>
      <c r="CM177" s="1636">
        <f t="shared" si="150"/>
        <v>0.25</v>
      </c>
      <c r="CN177" s="1636">
        <f t="shared" si="151"/>
        <v>0.25</v>
      </c>
      <c r="CO177" s="1636">
        <f t="shared" si="152"/>
        <v>0.25</v>
      </c>
      <c r="CP177" s="1636">
        <f t="shared" si="153"/>
        <v>0.25</v>
      </c>
      <c r="CQ177" s="1636">
        <f t="shared" si="154"/>
        <v>0.25</v>
      </c>
      <c r="CR177" s="1636">
        <f t="shared" si="155"/>
        <v>0.25</v>
      </c>
      <c r="CS177" s="1636">
        <f t="shared" si="156"/>
        <v>0.25</v>
      </c>
      <c r="CT177" s="1640">
        <f t="shared" si="157"/>
        <v>0</v>
      </c>
      <c r="CU177" s="1636">
        <f t="shared" si="158"/>
        <v>0</v>
      </c>
      <c r="CV177" s="1636">
        <f t="shared" si="159"/>
        <v>0</v>
      </c>
      <c r="CX177" s="1814" t="s">
        <v>336</v>
      </c>
      <c r="CY177" s="1628" t="s">
        <v>567</v>
      </c>
      <c r="CZ177" s="1622"/>
      <c r="DA177" s="1637">
        <v>0</v>
      </c>
      <c r="DB177" s="1638"/>
      <c r="DC177" s="1638"/>
      <c r="DD177" s="1638"/>
      <c r="DE177" s="1638"/>
      <c r="DF177" s="1638"/>
      <c r="DG177" s="1638"/>
      <c r="DH177" s="1638"/>
      <c r="DI177" s="1638"/>
      <c r="DJ177" s="1638"/>
      <c r="DK177" s="1642"/>
      <c r="DL177" s="1638"/>
      <c r="DM177" s="1638"/>
    </row>
    <row r="178" spans="2:117">
      <c r="B178" s="1584" t="str">
        <f t="shared" si="165"/>
        <v>2.2</v>
      </c>
      <c r="C178" s="1622" t="str">
        <f t="shared" si="116"/>
        <v>Heat Island Effect</v>
      </c>
      <c r="D178" s="1623">
        <f t="shared" si="177"/>
        <v>0.5</v>
      </c>
      <c r="E178" s="1623">
        <f t="shared" si="177"/>
        <v>0</v>
      </c>
      <c r="G178" s="1624">
        <f t="shared" si="161"/>
        <v>0.5</v>
      </c>
      <c r="H178" s="1624">
        <f t="shared" si="162"/>
        <v>0</v>
      </c>
      <c r="I178" s="1624"/>
      <c r="J178" s="1624"/>
      <c r="K178" s="1624">
        <f>IF(Score!W178=0,0,1)</f>
        <v>1</v>
      </c>
      <c r="L178" s="1624">
        <f>IF(Score!X178=0,0,1)</f>
        <v>0</v>
      </c>
      <c r="M178" s="1624">
        <f t="shared" si="163"/>
        <v>0.5</v>
      </c>
      <c r="N178" s="1624">
        <f t="shared" si="167"/>
        <v>0</v>
      </c>
      <c r="P178" s="1813" t="str">
        <f t="shared" si="118"/>
        <v>2.2</v>
      </c>
      <c r="Q178" s="1628" t="str">
        <f t="shared" si="119"/>
        <v>LR3 2</v>
      </c>
      <c r="R178" s="1622" t="str">
        <f t="shared" si="120"/>
        <v>Heat Island Effect</v>
      </c>
      <c r="S178" s="1743">
        <f t="shared" si="102"/>
        <v>0.5</v>
      </c>
      <c r="T178" s="1743">
        <f t="shared" si="103"/>
        <v>0.5</v>
      </c>
      <c r="U178" s="1743">
        <f t="shared" si="104"/>
        <v>0.5</v>
      </c>
      <c r="V178" s="1743">
        <f t="shared" si="105"/>
        <v>0.5</v>
      </c>
      <c r="W178" s="1743">
        <f t="shared" si="106"/>
        <v>0.5</v>
      </c>
      <c r="X178" s="1743">
        <f t="shared" si="107"/>
        <v>0.5</v>
      </c>
      <c r="Y178" s="1743">
        <f t="shared" si="108"/>
        <v>0.5</v>
      </c>
      <c r="Z178" s="1743">
        <f t="shared" si="109"/>
        <v>0.5</v>
      </c>
      <c r="AA178" s="1743">
        <f t="shared" si="110"/>
        <v>0.5</v>
      </c>
      <c r="AB178" s="1743">
        <f t="shared" si="111"/>
        <v>0.5</v>
      </c>
      <c r="AC178" s="1744">
        <f t="shared" si="112"/>
        <v>0</v>
      </c>
      <c r="AD178" s="1743">
        <f t="shared" si="113"/>
        <v>0</v>
      </c>
      <c r="AE178" s="1743">
        <f t="shared" si="114"/>
        <v>0</v>
      </c>
      <c r="AG178" s="1814" t="s">
        <v>381</v>
      </c>
      <c r="AH178" s="1628" t="s">
        <v>567</v>
      </c>
      <c r="AI178" s="1622" t="s">
        <v>1914</v>
      </c>
      <c r="AJ178" s="1747">
        <v>0.5</v>
      </c>
      <c r="AK178" s="1747">
        <v>0.5</v>
      </c>
      <c r="AL178" s="1747">
        <v>0.5</v>
      </c>
      <c r="AM178" s="1747">
        <v>0.5</v>
      </c>
      <c r="AN178" s="1747">
        <v>0.5</v>
      </c>
      <c r="AO178" s="1747">
        <v>0.5</v>
      </c>
      <c r="AP178" s="1747">
        <v>0.5</v>
      </c>
      <c r="AQ178" s="1747">
        <v>0.5</v>
      </c>
      <c r="AR178" s="1747">
        <v>0.5</v>
      </c>
      <c r="AS178" s="1747">
        <v>0.5</v>
      </c>
      <c r="AT178" s="1748"/>
      <c r="AU178" s="1747"/>
      <c r="AV178" s="1747"/>
      <c r="AX178" s="1814" t="s">
        <v>381</v>
      </c>
      <c r="AY178" s="1628" t="s">
        <v>567</v>
      </c>
      <c r="AZ178" s="1622" t="s">
        <v>1914</v>
      </c>
      <c r="BA178" s="1747">
        <v>0.5</v>
      </c>
      <c r="BB178" s="1747">
        <v>0.5</v>
      </c>
      <c r="BC178" s="1747">
        <v>0.5</v>
      </c>
      <c r="BD178" s="1747">
        <v>0.5</v>
      </c>
      <c r="BE178" s="1747">
        <v>0.5</v>
      </c>
      <c r="BF178" s="1747">
        <v>0.5</v>
      </c>
      <c r="BG178" s="1747">
        <v>0.5</v>
      </c>
      <c r="BH178" s="1747">
        <v>0.5</v>
      </c>
      <c r="BI178" s="1747">
        <v>0.5</v>
      </c>
      <c r="BJ178" s="1747">
        <v>0.5</v>
      </c>
      <c r="BK178" s="1748"/>
      <c r="BL178" s="1747"/>
      <c r="BM178" s="1747"/>
      <c r="BO178" s="1814" t="s">
        <v>381</v>
      </c>
      <c r="BP178" s="1628" t="s">
        <v>567</v>
      </c>
      <c r="BQ178" s="1622" t="s">
        <v>3371</v>
      </c>
      <c r="BR178" s="1747">
        <v>0.5</v>
      </c>
      <c r="BS178" s="1747">
        <v>0.5</v>
      </c>
      <c r="BT178" s="1747">
        <v>0.5</v>
      </c>
      <c r="BU178" s="1747">
        <v>0.5</v>
      </c>
      <c r="BV178" s="1747">
        <v>0.5</v>
      </c>
      <c r="BW178" s="1747">
        <v>0.5</v>
      </c>
      <c r="BX178" s="1747">
        <v>0.5</v>
      </c>
      <c r="BY178" s="1747">
        <v>0.5</v>
      </c>
      <c r="BZ178" s="1747">
        <v>0.5</v>
      </c>
      <c r="CA178" s="1747">
        <v>0.5</v>
      </c>
      <c r="CB178" s="1748"/>
      <c r="CC178" s="1747"/>
      <c r="CD178" s="1747"/>
      <c r="CE178" s="1749"/>
      <c r="CG178" s="1814" t="s">
        <v>337</v>
      </c>
      <c r="CH178" s="1628" t="s">
        <v>567</v>
      </c>
      <c r="CI178" s="1622" t="s">
        <v>1914</v>
      </c>
      <c r="CJ178" s="1750">
        <f t="shared" si="160"/>
        <v>0.5</v>
      </c>
      <c r="CK178" s="1750">
        <f t="shared" si="148"/>
        <v>0.5</v>
      </c>
      <c r="CL178" s="1750">
        <f t="shared" si="149"/>
        <v>0.5</v>
      </c>
      <c r="CM178" s="1750">
        <f t="shared" si="150"/>
        <v>0.5</v>
      </c>
      <c r="CN178" s="1750">
        <f t="shared" si="151"/>
        <v>0.5</v>
      </c>
      <c r="CO178" s="1750">
        <f t="shared" si="152"/>
        <v>0.5</v>
      </c>
      <c r="CP178" s="1750">
        <f t="shared" si="153"/>
        <v>0.5</v>
      </c>
      <c r="CQ178" s="1750">
        <f t="shared" si="154"/>
        <v>0.5</v>
      </c>
      <c r="CR178" s="1750">
        <f t="shared" si="155"/>
        <v>0.5</v>
      </c>
      <c r="CS178" s="1750">
        <f t="shared" si="156"/>
        <v>0.5</v>
      </c>
      <c r="CT178" s="1751">
        <f t="shared" si="157"/>
        <v>0</v>
      </c>
      <c r="CU178" s="1750">
        <f t="shared" si="158"/>
        <v>0</v>
      </c>
      <c r="CV178" s="1750">
        <f t="shared" si="159"/>
        <v>0</v>
      </c>
      <c r="CX178" s="1814" t="s">
        <v>337</v>
      </c>
      <c r="CY178" s="1628" t="s">
        <v>567</v>
      </c>
      <c r="CZ178" s="1622"/>
      <c r="DA178" s="1637">
        <v>0</v>
      </c>
      <c r="DB178" s="1753"/>
      <c r="DC178" s="1753"/>
      <c r="DD178" s="1753"/>
      <c r="DE178" s="1753"/>
      <c r="DF178" s="1753"/>
      <c r="DG178" s="1753"/>
      <c r="DH178" s="1753"/>
      <c r="DI178" s="1753"/>
      <c r="DJ178" s="1753"/>
      <c r="DK178" s="1754"/>
      <c r="DL178" s="1753"/>
      <c r="DM178" s="1753"/>
    </row>
    <row r="179" spans="2:117">
      <c r="B179" s="1584" t="str">
        <f t="shared" si="165"/>
        <v>2.3</v>
      </c>
      <c r="C179" s="1622" t="str">
        <f t="shared" si="116"/>
        <v>Load on Local Infrastructure</v>
      </c>
      <c r="D179" s="1623">
        <f t="shared" si="177"/>
        <v>0.25</v>
      </c>
      <c r="E179" s="1623">
        <f t="shared" si="177"/>
        <v>0</v>
      </c>
      <c r="G179" s="1624">
        <f t="shared" si="161"/>
        <v>0.25</v>
      </c>
      <c r="H179" s="1624">
        <f t="shared" si="162"/>
        <v>0</v>
      </c>
      <c r="I179" s="1624">
        <f>SUM(G180:G183)</f>
        <v>1</v>
      </c>
      <c r="J179" s="1624">
        <f>SUM(H180:H183)</f>
        <v>0</v>
      </c>
      <c r="K179" s="1624">
        <f>IF(Score!Z179=0,0,1)</f>
        <v>1</v>
      </c>
      <c r="L179" s="1624">
        <f>IF(Score!AB179=0,0,1)</f>
        <v>0</v>
      </c>
      <c r="M179" s="1624">
        <f t="shared" si="163"/>
        <v>0.25</v>
      </c>
      <c r="N179" s="1624">
        <f t="shared" si="167"/>
        <v>0</v>
      </c>
      <c r="P179" s="1813" t="str">
        <f t="shared" si="118"/>
        <v>2.3</v>
      </c>
      <c r="Q179" s="1628" t="str">
        <f t="shared" si="119"/>
        <v>LR3 2</v>
      </c>
      <c r="R179" s="1622" t="str">
        <f t="shared" si="120"/>
        <v>Load on Local Infrastructure</v>
      </c>
      <c r="S179" s="1743">
        <f t="shared" si="102"/>
        <v>0.25</v>
      </c>
      <c r="T179" s="1743">
        <f t="shared" si="103"/>
        <v>0.25</v>
      </c>
      <c r="U179" s="1743">
        <f t="shared" si="104"/>
        <v>0.25</v>
      </c>
      <c r="V179" s="1743">
        <f t="shared" si="105"/>
        <v>0.25</v>
      </c>
      <c r="W179" s="1743">
        <f t="shared" si="106"/>
        <v>0.25</v>
      </c>
      <c r="X179" s="1743">
        <f t="shared" si="107"/>
        <v>0.25</v>
      </c>
      <c r="Y179" s="1743">
        <f t="shared" si="108"/>
        <v>0.25</v>
      </c>
      <c r="Z179" s="1743">
        <f t="shared" si="109"/>
        <v>0.25</v>
      </c>
      <c r="AA179" s="1743">
        <f t="shared" si="110"/>
        <v>0.25</v>
      </c>
      <c r="AB179" s="1743">
        <f t="shared" si="111"/>
        <v>0.25</v>
      </c>
      <c r="AC179" s="1744">
        <f t="shared" si="112"/>
        <v>0</v>
      </c>
      <c r="AD179" s="1743">
        <f t="shared" si="113"/>
        <v>0</v>
      </c>
      <c r="AE179" s="1743">
        <f t="shared" si="114"/>
        <v>0</v>
      </c>
      <c r="AG179" s="1814" t="s">
        <v>382</v>
      </c>
      <c r="AH179" s="1628" t="s">
        <v>567</v>
      </c>
      <c r="AI179" s="1622" t="s">
        <v>1915</v>
      </c>
      <c r="AJ179" s="1747">
        <v>0.25</v>
      </c>
      <c r="AK179" s="1747">
        <v>0.25</v>
      </c>
      <c r="AL179" s="1747">
        <v>0.25</v>
      </c>
      <c r="AM179" s="1747">
        <v>0.25</v>
      </c>
      <c r="AN179" s="1747">
        <v>0.25</v>
      </c>
      <c r="AO179" s="1747">
        <v>0.25</v>
      </c>
      <c r="AP179" s="1747">
        <v>0.25</v>
      </c>
      <c r="AQ179" s="1747">
        <v>0.25</v>
      </c>
      <c r="AR179" s="1747">
        <v>0.25</v>
      </c>
      <c r="AS179" s="1747">
        <v>0.25</v>
      </c>
      <c r="AT179" s="1748"/>
      <c r="AU179" s="1747"/>
      <c r="AV179" s="1747"/>
      <c r="AX179" s="1814" t="s">
        <v>383</v>
      </c>
      <c r="AY179" s="1628" t="s">
        <v>567</v>
      </c>
      <c r="AZ179" s="1622" t="s">
        <v>1915</v>
      </c>
      <c r="BA179" s="1747">
        <v>0.25</v>
      </c>
      <c r="BB179" s="1747">
        <v>0.25</v>
      </c>
      <c r="BC179" s="1747">
        <v>0.25</v>
      </c>
      <c r="BD179" s="1747">
        <v>0.25</v>
      </c>
      <c r="BE179" s="1747">
        <v>0.25</v>
      </c>
      <c r="BF179" s="1747">
        <v>0.25</v>
      </c>
      <c r="BG179" s="1747">
        <v>0.25</v>
      </c>
      <c r="BH179" s="1747">
        <v>0.25</v>
      </c>
      <c r="BI179" s="1747">
        <v>0.25</v>
      </c>
      <c r="BJ179" s="1747">
        <v>0.25</v>
      </c>
      <c r="BK179" s="1748"/>
      <c r="BL179" s="1747"/>
      <c r="BM179" s="1747"/>
      <c r="BO179" s="1814" t="s">
        <v>383</v>
      </c>
      <c r="BP179" s="1628" t="s">
        <v>567</v>
      </c>
      <c r="BQ179" s="1622" t="s">
        <v>1652</v>
      </c>
      <c r="BR179" s="1747">
        <v>0.25</v>
      </c>
      <c r="BS179" s="1747">
        <v>0.25</v>
      </c>
      <c r="BT179" s="1747">
        <v>0.25</v>
      </c>
      <c r="BU179" s="1747">
        <v>0.25</v>
      </c>
      <c r="BV179" s="1747">
        <v>0.25</v>
      </c>
      <c r="BW179" s="1747">
        <v>0.25</v>
      </c>
      <c r="BX179" s="1747">
        <v>0.25</v>
      </c>
      <c r="BY179" s="1747">
        <v>0.25</v>
      </c>
      <c r="BZ179" s="1747">
        <v>0.25</v>
      </c>
      <c r="CA179" s="1747">
        <v>0.25</v>
      </c>
      <c r="CB179" s="1748"/>
      <c r="CC179" s="1747"/>
      <c r="CD179" s="1747"/>
      <c r="CE179" s="1749"/>
      <c r="CG179" s="1814" t="s">
        <v>382</v>
      </c>
      <c r="CH179" s="1628" t="s">
        <v>567</v>
      </c>
      <c r="CI179" s="1622" t="s">
        <v>1915</v>
      </c>
      <c r="CJ179" s="1750">
        <f t="shared" si="160"/>
        <v>0.25</v>
      </c>
      <c r="CK179" s="1750">
        <f t="shared" si="148"/>
        <v>0.25</v>
      </c>
      <c r="CL179" s="1750">
        <f t="shared" si="149"/>
        <v>0.25</v>
      </c>
      <c r="CM179" s="1750">
        <f t="shared" si="150"/>
        <v>0.25</v>
      </c>
      <c r="CN179" s="1750">
        <f t="shared" si="151"/>
        <v>0.25</v>
      </c>
      <c r="CO179" s="1750">
        <f t="shared" si="152"/>
        <v>0.25</v>
      </c>
      <c r="CP179" s="1750">
        <f t="shared" si="153"/>
        <v>0.25</v>
      </c>
      <c r="CQ179" s="1750">
        <f t="shared" si="154"/>
        <v>0.25</v>
      </c>
      <c r="CR179" s="1750">
        <f t="shared" si="155"/>
        <v>0.25</v>
      </c>
      <c r="CS179" s="1750">
        <f t="shared" si="156"/>
        <v>0.25</v>
      </c>
      <c r="CT179" s="1751">
        <f t="shared" si="157"/>
        <v>0</v>
      </c>
      <c r="CU179" s="1750">
        <f t="shared" si="158"/>
        <v>0</v>
      </c>
      <c r="CV179" s="1750">
        <f t="shared" si="159"/>
        <v>0</v>
      </c>
      <c r="CX179" s="1814" t="s">
        <v>382</v>
      </c>
      <c r="CY179" s="1628" t="s">
        <v>567</v>
      </c>
      <c r="CZ179" s="1622"/>
      <c r="DA179" s="1637">
        <v>0</v>
      </c>
      <c r="DB179" s="1753"/>
      <c r="DC179" s="1753"/>
      <c r="DD179" s="1753"/>
      <c r="DE179" s="1753"/>
      <c r="DF179" s="1753"/>
      <c r="DG179" s="1753"/>
      <c r="DH179" s="1753"/>
      <c r="DI179" s="1753"/>
      <c r="DJ179" s="1753"/>
      <c r="DK179" s="1754"/>
      <c r="DL179" s="1753"/>
      <c r="DM179" s="1753"/>
    </row>
    <row r="180" spans="2:117">
      <c r="B180" s="1584" t="str">
        <f t="shared" si="165"/>
        <v>2.3.1</v>
      </c>
      <c r="C180" s="1815" t="str">
        <f t="shared" si="116"/>
        <v>Reduction of Rainwater Discharge Loads</v>
      </c>
      <c r="D180" s="1623">
        <f t="shared" ref="D180:E183" si="178">IF(I$179=0,0,G180/I$179)</f>
        <v>0.25</v>
      </c>
      <c r="E180" s="1623">
        <f t="shared" si="178"/>
        <v>0</v>
      </c>
      <c r="G180" s="1624">
        <f t="shared" si="161"/>
        <v>0.25</v>
      </c>
      <c r="H180" s="1624">
        <f t="shared" si="162"/>
        <v>0</v>
      </c>
      <c r="I180" s="1624"/>
      <c r="J180" s="1624"/>
      <c r="K180" s="1624">
        <f>IF(Score!W180=0,0,1)</f>
        <v>1</v>
      </c>
      <c r="L180" s="1624">
        <f>IF(Score!X180=0,0,1)</f>
        <v>0</v>
      </c>
      <c r="M180" s="1624">
        <f t="shared" si="163"/>
        <v>0.25</v>
      </c>
      <c r="N180" s="1624">
        <f t="shared" si="167"/>
        <v>0</v>
      </c>
      <c r="P180" s="1814" t="str">
        <f t="shared" si="118"/>
        <v>2.3.1</v>
      </c>
      <c r="Q180" s="1628" t="str">
        <f t="shared" si="119"/>
        <v>LR3 2.3</v>
      </c>
      <c r="R180" s="1815" t="str">
        <f t="shared" si="120"/>
        <v>Reduction of Rainwater Discharge Loads</v>
      </c>
      <c r="S180" s="1626">
        <f t="shared" si="102"/>
        <v>0.25</v>
      </c>
      <c r="T180" s="1626">
        <f t="shared" si="103"/>
        <v>0.25</v>
      </c>
      <c r="U180" s="1626">
        <f t="shared" si="104"/>
        <v>0.25</v>
      </c>
      <c r="V180" s="1626">
        <f t="shared" si="105"/>
        <v>0.25</v>
      </c>
      <c r="W180" s="1626">
        <f t="shared" si="106"/>
        <v>0.25</v>
      </c>
      <c r="X180" s="1626">
        <f t="shared" si="107"/>
        <v>0.25</v>
      </c>
      <c r="Y180" s="1626">
        <f t="shared" si="108"/>
        <v>0.25</v>
      </c>
      <c r="Z180" s="1626">
        <f t="shared" si="109"/>
        <v>0.25</v>
      </c>
      <c r="AA180" s="1626">
        <f t="shared" si="110"/>
        <v>0.25</v>
      </c>
      <c r="AB180" s="1626">
        <f t="shared" si="111"/>
        <v>0.25</v>
      </c>
      <c r="AC180" s="1744">
        <f t="shared" si="112"/>
        <v>0</v>
      </c>
      <c r="AD180" s="1743">
        <f t="shared" si="113"/>
        <v>0</v>
      </c>
      <c r="AE180" s="1743">
        <f t="shared" si="114"/>
        <v>0</v>
      </c>
      <c r="AG180" s="1814" t="s">
        <v>384</v>
      </c>
      <c r="AH180" s="1628" t="s">
        <v>568</v>
      </c>
      <c r="AI180" s="1815" t="s">
        <v>1916</v>
      </c>
      <c r="AJ180" s="1631">
        <v>0.25</v>
      </c>
      <c r="AK180" s="1631">
        <v>0.25</v>
      </c>
      <c r="AL180" s="1631">
        <v>0.25</v>
      </c>
      <c r="AM180" s="1631">
        <v>0.25</v>
      </c>
      <c r="AN180" s="1631">
        <v>0.25</v>
      </c>
      <c r="AO180" s="1631">
        <v>0.25</v>
      </c>
      <c r="AP180" s="1631">
        <v>0.25</v>
      </c>
      <c r="AQ180" s="1631">
        <v>0.25</v>
      </c>
      <c r="AR180" s="1631">
        <v>0.25</v>
      </c>
      <c r="AS180" s="1631">
        <v>0.25</v>
      </c>
      <c r="AT180" s="1748"/>
      <c r="AU180" s="1747"/>
      <c r="AV180" s="1747"/>
      <c r="AX180" s="1814" t="s">
        <v>384</v>
      </c>
      <c r="AY180" s="1628" t="s">
        <v>568</v>
      </c>
      <c r="AZ180" s="1815" t="s">
        <v>1916</v>
      </c>
      <c r="BA180" s="1631">
        <v>0.25</v>
      </c>
      <c r="BB180" s="1631">
        <v>0.25</v>
      </c>
      <c r="BC180" s="1631">
        <v>0.25</v>
      </c>
      <c r="BD180" s="1631">
        <v>0.25</v>
      </c>
      <c r="BE180" s="1631">
        <v>0.25</v>
      </c>
      <c r="BF180" s="1631">
        <v>0.25</v>
      </c>
      <c r="BG180" s="1631">
        <v>0.25</v>
      </c>
      <c r="BH180" s="1631">
        <v>0.25</v>
      </c>
      <c r="BI180" s="1631">
        <v>0.25</v>
      </c>
      <c r="BJ180" s="1631">
        <v>0.25</v>
      </c>
      <c r="BK180" s="1748"/>
      <c r="BL180" s="1747"/>
      <c r="BM180" s="1747"/>
      <c r="BO180" s="1814" t="s">
        <v>384</v>
      </c>
      <c r="BP180" s="1628" t="s">
        <v>568</v>
      </c>
      <c r="BQ180" s="1815" t="s">
        <v>1653</v>
      </c>
      <c r="BR180" s="1631">
        <v>0.25</v>
      </c>
      <c r="BS180" s="1631">
        <v>0.25</v>
      </c>
      <c r="BT180" s="1631">
        <v>0.25</v>
      </c>
      <c r="BU180" s="1631">
        <v>0.25</v>
      </c>
      <c r="BV180" s="1631">
        <v>0.25</v>
      </c>
      <c r="BW180" s="1631">
        <v>0.25</v>
      </c>
      <c r="BX180" s="1631">
        <v>0.25</v>
      </c>
      <c r="BY180" s="1631">
        <v>0.25</v>
      </c>
      <c r="BZ180" s="1631">
        <v>0.25</v>
      </c>
      <c r="CA180" s="1631">
        <v>0.25</v>
      </c>
      <c r="CB180" s="1748"/>
      <c r="CC180" s="1747"/>
      <c r="CD180" s="1747"/>
      <c r="CE180" s="1749"/>
      <c r="CG180" s="1814" t="s">
        <v>59</v>
      </c>
      <c r="CH180" s="1628" t="s">
        <v>568</v>
      </c>
      <c r="CI180" s="1815" t="s">
        <v>1916</v>
      </c>
      <c r="CJ180" s="1636">
        <f t="shared" si="160"/>
        <v>0.25</v>
      </c>
      <c r="CK180" s="1636">
        <f t="shared" si="148"/>
        <v>0.25</v>
      </c>
      <c r="CL180" s="1636">
        <f t="shared" si="149"/>
        <v>0.25</v>
      </c>
      <c r="CM180" s="1636">
        <f t="shared" si="150"/>
        <v>0.25</v>
      </c>
      <c r="CN180" s="1636">
        <f t="shared" si="151"/>
        <v>0.25</v>
      </c>
      <c r="CO180" s="1636">
        <f t="shared" si="152"/>
        <v>0.25</v>
      </c>
      <c r="CP180" s="1636">
        <f t="shared" si="153"/>
        <v>0.25</v>
      </c>
      <c r="CQ180" s="1636">
        <f t="shared" si="154"/>
        <v>0.25</v>
      </c>
      <c r="CR180" s="1636">
        <f t="shared" si="155"/>
        <v>0.25</v>
      </c>
      <c r="CS180" s="1636">
        <f t="shared" si="156"/>
        <v>0.25</v>
      </c>
      <c r="CT180" s="1751">
        <f t="shared" si="157"/>
        <v>0</v>
      </c>
      <c r="CU180" s="1750">
        <f t="shared" si="158"/>
        <v>0</v>
      </c>
      <c r="CV180" s="1750">
        <f t="shared" si="159"/>
        <v>0</v>
      </c>
      <c r="CX180" s="1814" t="s">
        <v>59</v>
      </c>
      <c r="CY180" s="1628" t="s">
        <v>568</v>
      </c>
      <c r="CZ180" s="1815"/>
      <c r="DA180" s="1637">
        <v>0</v>
      </c>
      <c r="DB180" s="1638"/>
      <c r="DC180" s="1638"/>
      <c r="DD180" s="1638"/>
      <c r="DE180" s="1638"/>
      <c r="DF180" s="1638"/>
      <c r="DG180" s="1638"/>
      <c r="DH180" s="1638"/>
      <c r="DI180" s="1638"/>
      <c r="DJ180" s="1638"/>
      <c r="DK180" s="1754"/>
      <c r="DL180" s="1753"/>
      <c r="DM180" s="1753"/>
    </row>
    <row r="181" spans="2:117">
      <c r="B181" s="1584" t="str">
        <f t="shared" si="165"/>
        <v>2.3.2</v>
      </c>
      <c r="C181" s="1815" t="str">
        <f t="shared" si="116"/>
        <v>Sewage Load Suppression</v>
      </c>
      <c r="D181" s="1623">
        <f t="shared" si="178"/>
        <v>0.25</v>
      </c>
      <c r="E181" s="1623">
        <f t="shared" si="178"/>
        <v>0</v>
      </c>
      <c r="G181" s="1624">
        <f t="shared" si="161"/>
        <v>0.25</v>
      </c>
      <c r="H181" s="1624">
        <f t="shared" si="162"/>
        <v>0</v>
      </c>
      <c r="I181" s="1624"/>
      <c r="J181" s="1624"/>
      <c r="K181" s="1624">
        <f>IF(Score!W181=0,0,1)</f>
        <v>1</v>
      </c>
      <c r="L181" s="1624">
        <f>IF(Score!X181=0,0,1)</f>
        <v>0</v>
      </c>
      <c r="M181" s="1624">
        <f t="shared" si="163"/>
        <v>0.25</v>
      </c>
      <c r="N181" s="1624">
        <f t="shared" si="167"/>
        <v>0</v>
      </c>
      <c r="P181" s="1814" t="str">
        <f t="shared" si="118"/>
        <v>2.3.2</v>
      </c>
      <c r="Q181" s="1628" t="str">
        <f t="shared" si="119"/>
        <v>LR3 2.3</v>
      </c>
      <c r="R181" s="1815" t="str">
        <f t="shared" si="120"/>
        <v>Sewage Load Suppression</v>
      </c>
      <c r="S181" s="1626">
        <f t="shared" si="102"/>
        <v>0.25</v>
      </c>
      <c r="T181" s="1626">
        <f t="shared" si="103"/>
        <v>0.25</v>
      </c>
      <c r="U181" s="1626">
        <f t="shared" si="104"/>
        <v>0.25</v>
      </c>
      <c r="V181" s="1626">
        <f t="shared" si="105"/>
        <v>0.25</v>
      </c>
      <c r="W181" s="1626">
        <f t="shared" si="106"/>
        <v>0.25</v>
      </c>
      <c r="X181" s="1626">
        <f t="shared" si="107"/>
        <v>0.25</v>
      </c>
      <c r="Y181" s="1626">
        <f t="shared" si="108"/>
        <v>0.25</v>
      </c>
      <c r="Z181" s="1626">
        <f t="shared" si="109"/>
        <v>0.25</v>
      </c>
      <c r="AA181" s="1626">
        <f t="shared" si="110"/>
        <v>0.25</v>
      </c>
      <c r="AB181" s="1626">
        <f t="shared" si="111"/>
        <v>0.25</v>
      </c>
      <c r="AC181" s="1744">
        <f t="shared" si="112"/>
        <v>0</v>
      </c>
      <c r="AD181" s="1743">
        <f t="shared" si="113"/>
        <v>0</v>
      </c>
      <c r="AE181" s="1743">
        <f t="shared" si="114"/>
        <v>0</v>
      </c>
      <c r="AG181" s="1814" t="s">
        <v>385</v>
      </c>
      <c r="AH181" s="1628" t="s">
        <v>568</v>
      </c>
      <c r="AI181" s="1815" t="s">
        <v>1917</v>
      </c>
      <c r="AJ181" s="1631">
        <v>0.25</v>
      </c>
      <c r="AK181" s="1631">
        <v>0.25</v>
      </c>
      <c r="AL181" s="1631">
        <v>0.25</v>
      </c>
      <c r="AM181" s="1631">
        <v>0.25</v>
      </c>
      <c r="AN181" s="1631">
        <v>0.25</v>
      </c>
      <c r="AO181" s="1631">
        <v>0.25</v>
      </c>
      <c r="AP181" s="1631">
        <v>0.25</v>
      </c>
      <c r="AQ181" s="1631">
        <v>0.25</v>
      </c>
      <c r="AR181" s="1631">
        <v>0.25</v>
      </c>
      <c r="AS181" s="1631">
        <v>0.25</v>
      </c>
      <c r="AT181" s="1748"/>
      <c r="AU181" s="1747"/>
      <c r="AV181" s="1747"/>
      <c r="AX181" s="1814" t="s">
        <v>385</v>
      </c>
      <c r="AY181" s="1628" t="s">
        <v>568</v>
      </c>
      <c r="AZ181" s="1815" t="s">
        <v>1917</v>
      </c>
      <c r="BA181" s="1631">
        <v>0.25</v>
      </c>
      <c r="BB181" s="1631">
        <v>0.25</v>
      </c>
      <c r="BC181" s="1631">
        <v>0.25</v>
      </c>
      <c r="BD181" s="1631">
        <v>0.25</v>
      </c>
      <c r="BE181" s="1631">
        <v>0.25</v>
      </c>
      <c r="BF181" s="1631">
        <v>0.25</v>
      </c>
      <c r="BG181" s="1631">
        <v>0.25</v>
      </c>
      <c r="BH181" s="1631">
        <v>0.25</v>
      </c>
      <c r="BI181" s="1631">
        <v>0.25</v>
      </c>
      <c r="BJ181" s="1631">
        <v>0.25</v>
      </c>
      <c r="BK181" s="1748"/>
      <c r="BL181" s="1747"/>
      <c r="BM181" s="1747"/>
      <c r="BO181" s="1814" t="s">
        <v>385</v>
      </c>
      <c r="BP181" s="1628" t="s">
        <v>568</v>
      </c>
      <c r="BQ181" s="1815" t="s">
        <v>1654</v>
      </c>
      <c r="BR181" s="1631">
        <v>0.25</v>
      </c>
      <c r="BS181" s="1631">
        <v>0.25</v>
      </c>
      <c r="BT181" s="1631">
        <v>0.25</v>
      </c>
      <c r="BU181" s="1631">
        <v>0.25</v>
      </c>
      <c r="BV181" s="1631">
        <v>0.25</v>
      </c>
      <c r="BW181" s="1631">
        <v>0.25</v>
      </c>
      <c r="BX181" s="1631">
        <v>0.25</v>
      </c>
      <c r="BY181" s="1631">
        <v>0.25</v>
      </c>
      <c r="BZ181" s="1631">
        <v>0.25</v>
      </c>
      <c r="CA181" s="1631">
        <v>0.25</v>
      </c>
      <c r="CB181" s="1748"/>
      <c r="CC181" s="1747"/>
      <c r="CD181" s="1747"/>
      <c r="CE181" s="1749"/>
      <c r="CG181" s="1814" t="s">
        <v>61</v>
      </c>
      <c r="CH181" s="1628" t="s">
        <v>568</v>
      </c>
      <c r="CI181" s="1815" t="s">
        <v>1917</v>
      </c>
      <c r="CJ181" s="1636">
        <f t="shared" si="160"/>
        <v>0.25</v>
      </c>
      <c r="CK181" s="1636">
        <f t="shared" si="148"/>
        <v>0.25</v>
      </c>
      <c r="CL181" s="1636">
        <f t="shared" si="149"/>
        <v>0.25</v>
      </c>
      <c r="CM181" s="1636">
        <f t="shared" si="150"/>
        <v>0.25</v>
      </c>
      <c r="CN181" s="1636">
        <f t="shared" si="151"/>
        <v>0.25</v>
      </c>
      <c r="CO181" s="1636">
        <f t="shared" si="152"/>
        <v>0.25</v>
      </c>
      <c r="CP181" s="1636">
        <f t="shared" si="153"/>
        <v>0.25</v>
      </c>
      <c r="CQ181" s="1636">
        <f t="shared" si="154"/>
        <v>0.25</v>
      </c>
      <c r="CR181" s="1636">
        <f t="shared" si="155"/>
        <v>0.25</v>
      </c>
      <c r="CS181" s="1636">
        <f t="shared" si="156"/>
        <v>0.25</v>
      </c>
      <c r="CT181" s="1751">
        <f t="shared" si="157"/>
        <v>0</v>
      </c>
      <c r="CU181" s="1750">
        <f t="shared" si="158"/>
        <v>0</v>
      </c>
      <c r="CV181" s="1750">
        <f t="shared" si="159"/>
        <v>0</v>
      </c>
      <c r="CX181" s="1814" t="s">
        <v>61</v>
      </c>
      <c r="CY181" s="1628" t="s">
        <v>568</v>
      </c>
      <c r="CZ181" s="1815"/>
      <c r="DA181" s="1637">
        <v>0</v>
      </c>
      <c r="DB181" s="1638"/>
      <c r="DC181" s="1638"/>
      <c r="DD181" s="1638"/>
      <c r="DE181" s="1638"/>
      <c r="DF181" s="1638"/>
      <c r="DG181" s="1638"/>
      <c r="DH181" s="1638"/>
      <c r="DI181" s="1638"/>
      <c r="DJ181" s="1638"/>
      <c r="DK181" s="1754"/>
      <c r="DL181" s="1753"/>
      <c r="DM181" s="1753"/>
    </row>
    <row r="182" spans="2:117">
      <c r="B182" s="1584" t="str">
        <f t="shared" si="165"/>
        <v>2.3.3</v>
      </c>
      <c r="C182" s="1815" t="str">
        <f t="shared" si="116"/>
        <v>Traffic Load Control</v>
      </c>
      <c r="D182" s="1623">
        <f t="shared" si="178"/>
        <v>0.25</v>
      </c>
      <c r="E182" s="1623">
        <f t="shared" si="178"/>
        <v>0</v>
      </c>
      <c r="G182" s="1624">
        <f t="shared" si="161"/>
        <v>0.25</v>
      </c>
      <c r="H182" s="1624">
        <f t="shared" si="162"/>
        <v>0</v>
      </c>
      <c r="I182" s="1624"/>
      <c r="J182" s="1624"/>
      <c r="K182" s="1624">
        <f>IF(Score!W182=0,0,1)</f>
        <v>1</v>
      </c>
      <c r="L182" s="1624">
        <f>IF(Score!X182=0,0,1)</f>
        <v>0</v>
      </c>
      <c r="M182" s="1624">
        <f t="shared" si="163"/>
        <v>0.25</v>
      </c>
      <c r="N182" s="1624">
        <f t="shared" si="167"/>
        <v>0</v>
      </c>
      <c r="P182" s="1814" t="str">
        <f t="shared" si="118"/>
        <v>2.3.3</v>
      </c>
      <c r="Q182" s="1628" t="str">
        <f t="shared" si="119"/>
        <v>LR3 2.3</v>
      </c>
      <c r="R182" s="1815" t="str">
        <f t="shared" si="120"/>
        <v>Traffic Load Control</v>
      </c>
      <c r="S182" s="1626">
        <f t="shared" si="102"/>
        <v>0.25</v>
      </c>
      <c r="T182" s="1626">
        <f t="shared" si="103"/>
        <v>0.25</v>
      </c>
      <c r="U182" s="1626">
        <f t="shared" si="104"/>
        <v>0.25</v>
      </c>
      <c r="V182" s="1626">
        <f t="shared" si="105"/>
        <v>0.25</v>
      </c>
      <c r="W182" s="1626">
        <f t="shared" si="106"/>
        <v>0.25</v>
      </c>
      <c r="X182" s="1626">
        <f t="shared" si="107"/>
        <v>0.25</v>
      </c>
      <c r="Y182" s="1626">
        <f t="shared" si="108"/>
        <v>0.25</v>
      </c>
      <c r="Z182" s="1626">
        <f t="shared" si="109"/>
        <v>0.25</v>
      </c>
      <c r="AA182" s="1626">
        <f t="shared" si="110"/>
        <v>0.25</v>
      </c>
      <c r="AB182" s="1626">
        <f t="shared" si="111"/>
        <v>0.25</v>
      </c>
      <c r="AC182" s="1744">
        <f t="shared" si="112"/>
        <v>0</v>
      </c>
      <c r="AD182" s="1743">
        <f t="shared" si="113"/>
        <v>0</v>
      </c>
      <c r="AE182" s="1743">
        <f t="shared" si="114"/>
        <v>0</v>
      </c>
      <c r="AG182" s="1814" t="s">
        <v>386</v>
      </c>
      <c r="AH182" s="1628" t="s">
        <v>568</v>
      </c>
      <c r="AI182" s="1815" t="s">
        <v>1918</v>
      </c>
      <c r="AJ182" s="1631">
        <v>0.25</v>
      </c>
      <c r="AK182" s="1631">
        <v>0.25</v>
      </c>
      <c r="AL182" s="1631">
        <v>0.25</v>
      </c>
      <c r="AM182" s="1631">
        <v>0.25</v>
      </c>
      <c r="AN182" s="1631">
        <v>0.25</v>
      </c>
      <c r="AO182" s="1631">
        <v>0.25</v>
      </c>
      <c r="AP182" s="1631">
        <v>0.25</v>
      </c>
      <c r="AQ182" s="1631">
        <v>0.25</v>
      </c>
      <c r="AR182" s="1631">
        <v>0.25</v>
      </c>
      <c r="AS182" s="1631">
        <v>0.25</v>
      </c>
      <c r="AT182" s="1748"/>
      <c r="AU182" s="1747"/>
      <c r="AV182" s="1747"/>
      <c r="AX182" s="1814" t="s">
        <v>387</v>
      </c>
      <c r="AY182" s="1628" t="s">
        <v>568</v>
      </c>
      <c r="AZ182" s="1815" t="s">
        <v>1918</v>
      </c>
      <c r="BA182" s="1631">
        <v>0.25</v>
      </c>
      <c r="BB182" s="1631">
        <v>0.25</v>
      </c>
      <c r="BC182" s="1631">
        <v>0.25</v>
      </c>
      <c r="BD182" s="1631">
        <v>0.25</v>
      </c>
      <c r="BE182" s="1631">
        <v>0.25</v>
      </c>
      <c r="BF182" s="1631">
        <v>0.25</v>
      </c>
      <c r="BG182" s="1631">
        <v>0.25</v>
      </c>
      <c r="BH182" s="1631">
        <v>0.25</v>
      </c>
      <c r="BI182" s="1631">
        <v>0.25</v>
      </c>
      <c r="BJ182" s="1631">
        <v>0.25</v>
      </c>
      <c r="BK182" s="1748"/>
      <c r="BL182" s="1747"/>
      <c r="BM182" s="1747"/>
      <c r="BO182" s="1814" t="s">
        <v>387</v>
      </c>
      <c r="BP182" s="1628" t="s">
        <v>568</v>
      </c>
      <c r="BQ182" s="1815" t="s">
        <v>1655</v>
      </c>
      <c r="BR182" s="1631">
        <v>0.25</v>
      </c>
      <c r="BS182" s="1631">
        <v>0.25</v>
      </c>
      <c r="BT182" s="1631">
        <v>0.25</v>
      </c>
      <c r="BU182" s="1631">
        <v>0.25</v>
      </c>
      <c r="BV182" s="1631">
        <v>0.25</v>
      </c>
      <c r="BW182" s="1631">
        <v>0.25</v>
      </c>
      <c r="BX182" s="1631">
        <v>0.25</v>
      </c>
      <c r="BY182" s="1631">
        <v>0.25</v>
      </c>
      <c r="BZ182" s="1631">
        <v>0.25</v>
      </c>
      <c r="CA182" s="1631">
        <v>0.25</v>
      </c>
      <c r="CB182" s="1748"/>
      <c r="CC182" s="1747"/>
      <c r="CD182" s="1747"/>
      <c r="CE182" s="1749"/>
      <c r="CG182" s="1814" t="s">
        <v>317</v>
      </c>
      <c r="CH182" s="1628" t="s">
        <v>568</v>
      </c>
      <c r="CI182" s="1815" t="s">
        <v>1918</v>
      </c>
      <c r="CJ182" s="1636">
        <f t="shared" si="160"/>
        <v>0.25</v>
      </c>
      <c r="CK182" s="1636">
        <f t="shared" si="148"/>
        <v>0.25</v>
      </c>
      <c r="CL182" s="1636">
        <f t="shared" si="149"/>
        <v>0.25</v>
      </c>
      <c r="CM182" s="1636">
        <f t="shared" si="150"/>
        <v>0.25</v>
      </c>
      <c r="CN182" s="1636">
        <f t="shared" si="151"/>
        <v>0.25</v>
      </c>
      <c r="CO182" s="1636">
        <f t="shared" si="152"/>
        <v>0.25</v>
      </c>
      <c r="CP182" s="1636">
        <f t="shared" si="153"/>
        <v>0.25</v>
      </c>
      <c r="CQ182" s="1636">
        <f t="shared" si="154"/>
        <v>0.25</v>
      </c>
      <c r="CR182" s="1636">
        <f t="shared" si="155"/>
        <v>0.25</v>
      </c>
      <c r="CS182" s="1636">
        <f t="shared" si="156"/>
        <v>0.25</v>
      </c>
      <c r="CT182" s="1751">
        <f t="shared" si="157"/>
        <v>0</v>
      </c>
      <c r="CU182" s="1750">
        <f t="shared" si="158"/>
        <v>0</v>
      </c>
      <c r="CV182" s="1750">
        <f t="shared" si="159"/>
        <v>0</v>
      </c>
      <c r="CX182" s="1814" t="s">
        <v>317</v>
      </c>
      <c r="CY182" s="1628" t="s">
        <v>568</v>
      </c>
      <c r="CZ182" s="1815"/>
      <c r="DA182" s="1637">
        <v>0</v>
      </c>
      <c r="DB182" s="1638"/>
      <c r="DC182" s="1638"/>
      <c r="DD182" s="1638"/>
      <c r="DE182" s="1638"/>
      <c r="DF182" s="1638"/>
      <c r="DG182" s="1638"/>
      <c r="DH182" s="1638"/>
      <c r="DI182" s="1638"/>
      <c r="DJ182" s="1638"/>
      <c r="DK182" s="1754"/>
      <c r="DL182" s="1753"/>
      <c r="DM182" s="1753"/>
    </row>
    <row r="183" spans="2:117">
      <c r="B183" s="1584" t="str">
        <f t="shared" si="165"/>
        <v>2.3.4</v>
      </c>
      <c r="C183" s="1816" t="str">
        <f t="shared" si="116"/>
        <v>Reduction of Waste Treatment Loads</v>
      </c>
      <c r="D183" s="1623">
        <f t="shared" si="178"/>
        <v>0.25</v>
      </c>
      <c r="E183" s="1623">
        <f t="shared" si="178"/>
        <v>0</v>
      </c>
      <c r="G183" s="1624">
        <f t="shared" si="161"/>
        <v>0.25</v>
      </c>
      <c r="H183" s="1624">
        <f t="shared" si="162"/>
        <v>0</v>
      </c>
      <c r="I183" s="1624"/>
      <c r="J183" s="1624"/>
      <c r="K183" s="1624">
        <f>IF(Score!W183=0,0,1)</f>
        <v>1</v>
      </c>
      <c r="L183" s="1624">
        <f>IF(Score!X183=0,0,1)</f>
        <v>0</v>
      </c>
      <c r="M183" s="1624">
        <f t="shared" si="163"/>
        <v>0.25</v>
      </c>
      <c r="N183" s="1624">
        <f t="shared" si="167"/>
        <v>0</v>
      </c>
      <c r="P183" s="1814" t="str">
        <f t="shared" si="118"/>
        <v>2.3.4</v>
      </c>
      <c r="Q183" s="1628" t="str">
        <f t="shared" si="119"/>
        <v>LR3 2.3</v>
      </c>
      <c r="R183" s="1816" t="str">
        <f t="shared" si="120"/>
        <v>Reduction of Waste Treatment Loads</v>
      </c>
      <c r="S183" s="1626">
        <f t="shared" si="102"/>
        <v>0.25</v>
      </c>
      <c r="T183" s="1626">
        <f t="shared" si="103"/>
        <v>0.25</v>
      </c>
      <c r="U183" s="1626">
        <f t="shared" si="104"/>
        <v>0.25</v>
      </c>
      <c r="V183" s="1626">
        <f t="shared" si="105"/>
        <v>0.25</v>
      </c>
      <c r="W183" s="1626">
        <f t="shared" si="106"/>
        <v>0.25</v>
      </c>
      <c r="X183" s="1626">
        <f t="shared" si="107"/>
        <v>0.25</v>
      </c>
      <c r="Y183" s="1626">
        <f t="shared" si="108"/>
        <v>0.25</v>
      </c>
      <c r="Z183" s="1626">
        <f t="shared" si="109"/>
        <v>0.25</v>
      </c>
      <c r="AA183" s="1626">
        <f t="shared" si="110"/>
        <v>0.25</v>
      </c>
      <c r="AB183" s="1626">
        <f t="shared" si="111"/>
        <v>0.25</v>
      </c>
      <c r="AC183" s="1744">
        <f t="shared" si="112"/>
        <v>0</v>
      </c>
      <c r="AD183" s="1743">
        <f t="shared" si="113"/>
        <v>0</v>
      </c>
      <c r="AE183" s="1743">
        <f t="shared" si="114"/>
        <v>0</v>
      </c>
      <c r="AG183" s="1814" t="s">
        <v>388</v>
      </c>
      <c r="AH183" s="1628" t="s">
        <v>568</v>
      </c>
      <c r="AI183" s="1816" t="s">
        <v>1919</v>
      </c>
      <c r="AJ183" s="1631">
        <v>0.25</v>
      </c>
      <c r="AK183" s="1631">
        <v>0.25</v>
      </c>
      <c r="AL183" s="1631">
        <v>0.25</v>
      </c>
      <c r="AM183" s="1631">
        <v>0.25</v>
      </c>
      <c r="AN183" s="1631">
        <v>0.25</v>
      </c>
      <c r="AO183" s="1631">
        <v>0.25</v>
      </c>
      <c r="AP183" s="1631">
        <v>0.25</v>
      </c>
      <c r="AQ183" s="1631">
        <v>0.25</v>
      </c>
      <c r="AR183" s="1631">
        <v>0.25</v>
      </c>
      <c r="AS183" s="1631">
        <v>0.25</v>
      </c>
      <c r="AT183" s="1748"/>
      <c r="AU183" s="1747"/>
      <c r="AV183" s="1747"/>
      <c r="AX183" s="1814" t="s">
        <v>389</v>
      </c>
      <c r="AY183" s="1628" t="s">
        <v>568</v>
      </c>
      <c r="AZ183" s="1816" t="s">
        <v>1919</v>
      </c>
      <c r="BA183" s="1631">
        <v>0.25</v>
      </c>
      <c r="BB183" s="1631">
        <v>0.25</v>
      </c>
      <c r="BC183" s="1631">
        <v>0.25</v>
      </c>
      <c r="BD183" s="1631">
        <v>0.25</v>
      </c>
      <c r="BE183" s="1631">
        <v>0.25</v>
      </c>
      <c r="BF183" s="1631">
        <v>0.25</v>
      </c>
      <c r="BG183" s="1631">
        <v>0.25</v>
      </c>
      <c r="BH183" s="1631">
        <v>0.25</v>
      </c>
      <c r="BI183" s="1631">
        <v>0.25</v>
      </c>
      <c r="BJ183" s="1631">
        <v>0.25</v>
      </c>
      <c r="BK183" s="1748"/>
      <c r="BL183" s="1747"/>
      <c r="BM183" s="1747"/>
      <c r="BO183" s="1814" t="s">
        <v>389</v>
      </c>
      <c r="BP183" s="1628" t="s">
        <v>568</v>
      </c>
      <c r="BQ183" s="3169" t="s">
        <v>3389</v>
      </c>
      <c r="BR183" s="1631">
        <v>0.25</v>
      </c>
      <c r="BS183" s="1631">
        <v>0.25</v>
      </c>
      <c r="BT183" s="1631">
        <v>0.25</v>
      </c>
      <c r="BU183" s="1631">
        <v>0.25</v>
      </c>
      <c r="BV183" s="1631">
        <v>0.25</v>
      </c>
      <c r="BW183" s="1631">
        <v>0.25</v>
      </c>
      <c r="BX183" s="1631">
        <v>0.25</v>
      </c>
      <c r="BY183" s="1631">
        <v>0.25</v>
      </c>
      <c r="BZ183" s="1631">
        <v>0.25</v>
      </c>
      <c r="CA183" s="1631">
        <v>0.25</v>
      </c>
      <c r="CB183" s="1748"/>
      <c r="CC183" s="1747"/>
      <c r="CD183" s="1747"/>
      <c r="CE183" s="1749"/>
      <c r="CG183" s="1814" t="s">
        <v>388</v>
      </c>
      <c r="CH183" s="1628" t="s">
        <v>568</v>
      </c>
      <c r="CI183" s="1816" t="s">
        <v>1919</v>
      </c>
      <c r="CJ183" s="1636">
        <f t="shared" si="160"/>
        <v>0.25</v>
      </c>
      <c r="CK183" s="1636">
        <f t="shared" si="148"/>
        <v>0.25</v>
      </c>
      <c r="CL183" s="1636">
        <f t="shared" si="149"/>
        <v>0.25</v>
      </c>
      <c r="CM183" s="1636">
        <f t="shared" si="150"/>
        <v>0.25</v>
      </c>
      <c r="CN183" s="1636">
        <f t="shared" si="151"/>
        <v>0.25</v>
      </c>
      <c r="CO183" s="1636">
        <f t="shared" si="152"/>
        <v>0.25</v>
      </c>
      <c r="CP183" s="1636">
        <f t="shared" si="153"/>
        <v>0.25</v>
      </c>
      <c r="CQ183" s="1636">
        <f t="shared" si="154"/>
        <v>0.25</v>
      </c>
      <c r="CR183" s="1636">
        <f t="shared" si="155"/>
        <v>0.25</v>
      </c>
      <c r="CS183" s="1636">
        <f t="shared" si="156"/>
        <v>0.25</v>
      </c>
      <c r="CT183" s="1751">
        <f t="shared" si="157"/>
        <v>0</v>
      </c>
      <c r="CU183" s="1750">
        <f t="shared" si="158"/>
        <v>0</v>
      </c>
      <c r="CV183" s="1750">
        <f t="shared" si="159"/>
        <v>0</v>
      </c>
      <c r="CX183" s="1814" t="s">
        <v>388</v>
      </c>
      <c r="CY183" s="1628" t="s">
        <v>568</v>
      </c>
      <c r="CZ183" s="1816"/>
      <c r="DA183" s="1637">
        <v>0</v>
      </c>
      <c r="DB183" s="1638"/>
      <c r="DC183" s="1638"/>
      <c r="DD183" s="1638"/>
      <c r="DE183" s="1638"/>
      <c r="DF183" s="1638"/>
      <c r="DG183" s="1638"/>
      <c r="DH183" s="1638"/>
      <c r="DI183" s="1638"/>
      <c r="DJ183" s="1638"/>
      <c r="DK183" s="1754"/>
      <c r="DL183" s="1753"/>
      <c r="DM183" s="1753"/>
    </row>
    <row r="184" spans="2:117" hidden="1">
      <c r="B184" s="1584">
        <f t="shared" si="165"/>
        <v>0</v>
      </c>
      <c r="C184" s="1816">
        <f t="shared" si="116"/>
        <v>0</v>
      </c>
      <c r="D184" s="1623">
        <f>IF(I$176=0,0,G184/I$176)</f>
        <v>0</v>
      </c>
      <c r="E184" s="1623">
        <f>IF(J$176=0,0,H184/J$176)</f>
        <v>0</v>
      </c>
      <c r="G184" s="1624">
        <f>K184*M184</f>
        <v>0</v>
      </c>
      <c r="H184" s="1624">
        <f>L184*N184</f>
        <v>0</v>
      </c>
      <c r="I184" s="1624"/>
      <c r="J184" s="1624"/>
      <c r="K184" s="1624">
        <f>IF(Score!W184=0,0,1)</f>
        <v>1</v>
      </c>
      <c r="L184" s="1624">
        <f>IF(Score!X184=0,0,1)</f>
        <v>0</v>
      </c>
      <c r="M184" s="1624">
        <f>SUMPRODUCT($S$7:$AB$7,S184:AB184)</f>
        <v>0</v>
      </c>
      <c r="N184" s="1624">
        <f>(AC$7*AC184)+(AD$7*AD184)+(AE$7*AE184)</f>
        <v>0</v>
      </c>
      <c r="P184" s="1814">
        <f>IF($P$3=1,AX184,IF($P$3=2,BO184,IF($P$3=3,CG184,IF($P$3=4,CX184,AG184))))</f>
        <v>0</v>
      </c>
      <c r="Q184" s="1628">
        <f t="shared" si="119"/>
        <v>0</v>
      </c>
      <c r="R184" s="1816">
        <f t="shared" si="120"/>
        <v>0</v>
      </c>
      <c r="S184" s="1626">
        <f t="shared" si="102"/>
        <v>0</v>
      </c>
      <c r="T184" s="1626">
        <f t="shared" si="103"/>
        <v>0</v>
      </c>
      <c r="U184" s="1626">
        <f t="shared" si="104"/>
        <v>0</v>
      </c>
      <c r="V184" s="1626">
        <f t="shared" si="105"/>
        <v>0</v>
      </c>
      <c r="W184" s="1626">
        <f t="shared" si="106"/>
        <v>0</v>
      </c>
      <c r="X184" s="1626">
        <f t="shared" si="107"/>
        <v>0</v>
      </c>
      <c r="Y184" s="1626">
        <f t="shared" si="108"/>
        <v>0</v>
      </c>
      <c r="Z184" s="1626">
        <f t="shared" si="109"/>
        <v>0</v>
      </c>
      <c r="AA184" s="1626">
        <f t="shared" si="110"/>
        <v>0</v>
      </c>
      <c r="AB184" s="1626">
        <f t="shared" si="111"/>
        <v>0</v>
      </c>
      <c r="AC184" s="1744">
        <f t="shared" si="112"/>
        <v>0</v>
      </c>
      <c r="AD184" s="1743">
        <f t="shared" si="113"/>
        <v>0</v>
      </c>
      <c r="AE184" s="1743">
        <f t="shared" si="114"/>
        <v>0</v>
      </c>
      <c r="AG184" s="1814"/>
      <c r="AH184" s="1628"/>
      <c r="AI184" s="1816"/>
      <c r="AJ184" s="1631"/>
      <c r="AK184" s="1631"/>
      <c r="AL184" s="1631"/>
      <c r="AM184" s="1631"/>
      <c r="AN184" s="1631"/>
      <c r="AO184" s="1631"/>
      <c r="AP184" s="1631"/>
      <c r="AQ184" s="1631"/>
      <c r="AR184" s="1631"/>
      <c r="AS184" s="1631"/>
      <c r="AT184" s="1748"/>
      <c r="AU184" s="1747"/>
      <c r="AV184" s="1747"/>
      <c r="AX184" s="1814"/>
      <c r="AY184" s="1628"/>
      <c r="AZ184" s="1816"/>
      <c r="BA184" s="1631"/>
      <c r="BB184" s="1631"/>
      <c r="BC184" s="1631"/>
      <c r="BD184" s="1631"/>
      <c r="BE184" s="1631"/>
      <c r="BF184" s="1631"/>
      <c r="BG184" s="1631"/>
      <c r="BH184" s="1631"/>
      <c r="BI184" s="1631"/>
      <c r="BJ184" s="1631"/>
      <c r="BK184" s="1748"/>
      <c r="BL184" s="1747"/>
      <c r="BM184" s="1747"/>
      <c r="BO184" s="1814"/>
      <c r="BP184" s="1628"/>
      <c r="BQ184" s="1816"/>
      <c r="BR184" s="1631"/>
      <c r="BS184" s="1631"/>
      <c r="BT184" s="1631"/>
      <c r="BU184" s="1631"/>
      <c r="BV184" s="1631"/>
      <c r="BW184" s="1631"/>
      <c r="BX184" s="1631"/>
      <c r="BY184" s="1631"/>
      <c r="BZ184" s="1631"/>
      <c r="CA184" s="1631"/>
      <c r="CB184" s="1748"/>
      <c r="CC184" s="1747"/>
      <c r="CD184" s="1747"/>
      <c r="CE184" s="1749"/>
      <c r="CG184" s="1814"/>
      <c r="CH184" s="1628"/>
      <c r="CI184" s="1816"/>
      <c r="CJ184" s="1636"/>
      <c r="CK184" s="1636"/>
      <c r="CL184" s="1636"/>
      <c r="CM184" s="1636"/>
      <c r="CN184" s="1636"/>
      <c r="CO184" s="1636"/>
      <c r="CP184" s="1636"/>
      <c r="CQ184" s="1636"/>
      <c r="CR184" s="1636"/>
      <c r="CS184" s="1636"/>
      <c r="CT184" s="1751"/>
      <c r="CU184" s="1750"/>
      <c r="CV184" s="1750"/>
      <c r="CX184" s="1814" t="s">
        <v>776</v>
      </c>
      <c r="CY184" s="1628" t="s">
        <v>568</v>
      </c>
      <c r="CZ184" s="1817" t="s">
        <v>1920</v>
      </c>
      <c r="DA184" s="1637">
        <v>1</v>
      </c>
      <c r="DB184" s="1638"/>
      <c r="DC184" s="1638"/>
      <c r="DD184" s="1638"/>
      <c r="DE184" s="1638"/>
      <c r="DF184" s="1638"/>
      <c r="DG184" s="1638"/>
      <c r="DH184" s="1638"/>
      <c r="DI184" s="1638"/>
      <c r="DJ184" s="1638"/>
      <c r="DK184" s="1754"/>
      <c r="DL184" s="1753"/>
      <c r="DM184" s="1753"/>
    </row>
    <row r="185" spans="2:117">
      <c r="B185" s="1584">
        <f t="shared" si="165"/>
        <v>3</v>
      </c>
      <c r="C185" s="1600" t="str">
        <f t="shared" si="116"/>
        <v>Consideration of Surrounding Environment</v>
      </c>
      <c r="D185" s="1601" t="e">
        <f>IF(I$174=0,0,G185/I$174)</f>
        <v>#VALUE!</v>
      </c>
      <c r="E185" s="1601">
        <f>IF(J$174=0,0,H185/J$174)</f>
        <v>0</v>
      </c>
      <c r="G185" s="1602">
        <f t="shared" si="161"/>
        <v>0.33333333333333331</v>
      </c>
      <c r="H185" s="1602">
        <f t="shared" si="162"/>
        <v>0</v>
      </c>
      <c r="I185" s="1602">
        <f>G186+G190+G194</f>
        <v>1</v>
      </c>
      <c r="J185" s="1602">
        <f>H186+H190+H194</f>
        <v>0</v>
      </c>
      <c r="K185" s="1602">
        <f>IF(L185&gt;0,1,IF(Score!Z185=0,0,1))</f>
        <v>1</v>
      </c>
      <c r="L185" s="1602">
        <f>IF(Score!AB185=0,0,1)</f>
        <v>0</v>
      </c>
      <c r="M185" s="1602">
        <f t="shared" si="163"/>
        <v>0.33333333333333331</v>
      </c>
      <c r="N185" s="1602">
        <f t="shared" si="167"/>
        <v>0</v>
      </c>
      <c r="P185" s="1812">
        <f t="shared" si="118"/>
        <v>3</v>
      </c>
      <c r="Q185" s="1608" t="str">
        <f t="shared" si="119"/>
        <v>LR3</v>
      </c>
      <c r="R185" s="1600" t="str">
        <f t="shared" si="120"/>
        <v>Consideration of Surrounding Environment</v>
      </c>
      <c r="S185" s="1605">
        <f t="shared" si="102"/>
        <v>0.33333333333333331</v>
      </c>
      <c r="T185" s="1605">
        <f t="shared" si="103"/>
        <v>0.33333333333333331</v>
      </c>
      <c r="U185" s="1605">
        <f t="shared" si="104"/>
        <v>0.33333333333333331</v>
      </c>
      <c r="V185" s="1605">
        <f t="shared" si="105"/>
        <v>0.33333333333333331</v>
      </c>
      <c r="W185" s="1605">
        <f t="shared" si="106"/>
        <v>0.33333333333333331</v>
      </c>
      <c r="X185" s="1605">
        <f t="shared" si="107"/>
        <v>0.33333333333333331</v>
      </c>
      <c r="Y185" s="1605">
        <f t="shared" si="108"/>
        <v>0.33333333333333331</v>
      </c>
      <c r="Z185" s="1605">
        <f t="shared" si="109"/>
        <v>0.33333333333333331</v>
      </c>
      <c r="AA185" s="1605">
        <f t="shared" si="110"/>
        <v>0.33333333333333331</v>
      </c>
      <c r="AB185" s="1605">
        <f t="shared" si="111"/>
        <v>0.33333333333333331</v>
      </c>
      <c r="AC185" s="1607">
        <f t="shared" si="112"/>
        <v>0</v>
      </c>
      <c r="AD185" s="1605">
        <f t="shared" si="113"/>
        <v>0</v>
      </c>
      <c r="AE185" s="1605">
        <f t="shared" si="114"/>
        <v>0</v>
      </c>
      <c r="AG185" s="1604">
        <v>3</v>
      </c>
      <c r="AH185" s="1608" t="s">
        <v>362</v>
      </c>
      <c r="AI185" s="1600" t="s">
        <v>1921</v>
      </c>
      <c r="AJ185" s="1611">
        <v>0.33333333333333331</v>
      </c>
      <c r="AK185" s="1611">
        <v>0.33333333333333331</v>
      </c>
      <c r="AL185" s="1611">
        <v>0.33333333333333331</v>
      </c>
      <c r="AM185" s="1611">
        <v>0.33333333333333331</v>
      </c>
      <c r="AN185" s="1611">
        <v>0.33333333333333331</v>
      </c>
      <c r="AO185" s="1611">
        <v>0.33333333333333331</v>
      </c>
      <c r="AP185" s="1611">
        <v>0.33333333333333331</v>
      </c>
      <c r="AQ185" s="1611">
        <v>0.33333333333333331</v>
      </c>
      <c r="AR185" s="1611">
        <v>0.33333333333333331</v>
      </c>
      <c r="AS185" s="1611">
        <v>0.33333333333333331</v>
      </c>
      <c r="AT185" s="1612">
        <v>0</v>
      </c>
      <c r="AU185" s="1611">
        <v>0</v>
      </c>
      <c r="AV185" s="1611">
        <v>0</v>
      </c>
      <c r="AX185" s="1604">
        <v>3</v>
      </c>
      <c r="AY185" s="1608" t="s">
        <v>362</v>
      </c>
      <c r="AZ185" s="1600" t="s">
        <v>1921</v>
      </c>
      <c r="BA185" s="1611">
        <f t="shared" ref="BA185:BJ185" si="179">1/3</f>
        <v>0.33333333333333331</v>
      </c>
      <c r="BB185" s="1611">
        <f t="shared" si="179"/>
        <v>0.33333333333333331</v>
      </c>
      <c r="BC185" s="1611">
        <f t="shared" si="179"/>
        <v>0.33333333333333331</v>
      </c>
      <c r="BD185" s="1611">
        <f t="shared" si="179"/>
        <v>0.33333333333333331</v>
      </c>
      <c r="BE185" s="1611">
        <f t="shared" si="179"/>
        <v>0.33333333333333331</v>
      </c>
      <c r="BF185" s="1611">
        <f t="shared" si="179"/>
        <v>0.33333333333333331</v>
      </c>
      <c r="BG185" s="1611">
        <f t="shared" si="179"/>
        <v>0.33333333333333331</v>
      </c>
      <c r="BH185" s="1611">
        <f t="shared" si="179"/>
        <v>0.33333333333333331</v>
      </c>
      <c r="BI185" s="1611">
        <f t="shared" si="179"/>
        <v>0.33333333333333331</v>
      </c>
      <c r="BJ185" s="1611">
        <f t="shared" si="179"/>
        <v>0.33333333333333331</v>
      </c>
      <c r="BK185" s="1612"/>
      <c r="BL185" s="1611"/>
      <c r="BM185" s="1611"/>
      <c r="BO185" s="1604">
        <v>3</v>
      </c>
      <c r="BP185" s="1608" t="s">
        <v>362</v>
      </c>
      <c r="BQ185" s="1600" t="s">
        <v>3335</v>
      </c>
      <c r="BR185" s="1611">
        <f t="shared" ref="BR185:CA185" si="180">1/3</f>
        <v>0.33333333333333331</v>
      </c>
      <c r="BS185" s="1611">
        <f t="shared" si="180"/>
        <v>0.33333333333333331</v>
      </c>
      <c r="BT185" s="1611">
        <f t="shared" si="180"/>
        <v>0.33333333333333331</v>
      </c>
      <c r="BU185" s="1611">
        <f t="shared" si="180"/>
        <v>0.33333333333333331</v>
      </c>
      <c r="BV185" s="1611">
        <f t="shared" si="180"/>
        <v>0.33333333333333331</v>
      </c>
      <c r="BW185" s="1611">
        <f t="shared" si="180"/>
        <v>0.33333333333333331</v>
      </c>
      <c r="BX185" s="1611">
        <f t="shared" si="180"/>
        <v>0.33333333333333331</v>
      </c>
      <c r="BY185" s="1611">
        <f t="shared" si="180"/>
        <v>0.33333333333333331</v>
      </c>
      <c r="BZ185" s="1611">
        <f t="shared" si="180"/>
        <v>0.33333333333333331</v>
      </c>
      <c r="CA185" s="1611">
        <f t="shared" si="180"/>
        <v>0.33333333333333331</v>
      </c>
      <c r="CB185" s="1612"/>
      <c r="CC185" s="1611"/>
      <c r="CD185" s="1611"/>
      <c r="CE185" s="1615"/>
      <c r="CG185" s="1604">
        <v>3</v>
      </c>
      <c r="CH185" s="1608" t="s">
        <v>362</v>
      </c>
      <c r="CI185" s="1600" t="s">
        <v>1921</v>
      </c>
      <c r="CJ185" s="1616">
        <f t="shared" si="160"/>
        <v>0.33333333333333331</v>
      </c>
      <c r="CK185" s="1616">
        <f t="shared" si="148"/>
        <v>0.33333333333333331</v>
      </c>
      <c r="CL185" s="1616">
        <f t="shared" si="149"/>
        <v>0.33333333333333331</v>
      </c>
      <c r="CM185" s="1616">
        <f t="shared" si="150"/>
        <v>0.33333333333333331</v>
      </c>
      <c r="CN185" s="1616">
        <f t="shared" si="151"/>
        <v>0.33333333333333331</v>
      </c>
      <c r="CO185" s="1616">
        <f t="shared" si="152"/>
        <v>0.33333333333333331</v>
      </c>
      <c r="CP185" s="1616">
        <f t="shared" si="153"/>
        <v>0.33333333333333331</v>
      </c>
      <c r="CQ185" s="1616">
        <f t="shared" si="154"/>
        <v>0.33333333333333331</v>
      </c>
      <c r="CR185" s="1616">
        <f t="shared" si="155"/>
        <v>0.33333333333333331</v>
      </c>
      <c r="CS185" s="1616">
        <f t="shared" si="156"/>
        <v>0.33333333333333331</v>
      </c>
      <c r="CT185" s="1618">
        <f t="shared" si="157"/>
        <v>0</v>
      </c>
      <c r="CU185" s="1616">
        <f t="shared" si="158"/>
        <v>0</v>
      </c>
      <c r="CV185" s="1616">
        <f t="shared" si="159"/>
        <v>0</v>
      </c>
      <c r="CX185" s="1604">
        <v>3</v>
      </c>
      <c r="CY185" s="1608" t="s">
        <v>362</v>
      </c>
      <c r="CZ185" s="1600" t="s">
        <v>1921</v>
      </c>
      <c r="DA185" s="1731">
        <v>0</v>
      </c>
      <c r="DB185" s="1619"/>
      <c r="DC185" s="1619"/>
      <c r="DD185" s="1619"/>
      <c r="DE185" s="1619"/>
      <c r="DF185" s="1619"/>
      <c r="DG185" s="1619"/>
      <c r="DH185" s="1619"/>
      <c r="DI185" s="1619"/>
      <c r="DJ185" s="1619"/>
      <c r="DK185" s="1621"/>
      <c r="DL185" s="1619"/>
      <c r="DM185" s="1619"/>
    </row>
    <row r="186" spans="2:117">
      <c r="B186" s="1584" t="str">
        <f t="shared" si="165"/>
        <v>3.1</v>
      </c>
      <c r="C186" s="1622" t="str">
        <f t="shared" si="116"/>
        <v>Noise, Vibration &amp; Odor</v>
      </c>
      <c r="D186" s="1623">
        <f>IF(I$185=0,0,G186/I$185)</f>
        <v>0.4</v>
      </c>
      <c r="E186" s="1623">
        <f>IF(J$185=0,0,H186/J$185)</f>
        <v>0</v>
      </c>
      <c r="G186" s="1624">
        <f t="shared" si="161"/>
        <v>0.4</v>
      </c>
      <c r="H186" s="1624">
        <f t="shared" si="162"/>
        <v>0</v>
      </c>
      <c r="I186" s="1624">
        <f>SUM(G187:G189)</f>
        <v>1</v>
      </c>
      <c r="J186" s="1624">
        <f>SUM(H187:H189)</f>
        <v>0</v>
      </c>
      <c r="K186" s="1624">
        <f>IF(Score!Z186=0,0,1)</f>
        <v>1</v>
      </c>
      <c r="L186" s="1624">
        <f>IF(Score!AB186=0,0,1)</f>
        <v>0</v>
      </c>
      <c r="M186" s="1624">
        <f t="shared" si="163"/>
        <v>0.4</v>
      </c>
      <c r="N186" s="1624">
        <f t="shared" si="167"/>
        <v>0</v>
      </c>
      <c r="P186" s="1813" t="str">
        <f t="shared" si="118"/>
        <v>3.1</v>
      </c>
      <c r="Q186" s="1628" t="str">
        <f t="shared" si="119"/>
        <v>LR3 3</v>
      </c>
      <c r="R186" s="1622" t="str">
        <f t="shared" si="120"/>
        <v>Noise, Vibration &amp; Odor</v>
      </c>
      <c r="S186" s="1743">
        <f t="shared" si="102"/>
        <v>0.4</v>
      </c>
      <c r="T186" s="1743">
        <f t="shared" si="103"/>
        <v>0.4</v>
      </c>
      <c r="U186" s="1743">
        <f t="shared" si="104"/>
        <v>0.4</v>
      </c>
      <c r="V186" s="1743">
        <f t="shared" si="105"/>
        <v>0.4</v>
      </c>
      <c r="W186" s="1743">
        <f t="shared" si="106"/>
        <v>0.4</v>
      </c>
      <c r="X186" s="1743">
        <f t="shared" si="107"/>
        <v>0.4</v>
      </c>
      <c r="Y186" s="1743">
        <f t="shared" si="108"/>
        <v>0.4</v>
      </c>
      <c r="Z186" s="1743">
        <f t="shared" si="109"/>
        <v>0.4</v>
      </c>
      <c r="AA186" s="1743">
        <f t="shared" si="110"/>
        <v>0.4</v>
      </c>
      <c r="AB186" s="1743">
        <f t="shared" si="111"/>
        <v>0.4</v>
      </c>
      <c r="AC186" s="1744">
        <f t="shared" si="112"/>
        <v>0</v>
      </c>
      <c r="AD186" s="1743">
        <f t="shared" si="113"/>
        <v>0</v>
      </c>
      <c r="AE186" s="1743">
        <f t="shared" si="114"/>
        <v>0</v>
      </c>
      <c r="AG186" s="1814" t="s">
        <v>390</v>
      </c>
      <c r="AH186" s="1628" t="s">
        <v>569</v>
      </c>
      <c r="AI186" s="1622" t="s">
        <v>1922</v>
      </c>
      <c r="AJ186" s="1747">
        <v>0.4</v>
      </c>
      <c r="AK186" s="1747">
        <v>0.4</v>
      </c>
      <c r="AL186" s="1747">
        <v>0.4</v>
      </c>
      <c r="AM186" s="1747">
        <v>0.4</v>
      </c>
      <c r="AN186" s="1747">
        <v>0.4</v>
      </c>
      <c r="AO186" s="1747">
        <v>0.4</v>
      </c>
      <c r="AP186" s="1747">
        <v>0.4</v>
      </c>
      <c r="AQ186" s="1747">
        <v>0.4</v>
      </c>
      <c r="AR186" s="1747">
        <v>0.4</v>
      </c>
      <c r="AS186" s="1747">
        <v>0.4</v>
      </c>
      <c r="AT186" s="1748"/>
      <c r="AU186" s="1747"/>
      <c r="AV186" s="1747"/>
      <c r="AX186" s="1814" t="s">
        <v>391</v>
      </c>
      <c r="AY186" s="1628" t="s">
        <v>569</v>
      </c>
      <c r="AZ186" s="1622" t="s">
        <v>1922</v>
      </c>
      <c r="BA186" s="1747">
        <v>0.4</v>
      </c>
      <c r="BB186" s="1747">
        <v>0.4</v>
      </c>
      <c r="BC186" s="1747">
        <v>0.4</v>
      </c>
      <c r="BD186" s="1747">
        <v>0.4</v>
      </c>
      <c r="BE186" s="1747">
        <v>0.4</v>
      </c>
      <c r="BF186" s="1747">
        <v>0.4</v>
      </c>
      <c r="BG186" s="1747">
        <v>0.4</v>
      </c>
      <c r="BH186" s="1747">
        <v>0.4</v>
      </c>
      <c r="BI186" s="1747">
        <v>0.4</v>
      </c>
      <c r="BJ186" s="1747">
        <v>0.4</v>
      </c>
      <c r="BK186" s="1748"/>
      <c r="BL186" s="1747"/>
      <c r="BM186" s="1747"/>
      <c r="BO186" s="1814" t="s">
        <v>391</v>
      </c>
      <c r="BP186" s="1628" t="s">
        <v>569</v>
      </c>
      <c r="BQ186" s="1622" t="s">
        <v>1657</v>
      </c>
      <c r="BR186" s="1747">
        <v>0.4</v>
      </c>
      <c r="BS186" s="1747">
        <v>0.4</v>
      </c>
      <c r="BT186" s="1747">
        <v>0.4</v>
      </c>
      <c r="BU186" s="1747">
        <v>0.4</v>
      </c>
      <c r="BV186" s="1747">
        <v>0.4</v>
      </c>
      <c r="BW186" s="1747">
        <v>0.4</v>
      </c>
      <c r="BX186" s="1747">
        <v>0.4</v>
      </c>
      <c r="BY186" s="1747">
        <v>0.4</v>
      </c>
      <c r="BZ186" s="1747">
        <v>0.4</v>
      </c>
      <c r="CA186" s="1747">
        <v>0.4</v>
      </c>
      <c r="CB186" s="1748"/>
      <c r="CC186" s="1747"/>
      <c r="CD186" s="1747"/>
      <c r="CE186" s="1749"/>
      <c r="CG186" s="1814" t="s">
        <v>330</v>
      </c>
      <c r="CH186" s="1628" t="s">
        <v>569</v>
      </c>
      <c r="CI186" s="1622" t="s">
        <v>1922</v>
      </c>
      <c r="CJ186" s="1750">
        <f t="shared" si="160"/>
        <v>0.4</v>
      </c>
      <c r="CK186" s="1750">
        <f t="shared" si="148"/>
        <v>0.4</v>
      </c>
      <c r="CL186" s="1750">
        <f t="shared" si="149"/>
        <v>0.4</v>
      </c>
      <c r="CM186" s="1750">
        <f t="shared" si="150"/>
        <v>0.4</v>
      </c>
      <c r="CN186" s="1750">
        <f t="shared" si="151"/>
        <v>0.4</v>
      </c>
      <c r="CO186" s="1750">
        <f t="shared" si="152"/>
        <v>0.4</v>
      </c>
      <c r="CP186" s="1750">
        <f t="shared" si="153"/>
        <v>0.4</v>
      </c>
      <c r="CQ186" s="1750">
        <f t="shared" si="154"/>
        <v>0.4</v>
      </c>
      <c r="CR186" s="1750">
        <f t="shared" si="155"/>
        <v>0.4</v>
      </c>
      <c r="CS186" s="1750">
        <f t="shared" si="156"/>
        <v>0.4</v>
      </c>
      <c r="CT186" s="1751">
        <f t="shared" si="157"/>
        <v>0</v>
      </c>
      <c r="CU186" s="1750">
        <f t="shared" si="158"/>
        <v>0</v>
      </c>
      <c r="CV186" s="1750">
        <f t="shared" si="159"/>
        <v>0</v>
      </c>
      <c r="CX186" s="1814" t="s">
        <v>330</v>
      </c>
      <c r="CY186" s="1628" t="s">
        <v>569</v>
      </c>
      <c r="CZ186" s="1622"/>
      <c r="DA186" s="1637">
        <v>0</v>
      </c>
      <c r="DB186" s="1753"/>
      <c r="DC186" s="1753"/>
      <c r="DD186" s="1753"/>
      <c r="DE186" s="1753"/>
      <c r="DF186" s="1753"/>
      <c r="DG186" s="1753"/>
      <c r="DH186" s="1753"/>
      <c r="DI186" s="1753"/>
      <c r="DJ186" s="1753"/>
      <c r="DK186" s="1754"/>
      <c r="DL186" s="1753"/>
      <c r="DM186" s="1753"/>
    </row>
    <row r="187" spans="2:117">
      <c r="B187" s="1584" t="str">
        <f t="shared" si="165"/>
        <v>3.1.1</v>
      </c>
      <c r="C187" s="1622" t="str">
        <f t="shared" si="116"/>
        <v>Noise</v>
      </c>
      <c r="D187" s="1623">
        <f t="shared" ref="D187:E189" si="181">IF(I$186=0,0,G187/I$186)</f>
        <v>0.33333333333333331</v>
      </c>
      <c r="E187" s="1623">
        <f t="shared" si="181"/>
        <v>0</v>
      </c>
      <c r="G187" s="1624">
        <f t="shared" si="161"/>
        <v>0.33333333333333331</v>
      </c>
      <c r="H187" s="1624">
        <f t="shared" si="162"/>
        <v>0</v>
      </c>
      <c r="I187" s="1624"/>
      <c r="J187" s="1624"/>
      <c r="K187" s="1624">
        <f>IF(Score!W187=0,0,1)</f>
        <v>1</v>
      </c>
      <c r="L187" s="1624">
        <f>IF(Score!X187=0,0,1)</f>
        <v>0</v>
      </c>
      <c r="M187" s="1624">
        <f t="shared" si="163"/>
        <v>0.33333333333333331</v>
      </c>
      <c r="N187" s="1624">
        <f t="shared" si="167"/>
        <v>0</v>
      </c>
      <c r="P187" s="1814" t="str">
        <f t="shared" si="118"/>
        <v>3.1.1</v>
      </c>
      <c r="Q187" s="1625" t="str">
        <f t="shared" si="119"/>
        <v>LR3 3.1</v>
      </c>
      <c r="R187" s="1622" t="str">
        <f t="shared" si="120"/>
        <v>Noise</v>
      </c>
      <c r="S187" s="1626">
        <f t="shared" si="102"/>
        <v>0.33333333333333331</v>
      </c>
      <c r="T187" s="1626">
        <f t="shared" si="103"/>
        <v>0.33333333333333331</v>
      </c>
      <c r="U187" s="1626">
        <f t="shared" si="104"/>
        <v>0.33333333333333331</v>
      </c>
      <c r="V187" s="1626">
        <f t="shared" si="105"/>
        <v>0.33333333333333331</v>
      </c>
      <c r="W187" s="1626">
        <f t="shared" si="106"/>
        <v>0.33333333333333331</v>
      </c>
      <c r="X187" s="1626">
        <f t="shared" si="107"/>
        <v>0.33333333333333331</v>
      </c>
      <c r="Y187" s="1626">
        <f t="shared" si="108"/>
        <v>0.33333333333333331</v>
      </c>
      <c r="Z187" s="1626">
        <f t="shared" si="109"/>
        <v>0.33333333333333331</v>
      </c>
      <c r="AA187" s="1626">
        <f t="shared" si="110"/>
        <v>0.33333333333333331</v>
      </c>
      <c r="AB187" s="1626">
        <f t="shared" si="111"/>
        <v>0.33333333333333331</v>
      </c>
      <c r="AC187" s="1627">
        <f t="shared" si="112"/>
        <v>0</v>
      </c>
      <c r="AD187" s="1626">
        <f t="shared" si="113"/>
        <v>0</v>
      </c>
      <c r="AE187" s="1626">
        <f t="shared" si="114"/>
        <v>0</v>
      </c>
      <c r="AG187" s="1814" t="s">
        <v>392</v>
      </c>
      <c r="AH187" s="1625" t="s">
        <v>570</v>
      </c>
      <c r="AI187" s="1622" t="s">
        <v>1923</v>
      </c>
      <c r="AJ187" s="1631">
        <v>0.33333333333333331</v>
      </c>
      <c r="AK187" s="1631">
        <v>0.33333333333333331</v>
      </c>
      <c r="AL187" s="1631">
        <v>0.33333333333333331</v>
      </c>
      <c r="AM187" s="1631">
        <v>0.33333333333333331</v>
      </c>
      <c r="AN187" s="1631">
        <v>0.33333333333333331</v>
      </c>
      <c r="AO187" s="1631">
        <v>0.33333333333333331</v>
      </c>
      <c r="AP187" s="1631">
        <v>0.33333333333333331</v>
      </c>
      <c r="AQ187" s="1631">
        <v>0.33333333333333331</v>
      </c>
      <c r="AR187" s="1631">
        <v>0.33333333333333331</v>
      </c>
      <c r="AS187" s="1631">
        <v>0.33333333333333331</v>
      </c>
      <c r="AT187" s="1632"/>
      <c r="AU187" s="1631"/>
      <c r="AV187" s="1631"/>
      <c r="AX187" s="1814" t="s">
        <v>393</v>
      </c>
      <c r="AY187" s="1625" t="s">
        <v>570</v>
      </c>
      <c r="AZ187" s="1622" t="s">
        <v>1923</v>
      </c>
      <c r="BA187" s="1631">
        <v>0.33333333333333331</v>
      </c>
      <c r="BB187" s="1631">
        <v>0.33333333333333331</v>
      </c>
      <c r="BC187" s="1631">
        <v>0.33333333333333331</v>
      </c>
      <c r="BD187" s="1631">
        <v>0.33333333333333331</v>
      </c>
      <c r="BE187" s="1631">
        <v>0.33333333333333331</v>
      </c>
      <c r="BF187" s="1631">
        <v>0.33333333333333331</v>
      </c>
      <c r="BG187" s="1631">
        <v>0.33333333333333331</v>
      </c>
      <c r="BH187" s="1631">
        <v>0.33333333333333331</v>
      </c>
      <c r="BI187" s="1631">
        <v>0.33333333333333331</v>
      </c>
      <c r="BJ187" s="1631">
        <v>0.33333333333333331</v>
      </c>
      <c r="BK187" s="1632"/>
      <c r="BL187" s="1631"/>
      <c r="BM187" s="1631"/>
      <c r="BO187" s="1814" t="s">
        <v>393</v>
      </c>
      <c r="BP187" s="1625" t="s">
        <v>570</v>
      </c>
      <c r="BQ187" s="1622" t="s">
        <v>1544</v>
      </c>
      <c r="BR187" s="1631">
        <v>0.33333333333333331</v>
      </c>
      <c r="BS187" s="1631">
        <v>0.33333333333333331</v>
      </c>
      <c r="BT187" s="1631">
        <v>0.33333333333333331</v>
      </c>
      <c r="BU187" s="1631">
        <v>0.33333333333333331</v>
      </c>
      <c r="BV187" s="1631">
        <v>0.33333333333333331</v>
      </c>
      <c r="BW187" s="1631">
        <v>0.33333333333333331</v>
      </c>
      <c r="BX187" s="1631">
        <v>0.33333333333333331</v>
      </c>
      <c r="BY187" s="1631">
        <v>0.33333333333333331</v>
      </c>
      <c r="BZ187" s="1631">
        <v>0.33333333333333331</v>
      </c>
      <c r="CA187" s="1631">
        <v>0.33333333333333331</v>
      </c>
      <c r="CB187" s="1631"/>
      <c r="CC187" s="1631"/>
      <c r="CD187" s="1631"/>
      <c r="CE187" s="1635"/>
      <c r="CG187" s="1814" t="s">
        <v>238</v>
      </c>
      <c r="CH187" s="1625" t="s">
        <v>570</v>
      </c>
      <c r="CI187" s="1622" t="s">
        <v>1923</v>
      </c>
      <c r="CJ187" s="1636">
        <f t="shared" si="160"/>
        <v>0.33333333333333331</v>
      </c>
      <c r="CK187" s="1636">
        <f t="shared" si="148"/>
        <v>0.33333333333333331</v>
      </c>
      <c r="CL187" s="1636">
        <f t="shared" si="149"/>
        <v>0.33333333333333331</v>
      </c>
      <c r="CM187" s="1636">
        <f t="shared" si="150"/>
        <v>0.33333333333333331</v>
      </c>
      <c r="CN187" s="1636">
        <f t="shared" si="151"/>
        <v>0.33333333333333331</v>
      </c>
      <c r="CO187" s="1636">
        <f t="shared" si="152"/>
        <v>0.33333333333333331</v>
      </c>
      <c r="CP187" s="1636">
        <f t="shared" si="153"/>
        <v>0.33333333333333331</v>
      </c>
      <c r="CQ187" s="1636">
        <f t="shared" si="154"/>
        <v>0.33333333333333331</v>
      </c>
      <c r="CR187" s="1636">
        <f t="shared" si="155"/>
        <v>0.33333333333333331</v>
      </c>
      <c r="CS187" s="1636">
        <f t="shared" si="156"/>
        <v>0.33333333333333331</v>
      </c>
      <c r="CT187" s="1636">
        <f t="shared" si="157"/>
        <v>0</v>
      </c>
      <c r="CU187" s="1636">
        <f t="shared" si="158"/>
        <v>0</v>
      </c>
      <c r="CV187" s="1636">
        <f t="shared" si="159"/>
        <v>0</v>
      </c>
      <c r="CX187" s="1814" t="s">
        <v>238</v>
      </c>
      <c r="CY187" s="1625" t="s">
        <v>570</v>
      </c>
      <c r="CZ187" s="1622"/>
      <c r="DA187" s="1637">
        <v>0</v>
      </c>
      <c r="DB187" s="1638"/>
      <c r="DC187" s="1638"/>
      <c r="DD187" s="1638"/>
      <c r="DE187" s="1638"/>
      <c r="DF187" s="1638"/>
      <c r="DG187" s="1638"/>
      <c r="DH187" s="1638"/>
      <c r="DI187" s="1638"/>
      <c r="DJ187" s="1638"/>
      <c r="DK187" s="1638"/>
      <c r="DL187" s="1638"/>
      <c r="DM187" s="1638"/>
    </row>
    <row r="188" spans="2:117">
      <c r="B188" s="1584" t="str">
        <f t="shared" si="165"/>
        <v>3.1.2</v>
      </c>
      <c r="C188" s="1622" t="str">
        <f t="shared" si="116"/>
        <v>Vibration</v>
      </c>
      <c r="D188" s="1623">
        <f t="shared" si="181"/>
        <v>0.33333333333333331</v>
      </c>
      <c r="E188" s="1623">
        <f t="shared" si="181"/>
        <v>0</v>
      </c>
      <c r="G188" s="1624">
        <f t="shared" si="161"/>
        <v>0.33333333333333331</v>
      </c>
      <c r="H188" s="1624">
        <f t="shared" si="162"/>
        <v>0</v>
      </c>
      <c r="I188" s="1624"/>
      <c r="J188" s="1624"/>
      <c r="K188" s="1624">
        <f>IF(Score!W188=0,0,1)</f>
        <v>1</v>
      </c>
      <c r="L188" s="1624">
        <f>IF(Score!X188=0,0,1)</f>
        <v>0</v>
      </c>
      <c r="M188" s="1624">
        <f t="shared" si="163"/>
        <v>0.33333333333333331</v>
      </c>
      <c r="N188" s="1624">
        <f t="shared" si="167"/>
        <v>0</v>
      </c>
      <c r="P188" s="1814" t="str">
        <f t="shared" si="118"/>
        <v>3.1.2</v>
      </c>
      <c r="Q188" s="1625" t="str">
        <f t="shared" si="119"/>
        <v>LR3 3.1</v>
      </c>
      <c r="R188" s="1622" t="str">
        <f t="shared" si="120"/>
        <v>Vibration</v>
      </c>
      <c r="S188" s="1626">
        <f t="shared" si="102"/>
        <v>0.33333333333333331</v>
      </c>
      <c r="T188" s="1626">
        <f t="shared" si="103"/>
        <v>0.33333333333333331</v>
      </c>
      <c r="U188" s="1626">
        <f t="shared" si="104"/>
        <v>0.33333333333333331</v>
      </c>
      <c r="V188" s="1626">
        <f t="shared" si="105"/>
        <v>0.33333333333333331</v>
      </c>
      <c r="W188" s="1626">
        <f t="shared" si="106"/>
        <v>0.33333333333333331</v>
      </c>
      <c r="X188" s="1626">
        <f t="shared" si="107"/>
        <v>0.33333333333333331</v>
      </c>
      <c r="Y188" s="1626">
        <f t="shared" si="108"/>
        <v>0.33333333333333331</v>
      </c>
      <c r="Z188" s="1626">
        <f t="shared" si="109"/>
        <v>0.33333333333333331</v>
      </c>
      <c r="AA188" s="1626">
        <f t="shared" si="110"/>
        <v>0.33333333333333331</v>
      </c>
      <c r="AB188" s="1626">
        <f t="shared" si="111"/>
        <v>0.33333333333333331</v>
      </c>
      <c r="AC188" s="1627">
        <f t="shared" si="112"/>
        <v>0</v>
      </c>
      <c r="AD188" s="1626">
        <f t="shared" si="113"/>
        <v>0</v>
      </c>
      <c r="AE188" s="1626">
        <f t="shared" si="114"/>
        <v>0</v>
      </c>
      <c r="AG188" s="1814" t="s">
        <v>394</v>
      </c>
      <c r="AH188" s="1625" t="s">
        <v>570</v>
      </c>
      <c r="AI188" s="1622" t="s">
        <v>1924</v>
      </c>
      <c r="AJ188" s="1631">
        <v>0.33333333333333331</v>
      </c>
      <c r="AK188" s="1631">
        <v>0.33333333333333331</v>
      </c>
      <c r="AL188" s="1631">
        <v>0.33333333333333331</v>
      </c>
      <c r="AM188" s="1631">
        <v>0.33333333333333331</v>
      </c>
      <c r="AN188" s="1631">
        <v>0.33333333333333331</v>
      </c>
      <c r="AO188" s="1631">
        <v>0.33333333333333331</v>
      </c>
      <c r="AP188" s="1631">
        <v>0.33333333333333331</v>
      </c>
      <c r="AQ188" s="1631">
        <v>0.33333333333333331</v>
      </c>
      <c r="AR188" s="1631">
        <v>0.33333333333333331</v>
      </c>
      <c r="AS188" s="1631">
        <v>0.33333333333333331</v>
      </c>
      <c r="AT188" s="1632"/>
      <c r="AU188" s="1631"/>
      <c r="AV188" s="1631"/>
      <c r="AX188" s="1814" t="s">
        <v>394</v>
      </c>
      <c r="AY188" s="1625" t="s">
        <v>570</v>
      </c>
      <c r="AZ188" s="1622" t="s">
        <v>1924</v>
      </c>
      <c r="BA188" s="1631">
        <v>0.33333333333333331</v>
      </c>
      <c r="BB188" s="1631">
        <v>0.33333333333333331</v>
      </c>
      <c r="BC188" s="1631">
        <v>0.33333333333333331</v>
      </c>
      <c r="BD188" s="1631">
        <v>0.33333333333333331</v>
      </c>
      <c r="BE188" s="1631">
        <v>0.33333333333333331</v>
      </c>
      <c r="BF188" s="1631">
        <v>0.33333333333333331</v>
      </c>
      <c r="BG188" s="1631">
        <v>0.33333333333333331</v>
      </c>
      <c r="BH188" s="1631">
        <v>0.33333333333333331</v>
      </c>
      <c r="BI188" s="1631">
        <v>0.33333333333333331</v>
      </c>
      <c r="BJ188" s="1631">
        <v>0.33333333333333331</v>
      </c>
      <c r="BK188" s="1632"/>
      <c r="BL188" s="1631"/>
      <c r="BM188" s="1631"/>
      <c r="BO188" s="1814" t="s">
        <v>394</v>
      </c>
      <c r="BP188" s="1625" t="s">
        <v>570</v>
      </c>
      <c r="BQ188" s="1622" t="s">
        <v>1658</v>
      </c>
      <c r="BR188" s="1631">
        <v>0.33333333333333331</v>
      </c>
      <c r="BS188" s="1631">
        <v>0.33333333333333331</v>
      </c>
      <c r="BT188" s="1631">
        <v>0.33333333333333331</v>
      </c>
      <c r="BU188" s="1631">
        <v>0.33333333333333331</v>
      </c>
      <c r="BV188" s="1631">
        <v>0.33333333333333331</v>
      </c>
      <c r="BW188" s="1631">
        <v>0.33333333333333331</v>
      </c>
      <c r="BX188" s="1631">
        <v>0.33333333333333331</v>
      </c>
      <c r="BY188" s="1631">
        <v>0.33333333333333331</v>
      </c>
      <c r="BZ188" s="1631">
        <v>0.33333333333333331</v>
      </c>
      <c r="CA188" s="1631">
        <v>0.33333333333333331</v>
      </c>
      <c r="CB188" s="1631"/>
      <c r="CC188" s="1631"/>
      <c r="CD188" s="1631"/>
      <c r="CE188" s="1635"/>
      <c r="CG188" s="1814" t="s">
        <v>239</v>
      </c>
      <c r="CH188" s="1625" t="s">
        <v>570</v>
      </c>
      <c r="CI188" s="1622" t="s">
        <v>1924</v>
      </c>
      <c r="CJ188" s="1636">
        <f t="shared" si="160"/>
        <v>0.33333333333333331</v>
      </c>
      <c r="CK188" s="1636">
        <f t="shared" si="148"/>
        <v>0.33333333333333331</v>
      </c>
      <c r="CL188" s="1636">
        <f t="shared" si="149"/>
        <v>0.33333333333333331</v>
      </c>
      <c r="CM188" s="1636">
        <f t="shared" si="150"/>
        <v>0.33333333333333331</v>
      </c>
      <c r="CN188" s="1636">
        <f t="shared" si="151"/>
        <v>0.33333333333333331</v>
      </c>
      <c r="CO188" s="1636">
        <f t="shared" si="152"/>
        <v>0.33333333333333331</v>
      </c>
      <c r="CP188" s="1636">
        <f t="shared" si="153"/>
        <v>0.33333333333333331</v>
      </c>
      <c r="CQ188" s="1636">
        <f t="shared" si="154"/>
        <v>0.33333333333333331</v>
      </c>
      <c r="CR188" s="1636">
        <f t="shared" si="155"/>
        <v>0.33333333333333331</v>
      </c>
      <c r="CS188" s="1636">
        <f t="shared" si="156"/>
        <v>0.33333333333333331</v>
      </c>
      <c r="CT188" s="1636">
        <f t="shared" si="157"/>
        <v>0</v>
      </c>
      <c r="CU188" s="1636">
        <f t="shared" si="158"/>
        <v>0</v>
      </c>
      <c r="CV188" s="1636">
        <f t="shared" si="159"/>
        <v>0</v>
      </c>
      <c r="CX188" s="1814" t="s">
        <v>239</v>
      </c>
      <c r="CY188" s="1625" t="s">
        <v>570</v>
      </c>
      <c r="CZ188" s="1622"/>
      <c r="DA188" s="1637">
        <v>0</v>
      </c>
      <c r="DB188" s="1638"/>
      <c r="DC188" s="1638"/>
      <c r="DD188" s="1638"/>
      <c r="DE188" s="1638"/>
      <c r="DF188" s="1638"/>
      <c r="DG188" s="1638"/>
      <c r="DH188" s="1638"/>
      <c r="DI188" s="1638"/>
      <c r="DJ188" s="1638"/>
      <c r="DK188" s="1638"/>
      <c r="DL188" s="1638"/>
      <c r="DM188" s="1638"/>
    </row>
    <row r="189" spans="2:117">
      <c r="B189" s="1584" t="str">
        <f t="shared" si="165"/>
        <v>3.1.3</v>
      </c>
      <c r="C189" s="1622" t="str">
        <f t="shared" si="116"/>
        <v>Odor</v>
      </c>
      <c r="D189" s="1623">
        <f t="shared" si="181"/>
        <v>0.33333333333333331</v>
      </c>
      <c r="E189" s="1623">
        <f t="shared" si="181"/>
        <v>0</v>
      </c>
      <c r="G189" s="1624">
        <f t="shared" ref="G189:G196" si="182">K189*M189</f>
        <v>0.33333333333333331</v>
      </c>
      <c r="H189" s="1624">
        <f t="shared" ref="H189:H196" si="183">L189*N189</f>
        <v>0</v>
      </c>
      <c r="I189" s="1624"/>
      <c r="J189" s="1624"/>
      <c r="K189" s="1624">
        <f>IF(Score!W189=0,0,1)</f>
        <v>1</v>
      </c>
      <c r="L189" s="1624">
        <f>IF(Score!X189=0,0,1)</f>
        <v>0</v>
      </c>
      <c r="M189" s="1624">
        <f t="shared" ref="M189:M196" si="184">SUMPRODUCT($S$7:$AB$7,S189:AB189)</f>
        <v>0.33333333333333331</v>
      </c>
      <c r="N189" s="1624">
        <f t="shared" si="167"/>
        <v>0</v>
      </c>
      <c r="P189" s="1814" t="str">
        <f t="shared" si="118"/>
        <v>3.1.3</v>
      </c>
      <c r="Q189" s="1625" t="str">
        <f t="shared" si="119"/>
        <v>LR3 3.1</v>
      </c>
      <c r="R189" s="1622" t="str">
        <f t="shared" si="120"/>
        <v>Odor</v>
      </c>
      <c r="S189" s="1626">
        <f t="shared" si="102"/>
        <v>0.33333333333333331</v>
      </c>
      <c r="T189" s="1626">
        <f t="shared" si="103"/>
        <v>0.33333333333333331</v>
      </c>
      <c r="U189" s="1626">
        <f t="shared" si="104"/>
        <v>0.33333333333333331</v>
      </c>
      <c r="V189" s="1626">
        <f t="shared" si="105"/>
        <v>0.33333333333333331</v>
      </c>
      <c r="W189" s="1626">
        <f t="shared" si="106"/>
        <v>0.33333333333333331</v>
      </c>
      <c r="X189" s="1626">
        <f t="shared" si="107"/>
        <v>0.33333333333333331</v>
      </c>
      <c r="Y189" s="1626">
        <f t="shared" si="108"/>
        <v>0.33333333333333331</v>
      </c>
      <c r="Z189" s="1626">
        <f t="shared" si="109"/>
        <v>0.33333333333333331</v>
      </c>
      <c r="AA189" s="1626">
        <f t="shared" si="110"/>
        <v>0.33333333333333331</v>
      </c>
      <c r="AB189" s="1626">
        <f t="shared" si="111"/>
        <v>0.33333333333333331</v>
      </c>
      <c r="AC189" s="1627">
        <f t="shared" si="112"/>
        <v>0</v>
      </c>
      <c r="AD189" s="1626">
        <f t="shared" si="113"/>
        <v>0</v>
      </c>
      <c r="AE189" s="1626">
        <f t="shared" si="114"/>
        <v>0</v>
      </c>
      <c r="AG189" s="1814" t="s">
        <v>395</v>
      </c>
      <c r="AH189" s="1625" t="s">
        <v>570</v>
      </c>
      <c r="AI189" s="1622" t="s">
        <v>1925</v>
      </c>
      <c r="AJ189" s="1631">
        <v>0.33333333333333331</v>
      </c>
      <c r="AK189" s="1631">
        <v>0.33333333333333331</v>
      </c>
      <c r="AL189" s="1631">
        <v>0.33333333333333331</v>
      </c>
      <c r="AM189" s="1631">
        <v>0.33333333333333331</v>
      </c>
      <c r="AN189" s="1631">
        <v>0.33333333333333331</v>
      </c>
      <c r="AO189" s="1631">
        <v>0.33333333333333331</v>
      </c>
      <c r="AP189" s="1631">
        <v>0.33333333333333331</v>
      </c>
      <c r="AQ189" s="1631">
        <v>0.33333333333333331</v>
      </c>
      <c r="AR189" s="1631">
        <v>0.33333333333333331</v>
      </c>
      <c r="AS189" s="1631">
        <v>0.33333333333333331</v>
      </c>
      <c r="AT189" s="1632"/>
      <c r="AU189" s="1631"/>
      <c r="AV189" s="1631"/>
      <c r="AX189" s="1814" t="s">
        <v>395</v>
      </c>
      <c r="AY189" s="1625" t="s">
        <v>570</v>
      </c>
      <c r="AZ189" s="1622" t="s">
        <v>1925</v>
      </c>
      <c r="BA189" s="1631">
        <v>0.33333333333333331</v>
      </c>
      <c r="BB189" s="1631">
        <v>0.33333333333333331</v>
      </c>
      <c r="BC189" s="1631">
        <v>0.33333333333333331</v>
      </c>
      <c r="BD189" s="1631">
        <v>0.33333333333333331</v>
      </c>
      <c r="BE189" s="1631">
        <v>0.33333333333333331</v>
      </c>
      <c r="BF189" s="1631">
        <v>0.33333333333333331</v>
      </c>
      <c r="BG189" s="1631">
        <v>0.33333333333333331</v>
      </c>
      <c r="BH189" s="1631">
        <v>0.33333333333333331</v>
      </c>
      <c r="BI189" s="1631">
        <v>0.33333333333333331</v>
      </c>
      <c r="BJ189" s="1631">
        <v>0.33333333333333331</v>
      </c>
      <c r="BK189" s="1632"/>
      <c r="BL189" s="1631"/>
      <c r="BM189" s="1631"/>
      <c r="BO189" s="1814" t="s">
        <v>395</v>
      </c>
      <c r="BP189" s="1625" t="s">
        <v>570</v>
      </c>
      <c r="BQ189" s="1622" t="s">
        <v>1659</v>
      </c>
      <c r="BR189" s="1631">
        <v>0.33333333333333331</v>
      </c>
      <c r="BS189" s="1631">
        <v>0.33333333333333331</v>
      </c>
      <c r="BT189" s="1631">
        <v>0.33333333333333331</v>
      </c>
      <c r="BU189" s="1631">
        <v>0.33333333333333331</v>
      </c>
      <c r="BV189" s="1631">
        <v>0.33333333333333331</v>
      </c>
      <c r="BW189" s="1631">
        <v>0.33333333333333331</v>
      </c>
      <c r="BX189" s="1631">
        <v>0.33333333333333331</v>
      </c>
      <c r="BY189" s="1631">
        <v>0.33333333333333331</v>
      </c>
      <c r="BZ189" s="1631">
        <v>0.33333333333333331</v>
      </c>
      <c r="CA189" s="1631">
        <v>0.33333333333333331</v>
      </c>
      <c r="CB189" s="1631"/>
      <c r="CC189" s="1631"/>
      <c r="CD189" s="1631"/>
      <c r="CE189" s="1635"/>
      <c r="CG189" s="1814" t="s">
        <v>240</v>
      </c>
      <c r="CH189" s="1625" t="s">
        <v>570</v>
      </c>
      <c r="CI189" s="1622" t="s">
        <v>1925</v>
      </c>
      <c r="CJ189" s="1636">
        <f t="shared" si="160"/>
        <v>0.33333333333333331</v>
      </c>
      <c r="CK189" s="1636">
        <f t="shared" si="148"/>
        <v>0.33333333333333331</v>
      </c>
      <c r="CL189" s="1636">
        <f t="shared" si="149"/>
        <v>0.33333333333333331</v>
      </c>
      <c r="CM189" s="1636">
        <f t="shared" si="150"/>
        <v>0.33333333333333331</v>
      </c>
      <c r="CN189" s="1636">
        <f t="shared" si="151"/>
        <v>0.33333333333333331</v>
      </c>
      <c r="CO189" s="1636">
        <f t="shared" si="152"/>
        <v>0.33333333333333331</v>
      </c>
      <c r="CP189" s="1636">
        <f t="shared" si="153"/>
        <v>0.33333333333333331</v>
      </c>
      <c r="CQ189" s="1636">
        <f t="shared" si="154"/>
        <v>0.33333333333333331</v>
      </c>
      <c r="CR189" s="1636">
        <f t="shared" si="155"/>
        <v>0.33333333333333331</v>
      </c>
      <c r="CS189" s="1636">
        <f t="shared" si="156"/>
        <v>0.33333333333333331</v>
      </c>
      <c r="CT189" s="1636">
        <f t="shared" si="157"/>
        <v>0</v>
      </c>
      <c r="CU189" s="1636">
        <f t="shared" si="158"/>
        <v>0</v>
      </c>
      <c r="CV189" s="1636">
        <f t="shared" si="159"/>
        <v>0</v>
      </c>
      <c r="CX189" s="1814" t="s">
        <v>240</v>
      </c>
      <c r="CY189" s="1625" t="s">
        <v>570</v>
      </c>
      <c r="CZ189" s="1622"/>
      <c r="DA189" s="1637">
        <v>0</v>
      </c>
      <c r="DB189" s="1638"/>
      <c r="DC189" s="1638"/>
      <c r="DD189" s="1638"/>
      <c r="DE189" s="1638"/>
      <c r="DF189" s="1638"/>
      <c r="DG189" s="1638"/>
      <c r="DH189" s="1638"/>
      <c r="DI189" s="1638"/>
      <c r="DJ189" s="1638"/>
      <c r="DK189" s="1638"/>
      <c r="DL189" s="1638"/>
      <c r="DM189" s="1638"/>
    </row>
    <row r="190" spans="2:117">
      <c r="B190" s="1584" t="str">
        <f t="shared" si="165"/>
        <v>3.2</v>
      </c>
      <c r="C190" s="1622" t="str">
        <f t="shared" si="116"/>
        <v>Wind/Sand Damage &amp; Sunlight Obstruction</v>
      </c>
      <c r="D190" s="1623">
        <f>IF(I$185=0,0,G190/I$185)</f>
        <v>0.4</v>
      </c>
      <c r="E190" s="1623">
        <f>IF(J$185=0,0,H190/J$185)</f>
        <v>0</v>
      </c>
      <c r="G190" s="1624">
        <f t="shared" si="182"/>
        <v>0.4</v>
      </c>
      <c r="H190" s="1624">
        <f t="shared" si="183"/>
        <v>0</v>
      </c>
      <c r="I190" s="1624">
        <f>SUM(G191:G193)</f>
        <v>1</v>
      </c>
      <c r="J190" s="1624">
        <f>SUM(H191:H193)</f>
        <v>0</v>
      </c>
      <c r="K190" s="1624">
        <f>IF(Score!Z190=0,0,1)</f>
        <v>1</v>
      </c>
      <c r="L190" s="1624">
        <f>IF(Score!AB190=0,0,1)</f>
        <v>0</v>
      </c>
      <c r="M190" s="1624">
        <f t="shared" si="184"/>
        <v>0.4</v>
      </c>
      <c r="N190" s="1624">
        <f t="shared" si="167"/>
        <v>0</v>
      </c>
      <c r="P190" s="1813" t="str">
        <f t="shared" si="118"/>
        <v>3.2</v>
      </c>
      <c r="Q190" s="1628" t="str">
        <f t="shared" si="119"/>
        <v>LR3 3</v>
      </c>
      <c r="R190" s="1622" t="str">
        <f t="shared" si="120"/>
        <v>Wind/Sand Damage &amp; Sunlight Obstruction</v>
      </c>
      <c r="S190" s="1743">
        <f t="shared" si="102"/>
        <v>0.4</v>
      </c>
      <c r="T190" s="1743">
        <f t="shared" si="103"/>
        <v>0.4</v>
      </c>
      <c r="U190" s="1743">
        <f t="shared" si="104"/>
        <v>0.4</v>
      </c>
      <c r="V190" s="1743">
        <f t="shared" si="105"/>
        <v>0.4</v>
      </c>
      <c r="W190" s="1743">
        <f t="shared" si="106"/>
        <v>0.4</v>
      </c>
      <c r="X190" s="1743">
        <f t="shared" si="107"/>
        <v>0.4</v>
      </c>
      <c r="Y190" s="1743">
        <f t="shared" si="108"/>
        <v>0.4</v>
      </c>
      <c r="Z190" s="1743">
        <f t="shared" si="109"/>
        <v>0.4</v>
      </c>
      <c r="AA190" s="1743">
        <f t="shared" si="110"/>
        <v>0.4</v>
      </c>
      <c r="AB190" s="1743">
        <f t="shared" si="111"/>
        <v>0.4</v>
      </c>
      <c r="AC190" s="1744">
        <f t="shared" si="112"/>
        <v>0</v>
      </c>
      <c r="AD190" s="1743">
        <f t="shared" si="113"/>
        <v>0</v>
      </c>
      <c r="AE190" s="1743">
        <f t="shared" si="114"/>
        <v>0</v>
      </c>
      <c r="AG190" s="1814" t="s">
        <v>396</v>
      </c>
      <c r="AH190" s="1628" t="s">
        <v>569</v>
      </c>
      <c r="AI190" s="1622" t="s">
        <v>1926</v>
      </c>
      <c r="AJ190" s="1747">
        <v>0.4</v>
      </c>
      <c r="AK190" s="1747">
        <v>0.4</v>
      </c>
      <c r="AL190" s="1747">
        <v>0.4</v>
      </c>
      <c r="AM190" s="1747">
        <v>0.4</v>
      </c>
      <c r="AN190" s="1747">
        <v>0.4</v>
      </c>
      <c r="AO190" s="1747">
        <v>0.4</v>
      </c>
      <c r="AP190" s="1747">
        <v>0.4</v>
      </c>
      <c r="AQ190" s="1747">
        <v>0.4</v>
      </c>
      <c r="AR190" s="1747">
        <v>0.4</v>
      </c>
      <c r="AS190" s="1747">
        <v>0.4</v>
      </c>
      <c r="AT190" s="1748"/>
      <c r="AU190" s="1747"/>
      <c r="AV190" s="1747"/>
      <c r="AX190" s="1814" t="s">
        <v>396</v>
      </c>
      <c r="AY190" s="1628" t="s">
        <v>569</v>
      </c>
      <c r="AZ190" s="1622" t="s">
        <v>1927</v>
      </c>
      <c r="BA190" s="1747">
        <v>0.4</v>
      </c>
      <c r="BB190" s="1747">
        <v>0.4</v>
      </c>
      <c r="BC190" s="1747">
        <v>0.4</v>
      </c>
      <c r="BD190" s="1747">
        <v>0.4</v>
      </c>
      <c r="BE190" s="1747">
        <v>0.4</v>
      </c>
      <c r="BF190" s="1747">
        <v>0.4</v>
      </c>
      <c r="BG190" s="1747">
        <v>0.4</v>
      </c>
      <c r="BH190" s="1747">
        <v>0.4</v>
      </c>
      <c r="BI190" s="1747">
        <v>0.4</v>
      </c>
      <c r="BJ190" s="1747">
        <v>0.4</v>
      </c>
      <c r="BK190" s="1748"/>
      <c r="BL190" s="1747"/>
      <c r="BM190" s="1747"/>
      <c r="BO190" s="1814" t="s">
        <v>396</v>
      </c>
      <c r="BP190" s="1628" t="s">
        <v>569</v>
      </c>
      <c r="BQ190" s="1818" t="s">
        <v>3365</v>
      </c>
      <c r="BR190" s="1747">
        <v>0.4</v>
      </c>
      <c r="BS190" s="1747">
        <v>0.4</v>
      </c>
      <c r="BT190" s="1747">
        <v>0.4</v>
      </c>
      <c r="BU190" s="1747">
        <v>0.4</v>
      </c>
      <c r="BV190" s="1747">
        <v>0.4</v>
      </c>
      <c r="BW190" s="1747">
        <v>0.4</v>
      </c>
      <c r="BX190" s="1747">
        <v>0.4</v>
      </c>
      <c r="BY190" s="1747">
        <v>0.4</v>
      </c>
      <c r="BZ190" s="1747">
        <v>0.4</v>
      </c>
      <c r="CA190" s="1747">
        <v>0.4</v>
      </c>
      <c r="CB190" s="1748"/>
      <c r="CC190" s="1747"/>
      <c r="CD190" s="1747"/>
      <c r="CE190" s="1749"/>
      <c r="CG190" s="1814" t="s">
        <v>331</v>
      </c>
      <c r="CH190" s="1628" t="s">
        <v>569</v>
      </c>
      <c r="CI190" s="1622" t="s">
        <v>1928</v>
      </c>
      <c r="CJ190" s="1750">
        <f t="shared" si="160"/>
        <v>0.4</v>
      </c>
      <c r="CK190" s="1750">
        <f t="shared" si="148"/>
        <v>0.4</v>
      </c>
      <c r="CL190" s="1750">
        <f t="shared" si="149"/>
        <v>0.4</v>
      </c>
      <c r="CM190" s="1750">
        <f t="shared" si="150"/>
        <v>0.4</v>
      </c>
      <c r="CN190" s="1750">
        <f t="shared" si="151"/>
        <v>0.4</v>
      </c>
      <c r="CO190" s="1750">
        <f t="shared" si="152"/>
        <v>0.4</v>
      </c>
      <c r="CP190" s="1750">
        <f t="shared" si="153"/>
        <v>0.4</v>
      </c>
      <c r="CQ190" s="1750">
        <f t="shared" si="154"/>
        <v>0.4</v>
      </c>
      <c r="CR190" s="1750">
        <f t="shared" si="155"/>
        <v>0.4</v>
      </c>
      <c r="CS190" s="1750">
        <f t="shared" si="156"/>
        <v>0.4</v>
      </c>
      <c r="CT190" s="1751">
        <f t="shared" si="157"/>
        <v>0</v>
      </c>
      <c r="CU190" s="1750">
        <f t="shared" si="158"/>
        <v>0</v>
      </c>
      <c r="CV190" s="1750">
        <f t="shared" si="159"/>
        <v>0</v>
      </c>
      <c r="CX190" s="1814" t="s">
        <v>331</v>
      </c>
      <c r="CY190" s="1628" t="s">
        <v>569</v>
      </c>
      <c r="CZ190" s="1622"/>
      <c r="DA190" s="1637">
        <v>0</v>
      </c>
      <c r="DB190" s="1753"/>
      <c r="DC190" s="1753"/>
      <c r="DD190" s="1753"/>
      <c r="DE190" s="1753"/>
      <c r="DF190" s="1753"/>
      <c r="DG190" s="1753"/>
      <c r="DH190" s="1753"/>
      <c r="DI190" s="1753"/>
      <c r="DJ190" s="1753"/>
      <c r="DK190" s="1754"/>
      <c r="DL190" s="1753"/>
      <c r="DM190" s="1753"/>
    </row>
    <row r="191" spans="2:117">
      <c r="B191" s="1584" t="str">
        <f t="shared" ref="B191:B196" si="185">P191</f>
        <v>3.2.1</v>
      </c>
      <c r="C191" s="1815" t="str">
        <f t="shared" si="116"/>
        <v>Restriction of Wind Damage</v>
      </c>
      <c r="D191" s="1623">
        <f t="shared" ref="D191:E193" si="186">IF(I$190=0,0,G191/I$190)</f>
        <v>0.7</v>
      </c>
      <c r="E191" s="1623">
        <f t="shared" si="186"/>
        <v>0</v>
      </c>
      <c r="G191" s="1624">
        <f t="shared" si="182"/>
        <v>0.7</v>
      </c>
      <c r="H191" s="1624">
        <f t="shared" si="183"/>
        <v>0</v>
      </c>
      <c r="I191" s="1624"/>
      <c r="J191" s="1624"/>
      <c r="K191" s="1624">
        <f>IF(Score!W191=0,0,1)</f>
        <v>1</v>
      </c>
      <c r="L191" s="1624">
        <f>IF(Score!X191=0,0,1)</f>
        <v>0</v>
      </c>
      <c r="M191" s="1624">
        <f t="shared" si="184"/>
        <v>0.7</v>
      </c>
      <c r="N191" s="1624">
        <f t="shared" si="167"/>
        <v>0</v>
      </c>
      <c r="P191" s="1814" t="str">
        <f t="shared" si="118"/>
        <v>3.2.1</v>
      </c>
      <c r="Q191" s="1628" t="str">
        <f t="shared" si="119"/>
        <v>LR3 3.2</v>
      </c>
      <c r="R191" s="1815" t="str">
        <f t="shared" si="120"/>
        <v>Restriction of Wind Damage</v>
      </c>
      <c r="S191" s="1626">
        <f t="shared" si="102"/>
        <v>0.7</v>
      </c>
      <c r="T191" s="1626">
        <f t="shared" si="103"/>
        <v>0.7</v>
      </c>
      <c r="U191" s="1626">
        <f t="shared" si="104"/>
        <v>0.7</v>
      </c>
      <c r="V191" s="1626">
        <f t="shared" si="105"/>
        <v>0.7</v>
      </c>
      <c r="W191" s="1626">
        <f t="shared" si="106"/>
        <v>0.7</v>
      </c>
      <c r="X191" s="1626">
        <f t="shared" si="107"/>
        <v>0.7</v>
      </c>
      <c r="Y191" s="1626">
        <f t="shared" si="108"/>
        <v>0.7</v>
      </c>
      <c r="Z191" s="1626">
        <f t="shared" si="109"/>
        <v>0.7</v>
      </c>
      <c r="AA191" s="1626">
        <f t="shared" si="110"/>
        <v>0.7</v>
      </c>
      <c r="AB191" s="1626">
        <f t="shared" si="111"/>
        <v>0.6</v>
      </c>
      <c r="AC191" s="1744">
        <f t="shared" si="112"/>
        <v>0</v>
      </c>
      <c r="AD191" s="1743">
        <f t="shared" si="113"/>
        <v>0</v>
      </c>
      <c r="AE191" s="1743">
        <f t="shared" si="114"/>
        <v>0</v>
      </c>
      <c r="AG191" s="1814" t="s">
        <v>397</v>
      </c>
      <c r="AH191" s="1628" t="s">
        <v>515</v>
      </c>
      <c r="AI191" s="1815" t="s">
        <v>1929</v>
      </c>
      <c r="AJ191" s="1631">
        <v>0.7</v>
      </c>
      <c r="AK191" s="1631">
        <v>0.7</v>
      </c>
      <c r="AL191" s="1631">
        <v>0.7</v>
      </c>
      <c r="AM191" s="1631">
        <v>0.7</v>
      </c>
      <c r="AN191" s="1631">
        <v>0.7</v>
      </c>
      <c r="AO191" s="1631">
        <v>0.7</v>
      </c>
      <c r="AP191" s="1631">
        <v>0.7</v>
      </c>
      <c r="AQ191" s="1631">
        <v>0.7</v>
      </c>
      <c r="AR191" s="1631">
        <v>0.7</v>
      </c>
      <c r="AS191" s="1667">
        <v>0.6</v>
      </c>
      <c r="AT191" s="1748"/>
      <c r="AU191" s="1747"/>
      <c r="AV191" s="1747"/>
      <c r="AX191" s="1814" t="s">
        <v>397</v>
      </c>
      <c r="AY191" s="1628" t="s">
        <v>515</v>
      </c>
      <c r="AZ191" s="1815" t="s">
        <v>1929</v>
      </c>
      <c r="BA191" s="1631">
        <v>0.7</v>
      </c>
      <c r="BB191" s="1631">
        <v>0.7</v>
      </c>
      <c r="BC191" s="1631">
        <v>0.7</v>
      </c>
      <c r="BD191" s="1631">
        <v>0.7</v>
      </c>
      <c r="BE191" s="1631">
        <v>0.7</v>
      </c>
      <c r="BF191" s="1631">
        <v>0.7</v>
      </c>
      <c r="BG191" s="1631">
        <v>0.7</v>
      </c>
      <c r="BH191" s="1631">
        <v>0.7</v>
      </c>
      <c r="BI191" s="1631">
        <v>0.7</v>
      </c>
      <c r="BJ191" s="1747">
        <v>0.6</v>
      </c>
      <c r="BK191" s="1748"/>
      <c r="BL191" s="1747"/>
      <c r="BM191" s="1747"/>
      <c r="BO191" s="1814" t="s">
        <v>397</v>
      </c>
      <c r="BP191" s="1628" t="s">
        <v>515</v>
      </c>
      <c r="BQ191" s="1815" t="s">
        <v>1660</v>
      </c>
      <c r="BR191" s="1631">
        <v>0.7</v>
      </c>
      <c r="BS191" s="1631">
        <v>0.7</v>
      </c>
      <c r="BT191" s="1631">
        <v>0.7</v>
      </c>
      <c r="BU191" s="1631">
        <v>0.7</v>
      </c>
      <c r="BV191" s="1631">
        <v>0.7</v>
      </c>
      <c r="BW191" s="1631">
        <v>0.7</v>
      </c>
      <c r="BX191" s="1631">
        <v>0.7</v>
      </c>
      <c r="BY191" s="1631">
        <v>0.7</v>
      </c>
      <c r="BZ191" s="1631">
        <v>0.7</v>
      </c>
      <c r="CA191" s="1747">
        <v>0.6</v>
      </c>
      <c r="CB191" s="1748"/>
      <c r="CC191" s="1747"/>
      <c r="CD191" s="1747"/>
      <c r="CE191" s="1749"/>
      <c r="CG191" s="1814" t="s">
        <v>241</v>
      </c>
      <c r="CH191" s="1628" t="s">
        <v>515</v>
      </c>
      <c r="CI191" s="1815" t="s">
        <v>1929</v>
      </c>
      <c r="CJ191" s="1636">
        <f t="shared" si="160"/>
        <v>0.7</v>
      </c>
      <c r="CK191" s="1636">
        <f t="shared" si="148"/>
        <v>0.7</v>
      </c>
      <c r="CL191" s="1636">
        <f t="shared" si="149"/>
        <v>0.7</v>
      </c>
      <c r="CM191" s="1636">
        <f t="shared" si="150"/>
        <v>0.7</v>
      </c>
      <c r="CN191" s="1636">
        <f t="shared" si="151"/>
        <v>0.7</v>
      </c>
      <c r="CO191" s="1636">
        <f t="shared" si="152"/>
        <v>0.7</v>
      </c>
      <c r="CP191" s="1636">
        <f t="shared" si="153"/>
        <v>0.7</v>
      </c>
      <c r="CQ191" s="1636">
        <f t="shared" si="154"/>
        <v>0.7</v>
      </c>
      <c r="CR191" s="1636">
        <f t="shared" si="155"/>
        <v>0.7</v>
      </c>
      <c r="CS191" s="1750">
        <f t="shared" si="156"/>
        <v>0.6</v>
      </c>
      <c r="CT191" s="1751">
        <f t="shared" si="157"/>
        <v>0</v>
      </c>
      <c r="CU191" s="1750">
        <f t="shared" si="158"/>
        <v>0</v>
      </c>
      <c r="CV191" s="1750">
        <f t="shared" si="159"/>
        <v>0</v>
      </c>
      <c r="CX191" s="1814" t="s">
        <v>241</v>
      </c>
      <c r="CY191" s="1628" t="s">
        <v>515</v>
      </c>
      <c r="CZ191" s="1815"/>
      <c r="DA191" s="1637">
        <v>0</v>
      </c>
      <c r="DB191" s="1638"/>
      <c r="DC191" s="1638"/>
      <c r="DD191" s="1638"/>
      <c r="DE191" s="1638"/>
      <c r="DF191" s="1638"/>
      <c r="DG191" s="1638"/>
      <c r="DH191" s="1638"/>
      <c r="DI191" s="1638"/>
      <c r="DJ191" s="1753"/>
      <c r="DK191" s="1754"/>
      <c r="DL191" s="1753"/>
      <c r="DM191" s="1753"/>
    </row>
    <row r="192" spans="2:117">
      <c r="B192" s="1584" t="str">
        <f t="shared" si="185"/>
        <v>3.2.2</v>
      </c>
      <c r="C192" s="1815" t="str">
        <f t="shared" si="116"/>
        <v>Control of Sand and Dust</v>
      </c>
      <c r="D192" s="1623">
        <f t="shared" si="186"/>
        <v>0</v>
      </c>
      <c r="E192" s="1623">
        <f t="shared" si="186"/>
        <v>0</v>
      </c>
      <c r="G192" s="1624">
        <f t="shared" si="182"/>
        <v>0</v>
      </c>
      <c r="H192" s="1624">
        <f t="shared" si="183"/>
        <v>0</v>
      </c>
      <c r="I192" s="1624"/>
      <c r="J192" s="1624"/>
      <c r="K192" s="1624">
        <f>IF(Score!W192=0,0,1)</f>
        <v>1</v>
      </c>
      <c r="L192" s="1624">
        <f>IF(Score!X192=0,0,1)</f>
        <v>0</v>
      </c>
      <c r="M192" s="1624">
        <f t="shared" si="184"/>
        <v>0</v>
      </c>
      <c r="N192" s="1624">
        <f t="shared" si="167"/>
        <v>0</v>
      </c>
      <c r="P192" s="1814" t="str">
        <f t="shared" si="118"/>
        <v>3.2.2</v>
      </c>
      <c r="Q192" s="1628" t="str">
        <f t="shared" si="119"/>
        <v>LR3 3.2</v>
      </c>
      <c r="R192" s="1815" t="str">
        <f t="shared" si="120"/>
        <v>Control of Sand and Dust</v>
      </c>
      <c r="S192" s="1626">
        <f t="shared" si="102"/>
        <v>0</v>
      </c>
      <c r="T192" s="1626">
        <f t="shared" si="103"/>
        <v>0</v>
      </c>
      <c r="U192" s="1626">
        <f t="shared" si="104"/>
        <v>0</v>
      </c>
      <c r="V192" s="1626">
        <f t="shared" si="105"/>
        <v>0</v>
      </c>
      <c r="W192" s="1626">
        <f t="shared" si="106"/>
        <v>0</v>
      </c>
      <c r="X192" s="1626">
        <f t="shared" si="107"/>
        <v>0</v>
      </c>
      <c r="Y192" s="1626">
        <f t="shared" si="108"/>
        <v>0</v>
      </c>
      <c r="Z192" s="1626">
        <f t="shared" si="109"/>
        <v>0</v>
      </c>
      <c r="AA192" s="1626">
        <f t="shared" si="110"/>
        <v>0</v>
      </c>
      <c r="AB192" s="1626">
        <f t="shared" si="111"/>
        <v>0.2</v>
      </c>
      <c r="AC192" s="1744">
        <f t="shared" si="112"/>
        <v>0</v>
      </c>
      <c r="AD192" s="1743">
        <f t="shared" si="113"/>
        <v>0</v>
      </c>
      <c r="AE192" s="1743">
        <f t="shared" si="114"/>
        <v>0</v>
      </c>
      <c r="AG192" s="1814" t="s">
        <v>591</v>
      </c>
      <c r="AH192" s="1628" t="s">
        <v>516</v>
      </c>
      <c r="AI192" s="1815" t="s">
        <v>1930</v>
      </c>
      <c r="AJ192" s="1631"/>
      <c r="AK192" s="1631"/>
      <c r="AL192" s="1631"/>
      <c r="AM192" s="1631"/>
      <c r="AN192" s="1631"/>
      <c r="AO192" s="1631"/>
      <c r="AP192" s="1631"/>
      <c r="AQ192" s="1631"/>
      <c r="AR192" s="1631"/>
      <c r="AS192" s="1667">
        <v>0.2</v>
      </c>
      <c r="AT192" s="1748"/>
      <c r="AU192" s="1747"/>
      <c r="AV192" s="1747"/>
      <c r="AX192" s="1814" t="s">
        <v>399</v>
      </c>
      <c r="AY192" s="1628" t="s">
        <v>400</v>
      </c>
      <c r="AZ192" s="1815" t="s">
        <v>1930</v>
      </c>
      <c r="BA192" s="1631"/>
      <c r="BB192" s="1631"/>
      <c r="BC192" s="1631"/>
      <c r="BD192" s="1631"/>
      <c r="BE192" s="1631"/>
      <c r="BF192" s="1631"/>
      <c r="BG192" s="1631"/>
      <c r="BH192" s="1631"/>
      <c r="BI192" s="1631"/>
      <c r="BJ192" s="1747">
        <v>0.2</v>
      </c>
      <c r="BK192" s="1748"/>
      <c r="BL192" s="1747"/>
      <c r="BM192" s="1747"/>
      <c r="BO192" s="1814" t="s">
        <v>399</v>
      </c>
      <c r="BP192" s="1628" t="s">
        <v>400</v>
      </c>
      <c r="BQ192" s="3168" t="s">
        <v>4023</v>
      </c>
      <c r="BR192" s="1631"/>
      <c r="BS192" s="1631"/>
      <c r="BT192" s="1631"/>
      <c r="BU192" s="1631"/>
      <c r="BV192" s="1631"/>
      <c r="BW192" s="1631"/>
      <c r="BX192" s="1631"/>
      <c r="BY192" s="1631"/>
      <c r="BZ192" s="1631"/>
      <c r="CA192" s="1747">
        <v>0.2</v>
      </c>
      <c r="CB192" s="1748"/>
      <c r="CC192" s="1747"/>
      <c r="CD192" s="1747"/>
      <c r="CE192" s="1749"/>
      <c r="CG192" s="1814" t="s">
        <v>242</v>
      </c>
      <c r="CH192" s="1628" t="s">
        <v>400</v>
      </c>
      <c r="CI192" s="1815" t="s">
        <v>1930</v>
      </c>
      <c r="CJ192" s="1636">
        <f t="shared" si="160"/>
        <v>0</v>
      </c>
      <c r="CK192" s="1636">
        <f t="shared" si="148"/>
        <v>0</v>
      </c>
      <c r="CL192" s="1636">
        <f t="shared" si="149"/>
        <v>0</v>
      </c>
      <c r="CM192" s="1636">
        <f t="shared" si="150"/>
        <v>0</v>
      </c>
      <c r="CN192" s="1636">
        <f t="shared" si="151"/>
        <v>0</v>
      </c>
      <c r="CO192" s="1636">
        <f t="shared" si="152"/>
        <v>0</v>
      </c>
      <c r="CP192" s="1636">
        <f t="shared" si="153"/>
        <v>0</v>
      </c>
      <c r="CQ192" s="1636">
        <f t="shared" si="154"/>
        <v>0</v>
      </c>
      <c r="CR192" s="1636">
        <f t="shared" si="155"/>
        <v>0</v>
      </c>
      <c r="CS192" s="1750">
        <f t="shared" si="156"/>
        <v>0.2</v>
      </c>
      <c r="CT192" s="1751">
        <f t="shared" si="157"/>
        <v>0</v>
      </c>
      <c r="CU192" s="1750">
        <f t="shared" si="158"/>
        <v>0</v>
      </c>
      <c r="CV192" s="1750">
        <f t="shared" si="159"/>
        <v>0</v>
      </c>
      <c r="CX192" s="1814" t="s">
        <v>242</v>
      </c>
      <c r="CY192" s="1628" t="s">
        <v>400</v>
      </c>
      <c r="CZ192" s="1815"/>
      <c r="DA192" s="1638">
        <f>BR192</f>
        <v>0</v>
      </c>
      <c r="DB192" s="1638"/>
      <c r="DC192" s="1638"/>
      <c r="DD192" s="1638"/>
      <c r="DE192" s="1638"/>
      <c r="DF192" s="1638"/>
      <c r="DG192" s="1638"/>
      <c r="DH192" s="1638"/>
      <c r="DI192" s="1638"/>
      <c r="DJ192" s="1753"/>
      <c r="DK192" s="1754"/>
      <c r="DL192" s="1753"/>
      <c r="DM192" s="1753"/>
    </row>
    <row r="193" spans="2:117">
      <c r="B193" s="1584" t="str">
        <f t="shared" si="185"/>
        <v>3.2.3</v>
      </c>
      <c r="C193" s="1815" t="str">
        <f t="shared" si="116"/>
        <v>Restriction of Sunlight Obstruction</v>
      </c>
      <c r="D193" s="1623">
        <f t="shared" si="186"/>
        <v>0.3</v>
      </c>
      <c r="E193" s="1623">
        <f t="shared" si="186"/>
        <v>0</v>
      </c>
      <c r="G193" s="1624">
        <f t="shared" si="182"/>
        <v>0.3</v>
      </c>
      <c r="H193" s="1624">
        <f t="shared" si="183"/>
        <v>0</v>
      </c>
      <c r="I193" s="1624"/>
      <c r="J193" s="1624"/>
      <c r="K193" s="1624">
        <f>IF(Score!W193=0,0,1)</f>
        <v>1</v>
      </c>
      <c r="L193" s="1624">
        <f>IF(Score!X193=0,0,1)</f>
        <v>0</v>
      </c>
      <c r="M193" s="1624">
        <f t="shared" si="184"/>
        <v>0.3</v>
      </c>
      <c r="N193" s="1624">
        <f t="shared" si="167"/>
        <v>0</v>
      </c>
      <c r="P193" s="1814" t="str">
        <f t="shared" si="118"/>
        <v>3.2.3</v>
      </c>
      <c r="Q193" s="1628" t="str">
        <f t="shared" si="119"/>
        <v>LR3 3.2</v>
      </c>
      <c r="R193" s="1815" t="str">
        <f t="shared" si="120"/>
        <v>Restriction of Sunlight Obstruction</v>
      </c>
      <c r="S193" s="1626">
        <f t="shared" si="102"/>
        <v>0.3</v>
      </c>
      <c r="T193" s="1626">
        <f t="shared" si="103"/>
        <v>0.3</v>
      </c>
      <c r="U193" s="1626">
        <f t="shared" si="104"/>
        <v>0.3</v>
      </c>
      <c r="V193" s="1626">
        <f t="shared" si="105"/>
        <v>0.3</v>
      </c>
      <c r="W193" s="1626">
        <f t="shared" si="106"/>
        <v>0.3</v>
      </c>
      <c r="X193" s="1626">
        <f t="shared" si="107"/>
        <v>0.3</v>
      </c>
      <c r="Y193" s="1626">
        <f t="shared" si="108"/>
        <v>0.3</v>
      </c>
      <c r="Z193" s="1626">
        <f t="shared" si="109"/>
        <v>0.3</v>
      </c>
      <c r="AA193" s="1626">
        <f t="shared" si="110"/>
        <v>0.3</v>
      </c>
      <c r="AB193" s="1626">
        <f t="shared" si="111"/>
        <v>0.2</v>
      </c>
      <c r="AC193" s="1744">
        <f t="shared" si="112"/>
        <v>0</v>
      </c>
      <c r="AD193" s="1743">
        <f t="shared" si="113"/>
        <v>0</v>
      </c>
      <c r="AE193" s="1743">
        <f t="shared" si="114"/>
        <v>0</v>
      </c>
      <c r="AG193" s="1814" t="s">
        <v>399</v>
      </c>
      <c r="AH193" s="1628" t="s">
        <v>515</v>
      </c>
      <c r="AI193" s="1815" t="s">
        <v>1931</v>
      </c>
      <c r="AJ193" s="1631">
        <v>0.3</v>
      </c>
      <c r="AK193" s="1631">
        <v>0.3</v>
      </c>
      <c r="AL193" s="1631">
        <v>0.3</v>
      </c>
      <c r="AM193" s="1631">
        <v>0.3</v>
      </c>
      <c r="AN193" s="1631">
        <v>0.3</v>
      </c>
      <c r="AO193" s="1631">
        <v>0.3</v>
      </c>
      <c r="AP193" s="1631">
        <v>0.3</v>
      </c>
      <c r="AQ193" s="1631">
        <v>0.3</v>
      </c>
      <c r="AR193" s="1631">
        <v>0.3</v>
      </c>
      <c r="AS193" s="1667">
        <v>0.2</v>
      </c>
      <c r="AT193" s="1748"/>
      <c r="AU193" s="1747"/>
      <c r="AV193" s="1747"/>
      <c r="AX193" s="1814" t="s">
        <v>401</v>
      </c>
      <c r="AY193" s="1628" t="s">
        <v>515</v>
      </c>
      <c r="AZ193" s="1815" t="s">
        <v>1931</v>
      </c>
      <c r="BA193" s="1631">
        <v>0.3</v>
      </c>
      <c r="BB193" s="1631">
        <v>0.3</v>
      </c>
      <c r="BC193" s="1631">
        <v>0.3</v>
      </c>
      <c r="BD193" s="1631">
        <v>0.3</v>
      </c>
      <c r="BE193" s="1631">
        <v>0.3</v>
      </c>
      <c r="BF193" s="1631">
        <v>0.3</v>
      </c>
      <c r="BG193" s="1631">
        <v>0.3</v>
      </c>
      <c r="BH193" s="1631">
        <v>0.3</v>
      </c>
      <c r="BI193" s="1631">
        <v>0.3</v>
      </c>
      <c r="BJ193" s="1747">
        <v>0.2</v>
      </c>
      <c r="BK193" s="1748"/>
      <c r="BL193" s="1747"/>
      <c r="BM193" s="1747"/>
      <c r="BO193" s="1814" t="s">
        <v>401</v>
      </c>
      <c r="BP193" s="1628" t="s">
        <v>515</v>
      </c>
      <c r="BQ193" s="3168" t="s">
        <v>3387</v>
      </c>
      <c r="BR193" s="1631">
        <v>0.3</v>
      </c>
      <c r="BS193" s="1631">
        <v>0.3</v>
      </c>
      <c r="BT193" s="1631">
        <v>0.3</v>
      </c>
      <c r="BU193" s="1631">
        <v>0.3</v>
      </c>
      <c r="BV193" s="1631">
        <v>0.3</v>
      </c>
      <c r="BW193" s="1631">
        <v>0.3</v>
      </c>
      <c r="BX193" s="1631">
        <v>0.3</v>
      </c>
      <c r="BY193" s="1631">
        <v>0.3</v>
      </c>
      <c r="BZ193" s="1631">
        <v>0.3</v>
      </c>
      <c r="CA193" s="1747">
        <v>0.2</v>
      </c>
      <c r="CB193" s="1748"/>
      <c r="CC193" s="1747"/>
      <c r="CD193" s="1747"/>
      <c r="CE193" s="1749"/>
      <c r="CG193" s="1814" t="s">
        <v>243</v>
      </c>
      <c r="CH193" s="1628" t="s">
        <v>515</v>
      </c>
      <c r="CI193" s="1815" t="s">
        <v>1931</v>
      </c>
      <c r="CJ193" s="1636">
        <f t="shared" si="160"/>
        <v>0.3</v>
      </c>
      <c r="CK193" s="1636">
        <f t="shared" si="148"/>
        <v>0.3</v>
      </c>
      <c r="CL193" s="1636">
        <f t="shared" si="149"/>
        <v>0.3</v>
      </c>
      <c r="CM193" s="1636">
        <f t="shared" si="150"/>
        <v>0.3</v>
      </c>
      <c r="CN193" s="1636">
        <f t="shared" si="151"/>
        <v>0.3</v>
      </c>
      <c r="CO193" s="1636">
        <f t="shared" si="152"/>
        <v>0.3</v>
      </c>
      <c r="CP193" s="1636">
        <f t="shared" si="153"/>
        <v>0.3</v>
      </c>
      <c r="CQ193" s="1636">
        <f t="shared" si="154"/>
        <v>0.3</v>
      </c>
      <c r="CR193" s="1636">
        <f t="shared" si="155"/>
        <v>0.3</v>
      </c>
      <c r="CS193" s="1750">
        <f t="shared" si="156"/>
        <v>0.2</v>
      </c>
      <c r="CT193" s="1751">
        <f t="shared" si="157"/>
        <v>0</v>
      </c>
      <c r="CU193" s="1750">
        <f t="shared" si="158"/>
        <v>0</v>
      </c>
      <c r="CV193" s="1750">
        <f t="shared" si="159"/>
        <v>0</v>
      </c>
      <c r="CX193" s="1814" t="s">
        <v>243</v>
      </c>
      <c r="CY193" s="1628" t="s">
        <v>515</v>
      </c>
      <c r="CZ193" s="1815"/>
      <c r="DA193" s="1637">
        <v>0</v>
      </c>
      <c r="DB193" s="1638"/>
      <c r="DC193" s="1638"/>
      <c r="DD193" s="1638"/>
      <c r="DE193" s="1638"/>
      <c r="DF193" s="1638"/>
      <c r="DG193" s="1638"/>
      <c r="DH193" s="1638"/>
      <c r="DI193" s="1638"/>
      <c r="DJ193" s="1753"/>
      <c r="DK193" s="1754"/>
      <c r="DL193" s="1753"/>
      <c r="DM193" s="1753"/>
    </row>
    <row r="194" spans="2:117">
      <c r="B194" s="1584" t="str">
        <f t="shared" si="185"/>
        <v>3.3</v>
      </c>
      <c r="C194" s="1622" t="str">
        <f t="shared" si="116"/>
        <v>Light Pollution</v>
      </c>
      <c r="D194" s="1623">
        <f>IF(I$185=0,0,G194/I$185)</f>
        <v>0.2</v>
      </c>
      <c r="E194" s="1623">
        <f>IF(J$185=0,0,H194/J$185)</f>
        <v>0</v>
      </c>
      <c r="G194" s="1624">
        <f t="shared" si="182"/>
        <v>0.2</v>
      </c>
      <c r="H194" s="1624">
        <f t="shared" si="183"/>
        <v>0</v>
      </c>
      <c r="I194" s="1624">
        <f>SUM(G195:G196)</f>
        <v>1</v>
      </c>
      <c r="J194" s="1624">
        <f>SUM(H195:H196)</f>
        <v>0</v>
      </c>
      <c r="K194" s="1624">
        <f>IF(Score!Z194=0,0,1)</f>
        <v>1</v>
      </c>
      <c r="L194" s="1624">
        <f>IF(Score!AB194=0,0,1)</f>
        <v>0</v>
      </c>
      <c r="M194" s="1624">
        <f t="shared" si="184"/>
        <v>0.2</v>
      </c>
      <c r="N194" s="1624">
        <f t="shared" si="167"/>
        <v>0</v>
      </c>
      <c r="P194" s="1813" t="str">
        <f t="shared" si="118"/>
        <v>3.3</v>
      </c>
      <c r="Q194" s="1628" t="str">
        <f t="shared" si="119"/>
        <v>LR3 3</v>
      </c>
      <c r="R194" s="1622" t="str">
        <f t="shared" si="120"/>
        <v>Light Pollution</v>
      </c>
      <c r="S194" s="1743">
        <f t="shared" ref="S194:AE196" si="187">IF($P$3=1,BA194,IF($P$3=2,BR194,IF($P$3=3,CJ194,IF($P$3=4,DA194,AJ194))))</f>
        <v>0.2</v>
      </c>
      <c r="T194" s="1743">
        <f t="shared" si="187"/>
        <v>0.2</v>
      </c>
      <c r="U194" s="1743">
        <f t="shared" si="187"/>
        <v>0.2</v>
      </c>
      <c r="V194" s="1743">
        <f t="shared" si="187"/>
        <v>0.2</v>
      </c>
      <c r="W194" s="1743">
        <f t="shared" si="187"/>
        <v>0.2</v>
      </c>
      <c r="X194" s="1743">
        <f t="shared" si="187"/>
        <v>0.2</v>
      </c>
      <c r="Y194" s="1743">
        <f t="shared" si="187"/>
        <v>0.2</v>
      </c>
      <c r="Z194" s="1743">
        <f t="shared" si="187"/>
        <v>0.2</v>
      </c>
      <c r="AA194" s="1743">
        <f t="shared" si="187"/>
        <v>0.2</v>
      </c>
      <c r="AB194" s="1743">
        <f t="shared" si="187"/>
        <v>0.2</v>
      </c>
      <c r="AC194" s="1744">
        <f t="shared" si="187"/>
        <v>0</v>
      </c>
      <c r="AD194" s="1743">
        <f t="shared" si="187"/>
        <v>0</v>
      </c>
      <c r="AE194" s="1743">
        <f t="shared" si="187"/>
        <v>0</v>
      </c>
      <c r="AG194" s="1814" t="s">
        <v>402</v>
      </c>
      <c r="AH194" s="1628" t="s">
        <v>569</v>
      </c>
      <c r="AI194" s="1815" t="s">
        <v>1932</v>
      </c>
      <c r="AJ194" s="1631">
        <v>0.2</v>
      </c>
      <c r="AK194" s="1631">
        <v>0.2</v>
      </c>
      <c r="AL194" s="1631">
        <v>0.2</v>
      </c>
      <c r="AM194" s="1631">
        <v>0.2</v>
      </c>
      <c r="AN194" s="1631">
        <v>0.2</v>
      </c>
      <c r="AO194" s="1631">
        <v>0.2</v>
      </c>
      <c r="AP194" s="1631">
        <v>0.2</v>
      </c>
      <c r="AQ194" s="1631">
        <v>0.2</v>
      </c>
      <c r="AR194" s="1631">
        <v>0.2</v>
      </c>
      <c r="AS194" s="1747">
        <v>0.2</v>
      </c>
      <c r="AT194" s="1748"/>
      <c r="AU194" s="1747"/>
      <c r="AV194" s="1747"/>
      <c r="AX194" s="1814" t="s">
        <v>402</v>
      </c>
      <c r="AY194" s="1628" t="s">
        <v>569</v>
      </c>
      <c r="AZ194" s="1815" t="s">
        <v>1932</v>
      </c>
      <c r="BA194" s="1747">
        <v>0.2</v>
      </c>
      <c r="BB194" s="1747">
        <v>0.2</v>
      </c>
      <c r="BC194" s="1747">
        <v>0.2</v>
      </c>
      <c r="BD194" s="1747">
        <v>0.2</v>
      </c>
      <c r="BE194" s="1747">
        <v>0.2</v>
      </c>
      <c r="BF194" s="1747">
        <v>0.2</v>
      </c>
      <c r="BG194" s="1747">
        <v>0.2</v>
      </c>
      <c r="BH194" s="1747">
        <v>0.2</v>
      </c>
      <c r="BI194" s="1747">
        <v>0.2</v>
      </c>
      <c r="BJ194" s="1747">
        <v>0.2</v>
      </c>
      <c r="BK194" s="1748"/>
      <c r="BL194" s="1747"/>
      <c r="BM194" s="1747"/>
      <c r="BO194" s="1814" t="s">
        <v>402</v>
      </c>
      <c r="BP194" s="1628" t="s">
        <v>569</v>
      </c>
      <c r="BQ194" s="1815" t="s">
        <v>1662</v>
      </c>
      <c r="BR194" s="1747">
        <v>0.2</v>
      </c>
      <c r="BS194" s="1747">
        <v>0.2</v>
      </c>
      <c r="BT194" s="1747">
        <v>0.2</v>
      </c>
      <c r="BU194" s="1747">
        <v>0.2</v>
      </c>
      <c r="BV194" s="1747">
        <v>0.2</v>
      </c>
      <c r="BW194" s="1747">
        <v>0.2</v>
      </c>
      <c r="BX194" s="1747">
        <v>0.2</v>
      </c>
      <c r="BY194" s="1747">
        <v>0.2</v>
      </c>
      <c r="BZ194" s="1747">
        <v>0.2</v>
      </c>
      <c r="CA194" s="1747">
        <v>0.2</v>
      </c>
      <c r="CB194" s="1748"/>
      <c r="CC194" s="1747"/>
      <c r="CD194" s="1747"/>
      <c r="CE194" s="1749"/>
      <c r="CG194" s="1814" t="s">
        <v>402</v>
      </c>
      <c r="CH194" s="1628" t="s">
        <v>569</v>
      </c>
      <c r="CI194" s="1815" t="s">
        <v>1932</v>
      </c>
      <c r="CJ194" s="1750">
        <f t="shared" si="160"/>
        <v>0.2</v>
      </c>
      <c r="CK194" s="1750">
        <f t="shared" si="148"/>
        <v>0.2</v>
      </c>
      <c r="CL194" s="1750">
        <f t="shared" si="149"/>
        <v>0.2</v>
      </c>
      <c r="CM194" s="1750">
        <f t="shared" si="150"/>
        <v>0.2</v>
      </c>
      <c r="CN194" s="1750">
        <f t="shared" si="151"/>
        <v>0.2</v>
      </c>
      <c r="CO194" s="1750">
        <f t="shared" si="152"/>
        <v>0.2</v>
      </c>
      <c r="CP194" s="1750">
        <f t="shared" si="153"/>
        <v>0.2</v>
      </c>
      <c r="CQ194" s="1750">
        <f t="shared" si="154"/>
        <v>0.2</v>
      </c>
      <c r="CR194" s="1750">
        <f t="shared" si="155"/>
        <v>0.2</v>
      </c>
      <c r="CS194" s="1750">
        <f t="shared" si="156"/>
        <v>0.2</v>
      </c>
      <c r="CT194" s="1751">
        <f t="shared" si="157"/>
        <v>0</v>
      </c>
      <c r="CU194" s="1750">
        <f t="shared" si="158"/>
        <v>0</v>
      </c>
      <c r="CV194" s="1750">
        <f t="shared" si="159"/>
        <v>0</v>
      </c>
      <c r="CX194" s="1814" t="s">
        <v>402</v>
      </c>
      <c r="CY194" s="1628" t="s">
        <v>569</v>
      </c>
      <c r="CZ194" s="1815"/>
      <c r="DA194" s="1637">
        <v>0</v>
      </c>
      <c r="DB194" s="1753"/>
      <c r="DC194" s="1753"/>
      <c r="DD194" s="1753"/>
      <c r="DE194" s="1753"/>
      <c r="DF194" s="1753"/>
      <c r="DG194" s="1753"/>
      <c r="DH194" s="1753"/>
      <c r="DI194" s="1753"/>
      <c r="DJ194" s="1753"/>
      <c r="DK194" s="1754"/>
      <c r="DL194" s="1753"/>
      <c r="DM194" s="1753"/>
    </row>
    <row r="195" spans="2:117">
      <c r="B195" s="1584" t="str">
        <f t="shared" si="185"/>
        <v>3.3.1</v>
      </c>
      <c r="C195" s="1815" t="str">
        <f t="shared" si="116"/>
        <v>Outdoor Illumination and Light that Spills from Interiors</v>
      </c>
      <c r="D195" s="1623">
        <f>IF(I$194=0,0,G195/I$194)</f>
        <v>0.7</v>
      </c>
      <c r="E195" s="1623">
        <f>IF(J$194=0,0,H195/J$194)</f>
        <v>0</v>
      </c>
      <c r="G195" s="1624">
        <f t="shared" si="182"/>
        <v>0.7</v>
      </c>
      <c r="H195" s="1624">
        <f t="shared" si="183"/>
        <v>0</v>
      </c>
      <c r="I195" s="1624"/>
      <c r="J195" s="1624"/>
      <c r="K195" s="1624">
        <f>IF(Score!W195=0,0,1)</f>
        <v>1</v>
      </c>
      <c r="L195" s="1624">
        <f>IF(Score!X195=0,0,1)</f>
        <v>0</v>
      </c>
      <c r="M195" s="1624">
        <f t="shared" si="184"/>
        <v>0.7</v>
      </c>
      <c r="N195" s="1624">
        <f t="shared" si="167"/>
        <v>0</v>
      </c>
      <c r="P195" s="1814" t="str">
        <f t="shared" si="118"/>
        <v>3.3.1</v>
      </c>
      <c r="Q195" s="1628" t="str">
        <f t="shared" si="119"/>
        <v>LR3 3.3</v>
      </c>
      <c r="R195" s="1815" t="str">
        <f t="shared" si="120"/>
        <v>Outdoor Illumination and Light that Spills from Interiors</v>
      </c>
      <c r="S195" s="1626">
        <f t="shared" si="187"/>
        <v>0.7</v>
      </c>
      <c r="T195" s="1626">
        <f t="shared" si="187"/>
        <v>0.7</v>
      </c>
      <c r="U195" s="1626">
        <f t="shared" si="187"/>
        <v>0.7</v>
      </c>
      <c r="V195" s="1626">
        <f t="shared" si="187"/>
        <v>0.7</v>
      </c>
      <c r="W195" s="1626">
        <f t="shared" si="187"/>
        <v>0.7</v>
      </c>
      <c r="X195" s="1626">
        <f t="shared" si="187"/>
        <v>0.7</v>
      </c>
      <c r="Y195" s="1626">
        <f t="shared" si="187"/>
        <v>0.7</v>
      </c>
      <c r="Z195" s="1626">
        <f t="shared" si="187"/>
        <v>0.7</v>
      </c>
      <c r="AA195" s="1626">
        <f t="shared" si="187"/>
        <v>0.7</v>
      </c>
      <c r="AB195" s="1626">
        <f t="shared" si="187"/>
        <v>0.7</v>
      </c>
      <c r="AC195" s="1744">
        <f t="shared" si="187"/>
        <v>0</v>
      </c>
      <c r="AD195" s="1743">
        <f t="shared" si="187"/>
        <v>0</v>
      </c>
      <c r="AE195" s="1743">
        <f t="shared" si="187"/>
        <v>0</v>
      </c>
      <c r="AG195" s="1814" t="s">
        <v>403</v>
      </c>
      <c r="AH195" s="1628" t="s">
        <v>516</v>
      </c>
      <c r="AI195" s="1815" t="s">
        <v>1933</v>
      </c>
      <c r="AJ195" s="1747">
        <v>0.7</v>
      </c>
      <c r="AK195" s="1747">
        <v>0.7</v>
      </c>
      <c r="AL195" s="1747">
        <v>0.7</v>
      </c>
      <c r="AM195" s="1747">
        <v>0.7</v>
      </c>
      <c r="AN195" s="1747">
        <v>0.7</v>
      </c>
      <c r="AO195" s="1747">
        <v>0.7</v>
      </c>
      <c r="AP195" s="1747">
        <v>0.7</v>
      </c>
      <c r="AQ195" s="1747">
        <v>0.7</v>
      </c>
      <c r="AR195" s="1747">
        <v>0.7</v>
      </c>
      <c r="AS195" s="1631">
        <v>0.7</v>
      </c>
      <c r="AT195" s="1748"/>
      <c r="AU195" s="1747"/>
      <c r="AV195" s="1747"/>
      <c r="AX195" s="1814" t="s">
        <v>403</v>
      </c>
      <c r="AY195" s="1628" t="s">
        <v>516</v>
      </c>
      <c r="AZ195" s="1815" t="s">
        <v>1933</v>
      </c>
      <c r="BA195" s="1631">
        <v>0.7</v>
      </c>
      <c r="BB195" s="1631">
        <v>0.7</v>
      </c>
      <c r="BC195" s="1631">
        <v>0.7</v>
      </c>
      <c r="BD195" s="1631">
        <v>0.7</v>
      </c>
      <c r="BE195" s="1631">
        <v>0.7</v>
      </c>
      <c r="BF195" s="1631">
        <v>0.7</v>
      </c>
      <c r="BG195" s="1631">
        <v>0.7</v>
      </c>
      <c r="BH195" s="1631">
        <v>0.7</v>
      </c>
      <c r="BI195" s="1631">
        <v>0.7</v>
      </c>
      <c r="BJ195" s="1631">
        <v>0.7</v>
      </c>
      <c r="BK195" s="1748"/>
      <c r="BL195" s="1747"/>
      <c r="BM195" s="1747"/>
      <c r="BO195" s="1814" t="s">
        <v>403</v>
      </c>
      <c r="BP195" s="1628" t="s">
        <v>516</v>
      </c>
      <c r="BQ195" s="1815" t="s">
        <v>1671</v>
      </c>
      <c r="BR195" s="1631">
        <v>0.7</v>
      </c>
      <c r="BS195" s="1631">
        <v>0.7</v>
      </c>
      <c r="BT195" s="1631">
        <v>0.7</v>
      </c>
      <c r="BU195" s="1631">
        <v>0.7</v>
      </c>
      <c r="BV195" s="1631">
        <v>0.7</v>
      </c>
      <c r="BW195" s="1631">
        <v>0.7</v>
      </c>
      <c r="BX195" s="1631">
        <v>0.7</v>
      </c>
      <c r="BY195" s="1631">
        <v>0.7</v>
      </c>
      <c r="BZ195" s="1631">
        <v>0.7</v>
      </c>
      <c r="CA195" s="1631">
        <v>0.7</v>
      </c>
      <c r="CB195" s="1748"/>
      <c r="CC195" s="1747"/>
      <c r="CD195" s="1747"/>
      <c r="CE195" s="1749"/>
      <c r="CG195" s="1814" t="s">
        <v>323</v>
      </c>
      <c r="CH195" s="1628" t="s">
        <v>516</v>
      </c>
      <c r="CI195" s="1815" t="s">
        <v>1933</v>
      </c>
      <c r="CJ195" s="1636">
        <f t="shared" si="160"/>
        <v>0.7</v>
      </c>
      <c r="CK195" s="1636">
        <f t="shared" si="148"/>
        <v>0.7</v>
      </c>
      <c r="CL195" s="1636">
        <f t="shared" si="149"/>
        <v>0.7</v>
      </c>
      <c r="CM195" s="1636">
        <f t="shared" si="150"/>
        <v>0.7</v>
      </c>
      <c r="CN195" s="1636">
        <f t="shared" si="151"/>
        <v>0.7</v>
      </c>
      <c r="CO195" s="1636">
        <f t="shared" si="152"/>
        <v>0.7</v>
      </c>
      <c r="CP195" s="1636">
        <f t="shared" si="153"/>
        <v>0.7</v>
      </c>
      <c r="CQ195" s="1636">
        <f t="shared" si="154"/>
        <v>0.7</v>
      </c>
      <c r="CR195" s="1636">
        <f t="shared" si="155"/>
        <v>0.7</v>
      </c>
      <c r="CS195" s="1636">
        <f t="shared" si="156"/>
        <v>0.7</v>
      </c>
      <c r="CT195" s="1751">
        <f t="shared" si="157"/>
        <v>0</v>
      </c>
      <c r="CU195" s="1750">
        <f t="shared" si="158"/>
        <v>0</v>
      </c>
      <c r="CV195" s="1750">
        <f t="shared" si="159"/>
        <v>0</v>
      </c>
      <c r="CX195" s="1814" t="s">
        <v>323</v>
      </c>
      <c r="CY195" s="1628" t="s">
        <v>516</v>
      </c>
      <c r="CZ195" s="1815"/>
      <c r="DA195" s="1637">
        <v>0</v>
      </c>
      <c r="DB195" s="1638"/>
      <c r="DC195" s="1638"/>
      <c r="DD195" s="1638"/>
      <c r="DE195" s="1638"/>
      <c r="DF195" s="1638"/>
      <c r="DG195" s="1638"/>
      <c r="DH195" s="1638"/>
      <c r="DI195" s="1638"/>
      <c r="DJ195" s="1638"/>
      <c r="DK195" s="1754"/>
      <c r="DL195" s="1753"/>
      <c r="DM195" s="1753"/>
    </row>
    <row r="196" spans="2:117">
      <c r="B196" s="1584" t="str">
        <f t="shared" si="185"/>
        <v>3.3.2</v>
      </c>
      <c r="C196" s="1815" t="str">
        <f t="shared" si="116"/>
        <v>Measures for Reflected Solar Glare from Building Walls</v>
      </c>
      <c r="D196" s="1623">
        <f>IF(I$194=0,0,G196/I$194)</f>
        <v>0.3</v>
      </c>
      <c r="E196" s="1623">
        <f>IF(J$194=0,0,H196/J$194)</f>
        <v>0</v>
      </c>
      <c r="G196" s="1624">
        <f t="shared" si="182"/>
        <v>0.3</v>
      </c>
      <c r="H196" s="1624">
        <f t="shared" si="183"/>
        <v>0</v>
      </c>
      <c r="I196" s="1624"/>
      <c r="J196" s="1624"/>
      <c r="K196" s="1624">
        <f>IF(Score!W196=0,0,1)</f>
        <v>1</v>
      </c>
      <c r="L196" s="1624">
        <f>IF(Score!X196=0,0,1)</f>
        <v>0</v>
      </c>
      <c r="M196" s="1624">
        <f t="shared" si="184"/>
        <v>0.3</v>
      </c>
      <c r="N196" s="1624">
        <f t="shared" si="167"/>
        <v>0</v>
      </c>
      <c r="P196" s="1814" t="str">
        <f t="shared" si="118"/>
        <v>3.3.2</v>
      </c>
      <c r="Q196" s="1628" t="str">
        <f t="shared" si="119"/>
        <v>LR3 3.3</v>
      </c>
      <c r="R196" s="1815" t="str">
        <f t="shared" si="120"/>
        <v>Measures for Reflected Solar Glare from Building Walls</v>
      </c>
      <c r="S196" s="1626">
        <f t="shared" si="187"/>
        <v>0.3</v>
      </c>
      <c r="T196" s="1626">
        <f t="shared" si="187"/>
        <v>0.3</v>
      </c>
      <c r="U196" s="1626">
        <f t="shared" si="187"/>
        <v>0.3</v>
      </c>
      <c r="V196" s="1626">
        <f t="shared" si="187"/>
        <v>0.3</v>
      </c>
      <c r="W196" s="1626">
        <f t="shared" si="187"/>
        <v>0.3</v>
      </c>
      <c r="X196" s="1626">
        <f t="shared" si="187"/>
        <v>0.3</v>
      </c>
      <c r="Y196" s="1626">
        <f t="shared" si="187"/>
        <v>0.3</v>
      </c>
      <c r="Z196" s="1626">
        <f t="shared" si="187"/>
        <v>0.3</v>
      </c>
      <c r="AA196" s="1626">
        <f t="shared" si="187"/>
        <v>0.3</v>
      </c>
      <c r="AB196" s="1626">
        <f t="shared" si="187"/>
        <v>0.3</v>
      </c>
      <c r="AC196" s="1744">
        <f t="shared" si="187"/>
        <v>0</v>
      </c>
      <c r="AD196" s="1743">
        <f t="shared" si="187"/>
        <v>0</v>
      </c>
      <c r="AE196" s="1743">
        <f t="shared" si="187"/>
        <v>0</v>
      </c>
      <c r="AG196" s="1814" t="s">
        <v>700</v>
      </c>
      <c r="AH196" s="1628" t="s">
        <v>516</v>
      </c>
      <c r="AI196" s="1815" t="s">
        <v>1934</v>
      </c>
      <c r="AJ196" s="1631">
        <v>0.3</v>
      </c>
      <c r="AK196" s="1631">
        <v>0.3</v>
      </c>
      <c r="AL196" s="1631">
        <v>0.3</v>
      </c>
      <c r="AM196" s="1631">
        <v>0.3</v>
      </c>
      <c r="AN196" s="1631">
        <v>0.3</v>
      </c>
      <c r="AO196" s="1631">
        <v>0.3</v>
      </c>
      <c r="AP196" s="1631">
        <v>0.3</v>
      </c>
      <c r="AQ196" s="1631">
        <v>0.3</v>
      </c>
      <c r="AR196" s="1631">
        <v>0.3</v>
      </c>
      <c r="AS196" s="1631">
        <v>0.3</v>
      </c>
      <c r="AT196" s="1748"/>
      <c r="AU196" s="1747"/>
      <c r="AV196" s="1747"/>
      <c r="AX196" s="1814" t="s">
        <v>700</v>
      </c>
      <c r="AY196" s="1628" t="s">
        <v>516</v>
      </c>
      <c r="AZ196" s="1815" t="s">
        <v>1934</v>
      </c>
      <c r="BA196" s="1631">
        <v>0.3</v>
      </c>
      <c r="BB196" s="1631">
        <v>0.3</v>
      </c>
      <c r="BC196" s="1631">
        <v>0.3</v>
      </c>
      <c r="BD196" s="1631">
        <v>0.3</v>
      </c>
      <c r="BE196" s="1631">
        <v>0.3</v>
      </c>
      <c r="BF196" s="1631">
        <v>0.3</v>
      </c>
      <c r="BG196" s="1631">
        <v>0.3</v>
      </c>
      <c r="BH196" s="1631">
        <v>0.3</v>
      </c>
      <c r="BI196" s="1631">
        <v>0.3</v>
      </c>
      <c r="BJ196" s="1631">
        <v>0.3</v>
      </c>
      <c r="BK196" s="1748"/>
      <c r="BL196" s="1747"/>
      <c r="BM196" s="1747"/>
      <c r="BO196" s="1814" t="s">
        <v>700</v>
      </c>
      <c r="BP196" s="1628" t="s">
        <v>516</v>
      </c>
      <c r="BQ196" s="1815" t="s">
        <v>1672</v>
      </c>
      <c r="BR196" s="1631">
        <v>0.3</v>
      </c>
      <c r="BS196" s="1631">
        <v>0.3</v>
      </c>
      <c r="BT196" s="1631">
        <v>0.3</v>
      </c>
      <c r="BU196" s="1631">
        <v>0.3</v>
      </c>
      <c r="BV196" s="1631">
        <v>0.3</v>
      </c>
      <c r="BW196" s="1631">
        <v>0.3</v>
      </c>
      <c r="BX196" s="1631">
        <v>0.3</v>
      </c>
      <c r="BY196" s="1631">
        <v>0.3</v>
      </c>
      <c r="BZ196" s="1631">
        <v>0.3</v>
      </c>
      <c r="CA196" s="1631">
        <v>0.3</v>
      </c>
      <c r="CB196" s="1748"/>
      <c r="CC196" s="1747"/>
      <c r="CD196" s="1747"/>
      <c r="CE196" s="1749"/>
      <c r="CG196" s="1814" t="s">
        <v>324</v>
      </c>
      <c r="CH196" s="1628" t="s">
        <v>516</v>
      </c>
      <c r="CI196" s="1815" t="s">
        <v>1934</v>
      </c>
      <c r="CJ196" s="1636">
        <f t="shared" si="160"/>
        <v>0.3</v>
      </c>
      <c r="CK196" s="1636">
        <f t="shared" si="148"/>
        <v>0.3</v>
      </c>
      <c r="CL196" s="1636">
        <f t="shared" si="149"/>
        <v>0.3</v>
      </c>
      <c r="CM196" s="1636">
        <f t="shared" si="150"/>
        <v>0.3</v>
      </c>
      <c r="CN196" s="1636">
        <f t="shared" si="151"/>
        <v>0.3</v>
      </c>
      <c r="CO196" s="1636">
        <f t="shared" si="152"/>
        <v>0.3</v>
      </c>
      <c r="CP196" s="1636">
        <f t="shared" si="153"/>
        <v>0.3</v>
      </c>
      <c r="CQ196" s="1636">
        <f t="shared" si="154"/>
        <v>0.3</v>
      </c>
      <c r="CR196" s="1636">
        <f t="shared" si="155"/>
        <v>0.3</v>
      </c>
      <c r="CS196" s="1636">
        <f t="shared" si="156"/>
        <v>0.3</v>
      </c>
      <c r="CT196" s="1751">
        <f t="shared" si="157"/>
        <v>0</v>
      </c>
      <c r="CU196" s="1750">
        <f t="shared" si="158"/>
        <v>0</v>
      </c>
      <c r="CV196" s="1750">
        <f t="shared" si="159"/>
        <v>0</v>
      </c>
      <c r="CX196" s="1814" t="s">
        <v>324</v>
      </c>
      <c r="CY196" s="1628" t="s">
        <v>516</v>
      </c>
      <c r="CZ196" s="1815"/>
      <c r="DA196" s="1637">
        <v>0</v>
      </c>
      <c r="DB196" s="1638"/>
      <c r="DC196" s="1638"/>
      <c r="DD196" s="1638"/>
      <c r="DE196" s="1638"/>
      <c r="DF196" s="1638"/>
      <c r="DG196" s="1638"/>
      <c r="DH196" s="1638"/>
      <c r="DI196" s="1638"/>
      <c r="DJ196" s="1638"/>
      <c r="DK196" s="1754"/>
      <c r="DL196" s="1753"/>
      <c r="DM196" s="1753"/>
    </row>
    <row r="197" spans="2:117"/>
    <row r="225"/>
    <row r="226"/>
    <row r="236"/>
  </sheetData>
  <sheetProtection algorithmName="SHA-512" hashValue="ZJf0w9wQH3qGe4NvdQ3nRYpRJcURlLDSmE8MReTAFTZEA2Fxg56b80Z+p8alDxizv0wBN9nnbAS4qzpFZtENdQ==" saltValue="b7+ApoCXceH5oavew9O2OQ==" spinCount="100000" sheet="1" objects="1" scenarios="1"/>
  <mergeCells count="15">
    <mergeCell ref="I5:J5"/>
    <mergeCell ref="K5:L5"/>
    <mergeCell ref="M5:N5"/>
    <mergeCell ref="DA5:DI5"/>
    <mergeCell ref="DK5:DM5"/>
    <mergeCell ref="CJ5:CR5"/>
    <mergeCell ref="CT5:CV5"/>
    <mergeCell ref="BR5:BZ5"/>
    <mergeCell ref="CB5:CD5"/>
    <mergeCell ref="S5:AA5"/>
    <mergeCell ref="AC5:AE5"/>
    <mergeCell ref="BA5:BI5"/>
    <mergeCell ref="BK5:BM5"/>
    <mergeCell ref="AJ5:AR5"/>
    <mergeCell ref="AT5:AV5"/>
  </mergeCells>
  <phoneticPr fontId="26"/>
  <printOptions horizontalCentered="1"/>
  <pageMargins left="0.59055118110236227" right="0.59055118110236227" top="0.78740157480314965" bottom="0.59055118110236227" header="0.51181102362204722" footer="0.51181102362204722"/>
  <pageSetup paperSize="9" scale="65" fitToWidth="2" fitToHeight="0" orientation="portrait" verticalDpi="4294967293" r:id="rId1"/>
  <headerFooter alignWithMargins="0">
    <oddHeader>&amp;L&amp;F&amp;R&amp;A</oddHeader>
    <oddFooter>&amp;C&amp;P/&amp;N</oddFooter>
  </headerFooter>
  <rowBreaks count="1" manualBreakCount="1">
    <brk id="111" max="30" man="1"/>
  </rowBreaks>
  <colBreaks count="1" manualBreakCount="1">
    <brk id="15" max="193" man="1"/>
  </colBreaks>
  <ignoredErrors>
    <ignoredError sqref="AG154:AG197" numberStoredAsText="1"/>
    <ignoredError sqref="AA9 AA63" formula="1"/>
  </ignoredError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9">
    <pageSetUpPr fitToPage="1"/>
  </sheetPr>
  <dimension ref="A1:S38"/>
  <sheetViews>
    <sheetView showGridLines="0" workbookViewId="0">
      <selection activeCell="G385" sqref="G385"/>
    </sheetView>
  </sheetViews>
  <sheetFormatPr defaultColWidth="0" defaultRowHeight="13.5" customHeight="1" zeroHeight="1"/>
  <cols>
    <col min="1" max="1" width="1.125" customWidth="1"/>
    <col min="2" max="18" width="8.75" customWidth="1"/>
    <col min="19" max="19" width="1.5" customWidth="1"/>
    <col min="20" max="16384" width="8.75" hidden="1"/>
  </cols>
  <sheetData>
    <row r="1" spans="2:18" ht="13.5" customHeight="1">
      <c r="B1" s="520"/>
      <c r="C1" s="520"/>
      <c r="D1" s="520"/>
      <c r="E1" s="520"/>
      <c r="F1" s="520"/>
      <c r="G1" s="520"/>
      <c r="H1" s="520"/>
      <c r="I1" s="520"/>
      <c r="J1" s="520"/>
      <c r="K1" s="520"/>
      <c r="L1" s="520"/>
      <c r="M1" s="520"/>
      <c r="N1" s="520"/>
      <c r="O1" s="520"/>
      <c r="P1" s="520"/>
      <c r="Q1" s="520"/>
      <c r="R1" s="520"/>
    </row>
    <row r="2" spans="2:18" ht="13.5" customHeight="1">
      <c r="B2" s="520"/>
      <c r="C2" s="520"/>
      <c r="D2" s="520"/>
      <c r="E2" s="520"/>
      <c r="F2" s="520"/>
      <c r="G2" s="520"/>
      <c r="H2" s="520"/>
      <c r="I2" s="520"/>
      <c r="J2" s="520"/>
      <c r="K2" s="520"/>
      <c r="L2" s="520"/>
      <c r="M2" s="520"/>
      <c r="N2" s="520"/>
      <c r="O2" s="520"/>
      <c r="P2" s="520"/>
      <c r="Q2" s="520"/>
      <c r="R2" s="520"/>
    </row>
    <row r="3" spans="2:18" ht="13.5" customHeight="1">
      <c r="B3" s="520"/>
      <c r="C3" s="520"/>
      <c r="D3" s="520"/>
      <c r="E3" s="520"/>
      <c r="F3" s="520"/>
      <c r="G3" s="520"/>
      <c r="H3" s="520"/>
      <c r="I3" s="520"/>
      <c r="J3" s="520"/>
      <c r="K3" s="520"/>
      <c r="L3" s="520"/>
      <c r="M3" s="520"/>
      <c r="N3" s="520"/>
      <c r="O3" s="520"/>
      <c r="P3" s="520"/>
      <c r="Q3" s="520"/>
      <c r="R3" s="520"/>
    </row>
    <row r="4" spans="2:18" ht="13.5" customHeight="1">
      <c r="B4" s="520"/>
      <c r="C4" s="520"/>
      <c r="D4" s="520"/>
      <c r="E4" s="520"/>
      <c r="F4" s="520"/>
      <c r="G4" s="520"/>
      <c r="H4" s="520"/>
      <c r="I4" s="520"/>
      <c r="J4" s="520"/>
      <c r="K4" s="520"/>
      <c r="L4" s="520"/>
      <c r="M4" s="520"/>
      <c r="N4" s="520"/>
      <c r="O4" s="520"/>
      <c r="P4" s="520"/>
      <c r="Q4" s="520"/>
      <c r="R4" s="520"/>
    </row>
    <row r="5" spans="2:18" ht="13.5" customHeight="1">
      <c r="B5" s="520"/>
      <c r="C5" s="520"/>
      <c r="D5" s="520"/>
      <c r="E5" s="520"/>
      <c r="F5" s="520"/>
      <c r="G5" s="520"/>
      <c r="H5" s="520"/>
      <c r="I5" s="520"/>
      <c r="J5" s="520"/>
      <c r="K5" s="520"/>
      <c r="L5" s="520"/>
      <c r="M5" s="520"/>
      <c r="N5" s="520"/>
      <c r="O5" s="520"/>
      <c r="P5" s="520"/>
      <c r="Q5" s="520"/>
      <c r="R5" s="520"/>
    </row>
    <row r="6" spans="2:18" ht="13.5" customHeight="1">
      <c r="B6" s="520"/>
      <c r="C6" s="520"/>
      <c r="D6" s="520"/>
      <c r="E6" s="520"/>
      <c r="F6" s="520"/>
      <c r="G6" s="520"/>
      <c r="H6" s="520"/>
      <c r="I6" s="520"/>
      <c r="J6" s="520"/>
      <c r="K6" s="520"/>
      <c r="L6" s="520"/>
      <c r="M6" s="520"/>
      <c r="N6" s="520"/>
      <c r="O6" s="520"/>
      <c r="P6" s="520"/>
      <c r="Q6" s="520"/>
      <c r="R6" s="520"/>
    </row>
    <row r="7" spans="2:18" ht="13.5" customHeight="1">
      <c r="B7" s="520"/>
      <c r="C7" s="520"/>
      <c r="D7" s="520"/>
      <c r="E7" s="520"/>
      <c r="F7" s="520"/>
      <c r="G7" s="520"/>
      <c r="H7" s="520"/>
      <c r="I7" s="520"/>
      <c r="J7" s="520"/>
      <c r="K7" s="520"/>
      <c r="L7" s="520"/>
      <c r="M7" s="520"/>
      <c r="N7" s="520"/>
      <c r="O7" s="520"/>
      <c r="P7" s="520"/>
      <c r="Q7" s="520"/>
      <c r="R7" s="520"/>
    </row>
    <row r="8" spans="2:18" ht="13.5" customHeight="1">
      <c r="B8" s="520"/>
      <c r="C8" s="520"/>
      <c r="D8" s="520"/>
      <c r="E8" s="520"/>
      <c r="F8" s="520"/>
      <c r="G8" s="520"/>
      <c r="H8" s="520"/>
      <c r="I8" s="520"/>
      <c r="J8" s="520"/>
      <c r="K8" s="520"/>
      <c r="L8" s="520"/>
      <c r="M8" s="520"/>
      <c r="N8" s="520"/>
      <c r="O8" s="520"/>
      <c r="P8" s="520"/>
      <c r="Q8" s="520"/>
      <c r="R8" s="520"/>
    </row>
    <row r="9" spans="2:18" ht="13.5" customHeight="1">
      <c r="B9" s="520"/>
      <c r="C9" s="520"/>
      <c r="D9" s="520"/>
      <c r="E9" s="520"/>
      <c r="F9" s="520"/>
      <c r="G9" s="520"/>
      <c r="H9" s="520"/>
      <c r="I9" s="520"/>
      <c r="J9" s="520"/>
      <c r="K9" s="520"/>
      <c r="L9" s="520"/>
      <c r="M9" s="520"/>
      <c r="N9" s="520"/>
      <c r="O9" s="520"/>
      <c r="P9" s="520"/>
      <c r="Q9" s="520"/>
      <c r="R9" s="520"/>
    </row>
    <row r="10" spans="2:18" ht="13.5" customHeight="1">
      <c r="B10" s="520"/>
      <c r="C10" s="520"/>
      <c r="D10" s="520"/>
      <c r="E10" s="520"/>
      <c r="F10" s="520"/>
      <c r="G10" s="520"/>
      <c r="H10" s="520"/>
      <c r="I10" s="520"/>
      <c r="J10" s="520"/>
      <c r="K10" s="520"/>
      <c r="L10" s="520"/>
      <c r="M10" s="520"/>
      <c r="N10" s="520"/>
      <c r="O10" s="520"/>
      <c r="P10" s="520"/>
      <c r="Q10" s="520"/>
      <c r="R10" s="520"/>
    </row>
    <row r="11" spans="2:18" ht="13.5" customHeight="1">
      <c r="B11" s="520"/>
      <c r="C11" s="520"/>
      <c r="D11" s="520"/>
      <c r="E11" s="520"/>
      <c r="F11" s="520"/>
      <c r="G11" s="520"/>
      <c r="H11" s="520"/>
      <c r="I11" s="520"/>
      <c r="J11" s="520"/>
      <c r="K11" s="520"/>
      <c r="L11" s="520"/>
      <c r="M11" s="520"/>
      <c r="N11" s="520"/>
      <c r="O11" s="520"/>
      <c r="P11" s="520"/>
      <c r="Q11" s="520"/>
      <c r="R11" s="520"/>
    </row>
    <row r="12" spans="2:18" ht="13.5" customHeight="1">
      <c r="B12" s="520"/>
      <c r="C12" s="520"/>
      <c r="D12" s="520"/>
      <c r="E12" s="520"/>
      <c r="F12" s="520"/>
      <c r="G12" s="520"/>
      <c r="H12" s="520"/>
      <c r="I12" s="520"/>
      <c r="J12" s="520"/>
      <c r="K12" s="520"/>
      <c r="L12" s="520"/>
      <c r="M12" s="520"/>
      <c r="N12" s="520"/>
      <c r="O12" s="520"/>
      <c r="P12" s="520"/>
      <c r="Q12" s="520"/>
      <c r="R12" s="520"/>
    </row>
    <row r="13" spans="2:18" ht="18.75">
      <c r="B13" s="520"/>
      <c r="C13" s="520"/>
      <c r="D13" s="520"/>
      <c r="E13" s="521"/>
      <c r="F13" s="520"/>
      <c r="G13" s="520"/>
      <c r="H13" s="520"/>
      <c r="I13" s="520"/>
      <c r="J13" s="520"/>
      <c r="K13" s="520"/>
      <c r="L13" s="520"/>
      <c r="M13" s="520"/>
      <c r="N13" s="520"/>
      <c r="O13" s="520"/>
      <c r="P13" s="520"/>
      <c r="Q13" s="520"/>
      <c r="R13" s="520"/>
    </row>
    <row r="14" spans="2:18" ht="13.5" customHeight="1">
      <c r="B14" s="520"/>
      <c r="C14" s="520"/>
      <c r="D14" s="520"/>
      <c r="E14" s="520"/>
      <c r="F14" s="520"/>
      <c r="G14" s="520"/>
      <c r="H14" s="520"/>
      <c r="I14" s="520"/>
      <c r="J14" s="520"/>
      <c r="K14" s="520"/>
      <c r="L14" s="520"/>
      <c r="M14" s="520"/>
      <c r="N14" s="520"/>
      <c r="O14" s="520"/>
      <c r="P14" s="520"/>
      <c r="Q14" s="520"/>
      <c r="R14" s="520"/>
    </row>
    <row r="15" spans="2:18" ht="13.5" customHeight="1">
      <c r="B15" s="520"/>
      <c r="C15" s="520"/>
      <c r="D15" s="520"/>
      <c r="E15" s="520"/>
      <c r="F15" s="520"/>
      <c r="G15" s="520"/>
      <c r="H15" s="520"/>
      <c r="I15" s="520"/>
      <c r="J15" s="520"/>
      <c r="K15" s="520"/>
      <c r="L15" s="520"/>
      <c r="M15" s="520"/>
      <c r="N15" s="520"/>
      <c r="O15" s="520"/>
      <c r="P15" s="520"/>
      <c r="Q15" s="520"/>
      <c r="R15" s="520"/>
    </row>
    <row r="16" spans="2:18" ht="13.5" customHeight="1">
      <c r="B16" s="520"/>
      <c r="C16" s="520"/>
      <c r="D16" s="520"/>
      <c r="E16" s="520"/>
      <c r="F16" s="520"/>
      <c r="G16" s="520"/>
      <c r="H16" s="520"/>
      <c r="I16" s="520"/>
      <c r="J16" s="520"/>
      <c r="K16" s="520"/>
      <c r="L16" s="520"/>
      <c r="M16" s="520"/>
      <c r="N16" s="520"/>
      <c r="O16" s="520"/>
      <c r="P16" s="520"/>
      <c r="Q16" s="520"/>
      <c r="R16" s="520"/>
    </row>
    <row r="17" spans="2:18" ht="13.5" customHeight="1">
      <c r="B17" s="520"/>
      <c r="C17" s="520"/>
      <c r="D17" s="520"/>
      <c r="E17" s="520"/>
      <c r="F17" s="520"/>
      <c r="G17" s="520"/>
      <c r="H17" s="520"/>
      <c r="I17" s="520"/>
      <c r="J17" s="520"/>
      <c r="K17" s="520"/>
      <c r="L17" s="520"/>
      <c r="M17" s="520"/>
      <c r="N17" s="520"/>
      <c r="O17" s="520"/>
      <c r="P17" s="520"/>
      <c r="Q17" s="520"/>
      <c r="R17" s="520"/>
    </row>
    <row r="18" spans="2:18" ht="13.5" customHeight="1">
      <c r="B18" s="520"/>
      <c r="C18" s="520"/>
      <c r="D18" s="520"/>
      <c r="E18" s="520"/>
      <c r="F18" s="520"/>
      <c r="G18" s="520"/>
      <c r="H18" s="520"/>
      <c r="I18" s="520"/>
      <c r="J18" s="520"/>
      <c r="K18" s="520"/>
      <c r="L18" s="520"/>
      <c r="M18" s="520"/>
      <c r="N18" s="520"/>
      <c r="O18" s="520"/>
      <c r="P18" s="520"/>
      <c r="Q18" s="520"/>
      <c r="R18" s="520"/>
    </row>
    <row r="19" spans="2:18" ht="13.5" customHeight="1">
      <c r="B19" s="520"/>
      <c r="C19" s="520"/>
      <c r="D19" s="520"/>
      <c r="E19" s="520"/>
      <c r="F19" s="520"/>
      <c r="G19" s="520"/>
      <c r="H19" s="520"/>
      <c r="I19" s="520"/>
      <c r="J19" s="520"/>
      <c r="K19" s="520"/>
      <c r="L19" s="520"/>
      <c r="M19" s="520"/>
      <c r="N19" s="520"/>
      <c r="O19" s="520"/>
      <c r="P19" s="520"/>
      <c r="Q19" s="520"/>
      <c r="R19" s="520"/>
    </row>
    <row r="20" spans="2:18" ht="13.5" customHeight="1">
      <c r="B20" s="520"/>
      <c r="C20" s="520"/>
      <c r="D20" s="520"/>
      <c r="E20" s="520"/>
      <c r="F20" s="520"/>
      <c r="G20" s="520"/>
      <c r="H20" s="520"/>
      <c r="I20" s="520"/>
      <c r="J20" s="520"/>
      <c r="K20" s="520"/>
      <c r="L20" s="520"/>
      <c r="M20" s="520"/>
      <c r="N20" s="520"/>
      <c r="O20" s="520"/>
      <c r="P20" s="520"/>
      <c r="Q20" s="520"/>
      <c r="R20" s="520"/>
    </row>
    <row r="21" spans="2:18" ht="13.5" customHeight="1">
      <c r="B21" s="520"/>
      <c r="C21" s="520"/>
      <c r="D21" s="520"/>
      <c r="E21" s="520"/>
      <c r="F21" s="520"/>
      <c r="G21" s="520"/>
      <c r="H21" s="520"/>
      <c r="I21" s="520"/>
      <c r="J21" s="520"/>
      <c r="K21" s="520"/>
      <c r="L21" s="520"/>
      <c r="M21" s="520"/>
      <c r="N21" s="520"/>
      <c r="O21" s="520"/>
      <c r="P21" s="520"/>
      <c r="Q21" s="520"/>
      <c r="R21" s="520"/>
    </row>
    <row r="22" spans="2:18" ht="13.5" customHeight="1">
      <c r="B22" s="520"/>
      <c r="C22" s="520"/>
      <c r="D22" s="520"/>
      <c r="E22" s="520"/>
      <c r="F22" s="520"/>
      <c r="G22" s="520"/>
      <c r="H22" s="520"/>
      <c r="I22" s="520"/>
      <c r="J22" s="520"/>
      <c r="K22" s="520"/>
      <c r="L22" s="520"/>
      <c r="M22" s="520"/>
      <c r="N22" s="520"/>
      <c r="O22" s="520"/>
      <c r="P22" s="520"/>
      <c r="Q22" s="520"/>
      <c r="R22" s="520"/>
    </row>
    <row r="23" spans="2:18" ht="13.5" customHeight="1">
      <c r="B23" s="520"/>
      <c r="C23" s="520"/>
      <c r="D23" s="520"/>
      <c r="E23" s="520"/>
      <c r="F23" s="520"/>
      <c r="G23" s="520"/>
      <c r="H23" s="520"/>
      <c r="I23" s="520"/>
      <c r="J23" s="520"/>
      <c r="K23" s="520"/>
      <c r="L23" s="520"/>
      <c r="M23" s="520"/>
      <c r="N23" s="520"/>
      <c r="O23" s="520"/>
      <c r="P23" s="520"/>
      <c r="Q23" s="520"/>
      <c r="R23" s="520"/>
    </row>
    <row r="24" spans="2:18" ht="13.5" customHeight="1">
      <c r="B24" s="520"/>
      <c r="C24" s="520"/>
      <c r="D24" s="520"/>
      <c r="E24" s="520"/>
      <c r="F24" s="520"/>
      <c r="G24" s="520"/>
      <c r="H24" s="520"/>
      <c r="I24" s="520"/>
      <c r="J24" s="520"/>
      <c r="K24" s="520"/>
      <c r="L24" s="520"/>
      <c r="M24" s="520"/>
      <c r="N24" s="520"/>
      <c r="O24" s="520"/>
      <c r="P24" s="520"/>
      <c r="Q24" s="520"/>
      <c r="R24" s="520"/>
    </row>
    <row r="25" spans="2:18" ht="13.5" customHeight="1">
      <c r="B25" s="520"/>
      <c r="C25" s="520"/>
      <c r="D25" s="520"/>
      <c r="E25" s="520"/>
      <c r="F25" s="520"/>
      <c r="G25" s="520"/>
      <c r="H25" s="520"/>
      <c r="I25" s="520"/>
      <c r="J25" s="520"/>
      <c r="K25" s="520"/>
      <c r="L25" s="520"/>
      <c r="M25" s="520"/>
      <c r="N25" s="520"/>
      <c r="O25" s="520"/>
      <c r="P25" s="520"/>
      <c r="Q25" s="520"/>
      <c r="R25" s="520"/>
    </row>
    <row r="26" spans="2:18" ht="13.5" customHeight="1">
      <c r="B26" s="520"/>
      <c r="C26" s="520"/>
      <c r="D26" s="520"/>
      <c r="E26" s="520"/>
      <c r="F26" s="520"/>
      <c r="G26" s="520"/>
      <c r="H26" s="520"/>
      <c r="I26" s="520"/>
      <c r="J26" s="520"/>
      <c r="K26" s="520"/>
      <c r="L26" s="520"/>
      <c r="M26" s="520"/>
      <c r="N26" s="520"/>
      <c r="O26" s="520"/>
      <c r="P26" s="520"/>
      <c r="Q26" s="520"/>
      <c r="R26" s="520"/>
    </row>
    <row r="27" spans="2:18" ht="13.5" customHeight="1">
      <c r="B27" s="520"/>
      <c r="C27" s="520"/>
      <c r="D27" s="520"/>
      <c r="E27" s="520"/>
      <c r="F27" s="520"/>
      <c r="G27" s="520"/>
      <c r="H27" s="520"/>
      <c r="I27" s="520"/>
      <c r="J27" s="520"/>
      <c r="K27" s="520"/>
      <c r="L27" s="520"/>
      <c r="M27" s="520"/>
      <c r="N27" s="520"/>
      <c r="O27" s="520"/>
      <c r="P27" s="520"/>
      <c r="Q27" s="520"/>
      <c r="R27" s="520"/>
    </row>
    <row r="28" spans="2:18" ht="13.5" customHeight="1">
      <c r="B28" s="520"/>
      <c r="C28" s="520"/>
      <c r="D28" s="520"/>
      <c r="E28" s="520"/>
      <c r="F28" s="520"/>
      <c r="G28" s="520"/>
      <c r="H28" s="520"/>
      <c r="I28" s="520"/>
      <c r="J28" s="520"/>
      <c r="K28" s="520"/>
      <c r="L28" s="520"/>
      <c r="M28" s="520"/>
      <c r="N28" s="520"/>
      <c r="O28" s="520"/>
      <c r="P28" s="520"/>
      <c r="Q28" s="520"/>
      <c r="R28" s="520"/>
    </row>
    <row r="29" spans="2:18" ht="13.5" customHeight="1">
      <c r="B29" s="520"/>
      <c r="C29" s="520"/>
      <c r="D29" s="520"/>
      <c r="E29" s="520"/>
      <c r="F29" s="520"/>
      <c r="G29" s="520"/>
      <c r="H29" s="520"/>
      <c r="I29" s="520"/>
      <c r="J29" s="520"/>
      <c r="K29" s="520"/>
      <c r="L29" s="520"/>
      <c r="M29" s="520"/>
      <c r="N29" s="520"/>
      <c r="O29" s="520"/>
      <c r="P29" s="520"/>
      <c r="Q29" s="520"/>
      <c r="R29" s="520"/>
    </row>
    <row r="30" spans="2:18" ht="13.5" customHeight="1">
      <c r="B30" s="520"/>
      <c r="C30" s="520"/>
      <c r="D30" s="520"/>
      <c r="E30" s="520"/>
      <c r="F30" s="520"/>
      <c r="G30" s="520"/>
      <c r="H30" s="520"/>
      <c r="I30" s="520"/>
      <c r="J30" s="520"/>
      <c r="K30" s="520"/>
      <c r="L30" s="520"/>
      <c r="M30" s="520"/>
      <c r="N30" s="520"/>
      <c r="O30" s="520"/>
      <c r="P30" s="520"/>
      <c r="Q30" s="520"/>
      <c r="R30" s="520"/>
    </row>
    <row r="31" spans="2:18" ht="13.5" customHeight="1">
      <c r="B31" s="520"/>
      <c r="C31" s="520"/>
      <c r="D31" s="520"/>
      <c r="E31" s="520"/>
      <c r="F31" s="520"/>
      <c r="G31" s="520"/>
      <c r="H31" s="520"/>
      <c r="I31" s="520"/>
      <c r="J31" s="520"/>
      <c r="K31" s="520"/>
      <c r="L31" s="520"/>
      <c r="M31" s="520"/>
      <c r="N31" s="520"/>
      <c r="O31" s="520"/>
      <c r="P31" s="520"/>
      <c r="Q31" s="520"/>
      <c r="R31" s="520"/>
    </row>
    <row r="32" spans="2:18" ht="13.5" customHeight="1">
      <c r="B32" s="520"/>
      <c r="C32" s="520"/>
      <c r="D32" s="520"/>
      <c r="E32" s="520"/>
      <c r="F32" s="520"/>
      <c r="G32" s="520"/>
      <c r="H32" s="520"/>
      <c r="I32" s="520"/>
      <c r="J32" s="520"/>
      <c r="K32" s="520"/>
      <c r="L32" s="520"/>
      <c r="M32" s="520"/>
      <c r="N32" s="520"/>
      <c r="O32" s="520"/>
      <c r="P32" s="520"/>
      <c r="Q32" s="520"/>
      <c r="R32" s="520"/>
    </row>
    <row r="33" spans="2:18" ht="13.5" customHeight="1">
      <c r="B33" s="520"/>
      <c r="C33" s="520"/>
      <c r="D33" s="520"/>
      <c r="E33" s="520"/>
      <c r="F33" s="520"/>
      <c r="G33" s="520"/>
      <c r="H33" s="520"/>
      <c r="I33" s="520"/>
      <c r="J33" s="520"/>
      <c r="K33" s="520"/>
      <c r="L33" s="520"/>
      <c r="M33" s="520"/>
      <c r="N33" s="520"/>
      <c r="O33" s="520"/>
      <c r="P33" s="520"/>
      <c r="Q33" s="520"/>
      <c r="R33" s="520"/>
    </row>
    <row r="34" spans="2:18" ht="13.5" customHeight="1">
      <c r="B34" s="520"/>
      <c r="C34" s="520"/>
      <c r="D34" s="520"/>
      <c r="E34" s="520"/>
      <c r="F34" s="520"/>
      <c r="G34" s="520"/>
      <c r="H34" s="520"/>
      <c r="I34" s="520"/>
      <c r="J34" s="520"/>
      <c r="K34" s="520"/>
      <c r="L34" s="520"/>
      <c r="M34" s="520"/>
      <c r="N34" s="520"/>
      <c r="O34" s="520"/>
      <c r="P34" s="520"/>
      <c r="Q34" s="520"/>
      <c r="R34" s="520"/>
    </row>
    <row r="35" spans="2:18" ht="13.5" customHeight="1">
      <c r="B35" s="520"/>
      <c r="C35" s="520"/>
      <c r="D35" s="520"/>
      <c r="E35" s="520"/>
      <c r="F35" s="520"/>
      <c r="G35" s="520"/>
      <c r="H35" s="520"/>
      <c r="I35" s="520"/>
      <c r="J35" s="520"/>
      <c r="K35" s="520"/>
      <c r="L35" s="520"/>
      <c r="M35" s="520"/>
      <c r="N35" s="520"/>
      <c r="O35" s="520"/>
      <c r="P35" s="520"/>
      <c r="Q35" s="520"/>
      <c r="R35" s="520"/>
    </row>
    <row r="36" spans="2:18" ht="13.5" customHeight="1">
      <c r="B36" s="520"/>
      <c r="C36" s="520"/>
      <c r="D36" s="520"/>
      <c r="E36" s="520"/>
      <c r="F36" s="520"/>
      <c r="G36" s="520"/>
      <c r="H36" s="520"/>
      <c r="I36" s="520"/>
      <c r="J36" s="520"/>
      <c r="K36" s="520"/>
      <c r="L36" s="520"/>
      <c r="M36" s="520"/>
      <c r="N36" s="520"/>
      <c r="O36" s="520"/>
      <c r="P36" s="520"/>
      <c r="Q36" s="520"/>
      <c r="R36" s="520"/>
    </row>
    <row r="37" spans="2:18" ht="13.5" customHeight="1">
      <c r="G37" s="520"/>
      <c r="H37" s="520"/>
      <c r="I37" s="520"/>
      <c r="J37" s="520"/>
      <c r="K37" s="520"/>
      <c r="L37" s="520"/>
      <c r="M37" s="520"/>
      <c r="N37" s="520"/>
      <c r="O37" s="520"/>
      <c r="P37" s="520"/>
      <c r="Q37" s="520"/>
      <c r="R37" s="520"/>
    </row>
    <row r="38" spans="2:18" ht="13.5" hidden="1" customHeight="1">
      <c r="J38" s="520"/>
      <c r="K38" s="520"/>
      <c r="L38" s="520"/>
      <c r="M38" s="520"/>
      <c r="N38" s="520"/>
      <c r="O38" s="520"/>
      <c r="P38" s="520"/>
      <c r="Q38" s="520"/>
      <c r="R38" s="520"/>
    </row>
  </sheetData>
  <sheetProtection algorithmName="SHA-512" hashValue="sLw1QajunI6fsEtMhaMSknlnNUy+NohvXk1VvkwXdnFKnKazQztT/BmRp+yoBnQYtltis90uyIcAsoArgpL/SA==" saltValue="GXthAAFNfyoyS15JZN2z9A==" spinCount="100000" sheet="1" objects="1" scenarios="1"/>
  <phoneticPr fontId="26"/>
  <printOptions horizontalCentered="1"/>
  <pageMargins left="0.59055118110236227" right="0.59055118110236227" top="0.78740157480314965" bottom="0.59055118110236227" header="0.51181102362204722" footer="0.51181102362204722"/>
  <pageSetup paperSize="0" orientation="portrait" horizontalDpi="0" verticalDpi="0" copies="0" r:id="rId1"/>
  <headerFooter alignWithMargins="0">
    <oddHeader>&amp;L&amp;F&amp;R&amp;A</oddHeader>
    <oddFooter>&amp;C&amp;P/&amp;N</oddFooter>
  </headerFooter>
  <rowBreaks count="1" manualBreakCount="1">
    <brk id="37" max="18"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21</vt:i4>
      </vt:variant>
      <vt:variant>
        <vt:lpstr>名前付き一覧</vt:lpstr>
      </vt:variant>
      <vt:variant>
        <vt:i4>24</vt:i4>
      </vt:variant>
    </vt:vector>
  </HeadingPairs>
  <TitlesOfParts>
    <vt:vector size="45" baseType="lpstr">
      <vt:lpstr>Main</vt:lpstr>
      <vt:lpstr>Result</vt:lpstr>
      <vt:lpstr>Result(2-3SDGs)</vt:lpstr>
      <vt:lpstr>Consider</vt:lpstr>
      <vt:lpstr>複合用途</vt:lpstr>
      <vt:lpstr>Score</vt:lpstr>
      <vt:lpstr>Factor</vt:lpstr>
      <vt:lpstr>Q1</vt:lpstr>
      <vt:lpstr>Q2</vt:lpstr>
      <vt:lpstr>Q3</vt:lpstr>
      <vt:lpstr>LR1</vt:lpstr>
      <vt:lpstr>ENcalc</vt:lpstr>
      <vt:lpstr>LR2</vt:lpstr>
      <vt:lpstr>LR3</vt:lpstr>
      <vt:lpstr>WLC</vt:lpstr>
      <vt:lpstr>SDGs</vt:lpstr>
      <vt:lpstr>Std.</vt:lpstr>
      <vt:lpstr>Indiv.</vt:lpstr>
      <vt:lpstr>GHG data</vt:lpstr>
      <vt:lpstr>Weight</vt:lpstr>
      <vt:lpstr>Credit</vt:lpstr>
      <vt:lpstr>'GHG data'!_Hlk205628339</vt:lpstr>
      <vt:lpstr>Credit!Print_Area</vt:lpstr>
      <vt:lpstr>ENcalc!Print_Area</vt:lpstr>
      <vt:lpstr>Factor!Print_Area</vt:lpstr>
      <vt:lpstr>'GHG data'!Print_Area</vt:lpstr>
      <vt:lpstr>Indiv.!Print_Area</vt:lpstr>
      <vt:lpstr>'LR1'!Print_Area</vt:lpstr>
      <vt:lpstr>'LR2'!Print_Area</vt:lpstr>
      <vt:lpstr>'LR3'!Print_Area</vt:lpstr>
      <vt:lpstr>Main!Print_Area</vt:lpstr>
      <vt:lpstr>'Q1'!Print_Area</vt:lpstr>
      <vt:lpstr>'Q2'!Print_Area</vt:lpstr>
      <vt:lpstr>'Q3'!Print_Area</vt:lpstr>
      <vt:lpstr>Result!Print_Area</vt:lpstr>
      <vt:lpstr>'Result(2-3SDGs)'!Print_Area</vt:lpstr>
      <vt:lpstr>Score!Print_Area</vt:lpstr>
      <vt:lpstr>SDGs!Print_Area</vt:lpstr>
      <vt:lpstr>Weight!Print_Area</vt:lpstr>
      <vt:lpstr>WLC!Print_Area</vt:lpstr>
      <vt:lpstr>複合用途!Print_Area</vt:lpstr>
      <vt:lpstr>Weight!Print_Titles</vt:lpstr>
      <vt:lpstr>複合用途!Print_Titles</vt:lpstr>
      <vt:lpstr>非表示</vt:lpstr>
      <vt:lpstr>表示</vt:lpstr>
    </vt:vector>
  </TitlesOfParts>
  <Company>株式会社日建設計</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IBEC</dc:creator>
  <cp:lastModifiedBy>吉永 武司</cp:lastModifiedBy>
  <cp:lastPrinted>2021-06-25T02:12:55Z</cp:lastPrinted>
  <dcterms:created xsi:type="dcterms:W3CDTF">2010-08-30T05:31:56Z</dcterms:created>
  <dcterms:modified xsi:type="dcterms:W3CDTF">2025-09-25T04:38:48Z</dcterms:modified>
</cp:coreProperties>
</file>